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i unidad\INFO\ALMACENES\"/>
    </mc:Choice>
  </mc:AlternateContent>
  <xr:revisionPtr revIDLastSave="0" documentId="13_ncr:1_{4BFBFF40-3924-4132-B8C6-D58C60F043B1}" xr6:coauthVersionLast="47" xr6:coauthVersionMax="47" xr10:uidLastSave="{00000000-0000-0000-0000-000000000000}"/>
  <bookViews>
    <workbookView xWindow="0" yWindow="0" windowWidth="24000" windowHeight="13500" firstSheet="2" activeTab="3" xr2:uid="{DDE6F83F-1172-4430-A2AC-82100DC7114F}"/>
  </bookViews>
  <sheets>
    <sheet name="Retenciones" sheetId="11" state="hidden" r:id="rId1"/>
    <sheet name="Fecha de hoy" sheetId="12" state="hidden" r:id="rId2"/>
    <sheet name="Terceros" sheetId="10" r:id="rId3"/>
    <sheet name="F.Proveedores" sheetId="1" r:id="rId4"/>
    <sheet name="F.Gastos" sheetId="13" state="hidden" r:id="rId5"/>
    <sheet name="Reporte" sheetId="16" r:id="rId6"/>
    <sheet name="Financiación" sheetId="6" r:id="rId7"/>
    <sheet name="Financiadores" sheetId="15" r:id="rId8"/>
    <sheet name="Hoja2" sheetId="18" r:id="rId9"/>
  </sheets>
  <definedNames>
    <definedName name="_xlnm._FilterDatabase" localSheetId="4" hidden="1">F.Gastos!$A$1:$O$47</definedName>
    <definedName name="_xlnm._FilterDatabase" localSheetId="3" hidden="1">F.Proveedores!$C$1:$S$1867</definedName>
    <definedName name="_xlnm._FilterDatabase" localSheetId="5" hidden="1">Reporte!$R$33:$V$40</definedName>
    <definedName name="_xlnm.Print_Area" localSheetId="8">Hoja2!$B$1:$F$9</definedName>
    <definedName name="Criteria" localSheetId="4">F.Gastos!#REF!</definedName>
    <definedName name="Criteria" localSheetId="3">F.Proveedores!#REF!</definedName>
    <definedName name="Extract" localSheetId="4">F.Gastos!#REF!</definedName>
    <definedName name="Extract" localSheetId="3">F.Proveedores!#REF!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8" i="6" l="1"/>
  <c r="I478" i="6"/>
  <c r="J478" i="6"/>
  <c r="E585" i="6"/>
  <c r="F585" i="6"/>
  <c r="I585" i="6"/>
  <c r="J585" i="6"/>
  <c r="A1867" i="1"/>
  <c r="C1867" i="1"/>
  <c r="B1867" i="1" s="1"/>
  <c r="F1867" i="1"/>
  <c r="M1867" i="1"/>
  <c r="O1867" i="1"/>
  <c r="P1867" i="1"/>
  <c r="Q1867" i="1" s="1"/>
  <c r="R1867" i="1" l="1"/>
  <c r="D1867" i="1" s="1"/>
  <c r="A1866" i="1" l="1"/>
  <c r="C1866" i="1"/>
  <c r="B1866" i="1" s="1"/>
  <c r="F1866" i="1"/>
  <c r="M1866" i="1"/>
  <c r="O1866" i="1"/>
  <c r="P1866" i="1"/>
  <c r="Q1866" i="1" s="1"/>
  <c r="A1865" i="1"/>
  <c r="C1865" i="1"/>
  <c r="B1865" i="1" s="1"/>
  <c r="F1865" i="1"/>
  <c r="M1865" i="1"/>
  <c r="O1865" i="1"/>
  <c r="P1865" i="1"/>
  <c r="Q1865" i="1" s="1"/>
  <c r="A1864" i="1"/>
  <c r="C1864" i="1"/>
  <c r="B1864" i="1" s="1"/>
  <c r="F1864" i="1"/>
  <c r="M1864" i="1"/>
  <c r="O1864" i="1"/>
  <c r="P1864" i="1"/>
  <c r="Q1864" i="1" s="1"/>
  <c r="A1863" i="1"/>
  <c r="C1863" i="1"/>
  <c r="B1863" i="1" s="1"/>
  <c r="F1863" i="1"/>
  <c r="M1863" i="1"/>
  <c r="O1863" i="1"/>
  <c r="P1863" i="1"/>
  <c r="Q1863" i="1" s="1"/>
  <c r="A1862" i="1"/>
  <c r="C1862" i="1"/>
  <c r="B1862" i="1" s="1"/>
  <c r="F1862" i="1"/>
  <c r="M1862" i="1"/>
  <c r="O1862" i="1"/>
  <c r="P1862" i="1"/>
  <c r="Q1862" i="1" s="1"/>
  <c r="A1861" i="1"/>
  <c r="C1861" i="1"/>
  <c r="B1861" i="1" s="1"/>
  <c r="F1861" i="1"/>
  <c r="M1861" i="1"/>
  <c r="O1861" i="1"/>
  <c r="P1861" i="1"/>
  <c r="Q1861" i="1" s="1"/>
  <c r="E1082" i="6"/>
  <c r="E1116" i="6"/>
  <c r="E1138" i="6"/>
  <c r="F1082" i="6"/>
  <c r="F1138" i="6"/>
  <c r="I1082" i="6"/>
  <c r="I1116" i="6"/>
  <c r="I1138" i="6"/>
  <c r="J1082" i="6"/>
  <c r="J1116" i="6"/>
  <c r="J1138" i="6"/>
  <c r="E485" i="6"/>
  <c r="E491" i="6"/>
  <c r="E495" i="6"/>
  <c r="F485" i="6"/>
  <c r="I485" i="6"/>
  <c r="I491" i="6"/>
  <c r="I495" i="6"/>
  <c r="J485" i="6"/>
  <c r="J491" i="6"/>
  <c r="J495" i="6"/>
  <c r="E1137" i="6"/>
  <c r="F1137" i="6"/>
  <c r="I1137" i="6"/>
  <c r="J1137" i="6"/>
  <c r="A1041" i="1"/>
  <c r="C1041" i="1"/>
  <c r="B1041" i="1" s="1"/>
  <c r="F1041" i="1"/>
  <c r="M1041" i="1"/>
  <c r="O1041" i="1"/>
  <c r="P1041" i="1"/>
  <c r="Q1041" i="1" s="1"/>
  <c r="A1285" i="1"/>
  <c r="C1285" i="1"/>
  <c r="B1285" i="1" s="1"/>
  <c r="F1285" i="1"/>
  <c r="O1285" i="1"/>
  <c r="P1285" i="1"/>
  <c r="Q1285" i="1" s="1"/>
  <c r="A274" i="1"/>
  <c r="C274" i="1"/>
  <c r="B274" i="1" s="1"/>
  <c r="F274" i="1"/>
  <c r="M274" i="1"/>
  <c r="O274" i="1"/>
  <c r="P274" i="1"/>
  <c r="Q274" i="1" s="1"/>
  <c r="A1588" i="1"/>
  <c r="B1588" i="1"/>
  <c r="F1588" i="1"/>
  <c r="O1588" i="1"/>
  <c r="P1588" i="1"/>
  <c r="Q1588" i="1" s="1"/>
  <c r="K698" i="1"/>
  <c r="K699" i="1"/>
  <c r="K700" i="1"/>
  <c r="K701" i="1"/>
  <c r="K702" i="1"/>
  <c r="K710" i="1"/>
  <c r="K703" i="1"/>
  <c r="K704" i="1"/>
  <c r="P704" i="1" s="1"/>
  <c r="Q704" i="1" s="1"/>
  <c r="K705" i="1"/>
  <c r="M705" i="1" s="1"/>
  <c r="K707" i="1"/>
  <c r="M707" i="1" s="1"/>
  <c r="A707" i="1"/>
  <c r="C707" i="1"/>
  <c r="B707" i="1" s="1"/>
  <c r="F707" i="1"/>
  <c r="A704" i="1"/>
  <c r="A705" i="1"/>
  <c r="C704" i="1"/>
  <c r="B704" i="1" s="1"/>
  <c r="C705" i="1"/>
  <c r="B705" i="1" s="1"/>
  <c r="F704" i="1"/>
  <c r="F705" i="1"/>
  <c r="A195" i="1"/>
  <c r="A196" i="1"/>
  <c r="A197" i="1"/>
  <c r="A198" i="1"/>
  <c r="A199" i="1"/>
  <c r="A200" i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F195" i="1"/>
  <c r="F196" i="1"/>
  <c r="F197" i="1"/>
  <c r="F198" i="1"/>
  <c r="F199" i="1"/>
  <c r="F200" i="1"/>
  <c r="M195" i="1"/>
  <c r="M196" i="1"/>
  <c r="M197" i="1"/>
  <c r="M198" i="1"/>
  <c r="M199" i="1"/>
  <c r="M200" i="1"/>
  <c r="O195" i="1"/>
  <c r="O196" i="1"/>
  <c r="O197" i="1"/>
  <c r="O198" i="1"/>
  <c r="O199" i="1"/>
  <c r="O200" i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S195" i="1"/>
  <c r="S196" i="1"/>
  <c r="S197" i="1"/>
  <c r="S198" i="1"/>
  <c r="S199" i="1"/>
  <c r="S200" i="1"/>
  <c r="A217" i="1"/>
  <c r="C217" i="1"/>
  <c r="B217" i="1" s="1"/>
  <c r="F217" i="1"/>
  <c r="M217" i="1"/>
  <c r="O217" i="1"/>
  <c r="P217" i="1"/>
  <c r="Q217" i="1" s="1"/>
  <c r="S217" i="1"/>
  <c r="R1865" i="1" l="1"/>
  <c r="D1865" i="1" s="1"/>
  <c r="R1864" i="1"/>
  <c r="R1863" i="1"/>
  <c r="D1863" i="1" s="1"/>
  <c r="R1862" i="1"/>
  <c r="D1862" i="1" s="1"/>
  <c r="R1861" i="1"/>
  <c r="D1861" i="1" s="1"/>
  <c r="P707" i="1"/>
  <c r="Q707" i="1" s="1"/>
  <c r="O704" i="1"/>
  <c r="P705" i="1"/>
  <c r="Q705" i="1" s="1"/>
  <c r="R199" i="1"/>
  <c r="R195" i="1"/>
  <c r="R1041" i="1"/>
  <c r="R1285" i="1"/>
  <c r="R274" i="1"/>
  <c r="D274" i="1" s="1"/>
  <c r="R1588" i="1"/>
  <c r="D1588" i="1" s="1"/>
  <c r="O707" i="1"/>
  <c r="O705" i="1"/>
  <c r="M704" i="1"/>
  <c r="R200" i="1"/>
  <c r="R196" i="1"/>
  <c r="R198" i="1"/>
  <c r="R197" i="1"/>
  <c r="D197" i="1"/>
  <c r="D199" i="1"/>
  <c r="D200" i="1"/>
  <c r="D198" i="1"/>
  <c r="D195" i="1"/>
  <c r="D196" i="1"/>
  <c r="R217" i="1"/>
  <c r="D217" i="1" s="1"/>
  <c r="D1285" i="1" l="1"/>
  <c r="D1866" i="1"/>
  <c r="D1041" i="1"/>
  <c r="D1864" i="1"/>
  <c r="R707" i="1"/>
  <c r="R704" i="1"/>
  <c r="R705" i="1"/>
  <c r="E66" i="6"/>
  <c r="F66" i="6"/>
  <c r="I66" i="6"/>
  <c r="J66" i="6"/>
  <c r="A965" i="1"/>
  <c r="C965" i="1"/>
  <c r="B965" i="1" s="1"/>
  <c r="F965" i="1"/>
  <c r="M965" i="1"/>
  <c r="O965" i="1"/>
  <c r="P965" i="1"/>
  <c r="Q965" i="1" s="1"/>
  <c r="A964" i="1"/>
  <c r="C964" i="1"/>
  <c r="B964" i="1" s="1"/>
  <c r="F964" i="1"/>
  <c r="M964" i="1"/>
  <c r="O964" i="1"/>
  <c r="P964" i="1"/>
  <c r="Q964" i="1" s="1"/>
  <c r="A1132" i="1"/>
  <c r="C1132" i="1"/>
  <c r="B1132" i="1" s="1"/>
  <c r="F1132" i="1"/>
  <c r="M1132" i="1"/>
  <c r="O1132" i="1"/>
  <c r="P1132" i="1"/>
  <c r="Q1132" i="1" s="1"/>
  <c r="E534" i="6"/>
  <c r="I534" i="6"/>
  <c r="J534" i="6"/>
  <c r="E1136" i="6"/>
  <c r="F1136" i="6"/>
  <c r="I1136" i="6"/>
  <c r="J1136" i="6"/>
  <c r="C1115" i="6"/>
  <c r="J1115" i="6" s="1"/>
  <c r="A1056" i="1"/>
  <c r="C1056" i="1"/>
  <c r="B1056" i="1" s="1"/>
  <c r="F1056" i="1"/>
  <c r="M1056" i="1"/>
  <c r="O1056" i="1"/>
  <c r="P1056" i="1"/>
  <c r="Q1056" i="1" s="1"/>
  <c r="A1104" i="1"/>
  <c r="C1104" i="1"/>
  <c r="B1104" i="1" s="1"/>
  <c r="F1104" i="1"/>
  <c r="M1104" i="1"/>
  <c r="O1104" i="1"/>
  <c r="P1104" i="1"/>
  <c r="Q1104" i="1" s="1"/>
  <c r="P1094" i="1"/>
  <c r="Q1094" i="1" s="1"/>
  <c r="O1094" i="1"/>
  <c r="M1094" i="1"/>
  <c r="F1094" i="1"/>
  <c r="C1094" i="1"/>
  <c r="B1094" i="1" s="1"/>
  <c r="S1093" i="1"/>
  <c r="P1093" i="1"/>
  <c r="Q1093" i="1" s="1"/>
  <c r="O1093" i="1"/>
  <c r="M1093" i="1"/>
  <c r="F1093" i="1"/>
  <c r="C1093" i="1"/>
  <c r="S1092" i="1"/>
  <c r="P1092" i="1"/>
  <c r="Q1092" i="1" s="1"/>
  <c r="O1092" i="1"/>
  <c r="M1092" i="1"/>
  <c r="F1092" i="1"/>
  <c r="C1092" i="1"/>
  <c r="S1091" i="1"/>
  <c r="P1091" i="1"/>
  <c r="Q1091" i="1" s="1"/>
  <c r="O1091" i="1"/>
  <c r="M1091" i="1"/>
  <c r="F1091" i="1"/>
  <c r="C1091" i="1"/>
  <c r="S1090" i="1"/>
  <c r="P1090" i="1"/>
  <c r="Q1090" i="1" s="1"/>
  <c r="O1090" i="1"/>
  <c r="M1090" i="1"/>
  <c r="F1090" i="1"/>
  <c r="C1090" i="1"/>
  <c r="S1089" i="1"/>
  <c r="P1089" i="1"/>
  <c r="Q1089" i="1" s="1"/>
  <c r="O1089" i="1"/>
  <c r="M1089" i="1"/>
  <c r="F1089" i="1"/>
  <c r="C1089" i="1"/>
  <c r="S1088" i="1"/>
  <c r="P1088" i="1"/>
  <c r="Q1088" i="1" s="1"/>
  <c r="O1088" i="1"/>
  <c r="M1088" i="1"/>
  <c r="F1088" i="1"/>
  <c r="C1088" i="1"/>
  <c r="S1087" i="1"/>
  <c r="P1087" i="1"/>
  <c r="Q1087" i="1" s="1"/>
  <c r="O1087" i="1"/>
  <c r="M1087" i="1"/>
  <c r="F1087" i="1"/>
  <c r="C1087" i="1"/>
  <c r="S1086" i="1"/>
  <c r="P1086" i="1"/>
  <c r="Q1086" i="1" s="1"/>
  <c r="O1086" i="1"/>
  <c r="M1086" i="1"/>
  <c r="F1086" i="1"/>
  <c r="C1086" i="1"/>
  <c r="S1085" i="1"/>
  <c r="P1085" i="1"/>
  <c r="Q1085" i="1" s="1"/>
  <c r="O1085" i="1"/>
  <c r="M1085" i="1"/>
  <c r="F1085" i="1"/>
  <c r="C1085" i="1"/>
  <c r="S1084" i="1"/>
  <c r="P1084" i="1"/>
  <c r="Q1084" i="1" s="1"/>
  <c r="O1084" i="1"/>
  <c r="M1084" i="1"/>
  <c r="F1084" i="1"/>
  <c r="C1084" i="1"/>
  <c r="S1083" i="1"/>
  <c r="P1083" i="1"/>
  <c r="Q1083" i="1" s="1"/>
  <c r="O1083" i="1"/>
  <c r="M1083" i="1"/>
  <c r="F1083" i="1"/>
  <c r="C1083" i="1"/>
  <c r="S1082" i="1"/>
  <c r="P1082" i="1"/>
  <c r="Q1082" i="1" s="1"/>
  <c r="O1082" i="1"/>
  <c r="M1082" i="1"/>
  <c r="F1082" i="1"/>
  <c r="A1094" i="1"/>
  <c r="K1565" i="1"/>
  <c r="O1565" i="1" s="1"/>
  <c r="A1565" i="1"/>
  <c r="B1565" i="1"/>
  <c r="F1565" i="1"/>
  <c r="M1565" i="1"/>
  <c r="K1564" i="1"/>
  <c r="O1564" i="1" s="1"/>
  <c r="A1564" i="1"/>
  <c r="B1564" i="1"/>
  <c r="F1564" i="1"/>
  <c r="M1564" i="1"/>
  <c r="A1070" i="1"/>
  <c r="C1070" i="1"/>
  <c r="B1070" i="1" s="1"/>
  <c r="F1070" i="1"/>
  <c r="M1070" i="1"/>
  <c r="O1070" i="1"/>
  <c r="Q1070" i="1"/>
  <c r="A606" i="1"/>
  <c r="C606" i="1"/>
  <c r="B606" i="1" s="1"/>
  <c r="F606" i="1"/>
  <c r="M606" i="1"/>
  <c r="O606" i="1"/>
  <c r="P606" i="1"/>
  <c r="Q606" i="1" s="1"/>
  <c r="S606" i="1"/>
  <c r="E448" i="6"/>
  <c r="E447" i="6"/>
  <c r="E446" i="6"/>
  <c r="F446" i="6"/>
  <c r="F447" i="6"/>
  <c r="F448" i="6"/>
  <c r="I446" i="6"/>
  <c r="I447" i="6"/>
  <c r="I448" i="6"/>
  <c r="J446" i="6"/>
  <c r="J447" i="6"/>
  <c r="J448" i="6"/>
  <c r="Y27" i="16"/>
  <c r="Y20" i="16"/>
  <c r="Y22" i="16"/>
  <c r="A99" i="1"/>
  <c r="C99" i="1"/>
  <c r="B99" i="1" s="1"/>
  <c r="F99" i="1"/>
  <c r="M99" i="1"/>
  <c r="O99" i="1"/>
  <c r="P99" i="1"/>
  <c r="Q99" i="1" s="1"/>
  <c r="S99" i="1"/>
  <c r="B838" i="1"/>
  <c r="A838" i="1"/>
  <c r="F838" i="1"/>
  <c r="M838" i="1"/>
  <c r="O838" i="1"/>
  <c r="P838" i="1"/>
  <c r="Q838" i="1" s="1"/>
  <c r="A230" i="1"/>
  <c r="B230" i="1"/>
  <c r="F230" i="1"/>
  <c r="M230" i="1"/>
  <c r="O230" i="1"/>
  <c r="P230" i="1"/>
  <c r="Q230" i="1" s="1"/>
  <c r="P1565" i="1" l="1"/>
  <c r="Q1565" i="1" s="1"/>
  <c r="R1565" i="1" s="1"/>
  <c r="P1564" i="1"/>
  <c r="Q1564" i="1" s="1"/>
  <c r="R1564" i="1" s="1"/>
  <c r="I1115" i="6"/>
  <c r="E1115" i="6"/>
  <c r="R965" i="1"/>
  <c r="R964" i="1"/>
  <c r="R1132" i="1"/>
  <c r="D1132" i="1" s="1"/>
  <c r="R1056" i="1"/>
  <c r="D1056" i="1" s="1"/>
  <c r="R1104" i="1"/>
  <c r="D1104" i="1" s="1"/>
  <c r="R1089" i="1"/>
  <c r="R1088" i="1"/>
  <c r="R1085" i="1"/>
  <c r="R1093" i="1"/>
  <c r="R1082" i="1"/>
  <c r="R1084" i="1"/>
  <c r="R1087" i="1"/>
  <c r="R1090" i="1"/>
  <c r="R1092" i="1"/>
  <c r="R1083" i="1"/>
  <c r="R1086" i="1"/>
  <c r="R1091" i="1"/>
  <c r="R1094" i="1"/>
  <c r="R1070" i="1"/>
  <c r="D1070" i="1" s="1"/>
  <c r="R606" i="1"/>
  <c r="D606" i="1" s="1"/>
  <c r="R99" i="1"/>
  <c r="D99" i="1" s="1"/>
  <c r="R838" i="1"/>
  <c r="R230" i="1"/>
  <c r="M476" i="1"/>
  <c r="A476" i="1"/>
  <c r="C476" i="1"/>
  <c r="B476" i="1" s="1"/>
  <c r="F476" i="1"/>
  <c r="P476" i="1"/>
  <c r="Q476" i="1" s="1"/>
  <c r="S476" i="1"/>
  <c r="A485" i="1"/>
  <c r="C485" i="1"/>
  <c r="B485" i="1" s="1"/>
  <c r="F485" i="1"/>
  <c r="M485" i="1"/>
  <c r="O485" i="1"/>
  <c r="P485" i="1"/>
  <c r="Q485" i="1" s="1"/>
  <c r="A860" i="1"/>
  <c r="C860" i="1"/>
  <c r="B860" i="1" s="1"/>
  <c r="F860" i="1"/>
  <c r="M860" i="1"/>
  <c r="O860" i="1"/>
  <c r="P860" i="1"/>
  <c r="Q860" i="1" s="1"/>
  <c r="A812" i="1"/>
  <c r="C812" i="1"/>
  <c r="B812" i="1" s="1"/>
  <c r="F812" i="1"/>
  <c r="M812" i="1"/>
  <c r="O812" i="1"/>
  <c r="P812" i="1"/>
  <c r="Q812" i="1" s="1"/>
  <c r="A1541" i="1"/>
  <c r="C1541" i="1"/>
  <c r="B1541" i="1" s="1"/>
  <c r="F1541" i="1"/>
  <c r="M1541" i="1"/>
  <c r="O1541" i="1"/>
  <c r="P1541" i="1"/>
  <c r="Q1541" i="1" s="1"/>
  <c r="A143" i="1"/>
  <c r="C143" i="1"/>
  <c r="B143" i="1" s="1"/>
  <c r="F143" i="1"/>
  <c r="M143" i="1"/>
  <c r="O143" i="1"/>
  <c r="P143" i="1"/>
  <c r="Q143" i="1" s="1"/>
  <c r="A563" i="1"/>
  <c r="C563" i="1"/>
  <c r="B563" i="1" s="1"/>
  <c r="F563" i="1"/>
  <c r="M563" i="1"/>
  <c r="O563" i="1"/>
  <c r="P563" i="1"/>
  <c r="Q563" i="1" s="1"/>
  <c r="A562" i="1"/>
  <c r="C562" i="1"/>
  <c r="B562" i="1" s="1"/>
  <c r="F562" i="1"/>
  <c r="M562" i="1"/>
  <c r="O562" i="1"/>
  <c r="P562" i="1"/>
  <c r="Q562" i="1" s="1"/>
  <c r="E1114" i="6"/>
  <c r="I1114" i="6"/>
  <c r="J1114" i="6"/>
  <c r="A475" i="1"/>
  <c r="B475" i="1"/>
  <c r="F475" i="1"/>
  <c r="M475" i="1"/>
  <c r="O475" i="1"/>
  <c r="P475" i="1"/>
  <c r="Q475" i="1" s="1"/>
  <c r="A1112" i="1"/>
  <c r="C1112" i="1"/>
  <c r="B1112" i="1" s="1"/>
  <c r="D1112" i="1"/>
  <c r="F1112" i="1"/>
  <c r="M1112" i="1"/>
  <c r="O1112" i="1"/>
  <c r="P1112" i="1"/>
  <c r="Q1112" i="1" s="1"/>
  <c r="S1112" i="1"/>
  <c r="D964" i="1" l="1"/>
  <c r="D965" i="1"/>
  <c r="D1093" i="1"/>
  <c r="D1089" i="1"/>
  <c r="D1085" i="1"/>
  <c r="D1083" i="1"/>
  <c r="D1090" i="1"/>
  <c r="D1092" i="1"/>
  <c r="D1088" i="1"/>
  <c r="D1084" i="1"/>
  <c r="D1086" i="1"/>
  <c r="D1091" i="1"/>
  <c r="D1087" i="1"/>
  <c r="D1094" i="1"/>
  <c r="D1082" i="1"/>
  <c r="D1564" i="1"/>
  <c r="D1565" i="1"/>
  <c r="O476" i="1"/>
  <c r="R485" i="1"/>
  <c r="R860" i="1"/>
  <c r="D860" i="1" s="1"/>
  <c r="R812" i="1"/>
  <c r="R1541" i="1"/>
  <c r="D1541" i="1" s="1"/>
  <c r="R143" i="1"/>
  <c r="D143" i="1" s="1"/>
  <c r="R562" i="1"/>
  <c r="R563" i="1"/>
  <c r="R1112" i="1"/>
  <c r="D562" i="1" l="1"/>
  <c r="D563" i="1"/>
  <c r="O983" i="1"/>
  <c r="A1069" i="1"/>
  <c r="C1069" i="1"/>
  <c r="B1069" i="1" s="1"/>
  <c r="F1069" i="1"/>
  <c r="M1069" i="1"/>
  <c r="O1069" i="1"/>
  <c r="Q1069" i="1"/>
  <c r="C1113" i="6"/>
  <c r="I1113" i="6" s="1"/>
  <c r="E1113" i="6" l="1"/>
  <c r="J1113" i="6"/>
  <c r="R1069" i="1"/>
  <c r="D1069" i="1" s="1"/>
  <c r="A1284" i="1"/>
  <c r="C1284" i="1"/>
  <c r="B1284" i="1" s="1"/>
  <c r="F1284" i="1"/>
  <c r="O1284" i="1"/>
  <c r="P1284" i="1"/>
  <c r="Q1284" i="1" s="1"/>
  <c r="S1284" i="1"/>
  <c r="E22" i="6"/>
  <c r="F22" i="6"/>
  <c r="I22" i="6"/>
  <c r="J22" i="6"/>
  <c r="A393" i="1"/>
  <c r="C393" i="1"/>
  <c r="B393" i="1" s="1"/>
  <c r="F393" i="1"/>
  <c r="M393" i="1"/>
  <c r="O393" i="1"/>
  <c r="P393" i="1"/>
  <c r="Q393" i="1" s="1"/>
  <c r="S393" i="1"/>
  <c r="A261" i="1"/>
  <c r="C261" i="1"/>
  <c r="B261" i="1" s="1"/>
  <c r="F261" i="1"/>
  <c r="M261" i="1"/>
  <c r="O261" i="1"/>
  <c r="P261" i="1"/>
  <c r="Q261" i="1" s="1"/>
  <c r="A287" i="1"/>
  <c r="C287" i="1"/>
  <c r="B287" i="1" s="1"/>
  <c r="F287" i="1"/>
  <c r="M287" i="1"/>
  <c r="O287" i="1"/>
  <c r="P287" i="1"/>
  <c r="Q287" i="1" s="1"/>
  <c r="A481" i="1"/>
  <c r="C481" i="1"/>
  <c r="B481" i="1" s="1"/>
  <c r="F481" i="1"/>
  <c r="M481" i="1"/>
  <c r="O481" i="1"/>
  <c r="P481" i="1"/>
  <c r="Q481" i="1" s="1"/>
  <c r="A518" i="1"/>
  <c r="C518" i="1"/>
  <c r="B518" i="1" s="1"/>
  <c r="F518" i="1"/>
  <c r="M518" i="1"/>
  <c r="O518" i="1"/>
  <c r="P518" i="1"/>
  <c r="Q518" i="1" s="1"/>
  <c r="A286" i="1"/>
  <c r="C286" i="1"/>
  <c r="B286" i="1" s="1"/>
  <c r="F286" i="1"/>
  <c r="M286" i="1"/>
  <c r="O286" i="1"/>
  <c r="P286" i="1"/>
  <c r="Q286" i="1" s="1"/>
  <c r="A145" i="1"/>
  <c r="C145" i="1"/>
  <c r="B145" i="1" s="1"/>
  <c r="F145" i="1"/>
  <c r="M145" i="1"/>
  <c r="O145" i="1"/>
  <c r="P145" i="1"/>
  <c r="Q145" i="1" s="1"/>
  <c r="A144" i="1"/>
  <c r="C144" i="1"/>
  <c r="B144" i="1" s="1"/>
  <c r="F144" i="1"/>
  <c r="M144" i="1"/>
  <c r="O144" i="1"/>
  <c r="P144" i="1"/>
  <c r="Q144" i="1" s="1"/>
  <c r="A296" i="1"/>
  <c r="C296" i="1"/>
  <c r="B296" i="1" s="1"/>
  <c r="F296" i="1"/>
  <c r="M296" i="1"/>
  <c r="O296" i="1"/>
  <c r="P296" i="1"/>
  <c r="Q296" i="1" s="1"/>
  <c r="P703" i="1"/>
  <c r="Q703" i="1" s="1"/>
  <c r="A703" i="1"/>
  <c r="C703" i="1"/>
  <c r="B703" i="1" s="1"/>
  <c r="F703" i="1"/>
  <c r="A1474" i="1"/>
  <c r="C1474" i="1"/>
  <c r="B1474" i="1" s="1"/>
  <c r="F1474" i="1"/>
  <c r="M1474" i="1"/>
  <c r="O1474" i="1"/>
  <c r="P1474" i="1"/>
  <c r="Q1474" i="1" s="1"/>
  <c r="A72" i="1"/>
  <c r="C72" i="1"/>
  <c r="B72" i="1" s="1"/>
  <c r="F72" i="1"/>
  <c r="M72" i="1"/>
  <c r="O72" i="1"/>
  <c r="P72" i="1"/>
  <c r="Q72" i="1" s="1"/>
  <c r="A71" i="1"/>
  <c r="C71" i="1"/>
  <c r="B71" i="1" s="1"/>
  <c r="F71" i="1"/>
  <c r="M71" i="1"/>
  <c r="O71" i="1"/>
  <c r="P71" i="1"/>
  <c r="Q71" i="1" s="1"/>
  <c r="A1466" i="1"/>
  <c r="C1466" i="1"/>
  <c r="B1466" i="1" s="1"/>
  <c r="F1466" i="1"/>
  <c r="M1466" i="1"/>
  <c r="O1466" i="1"/>
  <c r="P1466" i="1"/>
  <c r="Q1466" i="1" s="1"/>
  <c r="A273" i="1"/>
  <c r="C273" i="1"/>
  <c r="B273" i="1" s="1"/>
  <c r="F273" i="1"/>
  <c r="M273" i="1"/>
  <c r="O273" i="1"/>
  <c r="P273" i="1"/>
  <c r="Q273" i="1" s="1"/>
  <c r="S273" i="1"/>
  <c r="A257" i="1"/>
  <c r="C257" i="1"/>
  <c r="B257" i="1" s="1"/>
  <c r="F257" i="1"/>
  <c r="M257" i="1"/>
  <c r="O257" i="1"/>
  <c r="P257" i="1"/>
  <c r="Q257" i="1" s="1"/>
  <c r="A639" i="1"/>
  <c r="C639" i="1"/>
  <c r="B639" i="1" s="1"/>
  <c r="F639" i="1"/>
  <c r="M639" i="1"/>
  <c r="O639" i="1"/>
  <c r="P639" i="1"/>
  <c r="Q639" i="1" s="1"/>
  <c r="A194" i="1"/>
  <c r="C194" i="1"/>
  <c r="B194" i="1" s="1"/>
  <c r="F194" i="1"/>
  <c r="M194" i="1"/>
  <c r="O194" i="1"/>
  <c r="P194" i="1"/>
  <c r="Q194" i="1" s="1"/>
  <c r="S194" i="1"/>
  <c r="A1606" i="1"/>
  <c r="C1606" i="1"/>
  <c r="B1606" i="1" s="1"/>
  <c r="F1606" i="1"/>
  <c r="M1606" i="1"/>
  <c r="O1606" i="1"/>
  <c r="P1606" i="1"/>
  <c r="Q1606" i="1" s="1"/>
  <c r="E1081" i="6"/>
  <c r="F1081" i="6"/>
  <c r="I1081" i="6"/>
  <c r="J1081" i="6"/>
  <c r="A1333" i="1"/>
  <c r="C1333" i="1"/>
  <c r="B1333" i="1" s="1"/>
  <c r="F1333" i="1"/>
  <c r="M1333" i="1"/>
  <c r="O1333" i="1"/>
  <c r="P1333" i="1"/>
  <c r="Q1333" i="1" s="1"/>
  <c r="A1076" i="1"/>
  <c r="C1076" i="1"/>
  <c r="B1076" i="1" s="1"/>
  <c r="F1076" i="1"/>
  <c r="M1076" i="1"/>
  <c r="O1076" i="1"/>
  <c r="P1076" i="1"/>
  <c r="Q1076" i="1" s="1"/>
  <c r="S1076" i="1"/>
  <c r="A392" i="1"/>
  <c r="C392" i="1"/>
  <c r="B392" i="1" s="1"/>
  <c r="F392" i="1"/>
  <c r="M392" i="1"/>
  <c r="O392" i="1"/>
  <c r="P392" i="1"/>
  <c r="Q392" i="1" s="1"/>
  <c r="O703" i="1" l="1"/>
  <c r="M703" i="1"/>
  <c r="R1284" i="1"/>
  <c r="D1284" i="1" s="1"/>
  <c r="R393" i="1"/>
  <c r="D393" i="1" s="1"/>
  <c r="R261" i="1"/>
  <c r="D261" i="1" s="1"/>
  <c r="R287" i="1"/>
  <c r="R481" i="1"/>
  <c r="R518" i="1"/>
  <c r="D518" i="1" s="1"/>
  <c r="R286" i="1"/>
  <c r="R145" i="1"/>
  <c r="R144" i="1"/>
  <c r="R296" i="1"/>
  <c r="R1474" i="1"/>
  <c r="D1474" i="1" s="1"/>
  <c r="R72" i="1"/>
  <c r="R71" i="1"/>
  <c r="R1466" i="1"/>
  <c r="R273" i="1"/>
  <c r="D273" i="1" s="1"/>
  <c r="R257" i="1"/>
  <c r="D257" i="1" s="1"/>
  <c r="R639" i="1"/>
  <c r="D639" i="1" s="1"/>
  <c r="R194" i="1"/>
  <c r="D194" i="1" s="1"/>
  <c r="R1606" i="1"/>
  <c r="D1606" i="1" s="1"/>
  <c r="R1333" i="1"/>
  <c r="D1333" i="1" s="1"/>
  <c r="R1076" i="1"/>
  <c r="D1076" i="1" s="1"/>
  <c r="R392" i="1"/>
  <c r="D392" i="1" s="1"/>
  <c r="A687" i="1"/>
  <c r="C687" i="1"/>
  <c r="B687" i="1" s="1"/>
  <c r="F687" i="1"/>
  <c r="M687" i="1"/>
  <c r="O687" i="1"/>
  <c r="P687" i="1"/>
  <c r="Q687" i="1" s="1"/>
  <c r="O700" i="1"/>
  <c r="M701" i="1"/>
  <c r="O702" i="1"/>
  <c r="M710" i="1"/>
  <c r="A710" i="1"/>
  <c r="C710" i="1"/>
  <c r="B710" i="1" s="1"/>
  <c r="F710" i="1"/>
  <c r="A702" i="1"/>
  <c r="A701" i="1"/>
  <c r="A700" i="1"/>
  <c r="C702" i="1"/>
  <c r="B702" i="1" s="1"/>
  <c r="C701" i="1"/>
  <c r="B701" i="1" s="1"/>
  <c r="C700" i="1"/>
  <c r="B700" i="1" s="1"/>
  <c r="F702" i="1"/>
  <c r="F701" i="1"/>
  <c r="F700" i="1"/>
  <c r="A811" i="1"/>
  <c r="C811" i="1"/>
  <c r="B811" i="1" s="1"/>
  <c r="F811" i="1"/>
  <c r="M811" i="1"/>
  <c r="O811" i="1"/>
  <c r="P811" i="1"/>
  <c r="Q811" i="1" s="1"/>
  <c r="A810" i="1"/>
  <c r="C810" i="1"/>
  <c r="B810" i="1" s="1"/>
  <c r="F810" i="1"/>
  <c r="M810" i="1"/>
  <c r="O810" i="1"/>
  <c r="P810" i="1"/>
  <c r="Q810" i="1" s="1"/>
  <c r="A1310" i="1"/>
  <c r="C1310" i="1"/>
  <c r="B1310" i="1" s="1"/>
  <c r="F1310" i="1"/>
  <c r="M1310" i="1"/>
  <c r="O1310" i="1"/>
  <c r="P1310" i="1"/>
  <c r="Q1310" i="1" s="1"/>
  <c r="A1204" i="1"/>
  <c r="C1204" i="1"/>
  <c r="B1204" i="1" s="1"/>
  <c r="F1204" i="1"/>
  <c r="M1204" i="1"/>
  <c r="O1204" i="1"/>
  <c r="P1204" i="1"/>
  <c r="Q1204" i="1" s="1"/>
  <c r="A1425" i="1"/>
  <c r="C1425" i="1"/>
  <c r="B1425" i="1" s="1"/>
  <c r="F1425" i="1"/>
  <c r="M1425" i="1"/>
  <c r="O1425" i="1"/>
  <c r="P1425" i="1"/>
  <c r="Q1425" i="1" s="1"/>
  <c r="E533" i="6"/>
  <c r="I533" i="6"/>
  <c r="E532" i="6"/>
  <c r="I532" i="6"/>
  <c r="J532" i="6"/>
  <c r="E1065" i="6"/>
  <c r="I1065" i="6"/>
  <c r="J1065" i="6"/>
  <c r="A1332" i="1"/>
  <c r="C1332" i="1"/>
  <c r="B1332" i="1" s="1"/>
  <c r="F1332" i="1"/>
  <c r="M1332" i="1"/>
  <c r="O1332" i="1"/>
  <c r="P1332" i="1"/>
  <c r="Q1332" i="1" s="1"/>
  <c r="S1332" i="1"/>
  <c r="K1234" i="1"/>
  <c r="M1234" i="1" s="1"/>
  <c r="A1234" i="1"/>
  <c r="C1234" i="1"/>
  <c r="B1234" i="1" s="1"/>
  <c r="F1234" i="1"/>
  <c r="S1234" i="1"/>
  <c r="A758" i="1"/>
  <c r="C758" i="1"/>
  <c r="B758" i="1" s="1"/>
  <c r="F758" i="1"/>
  <c r="M758" i="1"/>
  <c r="O758" i="1"/>
  <c r="P758" i="1"/>
  <c r="Q758" i="1" s="1"/>
  <c r="S758" i="1"/>
  <c r="A1777" i="1"/>
  <c r="C1777" i="1"/>
  <c r="B1777" i="1" s="1"/>
  <c r="F1777" i="1"/>
  <c r="M1777" i="1"/>
  <c r="O1777" i="1"/>
  <c r="P1777" i="1"/>
  <c r="Q1777" i="1" s="1"/>
  <c r="A1300" i="1"/>
  <c r="C1300" i="1"/>
  <c r="B1300" i="1" s="1"/>
  <c r="F1300" i="1"/>
  <c r="M1300" i="1"/>
  <c r="O1300" i="1"/>
  <c r="P1300" i="1"/>
  <c r="Q1300" i="1" s="1"/>
  <c r="A1664" i="1"/>
  <c r="C1664" i="1"/>
  <c r="B1664" i="1" s="1"/>
  <c r="F1664" i="1"/>
  <c r="M1664" i="1"/>
  <c r="O1664" i="1"/>
  <c r="P1664" i="1"/>
  <c r="Q1664" i="1" s="1"/>
  <c r="E928" i="6"/>
  <c r="E937" i="6"/>
  <c r="E961" i="6"/>
  <c r="E986" i="6"/>
  <c r="E1011" i="6"/>
  <c r="E1034" i="6"/>
  <c r="E1036" i="6"/>
  <c r="E584" i="6"/>
  <c r="F937" i="6"/>
  <c r="F961" i="6"/>
  <c r="F986" i="6"/>
  <c r="F1011" i="6"/>
  <c r="F1034" i="6"/>
  <c r="F1036" i="6"/>
  <c r="F584" i="6"/>
  <c r="I928" i="6"/>
  <c r="I937" i="6"/>
  <c r="I961" i="6"/>
  <c r="I986" i="6"/>
  <c r="I1011" i="6"/>
  <c r="I1034" i="6"/>
  <c r="I1036" i="6"/>
  <c r="I584" i="6"/>
  <c r="J928" i="6"/>
  <c r="J937" i="6"/>
  <c r="J961" i="6"/>
  <c r="J986" i="6"/>
  <c r="J1011" i="6"/>
  <c r="J1034" i="6"/>
  <c r="J1036" i="6"/>
  <c r="J584" i="6"/>
  <c r="C5" i="18"/>
  <c r="D5" i="18" s="1"/>
  <c r="C6" i="18"/>
  <c r="D6" i="18" s="1"/>
  <c r="C7" i="18"/>
  <c r="D7" i="18" s="1"/>
  <c r="C8" i="18"/>
  <c r="D8" i="18" s="1"/>
  <c r="C9" i="18"/>
  <c r="D9" i="18" s="1"/>
  <c r="C10" i="18"/>
  <c r="D10" i="18" s="1"/>
  <c r="C11" i="18"/>
  <c r="D11" i="18" s="1"/>
  <c r="C4" i="18"/>
  <c r="D4" i="18" s="1"/>
  <c r="A638" i="1"/>
  <c r="C638" i="1"/>
  <c r="B638" i="1" s="1"/>
  <c r="F638" i="1"/>
  <c r="M638" i="1"/>
  <c r="O638" i="1"/>
  <c r="P638" i="1"/>
  <c r="Q638" i="1" s="1"/>
  <c r="S638" i="1"/>
  <c r="A391" i="1"/>
  <c r="C391" i="1"/>
  <c r="B391" i="1" s="1"/>
  <c r="D391" i="1"/>
  <c r="F391" i="1"/>
  <c r="M391" i="1"/>
  <c r="O391" i="1"/>
  <c r="P391" i="1"/>
  <c r="Q391" i="1" s="1"/>
  <c r="S391" i="1"/>
  <c r="A1103" i="1"/>
  <c r="C1103" i="1"/>
  <c r="B1103" i="1" s="1"/>
  <c r="F1103" i="1"/>
  <c r="M1103" i="1"/>
  <c r="O1103" i="1"/>
  <c r="P1103" i="1"/>
  <c r="Q1103" i="1" s="1"/>
  <c r="S1103" i="1"/>
  <c r="K532" i="1"/>
  <c r="O532" i="1" s="1"/>
  <c r="A532" i="1"/>
  <c r="C532" i="1"/>
  <c r="B532" i="1" s="1"/>
  <c r="F532" i="1"/>
  <c r="A142" i="1"/>
  <c r="C142" i="1"/>
  <c r="B142" i="1" s="1"/>
  <c r="F142" i="1"/>
  <c r="M142" i="1"/>
  <c r="O142" i="1"/>
  <c r="P142" i="1"/>
  <c r="Q142" i="1" s="1"/>
  <c r="A1239" i="1"/>
  <c r="C1239" i="1"/>
  <c r="B1239" i="1" s="1"/>
  <c r="F1239" i="1"/>
  <c r="M1239" i="1"/>
  <c r="O1239" i="1"/>
  <c r="P1239" i="1"/>
  <c r="Q1239" i="1" s="1"/>
  <c r="A1349" i="1"/>
  <c r="C1349" i="1"/>
  <c r="B1349" i="1" s="1"/>
  <c r="F1349" i="1"/>
  <c r="M1349" i="1"/>
  <c r="O1349" i="1"/>
  <c r="P1349" i="1"/>
  <c r="Q1349" i="1" s="1"/>
  <c r="K1696" i="1"/>
  <c r="M1696" i="1" s="1"/>
  <c r="A1696" i="1"/>
  <c r="C1696" i="1"/>
  <c r="B1696" i="1" s="1"/>
  <c r="F1696" i="1"/>
  <c r="A647" i="1"/>
  <c r="C647" i="1"/>
  <c r="B647" i="1" s="1"/>
  <c r="F647" i="1"/>
  <c r="M647" i="1"/>
  <c r="O647" i="1"/>
  <c r="P647" i="1"/>
  <c r="Q647" i="1" s="1"/>
  <c r="K1321" i="1"/>
  <c r="M1321" i="1" s="1"/>
  <c r="A1321" i="1"/>
  <c r="C1321" i="1"/>
  <c r="B1321" i="1" s="1"/>
  <c r="F1321" i="1"/>
  <c r="A232" i="1"/>
  <c r="C232" i="1"/>
  <c r="B232" i="1" s="1"/>
  <c r="F232" i="1"/>
  <c r="M232" i="1"/>
  <c r="O232" i="1"/>
  <c r="P232" i="1"/>
  <c r="Q232" i="1" s="1"/>
  <c r="A938" i="1"/>
  <c r="C938" i="1"/>
  <c r="B938" i="1" s="1"/>
  <c r="F938" i="1"/>
  <c r="M938" i="1"/>
  <c r="O938" i="1"/>
  <c r="P938" i="1"/>
  <c r="Q938" i="1" s="1"/>
  <c r="A809" i="1"/>
  <c r="C809" i="1"/>
  <c r="B809" i="1" s="1"/>
  <c r="F809" i="1"/>
  <c r="M809" i="1"/>
  <c r="O809" i="1"/>
  <c r="P809" i="1"/>
  <c r="Q809" i="1" s="1"/>
  <c r="A1023" i="1"/>
  <c r="C1023" i="1"/>
  <c r="B1023" i="1" s="1"/>
  <c r="F1023" i="1"/>
  <c r="M1023" i="1"/>
  <c r="O1023" i="1"/>
  <c r="P1023" i="1"/>
  <c r="Q1023" i="1" s="1"/>
  <c r="A1787" i="1"/>
  <c r="C1787" i="1"/>
  <c r="B1787" i="1" s="1"/>
  <c r="F1787" i="1"/>
  <c r="M1787" i="1"/>
  <c r="O1787" i="1"/>
  <c r="P1787" i="1"/>
  <c r="Q1787" i="1" s="1"/>
  <c r="A1844" i="1"/>
  <c r="C1844" i="1"/>
  <c r="B1844" i="1" s="1"/>
  <c r="F1844" i="1"/>
  <c r="M1844" i="1"/>
  <c r="O1844" i="1"/>
  <c r="P1844" i="1"/>
  <c r="Q1844" i="1" s="1"/>
  <c r="A930" i="1"/>
  <c r="C930" i="1"/>
  <c r="B930" i="1" s="1"/>
  <c r="F930" i="1"/>
  <c r="M930" i="1"/>
  <c r="O930" i="1"/>
  <c r="P930" i="1"/>
  <c r="Q930" i="1" s="1"/>
  <c r="P983" i="1"/>
  <c r="Q983" i="1" s="1"/>
  <c r="A983" i="1"/>
  <c r="C983" i="1"/>
  <c r="B983" i="1" s="1"/>
  <c r="F983" i="1"/>
  <c r="A1283" i="1"/>
  <c r="C1283" i="1"/>
  <c r="B1283" i="1" s="1"/>
  <c r="F1283" i="1"/>
  <c r="O1283" i="1"/>
  <c r="P1283" i="1"/>
  <c r="Q1283" i="1" s="1"/>
  <c r="A1203" i="1"/>
  <c r="C1203" i="1"/>
  <c r="B1203" i="1" s="1"/>
  <c r="F1203" i="1"/>
  <c r="M1203" i="1"/>
  <c r="O1203" i="1"/>
  <c r="P1203" i="1"/>
  <c r="Q1203" i="1" s="1"/>
  <c r="A1202" i="1"/>
  <c r="C1202" i="1"/>
  <c r="B1202" i="1" s="1"/>
  <c r="F1202" i="1"/>
  <c r="M1202" i="1"/>
  <c r="O1202" i="1"/>
  <c r="P1202" i="1"/>
  <c r="Q1202" i="1" s="1"/>
  <c r="E27" i="6"/>
  <c r="I27" i="6"/>
  <c r="J27" i="6"/>
  <c r="E15" i="6"/>
  <c r="F15" i="6"/>
  <c r="I15" i="6"/>
  <c r="J15" i="6"/>
  <c r="E220" i="6"/>
  <c r="F220" i="6"/>
  <c r="I220" i="6"/>
  <c r="J220" i="6"/>
  <c r="A402" i="1"/>
  <c r="C402" i="1"/>
  <c r="B402" i="1" s="1"/>
  <c r="F402" i="1"/>
  <c r="M402" i="1"/>
  <c r="O402" i="1"/>
  <c r="P402" i="1"/>
  <c r="Q402" i="1" s="1"/>
  <c r="F1463" i="1"/>
  <c r="D287" i="1" l="1"/>
  <c r="R703" i="1"/>
  <c r="O710" i="1"/>
  <c r="P1234" i="1"/>
  <c r="Q1234" i="1" s="1"/>
  <c r="P702" i="1"/>
  <c r="Q702" i="1" s="1"/>
  <c r="D144" i="1"/>
  <c r="D145" i="1"/>
  <c r="D71" i="1"/>
  <c r="D72" i="1"/>
  <c r="M700" i="1"/>
  <c r="P700" i="1"/>
  <c r="Q700" i="1" s="1"/>
  <c r="O701" i="1"/>
  <c r="P710" i="1"/>
  <c r="Q710" i="1" s="1"/>
  <c r="P701" i="1"/>
  <c r="Q701" i="1" s="1"/>
  <c r="O1234" i="1"/>
  <c r="M702" i="1"/>
  <c r="R687" i="1"/>
  <c r="R811" i="1"/>
  <c r="R810" i="1"/>
  <c r="R1310" i="1"/>
  <c r="D1310" i="1" s="1"/>
  <c r="R1204" i="1"/>
  <c r="R1425" i="1"/>
  <c r="J533" i="6"/>
  <c r="R1332" i="1"/>
  <c r="D1332" i="1" s="1"/>
  <c r="R758" i="1"/>
  <c r="D758" i="1" s="1"/>
  <c r="R1777" i="1"/>
  <c r="R1300" i="1"/>
  <c r="R1664" i="1"/>
  <c r="D1664" i="1" s="1"/>
  <c r="O1696" i="1"/>
  <c r="P1696" i="1"/>
  <c r="Q1696" i="1" s="1"/>
  <c r="R638" i="1"/>
  <c r="D638" i="1" s="1"/>
  <c r="P532" i="1"/>
  <c r="Q532" i="1" s="1"/>
  <c r="R391" i="1"/>
  <c r="P1321" i="1"/>
  <c r="Q1321" i="1" s="1"/>
  <c r="R1103" i="1"/>
  <c r="D1103" i="1" s="1"/>
  <c r="M532" i="1"/>
  <c r="M983" i="1"/>
  <c r="O1321" i="1"/>
  <c r="R142" i="1"/>
  <c r="D142" i="1" s="1"/>
  <c r="R1239" i="1"/>
  <c r="D1239" i="1" s="1"/>
  <c r="R1349" i="1"/>
  <c r="D1349" i="1" s="1"/>
  <c r="R647" i="1"/>
  <c r="D647" i="1" s="1"/>
  <c r="R232" i="1"/>
  <c r="D232" i="1" s="1"/>
  <c r="R938" i="1"/>
  <c r="R809" i="1"/>
  <c r="R1023" i="1"/>
  <c r="D1023" i="1" s="1"/>
  <c r="R1787" i="1"/>
  <c r="D1787" i="1" s="1"/>
  <c r="R1844" i="1"/>
  <c r="R930" i="1"/>
  <c r="D930" i="1" s="1"/>
  <c r="R1283" i="1"/>
  <c r="D1283" i="1" s="1"/>
  <c r="R1203" i="1"/>
  <c r="R1202" i="1"/>
  <c r="R402" i="1"/>
  <c r="D402" i="1" s="1"/>
  <c r="Y13" i="16"/>
  <c r="Y12" i="16"/>
  <c r="Y45" i="15"/>
  <c r="Y43" i="15"/>
  <c r="Y41" i="15"/>
  <c r="Y40" i="15"/>
  <c r="Y39" i="15"/>
  <c r="Y38" i="15"/>
  <c r="Y37" i="15"/>
  <c r="Y36" i="15"/>
  <c r="Y35" i="15"/>
  <c r="Y33" i="15"/>
  <c r="Y32" i="15"/>
  <c r="Y31" i="15"/>
  <c r="Y27" i="15"/>
  <c r="Y24" i="15"/>
  <c r="Y23" i="15"/>
  <c r="Y21" i="15"/>
  <c r="Y20" i="15"/>
  <c r="Y19" i="15"/>
  <c r="Y18" i="15"/>
  <c r="Y17" i="15"/>
  <c r="Y16" i="15"/>
  <c r="Y15" i="15"/>
  <c r="Y14" i="15"/>
  <c r="Y13" i="15"/>
  <c r="Y10" i="15"/>
  <c r="Y9" i="15"/>
  <c r="Y8" i="15"/>
  <c r="Y5" i="15"/>
  <c r="Y4" i="15"/>
  <c r="Y3" i="15"/>
  <c r="Y2" i="15"/>
  <c r="E474" i="6"/>
  <c r="E484" i="6"/>
  <c r="E490" i="6"/>
  <c r="E494" i="6"/>
  <c r="F484" i="6"/>
  <c r="I474" i="6"/>
  <c r="I484" i="6"/>
  <c r="I490" i="6"/>
  <c r="I494" i="6"/>
  <c r="J474" i="6"/>
  <c r="J484" i="6"/>
  <c r="J490" i="6"/>
  <c r="J494" i="6"/>
  <c r="I1080" i="6"/>
  <c r="I1111" i="6"/>
  <c r="I1134" i="6"/>
  <c r="J1080" i="6"/>
  <c r="J1111" i="6"/>
  <c r="J1134" i="6"/>
  <c r="A192" i="1"/>
  <c r="C192" i="1"/>
  <c r="B192" i="1" s="1"/>
  <c r="D192" i="1"/>
  <c r="F192" i="1"/>
  <c r="M192" i="1"/>
  <c r="O192" i="1"/>
  <c r="P192" i="1"/>
  <c r="Q192" i="1" s="1"/>
  <c r="S192" i="1"/>
  <c r="A187" i="1"/>
  <c r="A188" i="1"/>
  <c r="A189" i="1"/>
  <c r="A190" i="1"/>
  <c r="A191" i="1"/>
  <c r="C187" i="1"/>
  <c r="B187" i="1" s="1"/>
  <c r="C188" i="1"/>
  <c r="B188" i="1" s="1"/>
  <c r="C189" i="1"/>
  <c r="B189" i="1" s="1"/>
  <c r="C190" i="1"/>
  <c r="B190" i="1" s="1"/>
  <c r="C191" i="1"/>
  <c r="B191" i="1" s="1"/>
  <c r="F187" i="1"/>
  <c r="F188" i="1"/>
  <c r="F189" i="1"/>
  <c r="F190" i="1"/>
  <c r="F191" i="1"/>
  <c r="M187" i="1"/>
  <c r="M188" i="1"/>
  <c r="M189" i="1"/>
  <c r="M190" i="1"/>
  <c r="M191" i="1"/>
  <c r="O187" i="1"/>
  <c r="O188" i="1"/>
  <c r="O189" i="1"/>
  <c r="O190" i="1"/>
  <c r="O191" i="1"/>
  <c r="P187" i="1"/>
  <c r="Q187" i="1" s="1"/>
  <c r="P188" i="1"/>
  <c r="Q188" i="1" s="1"/>
  <c r="P189" i="1"/>
  <c r="Q189" i="1" s="1"/>
  <c r="P190" i="1"/>
  <c r="Q190" i="1" s="1"/>
  <c r="P191" i="1"/>
  <c r="Q191" i="1" s="1"/>
  <c r="S187" i="1"/>
  <c r="S188" i="1"/>
  <c r="S189" i="1"/>
  <c r="S190" i="1"/>
  <c r="S191" i="1"/>
  <c r="A390" i="1"/>
  <c r="C390" i="1"/>
  <c r="B390" i="1" s="1"/>
  <c r="F390" i="1"/>
  <c r="M390" i="1"/>
  <c r="O390" i="1"/>
  <c r="P390" i="1"/>
  <c r="Q390" i="1" s="1"/>
  <c r="S390" i="1"/>
  <c r="A640" i="1"/>
  <c r="C640" i="1"/>
  <c r="B640" i="1" s="1"/>
  <c r="F640" i="1"/>
  <c r="M640" i="1"/>
  <c r="O640" i="1"/>
  <c r="P640" i="1"/>
  <c r="Q640" i="1" s="1"/>
  <c r="A1776" i="1"/>
  <c r="C1776" i="1"/>
  <c r="B1776" i="1" s="1"/>
  <c r="F1776" i="1"/>
  <c r="M1776" i="1"/>
  <c r="O1776" i="1"/>
  <c r="P1776" i="1"/>
  <c r="Q1776" i="1" s="1"/>
  <c r="A1093" i="1"/>
  <c r="B1093" i="1"/>
  <c r="E1135" i="6"/>
  <c r="F1135" i="6"/>
  <c r="I1135" i="6"/>
  <c r="J1135" i="6"/>
  <c r="C1112" i="6"/>
  <c r="I1112" i="6" s="1"/>
  <c r="A1201" i="1"/>
  <c r="C1201" i="1"/>
  <c r="B1201" i="1" s="1"/>
  <c r="F1201" i="1"/>
  <c r="M1201" i="1"/>
  <c r="O1201" i="1"/>
  <c r="P1201" i="1"/>
  <c r="Q1201" i="1" s="1"/>
  <c r="A256" i="1"/>
  <c r="C256" i="1"/>
  <c r="B256" i="1" s="1"/>
  <c r="F256" i="1"/>
  <c r="M256" i="1"/>
  <c r="O256" i="1"/>
  <c r="P256" i="1"/>
  <c r="Q256" i="1" s="1"/>
  <c r="S256" i="1"/>
  <c r="K1320" i="1"/>
  <c r="O1320" i="1" s="1"/>
  <c r="A1320" i="1"/>
  <c r="C1320" i="1"/>
  <c r="B1320" i="1" s="1"/>
  <c r="F1320" i="1"/>
  <c r="S1320" i="1"/>
  <c r="E477" i="6"/>
  <c r="I477" i="6"/>
  <c r="J477" i="6"/>
  <c r="E476" i="6"/>
  <c r="I476" i="6"/>
  <c r="J476" i="6"/>
  <c r="E475" i="6"/>
  <c r="I475" i="6"/>
  <c r="J475" i="6"/>
  <c r="A193" i="1"/>
  <c r="C193" i="1"/>
  <c r="B193" i="1" s="1"/>
  <c r="F193" i="1"/>
  <c r="M193" i="1"/>
  <c r="O193" i="1"/>
  <c r="P193" i="1"/>
  <c r="Q193" i="1" s="1"/>
  <c r="A1055" i="1"/>
  <c r="C1055" i="1"/>
  <c r="B1055" i="1" s="1"/>
  <c r="F1055" i="1"/>
  <c r="M1055" i="1"/>
  <c r="O1055" i="1"/>
  <c r="P1055" i="1"/>
  <c r="Q1055" i="1" s="1"/>
  <c r="A1040" i="1"/>
  <c r="C1040" i="1"/>
  <c r="B1040" i="1" s="1"/>
  <c r="F1040" i="1"/>
  <c r="M1040" i="1"/>
  <c r="O1040" i="1"/>
  <c r="P1040" i="1"/>
  <c r="Q1040" i="1" s="1"/>
  <c r="A1039" i="1"/>
  <c r="C1039" i="1"/>
  <c r="B1039" i="1" s="1"/>
  <c r="F1039" i="1"/>
  <c r="M1039" i="1"/>
  <c r="O1039" i="1"/>
  <c r="P1039" i="1"/>
  <c r="Q1039" i="1" s="1"/>
  <c r="A1663" i="1"/>
  <c r="B1663" i="1"/>
  <c r="F1663" i="1"/>
  <c r="O1663" i="1"/>
  <c r="P1663" i="1"/>
  <c r="Q1663" i="1" s="1"/>
  <c r="A1362" i="1"/>
  <c r="B1362" i="1"/>
  <c r="F1362" i="1"/>
  <c r="O1362" i="1"/>
  <c r="P1362" i="1"/>
  <c r="Q1362" i="1" s="1"/>
  <c r="R710" i="1" l="1"/>
  <c r="D710" i="1" s="1"/>
  <c r="R1234" i="1"/>
  <c r="D1234" i="1" s="1"/>
  <c r="R702" i="1"/>
  <c r="R700" i="1"/>
  <c r="R701" i="1"/>
  <c r="R1696" i="1"/>
  <c r="D1696" i="1" s="1"/>
  <c r="R532" i="1"/>
  <c r="D532" i="1" s="1"/>
  <c r="R983" i="1"/>
  <c r="D983" i="1" s="1"/>
  <c r="R1321" i="1"/>
  <c r="D1321" i="1" s="1"/>
  <c r="R191" i="1"/>
  <c r="R190" i="1"/>
  <c r="P1320" i="1"/>
  <c r="Q1320" i="1" s="1"/>
  <c r="R192" i="1"/>
  <c r="R189" i="1"/>
  <c r="R188" i="1"/>
  <c r="R187" i="1"/>
  <c r="M1320" i="1"/>
  <c r="R390" i="1"/>
  <c r="D390" i="1" s="1"/>
  <c r="R640" i="1"/>
  <c r="D640" i="1" s="1"/>
  <c r="R1776" i="1"/>
  <c r="E1112" i="6"/>
  <c r="J1112" i="6"/>
  <c r="R1201" i="1"/>
  <c r="R256" i="1"/>
  <c r="D256" i="1" s="1"/>
  <c r="R193" i="1"/>
  <c r="D193" i="1" s="1"/>
  <c r="R1055" i="1"/>
  <c r="D1055" i="1" s="1"/>
  <c r="R1040" i="1"/>
  <c r="R1039" i="1"/>
  <c r="A808" i="1"/>
  <c r="C808" i="1"/>
  <c r="B808" i="1" s="1"/>
  <c r="F808" i="1"/>
  <c r="M808" i="1"/>
  <c r="O808" i="1"/>
  <c r="P808" i="1"/>
  <c r="Q808" i="1" s="1"/>
  <c r="A1131" i="1"/>
  <c r="C1131" i="1"/>
  <c r="B1131" i="1" s="1"/>
  <c r="F1131" i="1"/>
  <c r="M1131" i="1"/>
  <c r="O1131" i="1"/>
  <c r="P1131" i="1"/>
  <c r="Q1131" i="1" s="1"/>
  <c r="A715" i="1"/>
  <c r="C715" i="1"/>
  <c r="B715" i="1" s="1"/>
  <c r="F715" i="1"/>
  <c r="M715" i="1"/>
  <c r="O715" i="1"/>
  <c r="P715" i="1"/>
  <c r="Q715" i="1" s="1"/>
  <c r="E306" i="6"/>
  <c r="E272" i="6"/>
  <c r="F306" i="6"/>
  <c r="F272" i="6"/>
  <c r="I306" i="6"/>
  <c r="I272" i="6"/>
  <c r="J306" i="6"/>
  <c r="J272" i="6"/>
  <c r="R1320" i="1" l="1"/>
  <c r="D1320" i="1" s="1"/>
  <c r="D188" i="1"/>
  <c r="D189" i="1"/>
  <c r="D190" i="1"/>
  <c r="D191" i="1"/>
  <c r="D187" i="1"/>
  <c r="D1039" i="1"/>
  <c r="D1040" i="1"/>
  <c r="R808" i="1"/>
  <c r="R1131" i="1"/>
  <c r="R715" i="1"/>
  <c r="D715" i="1" s="1"/>
  <c r="E307" i="6"/>
  <c r="E273" i="6"/>
  <c r="F307" i="6"/>
  <c r="F273" i="6"/>
  <c r="I307" i="6"/>
  <c r="I273" i="6"/>
  <c r="J307" i="6"/>
  <c r="J273" i="6"/>
  <c r="E445" i="6"/>
  <c r="F445" i="6"/>
  <c r="I445" i="6"/>
  <c r="J445" i="6"/>
  <c r="E444" i="6"/>
  <c r="F444" i="6"/>
  <c r="I444" i="6"/>
  <c r="J444" i="6"/>
  <c r="A963" i="1"/>
  <c r="C963" i="1"/>
  <c r="B963" i="1" s="1"/>
  <c r="F963" i="1"/>
  <c r="M963" i="1"/>
  <c r="O963" i="1"/>
  <c r="P963" i="1"/>
  <c r="Q963" i="1" s="1"/>
  <c r="A962" i="1"/>
  <c r="C962" i="1"/>
  <c r="B962" i="1" s="1"/>
  <c r="F962" i="1"/>
  <c r="M962" i="1"/>
  <c r="O962" i="1"/>
  <c r="P962" i="1"/>
  <c r="Q962" i="1" s="1"/>
  <c r="O997" i="1"/>
  <c r="A997" i="1"/>
  <c r="C997" i="1"/>
  <c r="B997" i="1" s="1"/>
  <c r="F997" i="1"/>
  <c r="M997" i="1"/>
  <c r="P997" i="1"/>
  <c r="Q997" i="1" s="1"/>
  <c r="A635" i="1"/>
  <c r="C635" i="1"/>
  <c r="B635" i="1" s="1"/>
  <c r="F635" i="1"/>
  <c r="M635" i="1"/>
  <c r="O635" i="1"/>
  <c r="P635" i="1"/>
  <c r="Q635" i="1" s="1"/>
  <c r="A499" i="1"/>
  <c r="C499" i="1"/>
  <c r="B499" i="1" s="1"/>
  <c r="F499" i="1"/>
  <c r="M499" i="1"/>
  <c r="O499" i="1"/>
  <c r="P499" i="1"/>
  <c r="Q499" i="1" s="1"/>
  <c r="A1605" i="1"/>
  <c r="C1605" i="1"/>
  <c r="B1605" i="1" s="1"/>
  <c r="F1605" i="1"/>
  <c r="M1605" i="1"/>
  <c r="O1605" i="1"/>
  <c r="P1605" i="1"/>
  <c r="Q1605" i="1" s="1"/>
  <c r="K1319" i="1"/>
  <c r="E65" i="6"/>
  <c r="F65" i="6"/>
  <c r="I65" i="6"/>
  <c r="J65" i="6"/>
  <c r="D1131" i="1" l="1"/>
  <c r="R963" i="1"/>
  <c r="R962" i="1"/>
  <c r="R997" i="1"/>
  <c r="D997" i="1" s="1"/>
  <c r="R635" i="1"/>
  <c r="R499" i="1"/>
  <c r="R1605" i="1"/>
  <c r="A1424" i="1"/>
  <c r="C1424" i="1"/>
  <c r="B1424" i="1" s="1"/>
  <c r="F1424" i="1"/>
  <c r="M1424" i="1"/>
  <c r="O1424" i="1"/>
  <c r="P1424" i="1"/>
  <c r="Q1424" i="1" s="1"/>
  <c r="A3" i="1"/>
  <c r="C3" i="1"/>
  <c r="B3" i="1" s="1"/>
  <c r="F3" i="1"/>
  <c r="M3" i="1"/>
  <c r="O3" i="1"/>
  <c r="P3" i="1"/>
  <c r="Q3" i="1" s="1"/>
  <c r="A265" i="1"/>
  <c r="C265" i="1"/>
  <c r="B265" i="1" s="1"/>
  <c r="F265" i="1"/>
  <c r="M265" i="1"/>
  <c r="O265" i="1"/>
  <c r="P265" i="1"/>
  <c r="Q265" i="1" s="1"/>
  <c r="A439" i="1"/>
  <c r="C439" i="1"/>
  <c r="B439" i="1" s="1"/>
  <c r="F439" i="1"/>
  <c r="M439" i="1"/>
  <c r="O439" i="1"/>
  <c r="P439" i="1"/>
  <c r="Q439" i="1" s="1"/>
  <c r="A480" i="1"/>
  <c r="C480" i="1"/>
  <c r="B480" i="1" s="1"/>
  <c r="F480" i="1"/>
  <c r="M480" i="1"/>
  <c r="O480" i="1"/>
  <c r="P480" i="1"/>
  <c r="Q480" i="1" s="1"/>
  <c r="A477" i="1"/>
  <c r="C477" i="1"/>
  <c r="B477" i="1" s="1"/>
  <c r="F477" i="1"/>
  <c r="M477" i="1"/>
  <c r="O477" i="1"/>
  <c r="P477" i="1"/>
  <c r="Q477" i="1" s="1"/>
  <c r="A30" i="1"/>
  <c r="C30" i="1"/>
  <c r="B30" i="1" s="1"/>
  <c r="F30" i="1"/>
  <c r="M30" i="1"/>
  <c r="O30" i="1"/>
  <c r="P30" i="1"/>
  <c r="Q30" i="1" s="1"/>
  <c r="A295" i="1"/>
  <c r="C295" i="1"/>
  <c r="B295" i="1" s="1"/>
  <c r="F295" i="1"/>
  <c r="M295" i="1"/>
  <c r="O295" i="1"/>
  <c r="P295" i="1"/>
  <c r="Q295" i="1" s="1"/>
  <c r="A141" i="1"/>
  <c r="C141" i="1"/>
  <c r="B141" i="1" s="1"/>
  <c r="F141" i="1"/>
  <c r="M141" i="1"/>
  <c r="O141" i="1"/>
  <c r="P141" i="1"/>
  <c r="Q141" i="1" s="1"/>
  <c r="S141" i="1"/>
  <c r="O698" i="1"/>
  <c r="A698" i="1"/>
  <c r="B698" i="1"/>
  <c r="F698" i="1"/>
  <c r="A1200" i="1"/>
  <c r="C1200" i="1"/>
  <c r="B1200" i="1" s="1"/>
  <c r="F1200" i="1"/>
  <c r="M1200" i="1"/>
  <c r="O1200" i="1"/>
  <c r="P1200" i="1"/>
  <c r="Q1200" i="1" s="1"/>
  <c r="A1325" i="1"/>
  <c r="B1325" i="1"/>
  <c r="F1325" i="1"/>
  <c r="M1325" i="1"/>
  <c r="O1325" i="1"/>
  <c r="P1325" i="1"/>
  <c r="Q1325" i="1" s="1"/>
  <c r="A1465" i="1"/>
  <c r="C1465" i="1"/>
  <c r="B1465" i="1" s="1"/>
  <c r="F1465" i="1"/>
  <c r="M1465" i="1"/>
  <c r="O1465" i="1"/>
  <c r="P1465" i="1"/>
  <c r="Q1465" i="1" s="1"/>
  <c r="A1423" i="1"/>
  <c r="C1423" i="1"/>
  <c r="B1423" i="1" s="1"/>
  <c r="F1423" i="1"/>
  <c r="M1423" i="1"/>
  <c r="O1423" i="1"/>
  <c r="P1423" i="1"/>
  <c r="Q1423" i="1" s="1"/>
  <c r="A1422" i="1"/>
  <c r="C1422" i="1"/>
  <c r="B1422" i="1" s="1"/>
  <c r="F1422" i="1"/>
  <c r="M1422" i="1"/>
  <c r="O1422" i="1"/>
  <c r="P1422" i="1"/>
  <c r="Q1422" i="1" s="1"/>
  <c r="A186" i="1"/>
  <c r="C186" i="1"/>
  <c r="B186" i="1" s="1"/>
  <c r="F186" i="1"/>
  <c r="M186" i="1"/>
  <c r="O186" i="1"/>
  <c r="P186" i="1"/>
  <c r="Q186" i="1" s="1"/>
  <c r="S186" i="1"/>
  <c r="E1079" i="6"/>
  <c r="F1079" i="6"/>
  <c r="I1079" i="6"/>
  <c r="J1079" i="6"/>
  <c r="A1092" i="1"/>
  <c r="B1092" i="1"/>
  <c r="A1299" i="1"/>
  <c r="C1299" i="1"/>
  <c r="B1299" i="1" s="1"/>
  <c r="F1299" i="1"/>
  <c r="M1299" i="1"/>
  <c r="O1299" i="1"/>
  <c r="P1299" i="1"/>
  <c r="Q1299" i="1" s="1"/>
  <c r="A1638" i="1"/>
  <c r="C1638" i="1"/>
  <c r="B1638" i="1" s="1"/>
  <c r="F1638" i="1"/>
  <c r="M1638" i="1"/>
  <c r="O1638" i="1"/>
  <c r="P1638" i="1"/>
  <c r="Q1638" i="1" s="1"/>
  <c r="A204" i="1"/>
  <c r="C204" i="1"/>
  <c r="B204" i="1" s="1"/>
  <c r="F204" i="1"/>
  <c r="M204" i="1"/>
  <c r="O204" i="1"/>
  <c r="P204" i="1"/>
  <c r="Q204" i="1" s="1"/>
  <c r="S204" i="1"/>
  <c r="A1843" i="1"/>
  <c r="C1843" i="1"/>
  <c r="B1843" i="1" s="1"/>
  <c r="F1843" i="1"/>
  <c r="M1843" i="1"/>
  <c r="O1843" i="1"/>
  <c r="P1843" i="1"/>
  <c r="Q1843" i="1" s="1"/>
  <c r="X22" i="16"/>
  <c r="X20" i="16"/>
  <c r="M698" i="1" l="1"/>
  <c r="D962" i="1"/>
  <c r="D963" i="1"/>
  <c r="R1424" i="1"/>
  <c r="P698" i="1"/>
  <c r="Q698" i="1" s="1"/>
  <c r="X13" i="16"/>
  <c r="R3" i="1"/>
  <c r="R265" i="1"/>
  <c r="D265" i="1" s="1"/>
  <c r="R439" i="1"/>
  <c r="D439" i="1" s="1"/>
  <c r="R480" i="1"/>
  <c r="D476" i="1" s="1"/>
  <c r="R477" i="1"/>
  <c r="R30" i="1"/>
  <c r="R295" i="1"/>
  <c r="R141" i="1"/>
  <c r="D141" i="1" s="1"/>
  <c r="R1200" i="1"/>
  <c r="R1325" i="1"/>
  <c r="R1465" i="1"/>
  <c r="R1423" i="1"/>
  <c r="R1422" i="1"/>
  <c r="R186" i="1"/>
  <c r="D186" i="1" s="1"/>
  <c r="R1299" i="1"/>
  <c r="D1300" i="1" s="1"/>
  <c r="R1638" i="1"/>
  <c r="D1638" i="1" s="1"/>
  <c r="R204" i="1"/>
  <c r="D204" i="1" s="1"/>
  <c r="R1843" i="1"/>
  <c r="X12" i="16"/>
  <c r="E1035" i="6"/>
  <c r="F1035" i="6"/>
  <c r="I1035" i="6"/>
  <c r="J1035" i="6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X9" i="15"/>
  <c r="X45" i="15"/>
  <c r="X43" i="15"/>
  <c r="X41" i="15"/>
  <c r="X39" i="15"/>
  <c r="X38" i="15"/>
  <c r="X37" i="15"/>
  <c r="X36" i="15"/>
  <c r="X35" i="15"/>
  <c r="X33" i="15"/>
  <c r="X32" i="15"/>
  <c r="X31" i="15"/>
  <c r="X27" i="15"/>
  <c r="X24" i="15"/>
  <c r="X23" i="15"/>
  <c r="X21" i="15"/>
  <c r="X20" i="15"/>
  <c r="X19" i="15"/>
  <c r="X18" i="15"/>
  <c r="X17" i="15"/>
  <c r="X16" i="15"/>
  <c r="X15" i="15"/>
  <c r="X14" i="15"/>
  <c r="X13" i="15"/>
  <c r="X10" i="15"/>
  <c r="X8" i="15"/>
  <c r="X5" i="15"/>
  <c r="X4" i="15"/>
  <c r="X3" i="15"/>
  <c r="X2" i="15"/>
  <c r="C1110" i="6"/>
  <c r="E1110" i="6" s="1"/>
  <c r="A389" i="1"/>
  <c r="C389" i="1"/>
  <c r="B389" i="1" s="1"/>
  <c r="D389" i="1"/>
  <c r="F389" i="1"/>
  <c r="M389" i="1"/>
  <c r="O389" i="1"/>
  <c r="P389" i="1"/>
  <c r="Q389" i="1" s="1"/>
  <c r="S389" i="1"/>
  <c r="A1348" i="1"/>
  <c r="C1348" i="1"/>
  <c r="B1348" i="1" s="1"/>
  <c r="F1348" i="1"/>
  <c r="M1348" i="1"/>
  <c r="O1348" i="1"/>
  <c r="P1348" i="1"/>
  <c r="Q1348" i="1" s="1"/>
  <c r="A929" i="1"/>
  <c r="C929" i="1"/>
  <c r="B929" i="1" s="1"/>
  <c r="F929" i="1"/>
  <c r="M929" i="1"/>
  <c r="O929" i="1"/>
  <c r="Q929" i="1"/>
  <c r="E927" i="6"/>
  <c r="E936" i="6"/>
  <c r="E960" i="6"/>
  <c r="E985" i="6"/>
  <c r="E1010" i="6"/>
  <c r="E1033" i="6"/>
  <c r="E583" i="6"/>
  <c r="F936" i="6"/>
  <c r="F960" i="6"/>
  <c r="F985" i="6"/>
  <c r="F1010" i="6"/>
  <c r="F1033" i="6"/>
  <c r="F583" i="6"/>
  <c r="I927" i="6"/>
  <c r="I936" i="6"/>
  <c r="I960" i="6"/>
  <c r="I985" i="6"/>
  <c r="I1010" i="6"/>
  <c r="I1033" i="6"/>
  <c r="I583" i="6"/>
  <c r="J927" i="6"/>
  <c r="J936" i="6"/>
  <c r="J960" i="6"/>
  <c r="J985" i="6"/>
  <c r="J1010" i="6"/>
  <c r="J1033" i="6"/>
  <c r="J583" i="6"/>
  <c r="A1361" i="1"/>
  <c r="B1361" i="1"/>
  <c r="F1361" i="1"/>
  <c r="O1361" i="1"/>
  <c r="P1361" i="1"/>
  <c r="Q1361" i="1" s="1"/>
  <c r="A1662" i="1"/>
  <c r="B1662" i="1"/>
  <c r="F1662" i="1"/>
  <c r="O1662" i="1"/>
  <c r="P1662" i="1"/>
  <c r="Q1662" i="1" s="1"/>
  <c r="D295" i="1" l="1"/>
  <c r="D296" i="1"/>
  <c r="D1425" i="1"/>
  <c r="D3" i="1"/>
  <c r="R698" i="1"/>
  <c r="J1110" i="6"/>
  <c r="I1110" i="6"/>
  <c r="R389" i="1"/>
  <c r="R1348" i="1"/>
  <c r="D1348" i="1" s="1"/>
  <c r="R929" i="1"/>
  <c r="D929" i="1" s="1"/>
  <c r="E67" i="6"/>
  <c r="F67" i="6"/>
  <c r="I67" i="6"/>
  <c r="J67" i="6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A517" i="1"/>
  <c r="C517" i="1"/>
  <c r="B517" i="1" s="1"/>
  <c r="F517" i="1"/>
  <c r="M517" i="1"/>
  <c r="O517" i="1"/>
  <c r="P517" i="1"/>
  <c r="Q517" i="1" s="1"/>
  <c r="A388" i="1"/>
  <c r="C388" i="1"/>
  <c r="B388" i="1" s="1"/>
  <c r="F388" i="1"/>
  <c r="M388" i="1"/>
  <c r="O388" i="1"/>
  <c r="P388" i="1"/>
  <c r="Q388" i="1" s="1"/>
  <c r="A216" i="1"/>
  <c r="C216" i="1"/>
  <c r="B216" i="1" s="1"/>
  <c r="F216" i="1"/>
  <c r="M216" i="1"/>
  <c r="O216" i="1"/>
  <c r="P216" i="1"/>
  <c r="Q216" i="1" s="1"/>
  <c r="A474" i="1"/>
  <c r="C474" i="1"/>
  <c r="B474" i="1" s="1"/>
  <c r="F474" i="1"/>
  <c r="M474" i="1"/>
  <c r="O474" i="1"/>
  <c r="P474" i="1"/>
  <c r="Q474" i="1" s="1"/>
  <c r="A516" i="1"/>
  <c r="C516" i="1"/>
  <c r="B516" i="1" s="1"/>
  <c r="F516" i="1"/>
  <c r="M516" i="1"/>
  <c r="O516" i="1"/>
  <c r="P516" i="1"/>
  <c r="Q516" i="1" s="1"/>
  <c r="A778" i="1"/>
  <c r="C778" i="1"/>
  <c r="B778" i="1" s="1"/>
  <c r="F778" i="1"/>
  <c r="M778" i="1"/>
  <c r="O778" i="1"/>
  <c r="P778" i="1"/>
  <c r="Q778" i="1" s="1"/>
  <c r="A725" i="1"/>
  <c r="C725" i="1"/>
  <c r="B725" i="1" s="1"/>
  <c r="F725" i="1"/>
  <c r="M725" i="1"/>
  <c r="O725" i="1"/>
  <c r="P725" i="1"/>
  <c r="Q725" i="1" s="1"/>
  <c r="A726" i="1"/>
  <c r="C726" i="1"/>
  <c r="B726" i="1" s="1"/>
  <c r="F726" i="1"/>
  <c r="M726" i="1"/>
  <c r="O726" i="1"/>
  <c r="P726" i="1"/>
  <c r="Q726" i="1" s="1"/>
  <c r="A1199" i="1"/>
  <c r="C1199" i="1"/>
  <c r="B1199" i="1" s="1"/>
  <c r="F1199" i="1"/>
  <c r="M1199" i="1"/>
  <c r="O1199" i="1"/>
  <c r="P1199" i="1"/>
  <c r="Q1199" i="1" s="1"/>
  <c r="A1497" i="1"/>
  <c r="C1497" i="1"/>
  <c r="B1497" i="1" s="1"/>
  <c r="F1497" i="1"/>
  <c r="M1497" i="1"/>
  <c r="O1497" i="1"/>
  <c r="P1497" i="1"/>
  <c r="Q1497" i="1" s="1"/>
  <c r="A1312" i="1"/>
  <c r="C1312" i="1"/>
  <c r="B1312" i="1" s="1"/>
  <c r="F1312" i="1"/>
  <c r="M1312" i="1"/>
  <c r="O1312" i="1"/>
  <c r="P1312" i="1"/>
  <c r="Q1312" i="1" s="1"/>
  <c r="A1363" i="1"/>
  <c r="C1363" i="1"/>
  <c r="B1363" i="1" s="1"/>
  <c r="F1363" i="1"/>
  <c r="M1363" i="1"/>
  <c r="O1363" i="1"/>
  <c r="P1363" i="1"/>
  <c r="Q1363" i="1" s="1"/>
  <c r="A686" i="1"/>
  <c r="C686" i="1"/>
  <c r="B686" i="1" s="1"/>
  <c r="F686" i="1"/>
  <c r="M686" i="1"/>
  <c r="O686" i="1"/>
  <c r="P686" i="1"/>
  <c r="Q686" i="1" s="1"/>
  <c r="A185" i="1"/>
  <c r="C185" i="1"/>
  <c r="B185" i="1" s="1"/>
  <c r="F185" i="1"/>
  <c r="M185" i="1"/>
  <c r="O185" i="1"/>
  <c r="P185" i="1"/>
  <c r="Q185" i="1" s="1"/>
  <c r="S185" i="1"/>
  <c r="A1421" i="1"/>
  <c r="C1421" i="1"/>
  <c r="B1421" i="1" s="1"/>
  <c r="F1421" i="1"/>
  <c r="M1421" i="1"/>
  <c r="O1421" i="1"/>
  <c r="P1421" i="1"/>
  <c r="Q1421" i="1" s="1"/>
  <c r="A1464" i="1"/>
  <c r="C1464" i="1"/>
  <c r="B1464" i="1" s="1"/>
  <c r="F1464" i="1"/>
  <c r="M1464" i="1"/>
  <c r="O1464" i="1"/>
  <c r="P1464" i="1"/>
  <c r="Q1464" i="1" s="1"/>
  <c r="A98" i="1"/>
  <c r="C98" i="1"/>
  <c r="B98" i="1" s="1"/>
  <c r="F98" i="1"/>
  <c r="M98" i="1"/>
  <c r="O98" i="1"/>
  <c r="P98" i="1"/>
  <c r="Q98" i="1" s="1"/>
  <c r="A654" i="1"/>
  <c r="C654" i="1"/>
  <c r="B654" i="1" s="1"/>
  <c r="F654" i="1"/>
  <c r="M654" i="1"/>
  <c r="O654" i="1"/>
  <c r="P654" i="1"/>
  <c r="Q654" i="1" s="1"/>
  <c r="A1669" i="1"/>
  <c r="C1669" i="1"/>
  <c r="B1669" i="1" s="1"/>
  <c r="F1669" i="1"/>
  <c r="M1669" i="1"/>
  <c r="O1669" i="1"/>
  <c r="P1669" i="1"/>
  <c r="Q1669" i="1" s="1"/>
  <c r="A1775" i="1"/>
  <c r="C1775" i="1"/>
  <c r="B1775" i="1" s="1"/>
  <c r="F1775" i="1"/>
  <c r="M1775" i="1"/>
  <c r="O1775" i="1"/>
  <c r="P1775" i="1"/>
  <c r="Q1775" i="1" s="1"/>
  <c r="A1803" i="1"/>
  <c r="C1803" i="1"/>
  <c r="B1803" i="1" s="1"/>
  <c r="F1803" i="1"/>
  <c r="M1803" i="1"/>
  <c r="O1803" i="1"/>
  <c r="P1803" i="1"/>
  <c r="Q1803" i="1" s="1"/>
  <c r="A1420" i="1"/>
  <c r="C1420" i="1"/>
  <c r="B1420" i="1" s="1"/>
  <c r="F1420" i="1"/>
  <c r="M1420" i="1"/>
  <c r="O1420" i="1"/>
  <c r="P1420" i="1"/>
  <c r="Q1420" i="1" s="1"/>
  <c r="A1419" i="1"/>
  <c r="C1419" i="1"/>
  <c r="B1419" i="1" s="1"/>
  <c r="F1419" i="1"/>
  <c r="M1419" i="1"/>
  <c r="O1419" i="1"/>
  <c r="P1419" i="1"/>
  <c r="Q1419" i="1" s="1"/>
  <c r="E1064" i="6"/>
  <c r="I1064" i="6"/>
  <c r="J1064" i="6"/>
  <c r="A1661" i="1"/>
  <c r="B1661" i="1"/>
  <c r="F1661" i="1"/>
  <c r="O1661" i="1"/>
  <c r="P1661" i="1"/>
  <c r="Q1661" i="1" s="1"/>
  <c r="R517" i="1" l="1"/>
  <c r="R388" i="1"/>
  <c r="D388" i="1" s="1"/>
  <c r="R216" i="1"/>
  <c r="R474" i="1"/>
  <c r="R516" i="1"/>
  <c r="R778" i="1"/>
  <c r="R725" i="1"/>
  <c r="R726" i="1"/>
  <c r="R1199" i="1"/>
  <c r="D1204" i="1" s="1"/>
  <c r="R1497" i="1"/>
  <c r="R1312" i="1"/>
  <c r="D1312" i="1" s="1"/>
  <c r="R1363" i="1"/>
  <c r="R686" i="1"/>
  <c r="R185" i="1"/>
  <c r="D185" i="1" s="1"/>
  <c r="R1421" i="1"/>
  <c r="R1464" i="1"/>
  <c r="D1466" i="1" s="1"/>
  <c r="R98" i="1"/>
  <c r="D98" i="1" s="1"/>
  <c r="R654" i="1"/>
  <c r="D654" i="1" s="1"/>
  <c r="R1669" i="1"/>
  <c r="R1775" i="1"/>
  <c r="R1803" i="1"/>
  <c r="D1803" i="1" s="1"/>
  <c r="R1420" i="1"/>
  <c r="R1419" i="1"/>
  <c r="A387" i="1"/>
  <c r="C387" i="1"/>
  <c r="B387" i="1" s="1"/>
  <c r="F387" i="1"/>
  <c r="M387" i="1"/>
  <c r="O387" i="1"/>
  <c r="P387" i="1"/>
  <c r="Q387" i="1" s="1"/>
  <c r="A1360" i="1"/>
  <c r="B1360" i="1"/>
  <c r="F1360" i="1"/>
  <c r="O1360" i="1"/>
  <c r="P1360" i="1"/>
  <c r="Q1360" i="1" s="1"/>
  <c r="A1370" i="1"/>
  <c r="C1370" i="1"/>
  <c r="B1370" i="1" s="1"/>
  <c r="F1370" i="1"/>
  <c r="M1370" i="1"/>
  <c r="O1370" i="1"/>
  <c r="P1370" i="1"/>
  <c r="Q1370" i="1" s="1"/>
  <c r="A706" i="1"/>
  <c r="C706" i="1"/>
  <c r="B706" i="1" s="1"/>
  <c r="F706" i="1"/>
  <c r="M706" i="1"/>
  <c r="O706" i="1"/>
  <c r="P706" i="1"/>
  <c r="Q706" i="1" s="1"/>
  <c r="A140" i="1"/>
  <c r="C140" i="1"/>
  <c r="B140" i="1" s="1"/>
  <c r="D140" i="1"/>
  <c r="F140" i="1"/>
  <c r="M140" i="1"/>
  <c r="O140" i="1"/>
  <c r="P140" i="1"/>
  <c r="Q140" i="1" s="1"/>
  <c r="S140" i="1"/>
  <c r="A807" i="1"/>
  <c r="C807" i="1"/>
  <c r="B807" i="1" s="1"/>
  <c r="F807" i="1"/>
  <c r="M807" i="1"/>
  <c r="O807" i="1"/>
  <c r="P807" i="1"/>
  <c r="Q807" i="1" s="1"/>
  <c r="P699" i="1"/>
  <c r="Q699" i="1" s="1"/>
  <c r="A699" i="1"/>
  <c r="B699" i="1"/>
  <c r="F699" i="1"/>
  <c r="A1496" i="1"/>
  <c r="C1496" i="1"/>
  <c r="B1496" i="1" s="1"/>
  <c r="F1496" i="1"/>
  <c r="M1496" i="1"/>
  <c r="O1496" i="1"/>
  <c r="P1496" i="1"/>
  <c r="Q1496" i="1" s="1"/>
  <c r="A634" i="1"/>
  <c r="C634" i="1"/>
  <c r="B634" i="1" s="1"/>
  <c r="F634" i="1"/>
  <c r="M634" i="1"/>
  <c r="O634" i="1"/>
  <c r="P634" i="1"/>
  <c r="Q634" i="1" s="1"/>
  <c r="A515" i="1"/>
  <c r="C515" i="1"/>
  <c r="B515" i="1" s="1"/>
  <c r="F515" i="1"/>
  <c r="M515" i="1"/>
  <c r="O515" i="1"/>
  <c r="P515" i="1"/>
  <c r="Q515" i="1" s="1"/>
  <c r="A1102" i="1"/>
  <c r="A1111" i="1"/>
  <c r="C1102" i="1"/>
  <c r="B1102" i="1" s="1"/>
  <c r="C1111" i="1"/>
  <c r="B1111" i="1" s="1"/>
  <c r="F1102" i="1"/>
  <c r="F1111" i="1"/>
  <c r="M1102" i="1"/>
  <c r="M1111" i="1"/>
  <c r="O1102" i="1"/>
  <c r="O1111" i="1"/>
  <c r="P1102" i="1"/>
  <c r="Q1102" i="1" s="1"/>
  <c r="P1111" i="1"/>
  <c r="Q1111" i="1" s="1"/>
  <c r="A1091" i="1"/>
  <c r="B1091" i="1"/>
  <c r="A1495" i="1"/>
  <c r="C1495" i="1"/>
  <c r="B1495" i="1" s="1"/>
  <c r="F1495" i="1"/>
  <c r="M1495" i="1"/>
  <c r="O1495" i="1"/>
  <c r="P1495" i="1"/>
  <c r="Q1495" i="1" s="1"/>
  <c r="A756" i="1"/>
  <c r="B756" i="1"/>
  <c r="F756" i="1"/>
  <c r="M756" i="1"/>
  <c r="O756" i="1"/>
  <c r="P756" i="1"/>
  <c r="Q756" i="1" s="1"/>
  <c r="E26" i="6"/>
  <c r="I26" i="6"/>
  <c r="J26" i="6"/>
  <c r="E14" i="6"/>
  <c r="F14" i="6"/>
  <c r="I14" i="6"/>
  <c r="J14" i="6"/>
  <c r="E219" i="6"/>
  <c r="F219" i="6"/>
  <c r="I219" i="6"/>
  <c r="J219" i="6"/>
  <c r="C1109" i="6"/>
  <c r="J1109" i="6" s="1"/>
  <c r="A1774" i="1"/>
  <c r="C1774" i="1"/>
  <c r="B1774" i="1" s="1"/>
  <c r="F1774" i="1"/>
  <c r="M1774" i="1"/>
  <c r="O1774" i="1"/>
  <c r="P1774" i="1"/>
  <c r="Q1774" i="1" s="1"/>
  <c r="A1773" i="1"/>
  <c r="C1773" i="1"/>
  <c r="B1773" i="1" s="1"/>
  <c r="F1773" i="1"/>
  <c r="M1773" i="1"/>
  <c r="O1773" i="1"/>
  <c r="P1773" i="1"/>
  <c r="Q1773" i="1" s="1"/>
  <c r="A1022" i="1"/>
  <c r="C1022" i="1"/>
  <c r="B1022" i="1" s="1"/>
  <c r="F1022" i="1"/>
  <c r="M1022" i="1"/>
  <c r="O1022" i="1"/>
  <c r="P1022" i="1"/>
  <c r="Q1022" i="1" s="1"/>
  <c r="A1587" i="1"/>
  <c r="C1587" i="1"/>
  <c r="B1587" i="1" s="1"/>
  <c r="F1587" i="1"/>
  <c r="M1587" i="1"/>
  <c r="O1587" i="1"/>
  <c r="P1587" i="1"/>
  <c r="Q1587" i="1" s="1"/>
  <c r="A498" i="1"/>
  <c r="C498" i="1"/>
  <c r="B498" i="1" s="1"/>
  <c r="F498" i="1"/>
  <c r="M498" i="1"/>
  <c r="O498" i="1"/>
  <c r="P498" i="1"/>
  <c r="Q498" i="1" s="1"/>
  <c r="A184" i="1"/>
  <c r="C184" i="1"/>
  <c r="B184" i="1" s="1"/>
  <c r="F184" i="1"/>
  <c r="M184" i="1"/>
  <c r="O184" i="1"/>
  <c r="P184" i="1"/>
  <c r="Q184" i="1" s="1"/>
  <c r="A1376" i="1"/>
  <c r="C1376" i="1"/>
  <c r="B1376" i="1" s="1"/>
  <c r="F1376" i="1"/>
  <c r="M1376" i="1"/>
  <c r="O1376" i="1"/>
  <c r="P1376" i="1"/>
  <c r="Q1376" i="1" s="1"/>
  <c r="A1359" i="1"/>
  <c r="B1359" i="1"/>
  <c r="F1359" i="1"/>
  <c r="O1359" i="1"/>
  <c r="P1359" i="1"/>
  <c r="Q1359" i="1" s="1"/>
  <c r="D475" i="1" l="1"/>
  <c r="D485" i="1"/>
  <c r="D480" i="1"/>
  <c r="D481" i="1"/>
  <c r="D216" i="1"/>
  <c r="D286" i="1"/>
  <c r="D686" i="1"/>
  <c r="D687" i="1"/>
  <c r="M699" i="1"/>
  <c r="D1424" i="1"/>
  <c r="D474" i="1"/>
  <c r="D477" i="1"/>
  <c r="D1422" i="1"/>
  <c r="D1423" i="1"/>
  <c r="E1109" i="6"/>
  <c r="O699" i="1"/>
  <c r="R387" i="1"/>
  <c r="D387" i="1" s="1"/>
  <c r="R1370" i="1"/>
  <c r="D1370" i="1" s="1"/>
  <c r="R140" i="1"/>
  <c r="R706" i="1"/>
  <c r="D706" i="1" s="1"/>
  <c r="R807" i="1"/>
  <c r="D809" i="1" s="1"/>
  <c r="R1496" i="1"/>
  <c r="R1102" i="1"/>
  <c r="D1102" i="1" s="1"/>
  <c r="R634" i="1"/>
  <c r="R515" i="1"/>
  <c r="D517" i="1" s="1"/>
  <c r="R1111" i="1"/>
  <c r="D1111" i="1" s="1"/>
  <c r="I1109" i="6"/>
  <c r="R1495" i="1"/>
  <c r="R756" i="1"/>
  <c r="R1774" i="1"/>
  <c r="R1587" i="1"/>
  <c r="R1773" i="1"/>
  <c r="R1022" i="1"/>
  <c r="D1022" i="1" s="1"/>
  <c r="R184" i="1"/>
  <c r="D184" i="1" s="1"/>
  <c r="R498" i="1"/>
  <c r="R1376" i="1"/>
  <c r="D1376" i="1" s="1"/>
  <c r="D1777" i="1" l="1"/>
  <c r="R699" i="1"/>
  <c r="D707" i="1" s="1"/>
  <c r="D807" i="1"/>
  <c r="D808" i="1"/>
  <c r="D634" i="1"/>
  <c r="D635" i="1"/>
  <c r="D498" i="1"/>
  <c r="D499" i="1"/>
  <c r="D515" i="1"/>
  <c r="D516" i="1"/>
  <c r="A605" i="1"/>
  <c r="C605" i="1"/>
  <c r="B605" i="1" s="1"/>
  <c r="F605" i="1"/>
  <c r="M605" i="1"/>
  <c r="O605" i="1"/>
  <c r="P605" i="1"/>
  <c r="Q605" i="1" s="1"/>
  <c r="S605" i="1"/>
  <c r="F632" i="1"/>
  <c r="A968" i="1"/>
  <c r="C968" i="1"/>
  <c r="B968" i="1" s="1"/>
  <c r="F968" i="1"/>
  <c r="M968" i="1"/>
  <c r="O968" i="1"/>
  <c r="P968" i="1"/>
  <c r="Q968" i="1" s="1"/>
  <c r="S968" i="1"/>
  <c r="A1347" i="1"/>
  <c r="C1347" i="1"/>
  <c r="B1347" i="1" s="1"/>
  <c r="F1347" i="1"/>
  <c r="M1347" i="1"/>
  <c r="O1347" i="1"/>
  <c r="P1347" i="1"/>
  <c r="Q1347" i="1" s="1"/>
  <c r="A982" i="1"/>
  <c r="C982" i="1"/>
  <c r="B982" i="1" s="1"/>
  <c r="F982" i="1"/>
  <c r="M982" i="1"/>
  <c r="P982" i="1"/>
  <c r="Q982" i="1" s="1"/>
  <c r="A1282" i="1"/>
  <c r="C1282" i="1"/>
  <c r="B1282" i="1" s="1"/>
  <c r="F1282" i="1"/>
  <c r="O1282" i="1"/>
  <c r="P1282" i="1"/>
  <c r="Q1282" i="1" s="1"/>
  <c r="E531" i="6"/>
  <c r="I531" i="6"/>
  <c r="J531" i="6"/>
  <c r="A181" i="1"/>
  <c r="C181" i="1"/>
  <c r="B181" i="1" s="1"/>
  <c r="D181" i="1"/>
  <c r="F181" i="1"/>
  <c r="M181" i="1"/>
  <c r="O181" i="1"/>
  <c r="P181" i="1"/>
  <c r="Q181" i="1" s="1"/>
  <c r="S181" i="1"/>
  <c r="A178" i="1"/>
  <c r="A179" i="1"/>
  <c r="A180" i="1"/>
  <c r="A182" i="1"/>
  <c r="A183" i="1"/>
  <c r="C178" i="1"/>
  <c r="B178" i="1" s="1"/>
  <c r="C179" i="1"/>
  <c r="B179" i="1" s="1"/>
  <c r="C180" i="1"/>
  <c r="B180" i="1" s="1"/>
  <c r="C182" i="1"/>
  <c r="B182" i="1" s="1"/>
  <c r="C183" i="1"/>
  <c r="B183" i="1" s="1"/>
  <c r="F178" i="1"/>
  <c r="F179" i="1"/>
  <c r="F180" i="1"/>
  <c r="F182" i="1"/>
  <c r="F183" i="1"/>
  <c r="M178" i="1"/>
  <c r="M179" i="1"/>
  <c r="M180" i="1"/>
  <c r="M182" i="1"/>
  <c r="M183" i="1"/>
  <c r="O178" i="1"/>
  <c r="O179" i="1"/>
  <c r="O180" i="1"/>
  <c r="O182" i="1"/>
  <c r="O183" i="1"/>
  <c r="P178" i="1"/>
  <c r="Q178" i="1" s="1"/>
  <c r="P179" i="1"/>
  <c r="Q179" i="1" s="1"/>
  <c r="P180" i="1"/>
  <c r="Q180" i="1" s="1"/>
  <c r="P182" i="1"/>
  <c r="Q182" i="1" s="1"/>
  <c r="P183" i="1"/>
  <c r="Q183" i="1" s="1"/>
  <c r="S178" i="1"/>
  <c r="S179" i="1"/>
  <c r="S180" i="1"/>
  <c r="S182" i="1"/>
  <c r="S183" i="1"/>
  <c r="A386" i="1"/>
  <c r="C386" i="1"/>
  <c r="B386" i="1" s="1"/>
  <c r="F386" i="1"/>
  <c r="M386" i="1"/>
  <c r="O386" i="1"/>
  <c r="P386" i="1"/>
  <c r="Q386" i="1" s="1"/>
  <c r="S386" i="1"/>
  <c r="A777" i="1"/>
  <c r="C777" i="1"/>
  <c r="B777" i="1" s="1"/>
  <c r="F777" i="1"/>
  <c r="M777" i="1"/>
  <c r="O777" i="1"/>
  <c r="P777" i="1"/>
  <c r="Q777" i="1" s="1"/>
  <c r="K1388" i="1"/>
  <c r="O1388" i="1" s="1"/>
  <c r="A1388" i="1"/>
  <c r="C1388" i="1"/>
  <c r="B1388" i="1" s="1"/>
  <c r="F1388" i="1"/>
  <c r="E473" i="6"/>
  <c r="E483" i="6"/>
  <c r="E489" i="6"/>
  <c r="E493" i="6"/>
  <c r="F483" i="6"/>
  <c r="I473" i="6"/>
  <c r="I483" i="6"/>
  <c r="I489" i="6"/>
  <c r="I493" i="6"/>
  <c r="J473" i="6"/>
  <c r="J483" i="6"/>
  <c r="J489" i="6"/>
  <c r="J493" i="6"/>
  <c r="E1078" i="6"/>
  <c r="E1107" i="6"/>
  <c r="E1132" i="6"/>
  <c r="F1078" i="6"/>
  <c r="F1132" i="6"/>
  <c r="I1078" i="6"/>
  <c r="I1107" i="6"/>
  <c r="I1132" i="6"/>
  <c r="J1078" i="6"/>
  <c r="J1107" i="6"/>
  <c r="J1132" i="6"/>
  <c r="W45" i="15"/>
  <c r="W43" i="15"/>
  <c r="W41" i="15"/>
  <c r="W39" i="15"/>
  <c r="W38" i="15"/>
  <c r="W37" i="15"/>
  <c r="W36" i="15"/>
  <c r="W35" i="15"/>
  <c r="W33" i="15"/>
  <c r="W32" i="15"/>
  <c r="W31" i="15"/>
  <c r="W27" i="15"/>
  <c r="W24" i="15"/>
  <c r="W23" i="15"/>
  <c r="W21" i="15"/>
  <c r="W20" i="15"/>
  <c r="W19" i="15"/>
  <c r="W18" i="15"/>
  <c r="W17" i="15"/>
  <c r="W16" i="15"/>
  <c r="W15" i="15"/>
  <c r="W14" i="15"/>
  <c r="W13" i="15"/>
  <c r="W10" i="15"/>
  <c r="W8" i="15"/>
  <c r="W5" i="15"/>
  <c r="W4" i="15"/>
  <c r="W3" i="15"/>
  <c r="W2" i="15"/>
  <c r="A1842" i="1"/>
  <c r="C1842" i="1"/>
  <c r="B1842" i="1" s="1"/>
  <c r="F1842" i="1"/>
  <c r="M1842" i="1"/>
  <c r="O1842" i="1"/>
  <c r="P1842" i="1"/>
  <c r="Q1842" i="1" s="1"/>
  <c r="O996" i="1"/>
  <c r="A996" i="1"/>
  <c r="C996" i="1"/>
  <c r="B996" i="1" s="1"/>
  <c r="F996" i="1"/>
  <c r="M996" i="1"/>
  <c r="P996" i="1"/>
  <c r="Q996" i="1" s="1"/>
  <c r="A1090" i="1"/>
  <c r="B1090" i="1"/>
  <c r="A1038" i="1"/>
  <c r="C1038" i="1"/>
  <c r="B1038" i="1" s="1"/>
  <c r="F1038" i="1"/>
  <c r="M1038" i="1"/>
  <c r="O1038" i="1"/>
  <c r="P1038" i="1"/>
  <c r="Q1038" i="1" s="1"/>
  <c r="A1037" i="1"/>
  <c r="C1037" i="1"/>
  <c r="B1037" i="1" s="1"/>
  <c r="F1037" i="1"/>
  <c r="M1037" i="1"/>
  <c r="O1037" i="1"/>
  <c r="P1037" i="1"/>
  <c r="Q1037" i="1" s="1"/>
  <c r="A1054" i="1"/>
  <c r="C1054" i="1"/>
  <c r="B1054" i="1" s="1"/>
  <c r="F1054" i="1"/>
  <c r="M1054" i="1"/>
  <c r="O1054" i="1"/>
  <c r="P1054" i="1"/>
  <c r="Q1054" i="1" s="1"/>
  <c r="E443" i="6"/>
  <c r="F443" i="6"/>
  <c r="I443" i="6"/>
  <c r="J443" i="6"/>
  <c r="E1063" i="6"/>
  <c r="I1063" i="6"/>
  <c r="J1063" i="6"/>
  <c r="K697" i="1"/>
  <c r="P697" i="1" s="1"/>
  <c r="Q697" i="1" s="1"/>
  <c r="K709" i="1"/>
  <c r="K708" i="1"/>
  <c r="K696" i="1"/>
  <c r="C1108" i="6"/>
  <c r="E1108" i="6" s="1"/>
  <c r="E1133" i="6"/>
  <c r="F1133" i="6"/>
  <c r="I1133" i="6"/>
  <c r="J1133" i="6"/>
  <c r="A1130" i="1"/>
  <c r="C1130" i="1"/>
  <c r="B1130" i="1" s="1"/>
  <c r="F1130" i="1"/>
  <c r="M1130" i="1"/>
  <c r="O1130" i="1"/>
  <c r="P1130" i="1"/>
  <c r="Q1130" i="1" s="1"/>
  <c r="A1068" i="1"/>
  <c r="C1068" i="1"/>
  <c r="B1068" i="1" s="1"/>
  <c r="F1068" i="1"/>
  <c r="M1068" i="1"/>
  <c r="O1068" i="1"/>
  <c r="Q1068" i="1"/>
  <c r="A960" i="1"/>
  <c r="A961" i="1"/>
  <c r="C960" i="1"/>
  <c r="B960" i="1" s="1"/>
  <c r="C961" i="1"/>
  <c r="B961" i="1" s="1"/>
  <c r="F960" i="1"/>
  <c r="F961" i="1"/>
  <c r="M960" i="1"/>
  <c r="M961" i="1"/>
  <c r="O960" i="1"/>
  <c r="O961" i="1"/>
  <c r="P960" i="1"/>
  <c r="Q960" i="1" s="1"/>
  <c r="P961" i="1"/>
  <c r="Q961" i="1" s="1"/>
  <c r="A697" i="1"/>
  <c r="C697" i="1"/>
  <c r="B697" i="1" s="1"/>
  <c r="F697" i="1"/>
  <c r="A28" i="1"/>
  <c r="C28" i="1"/>
  <c r="B28" i="1" s="1"/>
  <c r="F28" i="1"/>
  <c r="M28" i="1"/>
  <c r="O28" i="1"/>
  <c r="P28" i="1"/>
  <c r="Q28" i="1" s="1"/>
  <c r="A20" i="1"/>
  <c r="C20" i="1"/>
  <c r="B20" i="1" s="1"/>
  <c r="F20" i="1"/>
  <c r="M20" i="1"/>
  <c r="O20" i="1"/>
  <c r="P20" i="1"/>
  <c r="Q20" i="1" s="1"/>
  <c r="A29" i="1"/>
  <c r="C29" i="1"/>
  <c r="B29" i="1" s="1"/>
  <c r="F29" i="1"/>
  <c r="M29" i="1"/>
  <c r="O29" i="1"/>
  <c r="P29" i="1"/>
  <c r="Q29" i="1" s="1"/>
  <c r="A34" i="1"/>
  <c r="C34" i="1"/>
  <c r="B34" i="1" s="1"/>
  <c r="F34" i="1"/>
  <c r="M34" i="1"/>
  <c r="O34" i="1"/>
  <c r="P34" i="1"/>
  <c r="Q34" i="1" s="1"/>
  <c r="A33" i="1"/>
  <c r="C33" i="1"/>
  <c r="B33" i="1" s="1"/>
  <c r="F33" i="1"/>
  <c r="M33" i="1"/>
  <c r="O33" i="1"/>
  <c r="P33" i="1"/>
  <c r="Q33" i="1" s="1"/>
  <c r="A32" i="1"/>
  <c r="C32" i="1"/>
  <c r="B32" i="1" s="1"/>
  <c r="F32" i="1"/>
  <c r="M32" i="1"/>
  <c r="O32" i="1"/>
  <c r="P32" i="1"/>
  <c r="Q32" i="1" s="1"/>
  <c r="A81" i="1"/>
  <c r="C81" i="1"/>
  <c r="B81" i="1" s="1"/>
  <c r="F81" i="1"/>
  <c r="M81" i="1"/>
  <c r="O81" i="1"/>
  <c r="P81" i="1"/>
  <c r="Q81" i="1" s="1"/>
  <c r="A70" i="1"/>
  <c r="C70" i="1"/>
  <c r="B70" i="1" s="1"/>
  <c r="F70" i="1"/>
  <c r="M70" i="1"/>
  <c r="O70" i="1"/>
  <c r="P70" i="1"/>
  <c r="Q70" i="1" s="1"/>
  <c r="A561" i="1"/>
  <c r="C561" i="1"/>
  <c r="B561" i="1" s="1"/>
  <c r="F561" i="1"/>
  <c r="M561" i="1"/>
  <c r="O561" i="1"/>
  <c r="P561" i="1"/>
  <c r="Q561" i="1" s="1"/>
  <c r="A560" i="1"/>
  <c r="C560" i="1"/>
  <c r="B560" i="1" s="1"/>
  <c r="F560" i="1"/>
  <c r="M560" i="1"/>
  <c r="O560" i="1"/>
  <c r="P560" i="1"/>
  <c r="Q560" i="1" s="1"/>
  <c r="K531" i="1"/>
  <c r="P531" i="1" s="1"/>
  <c r="Q531" i="1" s="1"/>
  <c r="A531" i="1"/>
  <c r="C531" i="1"/>
  <c r="B531" i="1" s="1"/>
  <c r="F531" i="1"/>
  <c r="S531" i="1"/>
  <c r="K1233" i="1"/>
  <c r="M1233" i="1" s="1"/>
  <c r="A1331" i="1"/>
  <c r="C1331" i="1"/>
  <c r="B1331" i="1" s="1"/>
  <c r="F1331" i="1"/>
  <c r="M1331" i="1"/>
  <c r="O1331" i="1"/>
  <c r="P1331" i="1"/>
  <c r="Q1331" i="1" s="1"/>
  <c r="A1233" i="1"/>
  <c r="C1233" i="1"/>
  <c r="B1233" i="1" s="1"/>
  <c r="F1233" i="1"/>
  <c r="A139" i="1"/>
  <c r="C139" i="1"/>
  <c r="B139" i="1" s="1"/>
  <c r="D139" i="1"/>
  <c r="F139" i="1"/>
  <c r="M139" i="1"/>
  <c r="O139" i="1"/>
  <c r="P139" i="1"/>
  <c r="Q139" i="1" s="1"/>
  <c r="S139" i="1"/>
  <c r="A176" i="1"/>
  <c r="C176" i="1"/>
  <c r="B176" i="1" s="1"/>
  <c r="F176" i="1"/>
  <c r="M176" i="1"/>
  <c r="O176" i="1"/>
  <c r="P176" i="1"/>
  <c r="Q176" i="1" s="1"/>
  <c r="S176" i="1"/>
  <c r="A177" i="1"/>
  <c r="C177" i="1"/>
  <c r="B177" i="1" s="1"/>
  <c r="F177" i="1"/>
  <c r="M177" i="1"/>
  <c r="O177" i="1"/>
  <c r="P177" i="1"/>
  <c r="Q177" i="1" s="1"/>
  <c r="S177" i="1"/>
  <c r="A1195" i="1"/>
  <c r="C1195" i="1"/>
  <c r="B1195" i="1" s="1"/>
  <c r="F1195" i="1"/>
  <c r="O1195" i="1"/>
  <c r="P1195" i="1"/>
  <c r="Q1195" i="1" s="1"/>
  <c r="A385" i="1"/>
  <c r="C385" i="1"/>
  <c r="B385" i="1" s="1"/>
  <c r="F385" i="1"/>
  <c r="M385" i="1"/>
  <c r="O385" i="1"/>
  <c r="P385" i="1"/>
  <c r="Q385" i="1" s="1"/>
  <c r="A776" i="1"/>
  <c r="C776" i="1"/>
  <c r="B776" i="1" s="1"/>
  <c r="F776" i="1"/>
  <c r="M776" i="1"/>
  <c r="O776" i="1"/>
  <c r="P776" i="1"/>
  <c r="Q776" i="1" s="1"/>
  <c r="A837" i="1"/>
  <c r="C837" i="1"/>
  <c r="B837" i="1" s="1"/>
  <c r="F837" i="1"/>
  <c r="M837" i="1"/>
  <c r="O837" i="1"/>
  <c r="P837" i="1"/>
  <c r="Q837" i="1" s="1"/>
  <c r="A1473" i="1"/>
  <c r="C1473" i="1"/>
  <c r="B1473" i="1" s="1"/>
  <c r="F1473" i="1"/>
  <c r="M1473" i="1"/>
  <c r="O1473" i="1"/>
  <c r="P1473" i="1"/>
  <c r="Q1473" i="1" s="1"/>
  <c r="A1198" i="1"/>
  <c r="C1198" i="1"/>
  <c r="B1198" i="1" s="1"/>
  <c r="F1198" i="1"/>
  <c r="M1198" i="1"/>
  <c r="O1198" i="1"/>
  <c r="P1198" i="1"/>
  <c r="Q1198" i="1" s="1"/>
  <c r="A724" i="1"/>
  <c r="C724" i="1"/>
  <c r="B724" i="1" s="1"/>
  <c r="F724" i="1"/>
  <c r="M724" i="1"/>
  <c r="O724" i="1"/>
  <c r="P724" i="1"/>
  <c r="Q724" i="1" s="1"/>
  <c r="A1586" i="1"/>
  <c r="C1586" i="1"/>
  <c r="B1586" i="1" s="1"/>
  <c r="F1586" i="1"/>
  <c r="M1586" i="1"/>
  <c r="O1586" i="1"/>
  <c r="P1586" i="1"/>
  <c r="Q1586" i="1" s="1"/>
  <c r="A755" i="1"/>
  <c r="C755" i="1"/>
  <c r="B755" i="1" s="1"/>
  <c r="F755" i="1"/>
  <c r="M755" i="1"/>
  <c r="O755" i="1"/>
  <c r="P755" i="1"/>
  <c r="Q755" i="1" s="1"/>
  <c r="A1604" i="1"/>
  <c r="C1604" i="1"/>
  <c r="B1604" i="1" s="1"/>
  <c r="F1604" i="1"/>
  <c r="M1604" i="1"/>
  <c r="O1604" i="1"/>
  <c r="P1604" i="1"/>
  <c r="Q1604" i="1" s="1"/>
  <c r="A1668" i="1"/>
  <c r="C1668" i="1"/>
  <c r="B1668" i="1" s="1"/>
  <c r="F1668" i="1"/>
  <c r="M1668" i="1"/>
  <c r="O1668" i="1"/>
  <c r="P1668" i="1"/>
  <c r="Q1668" i="1" s="1"/>
  <c r="A714" i="1"/>
  <c r="C714" i="1"/>
  <c r="B714" i="1" s="1"/>
  <c r="F714" i="1"/>
  <c r="M714" i="1"/>
  <c r="O714" i="1"/>
  <c r="P714" i="1"/>
  <c r="Q714" i="1" s="1"/>
  <c r="W20" i="16"/>
  <c r="W22" i="16"/>
  <c r="D698" i="1" l="1"/>
  <c r="D703" i="1"/>
  <c r="D705" i="1"/>
  <c r="D704" i="1"/>
  <c r="D699" i="1"/>
  <c r="D702" i="1"/>
  <c r="D701" i="1"/>
  <c r="D700" i="1"/>
  <c r="M1388" i="1"/>
  <c r="M531" i="1"/>
  <c r="R605" i="1"/>
  <c r="D605" i="1" s="1"/>
  <c r="R968" i="1"/>
  <c r="D968" i="1" s="1"/>
  <c r="R1347" i="1"/>
  <c r="R982" i="1"/>
  <c r="D982" i="1" s="1"/>
  <c r="R182" i="1"/>
  <c r="R1282" i="1"/>
  <c r="D1282" i="1" s="1"/>
  <c r="R180" i="1"/>
  <c r="R181" i="1"/>
  <c r="R179" i="1"/>
  <c r="R183" i="1"/>
  <c r="R178" i="1"/>
  <c r="P1388" i="1"/>
  <c r="Q1388" i="1" s="1"/>
  <c r="R386" i="1"/>
  <c r="D386" i="1" s="1"/>
  <c r="O697" i="1"/>
  <c r="I1108" i="6"/>
  <c r="R777" i="1"/>
  <c r="M697" i="1"/>
  <c r="J1108" i="6"/>
  <c r="R1842" i="1"/>
  <c r="R996" i="1"/>
  <c r="D996" i="1" s="1"/>
  <c r="R1038" i="1"/>
  <c r="R1037" i="1"/>
  <c r="R1054" i="1"/>
  <c r="D1054" i="1" s="1"/>
  <c r="R1130" i="1"/>
  <c r="D1130" i="1" s="1"/>
  <c r="O531" i="1"/>
  <c r="R1068" i="1"/>
  <c r="D1068" i="1" s="1"/>
  <c r="R960" i="1"/>
  <c r="R961" i="1"/>
  <c r="P1233" i="1"/>
  <c r="Q1233" i="1" s="1"/>
  <c r="O1233" i="1"/>
  <c r="R28" i="1"/>
  <c r="R20" i="1"/>
  <c r="R29" i="1"/>
  <c r="R34" i="1"/>
  <c r="R33" i="1"/>
  <c r="R32" i="1"/>
  <c r="R81" i="1"/>
  <c r="R70" i="1"/>
  <c r="R561" i="1"/>
  <c r="R560" i="1"/>
  <c r="R1331" i="1"/>
  <c r="D1331" i="1" s="1"/>
  <c r="R176" i="1"/>
  <c r="R139" i="1"/>
  <c r="R177" i="1"/>
  <c r="R1195" i="1"/>
  <c r="R385" i="1"/>
  <c r="D385" i="1" s="1"/>
  <c r="R776" i="1"/>
  <c r="R837" i="1"/>
  <c r="R1473" i="1"/>
  <c r="D1473" i="1" s="1"/>
  <c r="R1198" i="1"/>
  <c r="R724" i="1"/>
  <c r="R1586" i="1"/>
  <c r="R755" i="1"/>
  <c r="R1604" i="1"/>
  <c r="R1668" i="1"/>
  <c r="R714" i="1"/>
  <c r="A975" i="1"/>
  <c r="C975" i="1"/>
  <c r="B975" i="1" s="1"/>
  <c r="F975" i="1"/>
  <c r="M975" i="1"/>
  <c r="O975" i="1"/>
  <c r="P975" i="1"/>
  <c r="Q975" i="1" s="1"/>
  <c r="K401" i="1"/>
  <c r="A1053" i="1"/>
  <c r="C1053" i="1"/>
  <c r="B1053" i="1" s="1"/>
  <c r="F1053" i="1"/>
  <c r="M1053" i="1"/>
  <c r="O1053" i="1"/>
  <c r="Q1053" i="1"/>
  <c r="S1053" i="1"/>
  <c r="A970" i="1"/>
  <c r="C970" i="1"/>
  <c r="B970" i="1" s="1"/>
  <c r="F970" i="1"/>
  <c r="M970" i="1"/>
  <c r="O970" i="1"/>
  <c r="P970" i="1"/>
  <c r="Q970" i="1" s="1"/>
  <c r="A80" i="1"/>
  <c r="C80" i="1"/>
  <c r="B80" i="1" s="1"/>
  <c r="F80" i="1"/>
  <c r="M80" i="1"/>
  <c r="O80" i="1"/>
  <c r="P80" i="1"/>
  <c r="Q80" i="1" s="1"/>
  <c r="K646" i="1"/>
  <c r="Q646" i="1" s="1"/>
  <c r="A646" i="1"/>
  <c r="C646" i="1"/>
  <c r="B646" i="1" s="1"/>
  <c r="F646" i="1"/>
  <c r="P1319" i="1"/>
  <c r="Q1319" i="1" s="1"/>
  <c r="A1319" i="1"/>
  <c r="C1319" i="1"/>
  <c r="B1319" i="1" s="1"/>
  <c r="F1319" i="1"/>
  <c r="O709" i="1"/>
  <c r="A709" i="1"/>
  <c r="C709" i="1"/>
  <c r="B709" i="1" s="1"/>
  <c r="F709" i="1"/>
  <c r="A1067" i="1"/>
  <c r="C1067" i="1"/>
  <c r="B1067" i="1" s="1"/>
  <c r="F1067" i="1"/>
  <c r="M1067" i="1"/>
  <c r="O1067" i="1"/>
  <c r="Q1067" i="1"/>
  <c r="D812" i="1" l="1"/>
  <c r="D838" i="1"/>
  <c r="R1388" i="1"/>
  <c r="D1388" i="1" s="1"/>
  <c r="D1843" i="1"/>
  <c r="D1844" i="1"/>
  <c r="D1202" i="1"/>
  <c r="D1203" i="1"/>
  <c r="D20" i="1"/>
  <c r="D1200" i="1"/>
  <c r="D1201" i="1"/>
  <c r="D1604" i="1"/>
  <c r="D1605" i="1"/>
  <c r="D30" i="1"/>
  <c r="D778" i="1"/>
  <c r="R531" i="1"/>
  <c r="D531" i="1" s="1"/>
  <c r="M1319" i="1"/>
  <c r="R697" i="1"/>
  <c r="D1586" i="1"/>
  <c r="D1587" i="1"/>
  <c r="D975" i="1"/>
  <c r="D179" i="1"/>
  <c r="D180" i="1"/>
  <c r="D176" i="1"/>
  <c r="D177" i="1"/>
  <c r="D182" i="1"/>
  <c r="D178" i="1"/>
  <c r="D183" i="1"/>
  <c r="D1037" i="1"/>
  <c r="D1038" i="1"/>
  <c r="D960" i="1"/>
  <c r="D961" i="1"/>
  <c r="R1233" i="1"/>
  <c r="D1233" i="1" s="1"/>
  <c r="D34" i="1"/>
  <c r="D29" i="1"/>
  <c r="D28" i="1"/>
  <c r="D32" i="1"/>
  <c r="D33" i="1"/>
  <c r="D560" i="1"/>
  <c r="D561" i="1"/>
  <c r="M709" i="1"/>
  <c r="R975" i="1"/>
  <c r="O646" i="1"/>
  <c r="R646" i="1" s="1"/>
  <c r="D646" i="1" s="1"/>
  <c r="O1319" i="1"/>
  <c r="R1053" i="1"/>
  <c r="D1053" i="1" s="1"/>
  <c r="P709" i="1"/>
  <c r="Q709" i="1" s="1"/>
  <c r="R970" i="1"/>
  <c r="D970" i="1" s="1"/>
  <c r="R80" i="1"/>
  <c r="D81" i="1" s="1"/>
  <c r="R1067" i="1"/>
  <c r="D1067" i="1" s="1"/>
  <c r="R1319" i="1" l="1"/>
  <c r="D1319" i="1" s="1"/>
  <c r="R709" i="1"/>
  <c r="P1129" i="1"/>
  <c r="Q1129" i="1" s="1"/>
  <c r="O1129" i="1"/>
  <c r="A1129" i="1"/>
  <c r="C1129" i="1"/>
  <c r="B1129" i="1" s="1"/>
  <c r="F1129" i="1"/>
  <c r="M1129" i="1"/>
  <c r="K1238" i="1" l="1"/>
  <c r="A1346" i="1"/>
  <c r="C1346" i="1"/>
  <c r="B1346" i="1" s="1"/>
  <c r="F1346" i="1"/>
  <c r="M1346" i="1"/>
  <c r="O1346" i="1"/>
  <c r="P1346" i="1"/>
  <c r="Q1346" i="1" s="1"/>
  <c r="A1238" i="1"/>
  <c r="C1238" i="1"/>
  <c r="B1238" i="1" s="1"/>
  <c r="F1238" i="1"/>
  <c r="M1238" i="1"/>
  <c r="O1238" i="1"/>
  <c r="P1238" i="1"/>
  <c r="Q1238" i="1" s="1"/>
  <c r="A1463" i="1"/>
  <c r="C1463" i="1"/>
  <c r="B1463" i="1" s="1"/>
  <c r="M1463" i="1"/>
  <c r="O1463" i="1"/>
  <c r="P1463" i="1"/>
  <c r="Q1463" i="1" s="1"/>
  <c r="E1106" i="6"/>
  <c r="I1106" i="6"/>
  <c r="J1106" i="6"/>
  <c r="E1105" i="6"/>
  <c r="I1105" i="6"/>
  <c r="J1105" i="6"/>
  <c r="E1131" i="6"/>
  <c r="F1131" i="6"/>
  <c r="I1131" i="6"/>
  <c r="J1131" i="6"/>
  <c r="K1695" i="1"/>
  <c r="E926" i="6"/>
  <c r="E935" i="6"/>
  <c r="E959" i="6"/>
  <c r="E984" i="6"/>
  <c r="E1009" i="6"/>
  <c r="E1032" i="6"/>
  <c r="E582" i="6"/>
  <c r="F935" i="6"/>
  <c r="F959" i="6"/>
  <c r="F984" i="6"/>
  <c r="F1009" i="6"/>
  <c r="F1032" i="6"/>
  <c r="F582" i="6"/>
  <c r="I926" i="6"/>
  <c r="I935" i="6"/>
  <c r="I959" i="6"/>
  <c r="I984" i="6"/>
  <c r="I1009" i="6"/>
  <c r="I1032" i="6"/>
  <c r="I582" i="6"/>
  <c r="J926" i="6"/>
  <c r="J935" i="6"/>
  <c r="J959" i="6"/>
  <c r="J984" i="6"/>
  <c r="J1009" i="6"/>
  <c r="J1032" i="6"/>
  <c r="J582" i="6"/>
  <c r="K1694" i="1"/>
  <c r="M1694" i="1" s="1"/>
  <c r="A1694" i="1"/>
  <c r="C1694" i="1"/>
  <c r="B1694" i="1" s="1"/>
  <c r="F1694" i="1"/>
  <c r="R1346" i="1" l="1"/>
  <c r="R1238" i="1"/>
  <c r="D1238" i="1" s="1"/>
  <c r="R1463" i="1"/>
  <c r="P1694" i="1"/>
  <c r="Q1694" i="1" s="1"/>
  <c r="O1694" i="1"/>
  <c r="R1694" i="1" l="1"/>
  <c r="W13" i="16"/>
  <c r="W12" i="16"/>
  <c r="A384" i="1"/>
  <c r="C384" i="1"/>
  <c r="B384" i="1" s="1"/>
  <c r="D384" i="1"/>
  <c r="F384" i="1"/>
  <c r="M384" i="1"/>
  <c r="O384" i="1"/>
  <c r="P384" i="1"/>
  <c r="Q384" i="1" s="1"/>
  <c r="S384" i="1"/>
  <c r="O708" i="1"/>
  <c r="A708" i="1"/>
  <c r="C708" i="1"/>
  <c r="B708" i="1" s="1"/>
  <c r="F708" i="1"/>
  <c r="M708" i="1"/>
  <c r="A1667" i="1"/>
  <c r="C1667" i="1"/>
  <c r="B1667" i="1" s="1"/>
  <c r="F1667" i="1"/>
  <c r="M1667" i="1"/>
  <c r="O1667" i="1"/>
  <c r="P1667" i="1"/>
  <c r="Q1667" i="1" s="1"/>
  <c r="A985" i="1"/>
  <c r="C985" i="1"/>
  <c r="B985" i="1" s="1"/>
  <c r="F985" i="1"/>
  <c r="M985" i="1"/>
  <c r="O985" i="1"/>
  <c r="P985" i="1"/>
  <c r="Q985" i="1" s="1"/>
  <c r="A1785" i="1"/>
  <c r="A1786" i="1"/>
  <c r="C1785" i="1"/>
  <c r="B1785" i="1" s="1"/>
  <c r="C1786" i="1"/>
  <c r="B1786" i="1" s="1"/>
  <c r="F1785" i="1"/>
  <c r="F1786" i="1"/>
  <c r="M1785" i="1"/>
  <c r="M1786" i="1"/>
  <c r="O1785" i="1"/>
  <c r="O1786" i="1"/>
  <c r="P1785" i="1"/>
  <c r="Q1785" i="1" s="1"/>
  <c r="P1786" i="1"/>
  <c r="Q1786" i="1" s="1"/>
  <c r="A1197" i="1"/>
  <c r="C1197" i="1"/>
  <c r="B1197" i="1" s="1"/>
  <c r="F1197" i="1"/>
  <c r="M1197" i="1"/>
  <c r="O1197" i="1"/>
  <c r="P1197" i="1"/>
  <c r="Q1197" i="1" s="1"/>
  <c r="A1494" i="1"/>
  <c r="C1494" i="1"/>
  <c r="B1494" i="1" s="1"/>
  <c r="F1494" i="1"/>
  <c r="M1494" i="1"/>
  <c r="O1494" i="1"/>
  <c r="P1494" i="1"/>
  <c r="Q1494" i="1" s="1"/>
  <c r="A401" i="1"/>
  <c r="C401" i="1"/>
  <c r="B401" i="1" s="1"/>
  <c r="F401" i="1"/>
  <c r="M401" i="1"/>
  <c r="O401" i="1"/>
  <c r="P401" i="1"/>
  <c r="Q401" i="1" s="1"/>
  <c r="A420" i="1"/>
  <c r="C420" i="1"/>
  <c r="B420" i="1" s="1"/>
  <c r="F420" i="1"/>
  <c r="M420" i="1"/>
  <c r="O420" i="1"/>
  <c r="P420" i="1"/>
  <c r="Q420" i="1" s="1"/>
  <c r="P696" i="1"/>
  <c r="Q696" i="1" s="1"/>
  <c r="A696" i="1"/>
  <c r="C696" i="1"/>
  <c r="B696" i="1" s="1"/>
  <c r="F696" i="1"/>
  <c r="A651" i="1"/>
  <c r="C651" i="1"/>
  <c r="B651" i="1" s="1"/>
  <c r="F651" i="1"/>
  <c r="M651" i="1"/>
  <c r="O651" i="1"/>
  <c r="Q651" i="1"/>
  <c r="A1081" i="1"/>
  <c r="C1081" i="1"/>
  <c r="B1081" i="1" s="1"/>
  <c r="F1081" i="1"/>
  <c r="O1081" i="1"/>
  <c r="P1081" i="1"/>
  <c r="Q1081" i="1" s="1"/>
  <c r="A1281" i="1"/>
  <c r="C1281" i="1"/>
  <c r="B1281" i="1" s="1"/>
  <c r="F1281" i="1"/>
  <c r="O1281" i="1"/>
  <c r="P1281" i="1"/>
  <c r="Q1281" i="1" s="1"/>
  <c r="E1077" i="6"/>
  <c r="F1077" i="6"/>
  <c r="I1077" i="6"/>
  <c r="J1077" i="6"/>
  <c r="A1418" i="1"/>
  <c r="C1418" i="1"/>
  <c r="B1418" i="1" s="1"/>
  <c r="F1418" i="1"/>
  <c r="O1418" i="1"/>
  <c r="P1418" i="1"/>
  <c r="Q1418" i="1" s="1"/>
  <c r="A1345" i="1"/>
  <c r="C1345" i="1"/>
  <c r="B1345" i="1" s="1"/>
  <c r="F1345" i="1"/>
  <c r="M1345" i="1"/>
  <c r="O1345" i="1"/>
  <c r="P1345" i="1"/>
  <c r="Q1345" i="1" s="1"/>
  <c r="A1237" i="1"/>
  <c r="C1237" i="1"/>
  <c r="B1237" i="1" s="1"/>
  <c r="F1237" i="1"/>
  <c r="M1237" i="1"/>
  <c r="O1237" i="1"/>
  <c r="P1237" i="1"/>
  <c r="Q1237" i="1" s="1"/>
  <c r="A1772" i="1"/>
  <c r="C1772" i="1"/>
  <c r="B1772" i="1" s="1"/>
  <c r="F1772" i="1"/>
  <c r="M1772" i="1"/>
  <c r="O1772" i="1"/>
  <c r="P1772" i="1"/>
  <c r="Q1772" i="1" s="1"/>
  <c r="O826" i="1"/>
  <c r="O828" i="1"/>
  <c r="O830" i="1"/>
  <c r="A831" i="1"/>
  <c r="C831" i="1"/>
  <c r="B831" i="1" s="1"/>
  <c r="F831" i="1"/>
  <c r="M831" i="1"/>
  <c r="O831" i="1"/>
  <c r="P831" i="1"/>
  <c r="Q831" i="1" s="1"/>
  <c r="A829" i="1"/>
  <c r="C829" i="1"/>
  <c r="B829" i="1" s="1"/>
  <c r="F829" i="1"/>
  <c r="M829" i="1"/>
  <c r="O829" i="1"/>
  <c r="P829" i="1"/>
  <c r="Q829" i="1" s="1"/>
  <c r="A827" i="1"/>
  <c r="C827" i="1"/>
  <c r="B827" i="1" s="1"/>
  <c r="F827" i="1"/>
  <c r="M827" i="1"/>
  <c r="O827" i="1"/>
  <c r="P827" i="1"/>
  <c r="Q827" i="1" s="1"/>
  <c r="P708" i="1" l="1"/>
  <c r="Q708" i="1" s="1"/>
  <c r="R708" i="1" s="1"/>
  <c r="M696" i="1"/>
  <c r="O696" i="1"/>
  <c r="R384" i="1"/>
  <c r="R1667" i="1"/>
  <c r="D1669" i="1" s="1"/>
  <c r="R1786" i="1"/>
  <c r="R985" i="1"/>
  <c r="D985" i="1" s="1"/>
  <c r="R1785" i="1"/>
  <c r="R1197" i="1"/>
  <c r="D1199" i="1" s="1"/>
  <c r="R1494" i="1"/>
  <c r="D1497" i="1" s="1"/>
  <c r="R401" i="1"/>
  <c r="R420" i="1"/>
  <c r="R651" i="1"/>
  <c r="D651" i="1" s="1"/>
  <c r="R1081" i="1"/>
  <c r="D1081" i="1" s="1"/>
  <c r="R1281" i="1"/>
  <c r="D1281" i="1" s="1"/>
  <c r="R1418" i="1"/>
  <c r="D1421" i="1" s="1"/>
  <c r="R1345" i="1"/>
  <c r="D1347" i="1" s="1"/>
  <c r="R1237" i="1"/>
  <c r="D1237" i="1" s="1"/>
  <c r="R1772" i="1"/>
  <c r="D1775" i="1" l="1"/>
  <c r="D1776" i="1"/>
  <c r="D1420" i="1"/>
  <c r="D1419" i="1"/>
  <c r="D1495" i="1"/>
  <c r="D1496" i="1"/>
  <c r="D1773" i="1"/>
  <c r="D1774" i="1"/>
  <c r="D1667" i="1"/>
  <c r="D1668" i="1"/>
  <c r="D708" i="1"/>
  <c r="D709" i="1"/>
  <c r="D1345" i="1"/>
  <c r="D1346" i="1"/>
  <c r="R696" i="1"/>
  <c r="D1785" i="1"/>
  <c r="D1786" i="1"/>
  <c r="D401" i="1"/>
  <c r="A637" i="1"/>
  <c r="C637" i="1"/>
  <c r="B637" i="1" s="1"/>
  <c r="F637" i="1"/>
  <c r="M637" i="1"/>
  <c r="O637" i="1"/>
  <c r="P637" i="1"/>
  <c r="Q637" i="1" s="1"/>
  <c r="A636" i="1"/>
  <c r="C636" i="1"/>
  <c r="B636" i="1" s="1"/>
  <c r="F636" i="1"/>
  <c r="M636" i="1"/>
  <c r="O636" i="1"/>
  <c r="P636" i="1"/>
  <c r="Q636" i="1" s="1"/>
  <c r="A565" i="1"/>
  <c r="C565" i="1"/>
  <c r="B565" i="1" s="1"/>
  <c r="F565" i="1"/>
  <c r="M565" i="1"/>
  <c r="O565" i="1"/>
  <c r="P565" i="1"/>
  <c r="Q565" i="1" s="1"/>
  <c r="A1540" i="1"/>
  <c r="C1540" i="1"/>
  <c r="B1540" i="1" s="1"/>
  <c r="F1540" i="1"/>
  <c r="M1540" i="1"/>
  <c r="O1540" i="1"/>
  <c r="P1540" i="1"/>
  <c r="Q1540" i="1" s="1"/>
  <c r="A1462" i="1"/>
  <c r="C1462" i="1"/>
  <c r="B1462" i="1" s="1"/>
  <c r="F1462" i="1"/>
  <c r="M1462" i="1"/>
  <c r="O1462" i="1"/>
  <c r="P1462" i="1"/>
  <c r="Q1462" i="1" s="1"/>
  <c r="A685" i="1"/>
  <c r="C685" i="1"/>
  <c r="B685" i="1" s="1"/>
  <c r="F685" i="1"/>
  <c r="M685" i="1"/>
  <c r="O685" i="1"/>
  <c r="P685" i="1"/>
  <c r="Q685" i="1" s="1"/>
  <c r="A97" i="1"/>
  <c r="C97" i="1"/>
  <c r="B97" i="1" s="1"/>
  <c r="F97" i="1"/>
  <c r="M97" i="1"/>
  <c r="O97" i="1"/>
  <c r="P97" i="1"/>
  <c r="Q97" i="1" s="1"/>
  <c r="S97" i="1"/>
  <c r="A255" i="1"/>
  <c r="C255" i="1"/>
  <c r="B255" i="1" s="1"/>
  <c r="D255" i="1"/>
  <c r="F255" i="1"/>
  <c r="M255" i="1"/>
  <c r="O255" i="1"/>
  <c r="P255" i="1"/>
  <c r="Q255" i="1" s="1"/>
  <c r="S255" i="1"/>
  <c r="A383" i="1"/>
  <c r="C383" i="1"/>
  <c r="B383" i="1" s="1"/>
  <c r="F383" i="1"/>
  <c r="M383" i="1"/>
  <c r="O383" i="1"/>
  <c r="P383" i="1"/>
  <c r="Q383" i="1" s="1"/>
  <c r="S383" i="1"/>
  <c r="C1104" i="6"/>
  <c r="E1104" i="6" s="1"/>
  <c r="E1130" i="6"/>
  <c r="F1130" i="6"/>
  <c r="I1130" i="6"/>
  <c r="J1130" i="6"/>
  <c r="C1103" i="6"/>
  <c r="E1076" i="6"/>
  <c r="F1076" i="6"/>
  <c r="I1076" i="6"/>
  <c r="J1076" i="6"/>
  <c r="A1110" i="1"/>
  <c r="C1110" i="1"/>
  <c r="B1110" i="1" s="1"/>
  <c r="F1110" i="1"/>
  <c r="M1110" i="1"/>
  <c r="O1110" i="1"/>
  <c r="P1110" i="1"/>
  <c r="Q1110" i="1" s="1"/>
  <c r="A1637" i="1"/>
  <c r="C1637" i="1"/>
  <c r="B1637" i="1" s="1"/>
  <c r="F1637" i="1"/>
  <c r="M1637" i="1"/>
  <c r="O1637" i="1"/>
  <c r="P1637" i="1"/>
  <c r="Q1637" i="1" s="1"/>
  <c r="M1695" i="1"/>
  <c r="A1695" i="1"/>
  <c r="C1695" i="1"/>
  <c r="B1695" i="1" s="1"/>
  <c r="F1695" i="1"/>
  <c r="P684" i="1"/>
  <c r="Q684" i="1" s="1"/>
  <c r="A684" i="1"/>
  <c r="C684" i="1"/>
  <c r="B684" i="1" s="1"/>
  <c r="F684" i="1"/>
  <c r="O684" i="1"/>
  <c r="A226" i="1"/>
  <c r="C226" i="1"/>
  <c r="B226" i="1" s="1"/>
  <c r="F226" i="1"/>
  <c r="M226" i="1"/>
  <c r="O226" i="1"/>
  <c r="P226" i="1"/>
  <c r="Q226" i="1" s="1"/>
  <c r="A224" i="1"/>
  <c r="C224" i="1"/>
  <c r="B224" i="1" s="1"/>
  <c r="F224" i="1"/>
  <c r="M224" i="1"/>
  <c r="O224" i="1"/>
  <c r="P224" i="1"/>
  <c r="Q224" i="1" s="1"/>
  <c r="K1101" i="1"/>
  <c r="M1101" i="1" s="1"/>
  <c r="A1101" i="1"/>
  <c r="C1101" i="1"/>
  <c r="B1101" i="1" s="1"/>
  <c r="F1101" i="1"/>
  <c r="A1052" i="1"/>
  <c r="C1052" i="1"/>
  <c r="B1052" i="1" s="1"/>
  <c r="F1052" i="1"/>
  <c r="M1052" i="1"/>
  <c r="O1052" i="1"/>
  <c r="P1052" i="1"/>
  <c r="Q1052" i="1" s="1"/>
  <c r="A998" i="1"/>
  <c r="C998" i="1"/>
  <c r="B998" i="1" s="1"/>
  <c r="F998" i="1"/>
  <c r="M998" i="1"/>
  <c r="O998" i="1"/>
  <c r="P998" i="1"/>
  <c r="Q998" i="1" s="1"/>
  <c r="A1006" i="1"/>
  <c r="B1006" i="1"/>
  <c r="F1006" i="1"/>
  <c r="M1006" i="1"/>
  <c r="O1006" i="1"/>
  <c r="P1006" i="1"/>
  <c r="Q1006" i="1" s="1"/>
  <c r="A1005" i="1"/>
  <c r="B1005" i="1"/>
  <c r="F1005" i="1"/>
  <c r="M1005" i="1"/>
  <c r="O1005" i="1"/>
  <c r="P1005" i="1"/>
  <c r="Q1005" i="1" s="1"/>
  <c r="E217" i="6"/>
  <c r="F217" i="6"/>
  <c r="I217" i="6"/>
  <c r="J217" i="6"/>
  <c r="E218" i="6"/>
  <c r="F218" i="6"/>
  <c r="I218" i="6"/>
  <c r="J218" i="6"/>
  <c r="E25" i="6"/>
  <c r="I25" i="6"/>
  <c r="J25" i="6"/>
  <c r="A928" i="1"/>
  <c r="C928" i="1"/>
  <c r="B928" i="1" s="1"/>
  <c r="F928" i="1"/>
  <c r="M928" i="1"/>
  <c r="O928" i="1"/>
  <c r="P928" i="1"/>
  <c r="Q928" i="1" s="1"/>
  <c r="A775" i="1"/>
  <c r="C775" i="1"/>
  <c r="B775" i="1" s="1"/>
  <c r="F775" i="1"/>
  <c r="M775" i="1"/>
  <c r="O775" i="1"/>
  <c r="P775" i="1"/>
  <c r="Q775" i="1" s="1"/>
  <c r="A723" i="1"/>
  <c r="C723" i="1"/>
  <c r="B723" i="1" s="1"/>
  <c r="F723" i="1"/>
  <c r="M723" i="1"/>
  <c r="O723" i="1"/>
  <c r="P723" i="1"/>
  <c r="Q723" i="1" s="1"/>
  <c r="A713" i="1"/>
  <c r="C713" i="1"/>
  <c r="B713" i="1" s="1"/>
  <c r="F713" i="1"/>
  <c r="M713" i="1"/>
  <c r="O713" i="1"/>
  <c r="P713" i="1"/>
  <c r="Q713" i="1" s="1"/>
  <c r="A1585" i="1"/>
  <c r="C1585" i="1"/>
  <c r="B1585" i="1" s="1"/>
  <c r="F1585" i="1"/>
  <c r="M1585" i="1"/>
  <c r="O1585" i="1"/>
  <c r="P1585" i="1"/>
  <c r="Q1585" i="1" s="1"/>
  <c r="A1298" i="1"/>
  <c r="C1298" i="1"/>
  <c r="B1298" i="1" s="1"/>
  <c r="F1298" i="1"/>
  <c r="M1298" i="1"/>
  <c r="O1298" i="1"/>
  <c r="P1298" i="1"/>
  <c r="Q1298" i="1" s="1"/>
  <c r="A1493" i="1"/>
  <c r="C1493" i="1"/>
  <c r="B1493" i="1" s="1"/>
  <c r="F1493" i="1"/>
  <c r="M1493" i="1"/>
  <c r="O1493" i="1"/>
  <c r="P1493" i="1"/>
  <c r="Q1493" i="1" s="1"/>
  <c r="A1841" i="1"/>
  <c r="C1841" i="1"/>
  <c r="B1841" i="1" s="1"/>
  <c r="F1841" i="1"/>
  <c r="M1841" i="1"/>
  <c r="O1841" i="1"/>
  <c r="P1841" i="1"/>
  <c r="Q1841" i="1" s="1"/>
  <c r="A1415" i="1"/>
  <c r="C1415" i="1"/>
  <c r="B1415" i="1" s="1"/>
  <c r="F1415" i="1"/>
  <c r="M1415" i="1"/>
  <c r="O1415" i="1"/>
  <c r="P1415" i="1"/>
  <c r="Q1415" i="1" s="1"/>
  <c r="A1416" i="1"/>
  <c r="C1416" i="1"/>
  <c r="B1416" i="1" s="1"/>
  <c r="F1416" i="1"/>
  <c r="M1416" i="1"/>
  <c r="O1416" i="1"/>
  <c r="P1416" i="1"/>
  <c r="Q1416" i="1" s="1"/>
  <c r="A1417" i="1"/>
  <c r="C1417" i="1"/>
  <c r="B1417" i="1" s="1"/>
  <c r="F1417" i="1"/>
  <c r="O1417" i="1"/>
  <c r="P1417" i="1"/>
  <c r="Q1417" i="1" s="1"/>
  <c r="A1461" i="1"/>
  <c r="C1461" i="1"/>
  <c r="B1461" i="1" s="1"/>
  <c r="F1461" i="1"/>
  <c r="M1461" i="1"/>
  <c r="O1461" i="1"/>
  <c r="P1461" i="1"/>
  <c r="Q1461" i="1" s="1"/>
  <c r="A1492" i="1"/>
  <c r="C1492" i="1"/>
  <c r="B1492" i="1" s="1"/>
  <c r="F1492" i="1"/>
  <c r="M1492" i="1"/>
  <c r="O1492" i="1"/>
  <c r="P1492" i="1"/>
  <c r="Q1492" i="1" s="1"/>
  <c r="C530" i="6"/>
  <c r="E530" i="6" s="1"/>
  <c r="E1101" i="6"/>
  <c r="F1101" i="6"/>
  <c r="I1101" i="6"/>
  <c r="J1101" i="6"/>
  <c r="E1075" i="6"/>
  <c r="F1075" i="6"/>
  <c r="I1075" i="6"/>
  <c r="J1075" i="6"/>
  <c r="E1129" i="6"/>
  <c r="F1129" i="6"/>
  <c r="I1129" i="6"/>
  <c r="J1129" i="6"/>
  <c r="E1102" i="6"/>
  <c r="F1102" i="6"/>
  <c r="I1102" i="6"/>
  <c r="J1102" i="6"/>
  <c r="A382" i="1"/>
  <c r="C382" i="1"/>
  <c r="B382" i="1" s="1"/>
  <c r="F382" i="1"/>
  <c r="M382" i="1"/>
  <c r="O382" i="1"/>
  <c r="P382" i="1"/>
  <c r="Q382" i="1" s="1"/>
  <c r="A927" i="1"/>
  <c r="C927" i="1"/>
  <c r="B927" i="1" s="1"/>
  <c r="F927" i="1"/>
  <c r="M927" i="1"/>
  <c r="O927" i="1"/>
  <c r="P927" i="1"/>
  <c r="Q927" i="1" s="1"/>
  <c r="S927" i="1"/>
  <c r="A175" i="1"/>
  <c r="C175" i="1"/>
  <c r="B175" i="1" s="1"/>
  <c r="F175" i="1"/>
  <c r="M175" i="1"/>
  <c r="O175" i="1"/>
  <c r="P175" i="1"/>
  <c r="Q175" i="1" s="1"/>
  <c r="S175" i="1"/>
  <c r="A170" i="1"/>
  <c r="A171" i="1"/>
  <c r="A172" i="1"/>
  <c r="A173" i="1"/>
  <c r="A174" i="1"/>
  <c r="C170" i="1"/>
  <c r="B170" i="1" s="1"/>
  <c r="C171" i="1"/>
  <c r="B171" i="1" s="1"/>
  <c r="C172" i="1"/>
  <c r="B172" i="1" s="1"/>
  <c r="C173" i="1"/>
  <c r="B173" i="1" s="1"/>
  <c r="C174" i="1"/>
  <c r="B174" i="1" s="1"/>
  <c r="F170" i="1"/>
  <c r="F171" i="1"/>
  <c r="F172" i="1"/>
  <c r="F173" i="1"/>
  <c r="F174" i="1"/>
  <c r="M170" i="1"/>
  <c r="M171" i="1"/>
  <c r="M172" i="1"/>
  <c r="M173" i="1"/>
  <c r="M174" i="1"/>
  <c r="O170" i="1"/>
  <c r="O171" i="1"/>
  <c r="O172" i="1"/>
  <c r="O173" i="1"/>
  <c r="O174" i="1"/>
  <c r="P170" i="1"/>
  <c r="Q170" i="1" s="1"/>
  <c r="P171" i="1"/>
  <c r="Q171" i="1" s="1"/>
  <c r="P172" i="1"/>
  <c r="Q172" i="1" s="1"/>
  <c r="P173" i="1"/>
  <c r="Q173" i="1" s="1"/>
  <c r="P174" i="1"/>
  <c r="Q174" i="1" s="1"/>
  <c r="S170" i="1"/>
  <c r="S171" i="1"/>
  <c r="S172" i="1"/>
  <c r="S173" i="1"/>
  <c r="S174" i="1"/>
  <c r="E1074" i="6"/>
  <c r="E1100" i="6"/>
  <c r="E1128" i="6"/>
  <c r="F1074" i="6"/>
  <c r="F1100" i="6"/>
  <c r="F1128" i="6"/>
  <c r="I1074" i="6"/>
  <c r="I1100" i="6"/>
  <c r="I1128" i="6"/>
  <c r="J1074" i="6"/>
  <c r="J1100" i="6"/>
  <c r="J1128" i="6"/>
  <c r="E471" i="6"/>
  <c r="E482" i="6"/>
  <c r="E488" i="6"/>
  <c r="F471" i="6"/>
  <c r="F482" i="6"/>
  <c r="I471" i="6"/>
  <c r="I482" i="6"/>
  <c r="I488" i="6"/>
  <c r="J471" i="6"/>
  <c r="J482" i="6"/>
  <c r="J488" i="6"/>
  <c r="V20" i="16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C492" i="6"/>
  <c r="F495" i="6" s="1"/>
  <c r="A841" i="1"/>
  <c r="C841" i="1"/>
  <c r="B841" i="1" s="1"/>
  <c r="F841" i="1"/>
  <c r="M841" i="1"/>
  <c r="O841" i="1"/>
  <c r="P841" i="1"/>
  <c r="Q841" i="1" s="1"/>
  <c r="F1115" i="6" l="1"/>
  <c r="F1116" i="6"/>
  <c r="F1113" i="6"/>
  <c r="F1114" i="6"/>
  <c r="Y44" i="15"/>
  <c r="Y29" i="15"/>
  <c r="F494" i="6"/>
  <c r="X44" i="15"/>
  <c r="F1112" i="6"/>
  <c r="F493" i="6"/>
  <c r="X29" i="15"/>
  <c r="F1109" i="6"/>
  <c r="F1110" i="6"/>
  <c r="F1108" i="6"/>
  <c r="F1107" i="6"/>
  <c r="W44" i="15"/>
  <c r="E492" i="6"/>
  <c r="W29" i="15"/>
  <c r="D696" i="1"/>
  <c r="D697" i="1"/>
  <c r="I1103" i="6"/>
  <c r="F1106" i="6"/>
  <c r="F1105" i="6"/>
  <c r="I1104" i="6"/>
  <c r="F1103" i="6"/>
  <c r="E1103" i="6"/>
  <c r="F1104" i="6"/>
  <c r="R637" i="1"/>
  <c r="R636" i="1"/>
  <c r="R565" i="1"/>
  <c r="D565" i="1" s="1"/>
  <c r="R1540" i="1"/>
  <c r="R1462" i="1"/>
  <c r="P1101" i="1"/>
  <c r="Q1101" i="1" s="1"/>
  <c r="P1695" i="1"/>
  <c r="Q1695" i="1" s="1"/>
  <c r="O1101" i="1"/>
  <c r="O1695" i="1"/>
  <c r="R685" i="1"/>
  <c r="R97" i="1"/>
  <c r="D97" i="1" s="1"/>
  <c r="R255" i="1"/>
  <c r="R383" i="1"/>
  <c r="D383" i="1" s="1"/>
  <c r="J1104" i="6"/>
  <c r="J1103" i="6"/>
  <c r="R1110" i="1"/>
  <c r="D1110" i="1" s="1"/>
  <c r="R1637" i="1"/>
  <c r="D1637" i="1" s="1"/>
  <c r="R684" i="1"/>
  <c r="R226" i="1"/>
  <c r="R224" i="1"/>
  <c r="R1052" i="1"/>
  <c r="D1052" i="1" s="1"/>
  <c r="R998" i="1"/>
  <c r="D998" i="1" s="1"/>
  <c r="R1006" i="1"/>
  <c r="R1005" i="1"/>
  <c r="R928" i="1"/>
  <c r="R775" i="1"/>
  <c r="D777" i="1" s="1"/>
  <c r="R723" i="1"/>
  <c r="R713" i="1"/>
  <c r="R1585" i="1"/>
  <c r="D1585" i="1" s="1"/>
  <c r="R1298" i="1"/>
  <c r="R1493" i="1"/>
  <c r="R1841" i="1"/>
  <c r="D1842" i="1" s="1"/>
  <c r="R1415" i="1"/>
  <c r="R1416" i="1"/>
  <c r="R1417" i="1"/>
  <c r="R1461" i="1"/>
  <c r="R1492" i="1"/>
  <c r="J530" i="6"/>
  <c r="I530" i="6"/>
  <c r="R382" i="1"/>
  <c r="D382" i="1" s="1"/>
  <c r="R927" i="1"/>
  <c r="D927" i="1" s="1"/>
  <c r="D174" i="1"/>
  <c r="D172" i="1"/>
  <c r="D175" i="1"/>
  <c r="D173" i="1"/>
  <c r="F492" i="6"/>
  <c r="R171" i="1"/>
  <c r="R172" i="1"/>
  <c r="R173" i="1"/>
  <c r="R175" i="1"/>
  <c r="R174" i="1"/>
  <c r="D171" i="1" s="1"/>
  <c r="R170" i="1"/>
  <c r="D170" i="1"/>
  <c r="J492" i="6"/>
  <c r="I492" i="6"/>
  <c r="R841" i="1"/>
  <c r="D841" i="1" s="1"/>
  <c r="D1465" i="1" l="1"/>
  <c r="D1298" i="1"/>
  <c r="D1299" i="1"/>
  <c r="D726" i="1"/>
  <c r="D725" i="1"/>
  <c r="D1464" i="1"/>
  <c r="D775" i="1"/>
  <c r="D776" i="1"/>
  <c r="D713" i="1"/>
  <c r="D714" i="1"/>
  <c r="D1494" i="1"/>
  <c r="R1101" i="1"/>
  <c r="D1101" i="1" s="1"/>
  <c r="D636" i="1"/>
  <c r="D637" i="1"/>
  <c r="R1695" i="1"/>
  <c r="D1005" i="1"/>
  <c r="D1006" i="1"/>
  <c r="F805" i="1"/>
  <c r="D1695" i="1" l="1"/>
  <c r="D1694" i="1"/>
  <c r="E271" i="6"/>
  <c r="F271" i="6"/>
  <c r="I271" i="6"/>
  <c r="J271" i="6"/>
  <c r="E305" i="6"/>
  <c r="F305" i="6"/>
  <c r="I305" i="6"/>
  <c r="J305" i="6"/>
  <c r="E441" i="6"/>
  <c r="E442" i="6"/>
  <c r="F441" i="6"/>
  <c r="F442" i="6"/>
  <c r="I441" i="6"/>
  <c r="I442" i="6"/>
  <c r="J441" i="6"/>
  <c r="J442" i="6"/>
  <c r="E440" i="6"/>
  <c r="F440" i="6"/>
  <c r="I440" i="6"/>
  <c r="J440" i="6"/>
  <c r="E439" i="6"/>
  <c r="F439" i="6"/>
  <c r="I439" i="6"/>
  <c r="J439" i="6"/>
  <c r="E438" i="6"/>
  <c r="F438" i="6"/>
  <c r="I438" i="6"/>
  <c r="J438" i="6"/>
  <c r="E1062" i="6"/>
  <c r="I1062" i="6"/>
  <c r="J1062" i="6"/>
  <c r="D6" i="6"/>
  <c r="F6" i="6"/>
  <c r="I6" i="6"/>
  <c r="V22" i="16"/>
  <c r="A1128" i="1"/>
  <c r="C1128" i="1"/>
  <c r="B1128" i="1" s="1"/>
  <c r="F1128" i="1"/>
  <c r="M1128" i="1"/>
  <c r="O1128" i="1"/>
  <c r="P1128" i="1"/>
  <c r="Q1128" i="1" s="1"/>
  <c r="C472" i="6"/>
  <c r="F478" i="6" s="1"/>
  <c r="A981" i="1"/>
  <c r="C981" i="1"/>
  <c r="B981" i="1" s="1"/>
  <c r="F981" i="1"/>
  <c r="M981" i="1"/>
  <c r="P981" i="1"/>
  <c r="Q981" i="1" s="1"/>
  <c r="A456" i="1"/>
  <c r="C456" i="1"/>
  <c r="B456" i="1" s="1"/>
  <c r="F456" i="1"/>
  <c r="M456" i="1"/>
  <c r="O456" i="1"/>
  <c r="P456" i="1"/>
  <c r="Q456" i="1" s="1"/>
  <c r="S456" i="1"/>
  <c r="A381" i="1"/>
  <c r="C381" i="1"/>
  <c r="B381" i="1" s="1"/>
  <c r="F381" i="1"/>
  <c r="M381" i="1"/>
  <c r="O381" i="1"/>
  <c r="P381" i="1"/>
  <c r="Q381" i="1" s="1"/>
  <c r="A959" i="1"/>
  <c r="C959" i="1"/>
  <c r="B959" i="1" s="1"/>
  <c r="F959" i="1"/>
  <c r="M959" i="1"/>
  <c r="O959" i="1"/>
  <c r="P959" i="1"/>
  <c r="Q959" i="1" s="1"/>
  <c r="A958" i="1"/>
  <c r="C958" i="1"/>
  <c r="B958" i="1" s="1"/>
  <c r="F958" i="1"/>
  <c r="M958" i="1"/>
  <c r="O958" i="1"/>
  <c r="P958" i="1"/>
  <c r="Q958" i="1" s="1"/>
  <c r="A754" i="1"/>
  <c r="C754" i="1"/>
  <c r="B754" i="1" s="1"/>
  <c r="F754" i="1"/>
  <c r="M754" i="1"/>
  <c r="O754" i="1"/>
  <c r="Q754" i="1"/>
  <c r="O995" i="1"/>
  <c r="A995" i="1"/>
  <c r="C995" i="1"/>
  <c r="B995" i="1" s="1"/>
  <c r="F995" i="1"/>
  <c r="M995" i="1"/>
  <c r="P995" i="1"/>
  <c r="Q995" i="1" s="1"/>
  <c r="A994" i="1"/>
  <c r="C994" i="1"/>
  <c r="B994" i="1" s="1"/>
  <c r="F994" i="1"/>
  <c r="O994" i="1"/>
  <c r="P994" i="1"/>
  <c r="Q994" i="1" s="1"/>
  <c r="A683" i="1"/>
  <c r="C683" i="1"/>
  <c r="B683" i="1" s="1"/>
  <c r="F683" i="1"/>
  <c r="M683" i="1"/>
  <c r="O683" i="1"/>
  <c r="P683" i="1"/>
  <c r="Q683" i="1" s="1"/>
  <c r="A1021" i="1"/>
  <c r="C1021" i="1"/>
  <c r="B1021" i="1" s="1"/>
  <c r="F1021" i="1"/>
  <c r="M1021" i="1"/>
  <c r="O1021" i="1"/>
  <c r="P1021" i="1"/>
  <c r="Q1021" i="1" s="1"/>
  <c r="A1036" i="1"/>
  <c r="C1036" i="1"/>
  <c r="B1036" i="1" s="1"/>
  <c r="F1036" i="1"/>
  <c r="M1036" i="1"/>
  <c r="O1036" i="1"/>
  <c r="P1036" i="1"/>
  <c r="Q1036" i="1" s="1"/>
  <c r="A1035" i="1"/>
  <c r="C1035" i="1"/>
  <c r="B1035" i="1" s="1"/>
  <c r="F1035" i="1"/>
  <c r="M1035" i="1"/>
  <c r="O1035" i="1"/>
  <c r="P1035" i="1"/>
  <c r="Q1035" i="1" s="1"/>
  <c r="A1089" i="1"/>
  <c r="B1089" i="1"/>
  <c r="A1539" i="1"/>
  <c r="C1539" i="1"/>
  <c r="B1539" i="1" s="1"/>
  <c r="F1539" i="1"/>
  <c r="M1539" i="1"/>
  <c r="O1539" i="1"/>
  <c r="P1539" i="1"/>
  <c r="Q1539" i="1" s="1"/>
  <c r="A1344" i="1"/>
  <c r="C1344" i="1"/>
  <c r="B1344" i="1" s="1"/>
  <c r="F1344" i="1"/>
  <c r="M1344" i="1"/>
  <c r="O1344" i="1"/>
  <c r="P1344" i="1"/>
  <c r="Q1344" i="1" s="1"/>
  <c r="A1343" i="1"/>
  <c r="C1343" i="1"/>
  <c r="B1343" i="1" s="1"/>
  <c r="F1343" i="1"/>
  <c r="M1343" i="1"/>
  <c r="O1343" i="1"/>
  <c r="P1343" i="1"/>
  <c r="Q1343" i="1" s="1"/>
  <c r="A1341" i="1"/>
  <c r="C1341" i="1"/>
  <c r="B1341" i="1" s="1"/>
  <c r="F1341" i="1"/>
  <c r="M1341" i="1"/>
  <c r="O1341" i="1"/>
  <c r="P1341" i="1"/>
  <c r="Q1341" i="1" s="1"/>
  <c r="A37" i="1"/>
  <c r="C37" i="1"/>
  <c r="B37" i="1" s="1"/>
  <c r="F37" i="1"/>
  <c r="M37" i="1"/>
  <c r="O37" i="1"/>
  <c r="P37" i="1"/>
  <c r="Q37" i="1" s="1"/>
  <c r="K138" i="1"/>
  <c r="P138" i="1" s="1"/>
  <c r="Q138" i="1" s="1"/>
  <c r="A138" i="1"/>
  <c r="C138" i="1"/>
  <c r="B138" i="1" s="1"/>
  <c r="F138" i="1"/>
  <c r="A69" i="1"/>
  <c r="C69" i="1"/>
  <c r="B69" i="1" s="1"/>
  <c r="F69" i="1"/>
  <c r="M69" i="1"/>
  <c r="O69" i="1"/>
  <c r="P69" i="1"/>
  <c r="Q69" i="1" s="1"/>
  <c r="A1196" i="1"/>
  <c r="C1196" i="1"/>
  <c r="B1196" i="1" s="1"/>
  <c r="F1196" i="1"/>
  <c r="M1196" i="1"/>
  <c r="O1196" i="1"/>
  <c r="P1196" i="1"/>
  <c r="Q1196" i="1" s="1"/>
  <c r="A836" i="1"/>
  <c r="C836" i="1"/>
  <c r="B836" i="1" s="1"/>
  <c r="F836" i="1"/>
  <c r="M836" i="1"/>
  <c r="O836" i="1"/>
  <c r="P836" i="1"/>
  <c r="Q836" i="1" s="1"/>
  <c r="A497" i="1"/>
  <c r="C497" i="1"/>
  <c r="B497" i="1" s="1"/>
  <c r="F497" i="1"/>
  <c r="M497" i="1"/>
  <c r="O497" i="1"/>
  <c r="P497" i="1"/>
  <c r="Q497" i="1" s="1"/>
  <c r="A835" i="1"/>
  <c r="C835" i="1"/>
  <c r="B835" i="1" s="1"/>
  <c r="F835" i="1"/>
  <c r="M835" i="1"/>
  <c r="O835" i="1"/>
  <c r="P835" i="1"/>
  <c r="Q835" i="1" s="1"/>
  <c r="A400" i="1"/>
  <c r="C400" i="1"/>
  <c r="B400" i="1" s="1"/>
  <c r="F400" i="1"/>
  <c r="M400" i="1"/>
  <c r="O400" i="1"/>
  <c r="P400" i="1"/>
  <c r="Q400" i="1" s="1"/>
  <c r="C486" i="6"/>
  <c r="F491" i="6" s="1"/>
  <c r="E465" i="6"/>
  <c r="I465" i="6"/>
  <c r="J465" i="6"/>
  <c r="E470" i="6"/>
  <c r="F470" i="6"/>
  <c r="I470" i="6"/>
  <c r="J470" i="6"/>
  <c r="E925" i="6"/>
  <c r="E934" i="6"/>
  <c r="E958" i="6"/>
  <c r="E983" i="6"/>
  <c r="E1008" i="6"/>
  <c r="E1031" i="6"/>
  <c r="E581" i="6"/>
  <c r="F934" i="6"/>
  <c r="F958" i="6"/>
  <c r="F983" i="6"/>
  <c r="F1008" i="6"/>
  <c r="F1031" i="6"/>
  <c r="F581" i="6"/>
  <c r="I925" i="6"/>
  <c r="I934" i="6"/>
  <c r="I958" i="6"/>
  <c r="I983" i="6"/>
  <c r="I1008" i="6"/>
  <c r="I1031" i="6"/>
  <c r="I581" i="6"/>
  <c r="J925" i="6"/>
  <c r="J934" i="6"/>
  <c r="J958" i="6"/>
  <c r="J983" i="6"/>
  <c r="J1008" i="6"/>
  <c r="J1031" i="6"/>
  <c r="J581" i="6"/>
  <c r="Y28" i="15" l="1"/>
  <c r="F490" i="6"/>
  <c r="F477" i="6"/>
  <c r="F474" i="6"/>
  <c r="Y26" i="15"/>
  <c r="F475" i="6"/>
  <c r="F476" i="6"/>
  <c r="F489" i="6"/>
  <c r="X28" i="15"/>
  <c r="F473" i="6"/>
  <c r="X26" i="15"/>
  <c r="F488" i="6"/>
  <c r="W28" i="15"/>
  <c r="E472" i="6"/>
  <c r="W26" i="15"/>
  <c r="E6" i="6"/>
  <c r="W19" i="16"/>
  <c r="J6" i="6"/>
  <c r="F472" i="6"/>
  <c r="J472" i="6"/>
  <c r="R1128" i="1"/>
  <c r="D1129" i="1" s="1"/>
  <c r="I472" i="6"/>
  <c r="R981" i="1"/>
  <c r="D981" i="1" s="1"/>
  <c r="R456" i="1"/>
  <c r="D456" i="1" s="1"/>
  <c r="R381" i="1"/>
  <c r="D381" i="1" s="1"/>
  <c r="R959" i="1"/>
  <c r="R958" i="1"/>
  <c r="R754" i="1"/>
  <c r="R995" i="1"/>
  <c r="R994" i="1"/>
  <c r="R683" i="1"/>
  <c r="R1021" i="1"/>
  <c r="D1021" i="1" s="1"/>
  <c r="R1036" i="1"/>
  <c r="R1035" i="1"/>
  <c r="R1539" i="1"/>
  <c r="R1343" i="1"/>
  <c r="O138" i="1"/>
  <c r="R1344" i="1"/>
  <c r="M138" i="1"/>
  <c r="R1341" i="1"/>
  <c r="R37" i="1"/>
  <c r="D37" i="1" s="1"/>
  <c r="R69" i="1"/>
  <c r="D70" i="1" s="1"/>
  <c r="R1196" i="1"/>
  <c r="D1195" i="1" s="1"/>
  <c r="R836" i="1"/>
  <c r="R497" i="1"/>
  <c r="R835" i="1"/>
  <c r="R400" i="1"/>
  <c r="D400" i="1" s="1"/>
  <c r="A169" i="1"/>
  <c r="C169" i="1"/>
  <c r="B169" i="1" s="1"/>
  <c r="F169" i="1"/>
  <c r="M169" i="1"/>
  <c r="O169" i="1"/>
  <c r="P169" i="1"/>
  <c r="Q169" i="1" s="1"/>
  <c r="A1538" i="1"/>
  <c r="C1538" i="1"/>
  <c r="B1538" i="1" s="1"/>
  <c r="F1538" i="1"/>
  <c r="M1538" i="1"/>
  <c r="O1538" i="1"/>
  <c r="P1538" i="1"/>
  <c r="Q1538" i="1" s="1"/>
  <c r="A1414" i="1"/>
  <c r="C1414" i="1"/>
  <c r="B1414" i="1" s="1"/>
  <c r="F1414" i="1"/>
  <c r="M1414" i="1"/>
  <c r="O1414" i="1"/>
  <c r="P1414" i="1"/>
  <c r="Q1414" i="1" s="1"/>
  <c r="A753" i="1"/>
  <c r="C753" i="1"/>
  <c r="B753" i="1" s="1"/>
  <c r="F753" i="1"/>
  <c r="M753" i="1"/>
  <c r="O753" i="1"/>
  <c r="P753" i="1"/>
  <c r="Q753" i="1" s="1"/>
  <c r="A1194" i="1"/>
  <c r="C1194" i="1"/>
  <c r="B1194" i="1" s="1"/>
  <c r="F1194" i="1"/>
  <c r="M1194" i="1"/>
  <c r="O1194" i="1"/>
  <c r="P1194" i="1"/>
  <c r="Q1194" i="1" s="1"/>
  <c r="A559" i="1"/>
  <c r="C559" i="1"/>
  <c r="B559" i="1" s="1"/>
  <c r="F559" i="1"/>
  <c r="M559" i="1"/>
  <c r="O559" i="1"/>
  <c r="P559" i="1"/>
  <c r="Q559" i="1" s="1"/>
  <c r="A264" i="1"/>
  <c r="C264" i="1"/>
  <c r="B264" i="1" s="1"/>
  <c r="F264" i="1"/>
  <c r="M264" i="1"/>
  <c r="O264" i="1"/>
  <c r="P264" i="1"/>
  <c r="Q264" i="1" s="1"/>
  <c r="D810" i="1" l="1"/>
  <c r="D811" i="1"/>
  <c r="D1197" i="1"/>
  <c r="D1198" i="1"/>
  <c r="D684" i="1"/>
  <c r="D685" i="1"/>
  <c r="D928" i="1"/>
  <c r="D958" i="1"/>
  <c r="D959" i="1"/>
  <c r="D994" i="1"/>
  <c r="D995" i="1"/>
  <c r="D1344" i="1"/>
  <c r="D1035" i="1"/>
  <c r="D1036" i="1"/>
  <c r="D1343" i="1"/>
  <c r="D1341" i="1"/>
  <c r="R138" i="1"/>
  <c r="D138" i="1" s="1"/>
  <c r="R169" i="1"/>
  <c r="D169" i="1" s="1"/>
  <c r="R1538" i="1"/>
  <c r="R1414" i="1"/>
  <c r="D1418" i="1" s="1"/>
  <c r="R753" i="1"/>
  <c r="R1194" i="1"/>
  <c r="R559" i="1"/>
  <c r="R264" i="1"/>
  <c r="D264" i="1" s="1"/>
  <c r="A419" i="1"/>
  <c r="C419" i="1"/>
  <c r="B419" i="1" s="1"/>
  <c r="F419" i="1"/>
  <c r="M419" i="1"/>
  <c r="O419" i="1"/>
  <c r="P419" i="1"/>
  <c r="Q419" i="1" s="1"/>
  <c r="F1127" i="1"/>
  <c r="A1127" i="1"/>
  <c r="B1127" i="1"/>
  <c r="O1127" i="1"/>
  <c r="P1127" i="1"/>
  <c r="Q1127" i="1" s="1"/>
  <c r="D755" i="1" l="1"/>
  <c r="D756" i="1"/>
  <c r="D753" i="1"/>
  <c r="D754" i="1"/>
  <c r="R419" i="1"/>
  <c r="D420" i="1" s="1"/>
  <c r="A380" i="1"/>
  <c r="C380" i="1"/>
  <c r="B380" i="1" s="1"/>
  <c r="F380" i="1"/>
  <c r="M380" i="1"/>
  <c r="O380" i="1"/>
  <c r="P380" i="1"/>
  <c r="Q380" i="1" s="1"/>
  <c r="E1073" i="6"/>
  <c r="F1073" i="6"/>
  <c r="I1073" i="6"/>
  <c r="J1073" i="6"/>
  <c r="A1342" i="1"/>
  <c r="C1342" i="1"/>
  <c r="B1342" i="1" s="1"/>
  <c r="F1342" i="1"/>
  <c r="M1342" i="1"/>
  <c r="O1342" i="1"/>
  <c r="P1342" i="1"/>
  <c r="Q1342" i="1" s="1"/>
  <c r="K1236" i="1"/>
  <c r="P1236" i="1" s="1"/>
  <c r="Q1236" i="1" s="1"/>
  <c r="A1236" i="1"/>
  <c r="C1236" i="1"/>
  <c r="B1236" i="1" s="1"/>
  <c r="F1236" i="1"/>
  <c r="A68" i="1"/>
  <c r="C68" i="1"/>
  <c r="B68" i="1" s="1"/>
  <c r="F68" i="1"/>
  <c r="M68" i="1"/>
  <c r="O68" i="1"/>
  <c r="P68" i="1"/>
  <c r="Q68" i="1" s="1"/>
  <c r="A379" i="1"/>
  <c r="C379" i="1"/>
  <c r="B379" i="1" s="1"/>
  <c r="F379" i="1"/>
  <c r="M379" i="1"/>
  <c r="O379" i="1"/>
  <c r="P379" i="1"/>
  <c r="Q379" i="1" s="1"/>
  <c r="S379" i="1"/>
  <c r="A1413" i="1"/>
  <c r="C1413" i="1"/>
  <c r="B1413" i="1" s="1"/>
  <c r="F1413" i="1"/>
  <c r="M1413" i="1"/>
  <c r="O1413" i="1"/>
  <c r="P1413" i="1"/>
  <c r="Q1413" i="1" s="1"/>
  <c r="F415" i="1"/>
  <c r="F416" i="1"/>
  <c r="F417" i="1"/>
  <c r="M1236" i="1" l="1"/>
  <c r="O1236" i="1"/>
  <c r="R380" i="1"/>
  <c r="D379" i="1"/>
  <c r="D380" i="1"/>
  <c r="R1342" i="1"/>
  <c r="D1342" i="1" s="1"/>
  <c r="R68" i="1"/>
  <c r="R379" i="1"/>
  <c r="R1413" i="1"/>
  <c r="Q1582" i="1"/>
  <c r="M1582" i="1"/>
  <c r="K1582" i="1"/>
  <c r="O1582" i="1" s="1"/>
  <c r="A1582" i="1"/>
  <c r="C1582" i="1"/>
  <c r="B1582" i="1" s="1"/>
  <c r="F1582" i="1"/>
  <c r="A1840" i="1"/>
  <c r="C1840" i="1"/>
  <c r="B1840" i="1" s="1"/>
  <c r="F1840" i="1"/>
  <c r="M1840" i="1"/>
  <c r="O1840" i="1"/>
  <c r="P1840" i="1"/>
  <c r="Q1840" i="1" s="1"/>
  <c r="A496" i="1"/>
  <c r="C496" i="1"/>
  <c r="B496" i="1" s="1"/>
  <c r="F496" i="1"/>
  <c r="M496" i="1"/>
  <c r="O496" i="1"/>
  <c r="P496" i="1"/>
  <c r="Q496" i="1" s="1"/>
  <c r="A293" i="1"/>
  <c r="C293" i="1"/>
  <c r="B293" i="1" s="1"/>
  <c r="F293" i="1"/>
  <c r="M293" i="1"/>
  <c r="O293" i="1"/>
  <c r="P293" i="1"/>
  <c r="Q293" i="1" s="1"/>
  <c r="A294" i="1"/>
  <c r="C294" i="1"/>
  <c r="B294" i="1" s="1"/>
  <c r="F294" i="1"/>
  <c r="M294" i="1"/>
  <c r="O294" i="1"/>
  <c r="P294" i="1"/>
  <c r="Q294" i="1" s="1"/>
  <c r="A971" i="1"/>
  <c r="C971" i="1"/>
  <c r="B971" i="1" s="1"/>
  <c r="F971" i="1"/>
  <c r="M971" i="1"/>
  <c r="O971" i="1"/>
  <c r="P971" i="1"/>
  <c r="Q971" i="1" s="1"/>
  <c r="A137" i="1"/>
  <c r="C137" i="1"/>
  <c r="B137" i="1" s="1"/>
  <c r="F137" i="1"/>
  <c r="M137" i="1"/>
  <c r="O137" i="1"/>
  <c r="P137" i="1"/>
  <c r="Q137" i="1" s="1"/>
  <c r="A633" i="1"/>
  <c r="C633" i="1"/>
  <c r="B633" i="1" s="1"/>
  <c r="F633" i="1"/>
  <c r="M633" i="1"/>
  <c r="O633" i="1"/>
  <c r="P633" i="1"/>
  <c r="Q633" i="1" s="1"/>
  <c r="A632" i="1"/>
  <c r="C632" i="1"/>
  <c r="B632" i="1" s="1"/>
  <c r="M632" i="1"/>
  <c r="O632" i="1"/>
  <c r="P632" i="1"/>
  <c r="Q632" i="1" s="1"/>
  <c r="A399" i="1"/>
  <c r="C399" i="1"/>
  <c r="B399" i="1" s="1"/>
  <c r="F399" i="1"/>
  <c r="M399" i="1"/>
  <c r="O399" i="1"/>
  <c r="P399" i="1"/>
  <c r="Q399" i="1" s="1"/>
  <c r="A444" i="1"/>
  <c r="C444" i="1"/>
  <c r="B444" i="1" s="1"/>
  <c r="F444" i="1"/>
  <c r="M444" i="1"/>
  <c r="O444" i="1"/>
  <c r="P444" i="1"/>
  <c r="Q444" i="1" s="1"/>
  <c r="A1280" i="1"/>
  <c r="C1280" i="1"/>
  <c r="B1280" i="1" s="1"/>
  <c r="F1280" i="1"/>
  <c r="O1280" i="1"/>
  <c r="P1280" i="1"/>
  <c r="Q1280" i="1" s="1"/>
  <c r="A1109" i="1"/>
  <c r="C1109" i="1"/>
  <c r="B1109" i="1" s="1"/>
  <c r="F1109" i="1"/>
  <c r="M1109" i="1"/>
  <c r="O1109" i="1"/>
  <c r="P1109" i="1"/>
  <c r="Q1109" i="1" s="1"/>
  <c r="A1592" i="1"/>
  <c r="C1592" i="1"/>
  <c r="B1592" i="1" s="1"/>
  <c r="F1592" i="1"/>
  <c r="M1592" i="1"/>
  <c r="O1592" i="1"/>
  <c r="P1592" i="1"/>
  <c r="Q1592" i="1" s="1"/>
  <c r="K1693" i="1"/>
  <c r="K278" i="1"/>
  <c r="O278" i="1" s="1"/>
  <c r="A278" i="1"/>
  <c r="C278" i="1"/>
  <c r="B278" i="1" s="1"/>
  <c r="F278" i="1"/>
  <c r="E13" i="6"/>
  <c r="F13" i="6"/>
  <c r="I13" i="6"/>
  <c r="J13" i="6"/>
  <c r="E24" i="6"/>
  <c r="I24" i="6"/>
  <c r="J24" i="6"/>
  <c r="M1581" i="1"/>
  <c r="K1581" i="1"/>
  <c r="O1581" i="1" s="1"/>
  <c r="Q1581" i="1"/>
  <c r="A1581" i="1"/>
  <c r="C1581" i="1"/>
  <c r="B1581" i="1" s="1"/>
  <c r="F1581" i="1"/>
  <c r="S1581" i="1"/>
  <c r="A1584" i="1"/>
  <c r="C1584" i="1"/>
  <c r="B1584" i="1" s="1"/>
  <c r="F1584" i="1"/>
  <c r="O1584" i="1"/>
  <c r="P1584" i="1"/>
  <c r="Q1584" i="1" s="1"/>
  <c r="S1584" i="1"/>
  <c r="D1416" i="1" l="1"/>
  <c r="D1415" i="1"/>
  <c r="D1414" i="1"/>
  <c r="D1417" i="1"/>
  <c r="R1236" i="1"/>
  <c r="D1236" i="1" s="1"/>
  <c r="M278" i="1"/>
  <c r="R1582" i="1"/>
  <c r="R1840" i="1"/>
  <c r="D1841" i="1" s="1"/>
  <c r="R496" i="1"/>
  <c r="R293" i="1"/>
  <c r="R294" i="1"/>
  <c r="R971" i="1"/>
  <c r="D971" i="1" s="1"/>
  <c r="P278" i="1"/>
  <c r="Q278" i="1" s="1"/>
  <c r="R137" i="1"/>
  <c r="D137" i="1" s="1"/>
  <c r="R633" i="1"/>
  <c r="R632" i="1"/>
  <c r="R399" i="1"/>
  <c r="R444" i="1"/>
  <c r="D444" i="1" s="1"/>
  <c r="R1280" i="1"/>
  <c r="D1280" i="1" s="1"/>
  <c r="R1109" i="1"/>
  <c r="D1109" i="1" s="1"/>
  <c r="R1592" i="1"/>
  <c r="D1592" i="1" s="1"/>
  <c r="R1581" i="1"/>
  <c r="R1584" i="1"/>
  <c r="D1584" i="1" s="1"/>
  <c r="D496" i="1" l="1"/>
  <c r="D497" i="1"/>
  <c r="R278" i="1"/>
  <c r="D1582" i="1"/>
  <c r="D1581" i="1"/>
  <c r="D294" i="1"/>
  <c r="D293" i="1"/>
  <c r="D632" i="1"/>
  <c r="D633" i="1"/>
  <c r="K1100" i="1"/>
  <c r="P1100" i="1" s="1"/>
  <c r="Q1100" i="1" s="1"/>
  <c r="A1100" i="1"/>
  <c r="C1100" i="1"/>
  <c r="B1100" i="1" s="1"/>
  <c r="F1100" i="1"/>
  <c r="A653" i="1"/>
  <c r="C653" i="1"/>
  <c r="B653" i="1" s="1"/>
  <c r="D653" i="1"/>
  <c r="F653" i="1"/>
  <c r="M653" i="1"/>
  <c r="O653" i="1"/>
  <c r="P653" i="1"/>
  <c r="Q653" i="1" s="1"/>
  <c r="S653" i="1"/>
  <c r="E209" i="6"/>
  <c r="F209" i="6"/>
  <c r="I209" i="6"/>
  <c r="J209" i="6"/>
  <c r="A1771" i="1"/>
  <c r="C1771" i="1"/>
  <c r="B1771" i="1" s="1"/>
  <c r="F1771" i="1"/>
  <c r="M1771" i="1"/>
  <c r="O1771" i="1"/>
  <c r="P1771" i="1"/>
  <c r="Q1771" i="1" s="1"/>
  <c r="A418" i="1"/>
  <c r="C418" i="1"/>
  <c r="B418" i="1" s="1"/>
  <c r="F418" i="1"/>
  <c r="M418" i="1"/>
  <c r="O418" i="1"/>
  <c r="P418" i="1"/>
  <c r="Q418" i="1" s="1"/>
  <c r="A65" i="1"/>
  <c r="C65" i="1"/>
  <c r="B65" i="1" s="1"/>
  <c r="F65" i="1"/>
  <c r="M65" i="1"/>
  <c r="O65" i="1"/>
  <c r="P65" i="1"/>
  <c r="Q65" i="1" s="1"/>
  <c r="A27" i="1"/>
  <c r="C27" i="1"/>
  <c r="B27" i="1" s="1"/>
  <c r="F27" i="1"/>
  <c r="M27" i="1"/>
  <c r="O27" i="1"/>
  <c r="P27" i="1"/>
  <c r="Q27" i="1" s="1"/>
  <c r="A681" i="1"/>
  <c r="C681" i="1"/>
  <c r="B681" i="1" s="1"/>
  <c r="F681" i="1"/>
  <c r="M681" i="1"/>
  <c r="O681" i="1"/>
  <c r="P681" i="1"/>
  <c r="Q681" i="1" s="1"/>
  <c r="A682" i="1"/>
  <c r="C682" i="1"/>
  <c r="B682" i="1" s="1"/>
  <c r="F682" i="1"/>
  <c r="M682" i="1"/>
  <c r="O682" i="1"/>
  <c r="P682" i="1"/>
  <c r="Q682" i="1" s="1"/>
  <c r="A774" i="1"/>
  <c r="C774" i="1"/>
  <c r="B774" i="1" s="1"/>
  <c r="F774" i="1"/>
  <c r="M774" i="1"/>
  <c r="O774" i="1"/>
  <c r="P774" i="1"/>
  <c r="Q774" i="1" s="1"/>
  <c r="A1491" i="1"/>
  <c r="C1491" i="1"/>
  <c r="B1491" i="1" s="1"/>
  <c r="F1491" i="1"/>
  <c r="M1491" i="1"/>
  <c r="O1491" i="1"/>
  <c r="P1491" i="1"/>
  <c r="Q1491" i="1" s="1"/>
  <c r="A568" i="1"/>
  <c r="C568" i="1"/>
  <c r="B568" i="1" s="1"/>
  <c r="F568" i="1"/>
  <c r="M568" i="1"/>
  <c r="O568" i="1"/>
  <c r="P568" i="1"/>
  <c r="Q568" i="1" s="1"/>
  <c r="S568" i="1"/>
  <c r="A1324" i="1"/>
  <c r="C1324" i="1"/>
  <c r="B1324" i="1" s="1"/>
  <c r="F1324" i="1"/>
  <c r="M1324" i="1"/>
  <c r="O1324" i="1"/>
  <c r="P1324" i="1"/>
  <c r="Q1324" i="1" s="1"/>
  <c r="A96" i="1"/>
  <c r="C96" i="1"/>
  <c r="B96" i="1" s="1"/>
  <c r="F96" i="1"/>
  <c r="M96" i="1"/>
  <c r="O96" i="1"/>
  <c r="P96" i="1"/>
  <c r="Q96" i="1" s="1"/>
  <c r="V13" i="16"/>
  <c r="V12" i="16"/>
  <c r="V45" i="15"/>
  <c r="V44" i="15"/>
  <c r="V43" i="15"/>
  <c r="V41" i="15"/>
  <c r="V39" i="15"/>
  <c r="V38" i="15"/>
  <c r="V37" i="15"/>
  <c r="V36" i="15"/>
  <c r="V35" i="15"/>
  <c r="V33" i="15"/>
  <c r="V32" i="15"/>
  <c r="V31" i="15"/>
  <c r="V27" i="15"/>
  <c r="V26" i="15"/>
  <c r="V24" i="15"/>
  <c r="V23" i="15"/>
  <c r="V21" i="15"/>
  <c r="V20" i="15"/>
  <c r="V19" i="15"/>
  <c r="V18" i="15"/>
  <c r="V17" i="15"/>
  <c r="V16" i="15"/>
  <c r="V15" i="15"/>
  <c r="V14" i="15"/>
  <c r="V13" i="15"/>
  <c r="V10" i="15"/>
  <c r="V8" i="15"/>
  <c r="V5" i="15"/>
  <c r="V4" i="15"/>
  <c r="V3" i="15"/>
  <c r="V2" i="15"/>
  <c r="A163" i="1"/>
  <c r="A164" i="1"/>
  <c r="A165" i="1"/>
  <c r="A166" i="1"/>
  <c r="A167" i="1"/>
  <c r="C163" i="1"/>
  <c r="B163" i="1" s="1"/>
  <c r="C164" i="1"/>
  <c r="B164" i="1" s="1"/>
  <c r="C165" i="1"/>
  <c r="B165" i="1" s="1"/>
  <c r="C166" i="1"/>
  <c r="B166" i="1" s="1"/>
  <c r="C167" i="1"/>
  <c r="B167" i="1" s="1"/>
  <c r="F163" i="1"/>
  <c r="F164" i="1"/>
  <c r="F165" i="1"/>
  <c r="F166" i="1"/>
  <c r="F167" i="1"/>
  <c r="M163" i="1"/>
  <c r="M164" i="1"/>
  <c r="M165" i="1"/>
  <c r="M166" i="1"/>
  <c r="M167" i="1"/>
  <c r="O163" i="1"/>
  <c r="O164" i="1"/>
  <c r="O165" i="1"/>
  <c r="O166" i="1"/>
  <c r="O167" i="1"/>
  <c r="P163" i="1"/>
  <c r="Q163" i="1" s="1"/>
  <c r="P164" i="1"/>
  <c r="Q164" i="1" s="1"/>
  <c r="P165" i="1"/>
  <c r="Q165" i="1" s="1"/>
  <c r="P166" i="1"/>
  <c r="Q166" i="1" s="1"/>
  <c r="P167" i="1"/>
  <c r="Q167" i="1" s="1"/>
  <c r="A398" i="1"/>
  <c r="C398" i="1"/>
  <c r="B398" i="1" s="1"/>
  <c r="F398" i="1"/>
  <c r="M398" i="1"/>
  <c r="O398" i="1"/>
  <c r="P398" i="1"/>
  <c r="Q398" i="1" s="1"/>
  <c r="A67" i="1"/>
  <c r="C67" i="1"/>
  <c r="B67" i="1" s="1"/>
  <c r="F67" i="1"/>
  <c r="M67" i="1"/>
  <c r="O67" i="1"/>
  <c r="P67" i="1"/>
  <c r="Q67" i="1" s="1"/>
  <c r="A980" i="1"/>
  <c r="C980" i="1"/>
  <c r="B980" i="1" s="1"/>
  <c r="F980" i="1"/>
  <c r="M980" i="1"/>
  <c r="P980" i="1"/>
  <c r="Q980" i="1" s="1"/>
  <c r="A652" i="1"/>
  <c r="C652" i="1"/>
  <c r="B652" i="1" s="1"/>
  <c r="F652" i="1"/>
  <c r="O652" i="1"/>
  <c r="P652" i="1"/>
  <c r="Q652" i="1" s="1"/>
  <c r="S652" i="1"/>
  <c r="A1126" i="1"/>
  <c r="C1126" i="1"/>
  <c r="B1126" i="1" s="1"/>
  <c r="F1126" i="1"/>
  <c r="M1126" i="1"/>
  <c r="O1126" i="1"/>
  <c r="P1126" i="1"/>
  <c r="Q1126" i="1" s="1"/>
  <c r="A1193" i="1"/>
  <c r="C1193" i="1"/>
  <c r="B1193" i="1" s="1"/>
  <c r="F1193" i="1"/>
  <c r="M1193" i="1"/>
  <c r="O1193" i="1"/>
  <c r="P1193" i="1"/>
  <c r="Q1193" i="1" s="1"/>
  <c r="A1020" i="1"/>
  <c r="C1020" i="1"/>
  <c r="B1020" i="1" s="1"/>
  <c r="F1020" i="1"/>
  <c r="M1020" i="1"/>
  <c r="O1020" i="1"/>
  <c r="P1020" i="1"/>
  <c r="Q1020" i="1" s="1"/>
  <c r="A722" i="1"/>
  <c r="C722" i="1"/>
  <c r="B722" i="1" s="1"/>
  <c r="F722" i="1"/>
  <c r="M722" i="1"/>
  <c r="O722" i="1"/>
  <c r="P722" i="1"/>
  <c r="Q722" i="1" s="1"/>
  <c r="A1603" i="1"/>
  <c r="C1603" i="1"/>
  <c r="B1603" i="1" s="1"/>
  <c r="F1603" i="1"/>
  <c r="M1603" i="1"/>
  <c r="O1603" i="1"/>
  <c r="P1603" i="1"/>
  <c r="Q1603" i="1" s="1"/>
  <c r="A1311" i="1"/>
  <c r="C1311" i="1"/>
  <c r="B1311" i="1" s="1"/>
  <c r="F1311" i="1"/>
  <c r="M1311" i="1"/>
  <c r="O1311" i="1"/>
  <c r="P1311" i="1"/>
  <c r="Q1311" i="1" s="1"/>
  <c r="A1537" i="1"/>
  <c r="C1537" i="1"/>
  <c r="B1537" i="1" s="1"/>
  <c r="F1537" i="1"/>
  <c r="M1537" i="1"/>
  <c r="O1537" i="1"/>
  <c r="P1537" i="1"/>
  <c r="Q1537" i="1" s="1"/>
  <c r="A1536" i="1"/>
  <c r="C1536" i="1"/>
  <c r="B1536" i="1" s="1"/>
  <c r="F1536" i="1"/>
  <c r="M1536" i="1"/>
  <c r="O1536" i="1"/>
  <c r="P1536" i="1"/>
  <c r="Q1536" i="1" s="1"/>
  <c r="A1088" i="1"/>
  <c r="B1088" i="1"/>
  <c r="A1636" i="1"/>
  <c r="C1636" i="1"/>
  <c r="B1636" i="1" s="1"/>
  <c r="F1636" i="1"/>
  <c r="M1636" i="1"/>
  <c r="O1636" i="1"/>
  <c r="P1636" i="1"/>
  <c r="Q1636" i="1" s="1"/>
  <c r="P1693" i="1"/>
  <c r="Q1693" i="1" s="1"/>
  <c r="A1693" i="1"/>
  <c r="C1693" i="1"/>
  <c r="B1693" i="1" s="1"/>
  <c r="F1693" i="1"/>
  <c r="M1693" i="1"/>
  <c r="A1051" i="1"/>
  <c r="C1051" i="1"/>
  <c r="B1051" i="1" s="1"/>
  <c r="F1051" i="1"/>
  <c r="M1051" i="1"/>
  <c r="O1051" i="1"/>
  <c r="P1051" i="1"/>
  <c r="Q1051" i="1" s="1"/>
  <c r="A1075" i="1"/>
  <c r="C1075" i="1"/>
  <c r="B1075" i="1" s="1"/>
  <c r="F1075" i="1"/>
  <c r="M1075" i="1"/>
  <c r="O1075" i="1"/>
  <c r="P1075" i="1"/>
  <c r="Q1075" i="1" s="1"/>
  <c r="A956" i="1"/>
  <c r="C956" i="1"/>
  <c r="B956" i="1" s="1"/>
  <c r="F956" i="1"/>
  <c r="M956" i="1"/>
  <c r="O956" i="1"/>
  <c r="P956" i="1"/>
  <c r="Q956" i="1" s="1"/>
  <c r="A957" i="1"/>
  <c r="C957" i="1"/>
  <c r="B957" i="1" s="1"/>
  <c r="F957" i="1"/>
  <c r="M957" i="1"/>
  <c r="O957" i="1"/>
  <c r="P957" i="1"/>
  <c r="Q957" i="1" s="1"/>
  <c r="E529" i="6"/>
  <c r="I529" i="6"/>
  <c r="J529" i="6"/>
  <c r="K1318" i="1"/>
  <c r="A378" i="1"/>
  <c r="C378" i="1"/>
  <c r="B378" i="1" s="1"/>
  <c r="D378" i="1"/>
  <c r="F378" i="1"/>
  <c r="M378" i="1"/>
  <c r="O378" i="1"/>
  <c r="P378" i="1"/>
  <c r="Q378" i="1" s="1"/>
  <c r="E1072" i="6"/>
  <c r="E1098" i="6"/>
  <c r="E1126" i="6"/>
  <c r="F1072" i="6"/>
  <c r="F1098" i="6"/>
  <c r="F1126" i="6"/>
  <c r="I1072" i="6"/>
  <c r="I1098" i="6"/>
  <c r="I1126" i="6"/>
  <c r="J1072" i="6"/>
  <c r="J1098" i="6"/>
  <c r="J1126" i="6"/>
  <c r="A1133" i="1"/>
  <c r="A1135" i="1"/>
  <c r="C1133" i="1"/>
  <c r="B1133" i="1" s="1"/>
  <c r="C1135" i="1"/>
  <c r="B1135" i="1" s="1"/>
  <c r="F1133" i="1"/>
  <c r="F1135" i="1"/>
  <c r="M1133" i="1"/>
  <c r="M1135" i="1"/>
  <c r="O1133" i="1"/>
  <c r="O1135" i="1"/>
  <c r="P1133" i="1"/>
  <c r="Q1133" i="1" s="1"/>
  <c r="Q1135" i="1"/>
  <c r="A1134" i="1"/>
  <c r="C1134" i="1"/>
  <c r="B1134" i="1" s="1"/>
  <c r="F1134" i="1"/>
  <c r="M1134" i="1"/>
  <c r="O1134" i="1"/>
  <c r="Q1134" i="1"/>
  <c r="O993" i="1"/>
  <c r="A993" i="1"/>
  <c r="C993" i="1"/>
  <c r="B993" i="1" s="1"/>
  <c r="F993" i="1"/>
  <c r="M993" i="1"/>
  <c r="P993" i="1"/>
  <c r="Q993" i="1" s="1"/>
  <c r="A1066" i="1"/>
  <c r="C1066" i="1"/>
  <c r="B1066" i="1" s="1"/>
  <c r="F1066" i="1"/>
  <c r="M1066" i="1"/>
  <c r="O1066" i="1"/>
  <c r="Q1066" i="1"/>
  <c r="A1033" i="1"/>
  <c r="A1034" i="1"/>
  <c r="C1033" i="1"/>
  <c r="B1033" i="1" s="1"/>
  <c r="C1034" i="1"/>
  <c r="B1034" i="1" s="1"/>
  <c r="F1033" i="1"/>
  <c r="F1034" i="1"/>
  <c r="M1033" i="1"/>
  <c r="M1034" i="1"/>
  <c r="O1033" i="1"/>
  <c r="O1034" i="1"/>
  <c r="P1033" i="1"/>
  <c r="Q1033" i="1" s="1"/>
  <c r="P1034" i="1"/>
  <c r="Q1034" i="1" s="1"/>
  <c r="A215" i="1"/>
  <c r="C215" i="1"/>
  <c r="B215" i="1" s="1"/>
  <c r="F215" i="1"/>
  <c r="M215" i="1"/>
  <c r="O215" i="1"/>
  <c r="P215" i="1"/>
  <c r="Q215" i="1" s="1"/>
  <c r="A417" i="1"/>
  <c r="C417" i="1"/>
  <c r="B417" i="1" s="1"/>
  <c r="M417" i="1"/>
  <c r="O417" i="1"/>
  <c r="P417" i="1"/>
  <c r="Q417" i="1" s="1"/>
  <c r="A514" i="1"/>
  <c r="C514" i="1"/>
  <c r="B514" i="1" s="1"/>
  <c r="F514" i="1"/>
  <c r="M514" i="1"/>
  <c r="O514" i="1"/>
  <c r="P514" i="1"/>
  <c r="Q514" i="1" s="1"/>
  <c r="A225" i="1"/>
  <c r="C225" i="1"/>
  <c r="B225" i="1" s="1"/>
  <c r="F225" i="1"/>
  <c r="M225" i="1"/>
  <c r="O225" i="1"/>
  <c r="P225" i="1"/>
  <c r="Q225" i="1" s="1"/>
  <c r="A472" i="1"/>
  <c r="C472" i="1"/>
  <c r="B472" i="1" s="1"/>
  <c r="F472" i="1"/>
  <c r="M472" i="1"/>
  <c r="O472" i="1"/>
  <c r="P472" i="1"/>
  <c r="Q472" i="1" s="1"/>
  <c r="A834" i="1"/>
  <c r="C834" i="1"/>
  <c r="B834" i="1" s="1"/>
  <c r="F834" i="1"/>
  <c r="M834" i="1"/>
  <c r="O834" i="1"/>
  <c r="P834" i="1"/>
  <c r="Q834" i="1" s="1"/>
  <c r="A806" i="1"/>
  <c r="C806" i="1"/>
  <c r="B806" i="1" s="1"/>
  <c r="F806" i="1"/>
  <c r="M806" i="1"/>
  <c r="O806" i="1"/>
  <c r="P806" i="1"/>
  <c r="Q806" i="1" s="1"/>
  <c r="A1192" i="1"/>
  <c r="C1192" i="1"/>
  <c r="B1192" i="1" s="1"/>
  <c r="F1192" i="1"/>
  <c r="M1192" i="1"/>
  <c r="O1192" i="1"/>
  <c r="P1192" i="1"/>
  <c r="Q1192" i="1" s="1"/>
  <c r="A1535" i="1"/>
  <c r="C1535" i="1"/>
  <c r="B1535" i="1" s="1"/>
  <c r="F1535" i="1"/>
  <c r="M1535" i="1"/>
  <c r="O1535" i="1"/>
  <c r="P1535" i="1"/>
  <c r="Q1535" i="1" s="1"/>
  <c r="A1460" i="1"/>
  <c r="C1460" i="1"/>
  <c r="B1460" i="1" s="1"/>
  <c r="F1460" i="1"/>
  <c r="M1460" i="1"/>
  <c r="O1460" i="1"/>
  <c r="P1460" i="1"/>
  <c r="Q1460" i="1" s="1"/>
  <c r="A277" i="1"/>
  <c r="C277" i="1"/>
  <c r="B277" i="1" s="1"/>
  <c r="F277" i="1"/>
  <c r="M277" i="1"/>
  <c r="O277" i="1"/>
  <c r="P277" i="1"/>
  <c r="Q277" i="1" s="1"/>
  <c r="E1099" i="6"/>
  <c r="F1099" i="6"/>
  <c r="I1099" i="6"/>
  <c r="J1099" i="6"/>
  <c r="E1127" i="6"/>
  <c r="F1127" i="6"/>
  <c r="I1127" i="6"/>
  <c r="J1127" i="6"/>
  <c r="K1692" i="1"/>
  <c r="P1692" i="1" s="1"/>
  <c r="Q1692" i="1" s="1"/>
  <c r="A1692" i="1"/>
  <c r="C1692" i="1"/>
  <c r="B1692" i="1" s="1"/>
  <c r="F1692" i="1"/>
  <c r="P1575" i="1"/>
  <c r="A1575" i="1"/>
  <c r="C1575" i="1"/>
  <c r="B1575" i="1" s="1"/>
  <c r="F1575" i="1"/>
  <c r="M1575" i="1"/>
  <c r="O1575" i="1"/>
  <c r="A558" i="1"/>
  <c r="C558" i="1"/>
  <c r="B558" i="1" s="1"/>
  <c r="F558" i="1"/>
  <c r="M558" i="1"/>
  <c r="O558" i="1"/>
  <c r="P558" i="1"/>
  <c r="Q558" i="1" s="1"/>
  <c r="A1770" i="1"/>
  <c r="C1770" i="1"/>
  <c r="B1770" i="1" s="1"/>
  <c r="F1770" i="1"/>
  <c r="M1770" i="1"/>
  <c r="O1770" i="1"/>
  <c r="P1770" i="1"/>
  <c r="Q1770" i="1" s="1"/>
  <c r="M1660" i="1"/>
  <c r="A1660" i="1"/>
  <c r="C1660" i="1"/>
  <c r="B1660" i="1" s="1"/>
  <c r="F1660" i="1"/>
  <c r="O1660" i="1"/>
  <c r="P1660" i="1"/>
  <c r="Q1660" i="1" s="1"/>
  <c r="A1659" i="1"/>
  <c r="C1659" i="1"/>
  <c r="B1659" i="1" s="1"/>
  <c r="F1659" i="1"/>
  <c r="M1659" i="1"/>
  <c r="O1659" i="1"/>
  <c r="P1659" i="1"/>
  <c r="Q1659" i="1" s="1"/>
  <c r="A168" i="1"/>
  <c r="C168" i="1"/>
  <c r="B168" i="1" s="1"/>
  <c r="F168" i="1"/>
  <c r="M168" i="1"/>
  <c r="O168" i="1"/>
  <c r="P168" i="1"/>
  <c r="Q168" i="1" s="1"/>
  <c r="U45" i="15"/>
  <c r="U44" i="15"/>
  <c r="U43" i="15"/>
  <c r="U41" i="15"/>
  <c r="U39" i="15"/>
  <c r="U38" i="15"/>
  <c r="U37" i="15"/>
  <c r="U36" i="15"/>
  <c r="U35" i="15"/>
  <c r="U33" i="15"/>
  <c r="U32" i="15"/>
  <c r="U31" i="15"/>
  <c r="U27" i="15"/>
  <c r="U26" i="15"/>
  <c r="U24" i="15"/>
  <c r="U23" i="15"/>
  <c r="U21" i="15"/>
  <c r="U20" i="15"/>
  <c r="U19" i="15"/>
  <c r="U18" i="15"/>
  <c r="U17" i="15"/>
  <c r="U16" i="15"/>
  <c r="U15" i="15"/>
  <c r="U14" i="15"/>
  <c r="U13" i="15"/>
  <c r="U10" i="15"/>
  <c r="U8" i="15"/>
  <c r="U5" i="15"/>
  <c r="U4" i="15"/>
  <c r="U3" i="15"/>
  <c r="U2" i="15"/>
  <c r="E1061" i="6"/>
  <c r="I1061" i="6"/>
  <c r="J1061" i="6"/>
  <c r="E269" i="6"/>
  <c r="E303" i="6"/>
  <c r="E304" i="6"/>
  <c r="E270" i="6"/>
  <c r="J304" i="6"/>
  <c r="F270" i="6"/>
  <c r="I270" i="6"/>
  <c r="J270" i="6"/>
  <c r="F304" i="6"/>
  <c r="I304" i="6"/>
  <c r="F303" i="6"/>
  <c r="I303" i="6"/>
  <c r="J303" i="6"/>
  <c r="F269" i="6"/>
  <c r="I269" i="6"/>
  <c r="J269" i="6"/>
  <c r="E436" i="6"/>
  <c r="E437" i="6"/>
  <c r="F436" i="6"/>
  <c r="F437" i="6"/>
  <c r="I436" i="6"/>
  <c r="I437" i="6"/>
  <c r="J436" i="6"/>
  <c r="J437" i="6"/>
  <c r="E435" i="6"/>
  <c r="F435" i="6"/>
  <c r="I435" i="6"/>
  <c r="J435" i="6"/>
  <c r="E434" i="6"/>
  <c r="F434" i="6"/>
  <c r="I434" i="6"/>
  <c r="J434" i="6"/>
  <c r="U22" i="16"/>
  <c r="U13" i="16" s="1"/>
  <c r="A1191" i="1"/>
  <c r="C1191" i="1"/>
  <c r="B1191" i="1" s="1"/>
  <c r="F1191" i="1"/>
  <c r="M1191" i="1"/>
  <c r="O1191" i="1"/>
  <c r="P1191" i="1"/>
  <c r="Q1191" i="1" s="1"/>
  <c r="A1369" i="1"/>
  <c r="C1369" i="1"/>
  <c r="B1369" i="1" s="1"/>
  <c r="F1369" i="1"/>
  <c r="M1369" i="1"/>
  <c r="O1369" i="1"/>
  <c r="P1369" i="1"/>
  <c r="Q1369" i="1" s="1"/>
  <c r="E1097" i="6"/>
  <c r="F1097" i="6"/>
  <c r="I1097" i="6"/>
  <c r="J1097" i="6"/>
  <c r="A757" i="1"/>
  <c r="C757" i="1"/>
  <c r="B757" i="1" s="1"/>
  <c r="F757" i="1"/>
  <c r="M757" i="1"/>
  <c r="O757" i="1"/>
  <c r="P757" i="1"/>
  <c r="Q757" i="1" s="1"/>
  <c r="E1041" i="6"/>
  <c r="F1041" i="6"/>
  <c r="I1041" i="6"/>
  <c r="J1041" i="6"/>
  <c r="E1040" i="6"/>
  <c r="F1040" i="6"/>
  <c r="I1040" i="6"/>
  <c r="J1040" i="6"/>
  <c r="E1037" i="6"/>
  <c r="F1037" i="6"/>
  <c r="I1037" i="6"/>
  <c r="J1037" i="6"/>
  <c r="A1335" i="1"/>
  <c r="C1335" i="1"/>
  <c r="B1335" i="1" s="1"/>
  <c r="F1335" i="1"/>
  <c r="M1335" i="1"/>
  <c r="O1335" i="1"/>
  <c r="P1335" i="1"/>
  <c r="Q1335" i="1" s="1"/>
  <c r="A1472" i="1"/>
  <c r="C1472" i="1"/>
  <c r="B1472" i="1" s="1"/>
  <c r="F1472" i="1"/>
  <c r="M1472" i="1"/>
  <c r="O1472" i="1"/>
  <c r="P1472" i="1"/>
  <c r="Q1472" i="1" s="1"/>
  <c r="A712" i="1"/>
  <c r="C712" i="1"/>
  <c r="B712" i="1" s="1"/>
  <c r="F712" i="1"/>
  <c r="M712" i="1"/>
  <c r="O712" i="1"/>
  <c r="P712" i="1"/>
  <c r="Q712" i="1" s="1"/>
  <c r="M1692" i="1" l="1"/>
  <c r="M1100" i="1"/>
  <c r="O1100" i="1"/>
  <c r="R653" i="1"/>
  <c r="R1771" i="1"/>
  <c r="R418" i="1"/>
  <c r="D419" i="1" s="1"/>
  <c r="R65" i="1"/>
  <c r="R27" i="1"/>
  <c r="D27" i="1" s="1"/>
  <c r="R681" i="1"/>
  <c r="R682" i="1"/>
  <c r="R774" i="1"/>
  <c r="D774" i="1" s="1"/>
  <c r="R1491" i="1"/>
  <c r="R568" i="1"/>
  <c r="D568" i="1" s="1"/>
  <c r="R1324" i="1"/>
  <c r="R96" i="1"/>
  <c r="D96" i="1" s="1"/>
  <c r="R165" i="1"/>
  <c r="R166" i="1"/>
  <c r="R164" i="1"/>
  <c r="R167" i="1"/>
  <c r="R163" i="1"/>
  <c r="R398" i="1"/>
  <c r="R67" i="1"/>
  <c r="R980" i="1"/>
  <c r="D980" i="1" s="1"/>
  <c r="R652" i="1"/>
  <c r="D652" i="1" s="1"/>
  <c r="R1126" i="1"/>
  <c r="R1193" i="1"/>
  <c r="R1020" i="1"/>
  <c r="D1020" i="1" s="1"/>
  <c r="R722" i="1"/>
  <c r="R1603" i="1"/>
  <c r="D1603" i="1" s="1"/>
  <c r="O1693" i="1"/>
  <c r="R1693" i="1" s="1"/>
  <c r="R1311" i="1"/>
  <c r="D1311" i="1" s="1"/>
  <c r="R1537" i="1"/>
  <c r="R1536" i="1"/>
  <c r="R1636" i="1"/>
  <c r="D1636" i="1" s="1"/>
  <c r="R1051" i="1"/>
  <c r="D1051" i="1" s="1"/>
  <c r="R1075" i="1"/>
  <c r="D1075" i="1" s="1"/>
  <c r="R956" i="1"/>
  <c r="R957" i="1"/>
  <c r="O1692" i="1"/>
  <c r="R378" i="1"/>
  <c r="R1135" i="1"/>
  <c r="R1133" i="1"/>
  <c r="R1134" i="1"/>
  <c r="R1033" i="1"/>
  <c r="R993" i="1"/>
  <c r="D993" i="1" s="1"/>
  <c r="R1034" i="1"/>
  <c r="R1066" i="1"/>
  <c r="D1066" i="1" s="1"/>
  <c r="R215" i="1"/>
  <c r="R417" i="1"/>
  <c r="R514" i="1"/>
  <c r="D514" i="1" s="1"/>
  <c r="R225" i="1"/>
  <c r="D226" i="1" s="1"/>
  <c r="R472" i="1"/>
  <c r="D472" i="1" s="1"/>
  <c r="R834" i="1"/>
  <c r="R806" i="1"/>
  <c r="R1192" i="1"/>
  <c r="R1535" i="1"/>
  <c r="R1460" i="1"/>
  <c r="R277" i="1"/>
  <c r="R1575" i="1"/>
  <c r="D1575" i="1" s="1"/>
  <c r="R558" i="1"/>
  <c r="D559" i="1" s="1"/>
  <c r="R1770" i="1"/>
  <c r="R1660" i="1"/>
  <c r="D1663" i="1" s="1"/>
  <c r="R1659" i="1"/>
  <c r="R168" i="1"/>
  <c r="D168" i="1" s="1"/>
  <c r="U12" i="16"/>
  <c r="R1191" i="1"/>
  <c r="R1369" i="1"/>
  <c r="D1369" i="1" s="1"/>
  <c r="R757" i="1"/>
  <c r="D757" i="1" s="1"/>
  <c r="R1335" i="1"/>
  <c r="D1335" i="1" s="1"/>
  <c r="R1472" i="1"/>
  <c r="R712" i="1"/>
  <c r="D712" i="1" s="1"/>
  <c r="R1692" i="1" l="1"/>
  <c r="D1324" i="1"/>
  <c r="D1325" i="1"/>
  <c r="D1662" i="1"/>
  <c r="D1661" i="1"/>
  <c r="D723" i="1"/>
  <c r="D724" i="1"/>
  <c r="D1772" i="1"/>
  <c r="D1540" i="1"/>
  <c r="D225" i="1"/>
  <c r="D224" i="1"/>
  <c r="D1492" i="1"/>
  <c r="D1493" i="1"/>
  <c r="D1539" i="1"/>
  <c r="D1771" i="1"/>
  <c r="D1538" i="1"/>
  <c r="R1100" i="1"/>
  <c r="D1100" i="1" s="1"/>
  <c r="D398" i="1"/>
  <c r="D399" i="1"/>
  <c r="D277" i="1"/>
  <c r="D278" i="1"/>
  <c r="D164" i="1"/>
  <c r="D165" i="1"/>
  <c r="D166" i="1"/>
  <c r="D163" i="1"/>
  <c r="D167" i="1"/>
  <c r="D1535" i="1"/>
  <c r="D1692" i="1"/>
  <c r="D1693" i="1"/>
  <c r="D1537" i="1"/>
  <c r="D1536" i="1"/>
  <c r="D1033" i="1"/>
  <c r="D1034" i="1"/>
  <c r="D1134" i="1"/>
  <c r="D1135" i="1"/>
  <c r="D1133" i="1"/>
  <c r="D1659" i="1"/>
  <c r="D1660" i="1"/>
  <c r="A719" i="1"/>
  <c r="C719" i="1"/>
  <c r="B719" i="1" s="1"/>
  <c r="F719" i="1"/>
  <c r="M719" i="1"/>
  <c r="O719" i="1"/>
  <c r="P719" i="1"/>
  <c r="Q719" i="1" s="1"/>
  <c r="A717" i="1"/>
  <c r="C717" i="1"/>
  <c r="B717" i="1" s="1"/>
  <c r="F717" i="1"/>
  <c r="M717" i="1"/>
  <c r="O717" i="1"/>
  <c r="P717" i="1"/>
  <c r="Q717" i="1" s="1"/>
  <c r="A718" i="1"/>
  <c r="C718" i="1"/>
  <c r="B718" i="1" s="1"/>
  <c r="F718" i="1"/>
  <c r="M718" i="1"/>
  <c r="O718" i="1"/>
  <c r="P718" i="1"/>
  <c r="Q718" i="1" s="1"/>
  <c r="A716" i="1"/>
  <c r="C716" i="1"/>
  <c r="B716" i="1" s="1"/>
  <c r="F716" i="1"/>
  <c r="M716" i="1"/>
  <c r="O716" i="1"/>
  <c r="P716" i="1"/>
  <c r="Q716" i="1" s="1"/>
  <c r="A1802" i="1"/>
  <c r="C1802" i="1"/>
  <c r="B1802" i="1" s="1"/>
  <c r="F1802" i="1"/>
  <c r="M1802" i="1"/>
  <c r="O1802" i="1"/>
  <c r="P1802" i="1"/>
  <c r="Q1802" i="1" s="1"/>
  <c r="A833" i="1"/>
  <c r="C833" i="1"/>
  <c r="B833" i="1" s="1"/>
  <c r="F833" i="1"/>
  <c r="M833" i="1"/>
  <c r="O833" i="1"/>
  <c r="P833" i="1"/>
  <c r="Q833" i="1" s="1"/>
  <c r="A832" i="1"/>
  <c r="C832" i="1"/>
  <c r="B832" i="1" s="1"/>
  <c r="F832" i="1"/>
  <c r="M832" i="1"/>
  <c r="O832" i="1"/>
  <c r="P832" i="1"/>
  <c r="Q832" i="1" s="1"/>
  <c r="A1190" i="1"/>
  <c r="C1190" i="1"/>
  <c r="B1190" i="1" s="1"/>
  <c r="F1190" i="1"/>
  <c r="M1190" i="1"/>
  <c r="O1190" i="1"/>
  <c r="P1190" i="1"/>
  <c r="Q1190" i="1" s="1"/>
  <c r="A1412" i="1"/>
  <c r="C1412" i="1"/>
  <c r="B1412" i="1" s="1"/>
  <c r="F1412" i="1"/>
  <c r="M1412" i="1"/>
  <c r="O1412" i="1"/>
  <c r="P1412" i="1"/>
  <c r="Q1412" i="1" s="1"/>
  <c r="A377" i="1"/>
  <c r="C377" i="1"/>
  <c r="B377" i="1" s="1"/>
  <c r="F377" i="1"/>
  <c r="M377" i="1"/>
  <c r="O377" i="1"/>
  <c r="P377" i="1"/>
  <c r="Q377" i="1" s="1"/>
  <c r="S377" i="1"/>
  <c r="A376" i="1"/>
  <c r="C376" i="1"/>
  <c r="B376" i="1" s="1"/>
  <c r="F376" i="1"/>
  <c r="M376" i="1"/>
  <c r="O376" i="1"/>
  <c r="P376" i="1"/>
  <c r="Q376" i="1" s="1"/>
  <c r="S376" i="1"/>
  <c r="O752" i="1"/>
  <c r="A752" i="1"/>
  <c r="B752" i="1"/>
  <c r="F752" i="1"/>
  <c r="M752" i="1"/>
  <c r="M1214" i="1"/>
  <c r="R719" i="1" l="1"/>
  <c r="R717" i="1"/>
  <c r="R718" i="1"/>
  <c r="R716" i="1"/>
  <c r="R1802" i="1"/>
  <c r="D1802" i="1" s="1"/>
  <c r="R833" i="1"/>
  <c r="R832" i="1"/>
  <c r="R1190" i="1"/>
  <c r="R1412" i="1"/>
  <c r="R377" i="1"/>
  <c r="R376" i="1"/>
  <c r="D377" i="1"/>
  <c r="D376" i="1"/>
  <c r="Q752" i="1"/>
  <c r="R752" i="1" s="1"/>
  <c r="A1214" i="1"/>
  <c r="C1214" i="1"/>
  <c r="B1214" i="1" s="1"/>
  <c r="F1214" i="1"/>
  <c r="O1214" i="1"/>
  <c r="P1214" i="1"/>
  <c r="Q1214" i="1" s="1"/>
  <c r="A202" i="1"/>
  <c r="C202" i="1"/>
  <c r="B202" i="1" s="1"/>
  <c r="F202" i="1"/>
  <c r="M202" i="1"/>
  <c r="O202" i="1"/>
  <c r="P202" i="1"/>
  <c r="Q202" i="1" s="1"/>
  <c r="S202" i="1"/>
  <c r="D1194" i="1" l="1"/>
  <c r="D1196" i="1"/>
  <c r="R202" i="1"/>
  <c r="D202" i="1" s="1"/>
  <c r="A254" i="1" l="1"/>
  <c r="C254" i="1"/>
  <c r="B254" i="1" s="1"/>
  <c r="F254" i="1"/>
  <c r="M254" i="1"/>
  <c r="O254" i="1"/>
  <c r="P254" i="1"/>
  <c r="Q254" i="1" s="1"/>
  <c r="A136" i="1"/>
  <c r="C136" i="1"/>
  <c r="B136" i="1" s="1"/>
  <c r="F136" i="1"/>
  <c r="M136" i="1"/>
  <c r="O136" i="1"/>
  <c r="P136" i="1"/>
  <c r="Q136" i="1" s="1"/>
  <c r="A612" i="1"/>
  <c r="C612" i="1"/>
  <c r="B612" i="1" s="1"/>
  <c r="F612" i="1"/>
  <c r="M612" i="1"/>
  <c r="O612" i="1"/>
  <c r="P612" i="1"/>
  <c r="Q612" i="1" s="1"/>
  <c r="A613" i="1"/>
  <c r="C613" i="1"/>
  <c r="B613" i="1" s="1"/>
  <c r="F613" i="1"/>
  <c r="M613" i="1"/>
  <c r="O613" i="1"/>
  <c r="P613" i="1"/>
  <c r="Q613" i="1" s="1"/>
  <c r="A1459" i="1"/>
  <c r="C1459" i="1"/>
  <c r="B1459" i="1" s="1"/>
  <c r="F1459" i="1"/>
  <c r="M1459" i="1"/>
  <c r="O1459" i="1"/>
  <c r="P1459" i="1"/>
  <c r="Q1459" i="1" s="1"/>
  <c r="A1571" i="1"/>
  <c r="A1570" i="1"/>
  <c r="A1572" i="1"/>
  <c r="C1571" i="1"/>
  <c r="B1571" i="1" s="1"/>
  <c r="C1570" i="1"/>
  <c r="B1570" i="1" s="1"/>
  <c r="C1572" i="1"/>
  <c r="B1572" i="1" s="1"/>
  <c r="F1571" i="1"/>
  <c r="F1570" i="1"/>
  <c r="F1572" i="1"/>
  <c r="M1571" i="1"/>
  <c r="M1570" i="1"/>
  <c r="M1572" i="1"/>
  <c r="O1571" i="1"/>
  <c r="O1570" i="1"/>
  <c r="O1572" i="1"/>
  <c r="Q1571" i="1"/>
  <c r="Q1570" i="1"/>
  <c r="P1572" i="1"/>
  <c r="A1375" i="1"/>
  <c r="C1375" i="1"/>
  <c r="B1375" i="1" s="1"/>
  <c r="F1375" i="1"/>
  <c r="M1375" i="1"/>
  <c r="O1375" i="1"/>
  <c r="P1375" i="1"/>
  <c r="Q1375" i="1" s="1"/>
  <c r="A1009" i="1"/>
  <c r="C1009" i="1"/>
  <c r="B1009" i="1" s="1"/>
  <c r="F1009" i="1"/>
  <c r="O1009" i="1"/>
  <c r="P1009" i="1"/>
  <c r="Q1009" i="1" s="1"/>
  <c r="A1490" i="1"/>
  <c r="C1490" i="1"/>
  <c r="B1490" i="1" s="1"/>
  <c r="F1490" i="1"/>
  <c r="M1490" i="1"/>
  <c r="O1490" i="1"/>
  <c r="P1490" i="1"/>
  <c r="Q1490" i="1" s="1"/>
  <c r="A1411" i="1"/>
  <c r="C1411" i="1"/>
  <c r="B1411" i="1" s="1"/>
  <c r="F1411" i="1"/>
  <c r="M1411" i="1"/>
  <c r="O1411" i="1"/>
  <c r="P1411" i="1"/>
  <c r="Q1411" i="1" s="1"/>
  <c r="A1410" i="1"/>
  <c r="C1410" i="1"/>
  <c r="B1410" i="1" s="1"/>
  <c r="F1410" i="1"/>
  <c r="O1410" i="1"/>
  <c r="P1410" i="1"/>
  <c r="Q1410" i="1" s="1"/>
  <c r="A1458" i="1"/>
  <c r="C1458" i="1"/>
  <c r="B1458" i="1" s="1"/>
  <c r="F1458" i="1"/>
  <c r="M1458" i="1"/>
  <c r="O1458" i="1"/>
  <c r="P1458" i="1"/>
  <c r="Q1458" i="1" s="1"/>
  <c r="A1839" i="1"/>
  <c r="C1839" i="1"/>
  <c r="B1839" i="1" s="1"/>
  <c r="F1839" i="1"/>
  <c r="M1839" i="1"/>
  <c r="O1839" i="1"/>
  <c r="P1839" i="1"/>
  <c r="Q1839" i="1" s="1"/>
  <c r="A1019" i="1"/>
  <c r="B1019" i="1"/>
  <c r="F1019" i="1"/>
  <c r="M1019" i="1"/>
  <c r="O1019" i="1"/>
  <c r="P1019" i="1"/>
  <c r="Q1019" i="1" s="1"/>
  <c r="A1125" i="1"/>
  <c r="B1125" i="1"/>
  <c r="F1125" i="1"/>
  <c r="O1125" i="1"/>
  <c r="P1125" i="1"/>
  <c r="Q1125" i="1" s="1"/>
  <c r="A1665" i="1"/>
  <c r="C1665" i="1"/>
  <c r="B1665" i="1" s="1"/>
  <c r="F1665" i="1"/>
  <c r="M1665" i="1"/>
  <c r="O1665" i="1"/>
  <c r="P1665" i="1"/>
  <c r="Q1665" i="1" s="1"/>
  <c r="R254" i="1" l="1"/>
  <c r="D254" i="1" s="1"/>
  <c r="R136" i="1"/>
  <c r="D136" i="1" s="1"/>
  <c r="R612" i="1"/>
  <c r="R613" i="1"/>
  <c r="R1459" i="1"/>
  <c r="D1463" i="1" s="1"/>
  <c r="R1571" i="1"/>
  <c r="Q1572" i="1"/>
  <c r="R1572" i="1" s="1"/>
  <c r="R1570" i="1"/>
  <c r="R1375" i="1"/>
  <c r="D1009" i="1"/>
  <c r="R1490" i="1"/>
  <c r="R1410" i="1"/>
  <c r="R1411" i="1"/>
  <c r="R1839" i="1"/>
  <c r="D1840" i="1" s="1"/>
  <c r="R1458" i="1"/>
  <c r="R1019" i="1"/>
  <c r="R1665" i="1"/>
  <c r="D1665" i="1" s="1"/>
  <c r="D1461" i="1" l="1"/>
  <c r="D1462" i="1"/>
  <c r="D1413" i="1"/>
  <c r="D1571" i="1"/>
  <c r="D613" i="1"/>
  <c r="D612" i="1"/>
  <c r="D1570" i="1"/>
  <c r="D1572" i="1"/>
  <c r="A604" i="1"/>
  <c r="C604" i="1"/>
  <c r="B604" i="1" s="1"/>
  <c r="D604" i="1"/>
  <c r="F604" i="1"/>
  <c r="M604" i="1"/>
  <c r="O604" i="1"/>
  <c r="P604" i="1"/>
  <c r="Q604" i="1" s="1"/>
  <c r="S604" i="1"/>
  <c r="O992" i="1"/>
  <c r="E569" i="6"/>
  <c r="F569" i="6"/>
  <c r="I569" i="6"/>
  <c r="J569" i="6"/>
  <c r="D1058" i="6"/>
  <c r="C1051" i="6"/>
  <c r="E924" i="6"/>
  <c r="E933" i="6"/>
  <c r="E957" i="6"/>
  <c r="E982" i="6"/>
  <c r="E1007" i="6"/>
  <c r="E1030" i="6"/>
  <c r="E580" i="6"/>
  <c r="F933" i="6"/>
  <c r="F957" i="6"/>
  <c r="F982" i="6"/>
  <c r="F1007" i="6"/>
  <c r="F1030" i="6"/>
  <c r="I924" i="6"/>
  <c r="I933" i="6"/>
  <c r="I957" i="6"/>
  <c r="I982" i="6"/>
  <c r="I1007" i="6"/>
  <c r="I1030" i="6"/>
  <c r="I580" i="6"/>
  <c r="J924" i="6"/>
  <c r="J933" i="6"/>
  <c r="J957" i="6"/>
  <c r="J982" i="6"/>
  <c r="J1007" i="6"/>
  <c r="J1030" i="6"/>
  <c r="J580" i="6"/>
  <c r="A66" i="1"/>
  <c r="C66" i="1"/>
  <c r="B66" i="1" s="1"/>
  <c r="F66" i="1"/>
  <c r="M66" i="1"/>
  <c r="O66" i="1"/>
  <c r="P66" i="1"/>
  <c r="Q66" i="1" s="1"/>
  <c r="A19" i="1"/>
  <c r="C19" i="1"/>
  <c r="B19" i="1" s="1"/>
  <c r="F19" i="1"/>
  <c r="M19" i="1"/>
  <c r="O19" i="1"/>
  <c r="P19" i="1"/>
  <c r="Q19" i="1" s="1"/>
  <c r="A285" i="1"/>
  <c r="C285" i="1"/>
  <c r="B285" i="1" s="1"/>
  <c r="F285" i="1"/>
  <c r="M285" i="1"/>
  <c r="O285" i="1"/>
  <c r="P285" i="1"/>
  <c r="Q285" i="1" s="1"/>
  <c r="A782" i="1"/>
  <c r="C782" i="1"/>
  <c r="B782" i="1" s="1"/>
  <c r="F782" i="1"/>
  <c r="M782" i="1"/>
  <c r="O782" i="1"/>
  <c r="Q782" i="1"/>
  <c r="E1039" i="6"/>
  <c r="F1039" i="6"/>
  <c r="I1039" i="6"/>
  <c r="J1039" i="6"/>
  <c r="A162" i="1"/>
  <c r="C162" i="1"/>
  <c r="B162" i="1" s="1"/>
  <c r="F162" i="1"/>
  <c r="M162" i="1"/>
  <c r="O162" i="1"/>
  <c r="P162" i="1"/>
  <c r="Q162" i="1" s="1"/>
  <c r="S162" i="1"/>
  <c r="K1691" i="1"/>
  <c r="O1691" i="1" s="1"/>
  <c r="A1691" i="1"/>
  <c r="C1691" i="1"/>
  <c r="B1691" i="1" s="1"/>
  <c r="F1691" i="1"/>
  <c r="A830" i="1"/>
  <c r="C830" i="1"/>
  <c r="B830" i="1" s="1"/>
  <c r="F830" i="1"/>
  <c r="M830" i="1"/>
  <c r="P830" i="1"/>
  <c r="Q830" i="1" s="1"/>
  <c r="E1096" i="6"/>
  <c r="F1096" i="6"/>
  <c r="I1096" i="6"/>
  <c r="J1096" i="6"/>
  <c r="E1125" i="6"/>
  <c r="F1125" i="6"/>
  <c r="I1125" i="6"/>
  <c r="J1125" i="6"/>
  <c r="E1071" i="6"/>
  <c r="F1071" i="6"/>
  <c r="I1071" i="6"/>
  <c r="J1071" i="6"/>
  <c r="A1666" i="1"/>
  <c r="C1666" i="1"/>
  <c r="B1666" i="1" s="1"/>
  <c r="F1666" i="1"/>
  <c r="M1666" i="1"/>
  <c r="O1666" i="1"/>
  <c r="P1666" i="1"/>
  <c r="Q1666" i="1" s="1"/>
  <c r="Y42" i="15" l="1"/>
  <c r="F1065" i="6"/>
  <c r="F1064" i="6"/>
  <c r="X42" i="15"/>
  <c r="F1063" i="6"/>
  <c r="W42" i="15"/>
  <c r="V42" i="15"/>
  <c r="F1062" i="6"/>
  <c r="M1691" i="1"/>
  <c r="E1051" i="6"/>
  <c r="U42" i="15"/>
  <c r="F1061" i="6"/>
  <c r="J1051" i="6"/>
  <c r="I1051" i="6"/>
  <c r="F1051" i="6"/>
  <c r="R604" i="1"/>
  <c r="P1691" i="1"/>
  <c r="Q1691" i="1" s="1"/>
  <c r="R66" i="1"/>
  <c r="R19" i="1"/>
  <c r="R285" i="1"/>
  <c r="R782" i="1"/>
  <c r="R162" i="1"/>
  <c r="D162" i="1" s="1"/>
  <c r="R830" i="1"/>
  <c r="D837" i="1" s="1"/>
  <c r="R1666" i="1"/>
  <c r="D1666" i="1" s="1"/>
  <c r="D68" i="1" l="1"/>
  <c r="D69" i="1"/>
  <c r="R1691" i="1"/>
  <c r="D1691" i="1" s="1"/>
  <c r="D67" i="1"/>
  <c r="D65" i="1"/>
  <c r="D782" i="1"/>
  <c r="A649" i="1"/>
  <c r="C649" i="1"/>
  <c r="B649" i="1" s="1"/>
  <c r="F649" i="1"/>
  <c r="M649" i="1"/>
  <c r="O649" i="1"/>
  <c r="P649" i="1"/>
  <c r="Q649" i="1" s="1"/>
  <c r="E216" i="6"/>
  <c r="F216" i="6"/>
  <c r="I216" i="6"/>
  <c r="J216" i="6"/>
  <c r="E12" i="6"/>
  <c r="F12" i="6"/>
  <c r="I12" i="6"/>
  <c r="J12" i="6"/>
  <c r="A1108" i="1"/>
  <c r="C1108" i="1"/>
  <c r="B1108" i="1" s="1"/>
  <c r="F1108" i="1"/>
  <c r="M1108" i="1"/>
  <c r="O1108" i="1"/>
  <c r="P1108" i="1"/>
  <c r="Q1108" i="1" s="1"/>
  <c r="E54" i="6"/>
  <c r="J54" i="6"/>
  <c r="C23" i="6"/>
  <c r="F27" i="6" s="1"/>
  <c r="A1330" i="1"/>
  <c r="C1330" i="1"/>
  <c r="B1330" i="1" s="1"/>
  <c r="F1330" i="1"/>
  <c r="M1330" i="1"/>
  <c r="O1330" i="1"/>
  <c r="P1330" i="1"/>
  <c r="Q1330" i="1" s="1"/>
  <c r="A679" i="1"/>
  <c r="C679" i="1"/>
  <c r="B679" i="1" s="1"/>
  <c r="F679" i="1"/>
  <c r="M679" i="1"/>
  <c r="O679" i="1"/>
  <c r="P679" i="1"/>
  <c r="Q679" i="1" s="1"/>
  <c r="A1489" i="1"/>
  <c r="C1489" i="1"/>
  <c r="B1489" i="1" s="1"/>
  <c r="F1489" i="1"/>
  <c r="M1489" i="1"/>
  <c r="O1489" i="1"/>
  <c r="P1489" i="1"/>
  <c r="Q1489" i="1" s="1"/>
  <c r="A611" i="1"/>
  <c r="C611" i="1"/>
  <c r="B611" i="1" s="1"/>
  <c r="F611" i="1"/>
  <c r="M611" i="1"/>
  <c r="O611" i="1"/>
  <c r="P611" i="1"/>
  <c r="Q611" i="1" s="1"/>
  <c r="A214" i="1"/>
  <c r="C214" i="1"/>
  <c r="B214" i="1" s="1"/>
  <c r="F214" i="1"/>
  <c r="M214" i="1"/>
  <c r="O214" i="1"/>
  <c r="X15" i="16" s="1"/>
  <c r="P214" i="1"/>
  <c r="Q214" i="1" s="1"/>
  <c r="A720" i="1"/>
  <c r="C720" i="1"/>
  <c r="B720" i="1" s="1"/>
  <c r="F720" i="1"/>
  <c r="M720" i="1"/>
  <c r="O720" i="1"/>
  <c r="P720" i="1"/>
  <c r="Q720" i="1" s="1"/>
  <c r="A721" i="1"/>
  <c r="C721" i="1"/>
  <c r="B721" i="1" s="1"/>
  <c r="F721" i="1"/>
  <c r="M721" i="1"/>
  <c r="O721" i="1"/>
  <c r="P721" i="1"/>
  <c r="Q721" i="1" s="1"/>
  <c r="A1297" i="1"/>
  <c r="C1297" i="1"/>
  <c r="B1297" i="1" s="1"/>
  <c r="F1297" i="1"/>
  <c r="M1297" i="1"/>
  <c r="O1297" i="1"/>
  <c r="P1297" i="1"/>
  <c r="Q1297" i="1" s="1"/>
  <c r="A805" i="1"/>
  <c r="C805" i="1"/>
  <c r="B805" i="1" s="1"/>
  <c r="M805" i="1"/>
  <c r="O805" i="1"/>
  <c r="P805" i="1"/>
  <c r="Q805" i="1" s="1"/>
  <c r="A631" i="1"/>
  <c r="B631" i="1"/>
  <c r="F631" i="1"/>
  <c r="M631" i="1"/>
  <c r="O631" i="1"/>
  <c r="P631" i="1"/>
  <c r="Q631" i="1" s="1"/>
  <c r="E1095" i="6"/>
  <c r="F1095" i="6"/>
  <c r="I1095" i="6"/>
  <c r="J1095" i="6"/>
  <c r="A1409" i="1"/>
  <c r="C1409" i="1"/>
  <c r="B1409" i="1" s="1"/>
  <c r="F1409" i="1"/>
  <c r="M1409" i="1"/>
  <c r="O1409" i="1"/>
  <c r="P1409" i="1"/>
  <c r="Q1409" i="1" s="1"/>
  <c r="A1364" i="1"/>
  <c r="C1364" i="1"/>
  <c r="B1364" i="1" s="1"/>
  <c r="F1364" i="1"/>
  <c r="M1364" i="1"/>
  <c r="O1364" i="1"/>
  <c r="P1364" i="1"/>
  <c r="Q1364" i="1" s="1"/>
  <c r="A1358" i="1"/>
  <c r="C1358" i="1"/>
  <c r="B1358" i="1" s="1"/>
  <c r="F1358" i="1"/>
  <c r="M1358" i="1"/>
  <c r="O1358" i="1"/>
  <c r="P1358" i="1"/>
  <c r="Q1358" i="1" s="1"/>
  <c r="E64" i="6"/>
  <c r="F64" i="6"/>
  <c r="I64" i="6"/>
  <c r="J64" i="6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A375" i="1"/>
  <c r="C375" i="1"/>
  <c r="B375" i="1" s="1"/>
  <c r="F375" i="1"/>
  <c r="M375" i="1"/>
  <c r="O375" i="1"/>
  <c r="P375" i="1"/>
  <c r="Q375" i="1" s="1"/>
  <c r="A1583" i="1"/>
  <c r="C1583" i="1"/>
  <c r="B1583" i="1" s="1"/>
  <c r="F1583" i="1"/>
  <c r="M1583" i="1"/>
  <c r="O1583" i="1"/>
  <c r="P1583" i="1"/>
  <c r="S1583" i="1"/>
  <c r="A1673" i="1"/>
  <c r="C1673" i="1"/>
  <c r="B1673" i="1" s="1"/>
  <c r="F1673" i="1"/>
  <c r="M1673" i="1"/>
  <c r="O1673" i="1"/>
  <c r="P1673" i="1"/>
  <c r="Q1673" i="1" s="1"/>
  <c r="S1673" i="1"/>
  <c r="A1217" i="1"/>
  <c r="C1217" i="1"/>
  <c r="B1217" i="1" s="1"/>
  <c r="F1217" i="1"/>
  <c r="M1217" i="1"/>
  <c r="O1217" i="1"/>
  <c r="P1217" i="1"/>
  <c r="Q1217" i="1" s="1"/>
  <c r="A1334" i="1"/>
  <c r="C1334" i="1"/>
  <c r="B1334" i="1" s="1"/>
  <c r="F1334" i="1"/>
  <c r="M1334" i="1"/>
  <c r="O1334" i="1"/>
  <c r="P1334" i="1"/>
  <c r="Q1334" i="1" s="1"/>
  <c r="C1579" i="1"/>
  <c r="F1579" i="1"/>
  <c r="O1579" i="1"/>
  <c r="P1579" i="1"/>
  <c r="Q1579" i="1" s="1"/>
  <c r="Y6" i="15" l="1"/>
  <c r="X6" i="15"/>
  <c r="W6" i="15"/>
  <c r="F26" i="6"/>
  <c r="F24" i="6"/>
  <c r="F25" i="6"/>
  <c r="U6" i="15"/>
  <c r="V6" i="15"/>
  <c r="I23" i="6"/>
  <c r="J23" i="6"/>
  <c r="F23" i="6"/>
  <c r="E23" i="6"/>
  <c r="R649" i="1"/>
  <c r="D649" i="1" s="1"/>
  <c r="R1108" i="1"/>
  <c r="D1108" i="1" s="1"/>
  <c r="I54" i="6"/>
  <c r="R1330" i="1"/>
  <c r="D1330" i="1" s="1"/>
  <c r="R679" i="1"/>
  <c r="R1489" i="1"/>
  <c r="D1491" i="1" s="1"/>
  <c r="R611" i="1"/>
  <c r="R214" i="1"/>
  <c r="R720" i="1"/>
  <c r="R721" i="1"/>
  <c r="R1297" i="1"/>
  <c r="D1297" i="1" s="1"/>
  <c r="R805" i="1"/>
  <c r="R631" i="1"/>
  <c r="R1409" i="1"/>
  <c r="R1364" i="1"/>
  <c r="R1358" i="1"/>
  <c r="R375" i="1"/>
  <c r="D375" i="1" s="1"/>
  <c r="R1583" i="1"/>
  <c r="D1583" i="1" s="1"/>
  <c r="R1673" i="1"/>
  <c r="D1673" i="1" s="1"/>
  <c r="R1217" i="1"/>
  <c r="D1217" i="1" s="1"/>
  <c r="R1334" i="1"/>
  <c r="D1334" i="1" s="1"/>
  <c r="R1579" i="1"/>
  <c r="D1579" i="1"/>
  <c r="D1362" i="1" l="1"/>
  <c r="D80" i="1"/>
  <c r="D1361" i="1"/>
  <c r="D1363" i="1"/>
  <c r="D1359" i="1"/>
  <c r="D1360" i="1"/>
  <c r="D722" i="1"/>
  <c r="D214" i="1"/>
  <c r="D215" i="1"/>
  <c r="D717" i="1"/>
  <c r="D719" i="1"/>
  <c r="D716" i="1"/>
  <c r="D718" i="1"/>
  <c r="D721" i="1"/>
  <c r="D611" i="1"/>
  <c r="D720" i="1"/>
  <c r="K530" i="1"/>
  <c r="O530" i="1" s="1"/>
  <c r="A530" i="1"/>
  <c r="C530" i="1"/>
  <c r="B530" i="1" s="1"/>
  <c r="F530" i="1"/>
  <c r="A135" i="1"/>
  <c r="C135" i="1"/>
  <c r="B135" i="1" s="1"/>
  <c r="F135" i="1"/>
  <c r="M135" i="1"/>
  <c r="O135" i="1"/>
  <c r="P135" i="1"/>
  <c r="Q135" i="1" s="1"/>
  <c r="S135" i="1"/>
  <c r="A495" i="1"/>
  <c r="C495" i="1"/>
  <c r="B495" i="1" s="1"/>
  <c r="F495" i="1"/>
  <c r="M495" i="1"/>
  <c r="O495" i="1"/>
  <c r="P495" i="1"/>
  <c r="Q495" i="1" s="1"/>
  <c r="A374" i="1"/>
  <c r="C374" i="1"/>
  <c r="B374" i="1" s="1"/>
  <c r="D374" i="1"/>
  <c r="F374" i="1"/>
  <c r="M374" i="1"/>
  <c r="O374" i="1"/>
  <c r="P374" i="1"/>
  <c r="Q374" i="1" s="1"/>
  <c r="S374" i="1"/>
  <c r="A1189" i="1"/>
  <c r="C1189" i="1"/>
  <c r="B1189" i="1" s="1"/>
  <c r="F1189" i="1"/>
  <c r="M1189" i="1"/>
  <c r="O1189" i="1"/>
  <c r="P1189" i="1"/>
  <c r="Q1189" i="1" s="1"/>
  <c r="D528" i="6"/>
  <c r="I528" i="6"/>
  <c r="A161" i="1"/>
  <c r="C161" i="1"/>
  <c r="B161" i="1" s="1"/>
  <c r="F161" i="1"/>
  <c r="M161" i="1"/>
  <c r="O161" i="1"/>
  <c r="P161" i="1"/>
  <c r="Q161" i="1" s="1"/>
  <c r="A1188" i="1"/>
  <c r="C1188" i="1"/>
  <c r="B1188" i="1" s="1"/>
  <c r="F1188" i="1"/>
  <c r="M1188" i="1"/>
  <c r="O1188" i="1"/>
  <c r="P1188" i="1"/>
  <c r="Q1188" i="1" s="1"/>
  <c r="A751" i="1"/>
  <c r="C751" i="1"/>
  <c r="B751" i="1" s="1"/>
  <c r="F751" i="1"/>
  <c r="M751" i="1"/>
  <c r="O751" i="1"/>
  <c r="P751" i="1"/>
  <c r="Q751" i="1" s="1"/>
  <c r="A266" i="1"/>
  <c r="C266" i="1"/>
  <c r="B266" i="1" s="1"/>
  <c r="F266" i="1"/>
  <c r="M266" i="1"/>
  <c r="O266" i="1"/>
  <c r="P266" i="1"/>
  <c r="Q266" i="1" s="1"/>
  <c r="A463" i="1"/>
  <c r="C463" i="1"/>
  <c r="B463" i="1" s="1"/>
  <c r="F463" i="1"/>
  <c r="M463" i="1"/>
  <c r="O463" i="1"/>
  <c r="P463" i="1"/>
  <c r="Q463" i="1" s="1"/>
  <c r="S463" i="1"/>
  <c r="A435" i="1"/>
  <c r="C435" i="1"/>
  <c r="B435" i="1" s="1"/>
  <c r="F435" i="1"/>
  <c r="M435" i="1"/>
  <c r="O435" i="1"/>
  <c r="P435" i="1"/>
  <c r="Q435" i="1" s="1"/>
  <c r="S435" i="1"/>
  <c r="A513" i="1"/>
  <c r="C513" i="1"/>
  <c r="B513" i="1" s="1"/>
  <c r="F513" i="1"/>
  <c r="M513" i="1"/>
  <c r="O513" i="1"/>
  <c r="P513" i="1"/>
  <c r="Q513" i="1" s="1"/>
  <c r="S513" i="1"/>
  <c r="A310" i="1"/>
  <c r="C310" i="1"/>
  <c r="B310" i="1" s="1"/>
  <c r="F310" i="1"/>
  <c r="M310" i="1"/>
  <c r="O310" i="1"/>
  <c r="P310" i="1"/>
  <c r="Q310" i="1" s="1"/>
  <c r="S310" i="1"/>
  <c r="A330" i="1"/>
  <c r="C330" i="1"/>
  <c r="B330" i="1" s="1"/>
  <c r="F330" i="1"/>
  <c r="M330" i="1"/>
  <c r="O330" i="1"/>
  <c r="P330" i="1"/>
  <c r="Q330" i="1" s="1"/>
  <c r="S330" i="1"/>
  <c r="A979" i="1"/>
  <c r="C979" i="1"/>
  <c r="B979" i="1" s="1"/>
  <c r="F979" i="1"/>
  <c r="M979" i="1"/>
  <c r="P979" i="1"/>
  <c r="Q979" i="1" s="1"/>
  <c r="E1124" i="6"/>
  <c r="E1094" i="6"/>
  <c r="F1124" i="6"/>
  <c r="F1094" i="6"/>
  <c r="I1124" i="6"/>
  <c r="I1094" i="6"/>
  <c r="J1124" i="6"/>
  <c r="J1094" i="6"/>
  <c r="E1070" i="6"/>
  <c r="F1070" i="6"/>
  <c r="I1070" i="6"/>
  <c r="J1070" i="6"/>
  <c r="A284" i="1"/>
  <c r="C284" i="1"/>
  <c r="B284" i="1" s="1"/>
  <c r="F284" i="1"/>
  <c r="M284" i="1"/>
  <c r="P284" i="1"/>
  <c r="Q284" i="1" s="1"/>
  <c r="A1488" i="1"/>
  <c r="C1488" i="1"/>
  <c r="B1488" i="1" s="1"/>
  <c r="F1488" i="1"/>
  <c r="M1488" i="1"/>
  <c r="O1488" i="1"/>
  <c r="P1488" i="1"/>
  <c r="Q1488" i="1" s="1"/>
  <c r="A955" i="1"/>
  <c r="C955" i="1"/>
  <c r="B955" i="1" s="1"/>
  <c r="F955" i="1"/>
  <c r="M955" i="1"/>
  <c r="O955" i="1"/>
  <c r="P955" i="1"/>
  <c r="Q955" i="1" s="1"/>
  <c r="A954" i="1"/>
  <c r="C954" i="1"/>
  <c r="B954" i="1" s="1"/>
  <c r="F954" i="1"/>
  <c r="M954" i="1"/>
  <c r="O954" i="1"/>
  <c r="P954" i="1"/>
  <c r="Q954" i="1" s="1"/>
  <c r="A1408" i="1"/>
  <c r="C1408" i="1"/>
  <c r="B1408" i="1" s="1"/>
  <c r="F1408" i="1"/>
  <c r="O1408" i="1"/>
  <c r="P1408" i="1"/>
  <c r="Q1408" i="1" s="1"/>
  <c r="A1018" i="1"/>
  <c r="C1018" i="1"/>
  <c r="B1018" i="1" s="1"/>
  <c r="F1018" i="1"/>
  <c r="M1018" i="1"/>
  <c r="O1018" i="1"/>
  <c r="P1018" i="1"/>
  <c r="Q1018" i="1" s="1"/>
  <c r="A160" i="1"/>
  <c r="C160" i="1"/>
  <c r="B160" i="1" s="1"/>
  <c r="F160" i="1"/>
  <c r="M160" i="1"/>
  <c r="O160" i="1"/>
  <c r="P160" i="1"/>
  <c r="Q160" i="1" s="1"/>
  <c r="A1032" i="1"/>
  <c r="C1032" i="1"/>
  <c r="B1032" i="1" s="1"/>
  <c r="F1032" i="1"/>
  <c r="M1032" i="1"/>
  <c r="O1032" i="1"/>
  <c r="P1032" i="1"/>
  <c r="Q1032" i="1" s="1"/>
  <c r="A1031" i="1"/>
  <c r="C1031" i="1"/>
  <c r="B1031" i="1" s="1"/>
  <c r="F1031" i="1"/>
  <c r="M1031" i="1"/>
  <c r="O1031" i="1"/>
  <c r="P1031" i="1"/>
  <c r="Q1031" i="1" s="1"/>
  <c r="K1099" i="1"/>
  <c r="P1099" i="1" s="1"/>
  <c r="Q1099" i="1" s="1"/>
  <c r="A1099" i="1"/>
  <c r="C1099" i="1"/>
  <c r="B1099" i="1" s="1"/>
  <c r="F1099" i="1"/>
  <c r="A1065" i="1"/>
  <c r="C1065" i="1"/>
  <c r="B1065" i="1" s="1"/>
  <c r="F1065" i="1"/>
  <c r="M1065" i="1"/>
  <c r="O1065" i="1"/>
  <c r="Q1065" i="1"/>
  <c r="A1050" i="1"/>
  <c r="C1050" i="1"/>
  <c r="B1050" i="1" s="1"/>
  <c r="F1050" i="1"/>
  <c r="M1050" i="1"/>
  <c r="O1050" i="1"/>
  <c r="P1050" i="1"/>
  <c r="Q1050" i="1" s="1"/>
  <c r="P1568" i="1"/>
  <c r="Q1568" i="1" s="1"/>
  <c r="P1573" i="1"/>
  <c r="Q1573" i="1" s="1"/>
  <c r="A1579" i="1"/>
  <c r="B1579" i="1"/>
  <c r="M1568" i="1"/>
  <c r="A373" i="1"/>
  <c r="C373" i="1"/>
  <c r="B373" i="1" s="1"/>
  <c r="F373" i="1"/>
  <c r="M373" i="1"/>
  <c r="O373" i="1"/>
  <c r="P373" i="1"/>
  <c r="Q373" i="1" s="1"/>
  <c r="S373" i="1"/>
  <c r="A416" i="1"/>
  <c r="C416" i="1"/>
  <c r="B416" i="1" s="1"/>
  <c r="M416" i="1"/>
  <c r="O416" i="1"/>
  <c r="P416" i="1"/>
  <c r="Q416" i="1" s="1"/>
  <c r="A415" i="1"/>
  <c r="C415" i="1"/>
  <c r="B415" i="1" s="1"/>
  <c r="M415" i="1"/>
  <c r="O415" i="1"/>
  <c r="P415" i="1"/>
  <c r="Q415" i="1" s="1"/>
  <c r="T19" i="16"/>
  <c r="E1069" i="6"/>
  <c r="E1093" i="6"/>
  <c r="E1123" i="6"/>
  <c r="F1069" i="6"/>
  <c r="F1093" i="6"/>
  <c r="F1123" i="6"/>
  <c r="I1069" i="6"/>
  <c r="I1093" i="6"/>
  <c r="I1123" i="6"/>
  <c r="J1069" i="6"/>
  <c r="J1093" i="6"/>
  <c r="J1123" i="6"/>
  <c r="E923" i="6"/>
  <c r="E932" i="6"/>
  <c r="E956" i="6"/>
  <c r="E981" i="6"/>
  <c r="E1006" i="6"/>
  <c r="E1029" i="6"/>
  <c r="F932" i="6"/>
  <c r="F956" i="6"/>
  <c r="F981" i="6"/>
  <c r="F1006" i="6"/>
  <c r="F1029" i="6"/>
  <c r="I923" i="6"/>
  <c r="I932" i="6"/>
  <c r="I956" i="6"/>
  <c r="I981" i="6"/>
  <c r="I1006" i="6"/>
  <c r="I1029" i="6"/>
  <c r="J923" i="6"/>
  <c r="J932" i="6"/>
  <c r="J956" i="6"/>
  <c r="J981" i="6"/>
  <c r="J1006" i="6"/>
  <c r="J1029" i="6"/>
  <c r="E464" i="6"/>
  <c r="E469" i="6"/>
  <c r="E481" i="6"/>
  <c r="E487" i="6"/>
  <c r="F469" i="6"/>
  <c r="F481" i="6"/>
  <c r="I464" i="6"/>
  <c r="I469" i="6"/>
  <c r="I481" i="6"/>
  <c r="I487" i="6"/>
  <c r="J464" i="6"/>
  <c r="J469" i="6"/>
  <c r="J481" i="6"/>
  <c r="J487" i="6"/>
  <c r="O1099" i="1" l="1"/>
  <c r="M530" i="1"/>
  <c r="E528" i="6"/>
  <c r="U19" i="16"/>
  <c r="P530" i="1"/>
  <c r="Q530" i="1" s="1"/>
  <c r="J528" i="6"/>
  <c r="R135" i="1"/>
  <c r="D135" i="1" s="1"/>
  <c r="R495" i="1"/>
  <c r="R374" i="1"/>
  <c r="M1099" i="1"/>
  <c r="R1189" i="1"/>
  <c r="R161" i="1"/>
  <c r="D161" i="1" s="1"/>
  <c r="R1188" i="1"/>
  <c r="R751" i="1"/>
  <c r="R266" i="1"/>
  <c r="D266" i="1" s="1"/>
  <c r="R463" i="1"/>
  <c r="D463" i="1" s="1"/>
  <c r="R435" i="1"/>
  <c r="D435" i="1" s="1"/>
  <c r="R513" i="1"/>
  <c r="D513" i="1" s="1"/>
  <c r="R310" i="1"/>
  <c r="D310" i="1" s="1"/>
  <c r="R330" i="1"/>
  <c r="D330" i="1" s="1"/>
  <c r="R979" i="1"/>
  <c r="D979" i="1" s="1"/>
  <c r="R284" i="1"/>
  <c r="R1488" i="1"/>
  <c r="R955" i="1"/>
  <c r="R954" i="1"/>
  <c r="R1408" i="1"/>
  <c r="D1412" i="1" s="1"/>
  <c r="R1018" i="1"/>
  <c r="R160" i="1"/>
  <c r="D160" i="1" s="1"/>
  <c r="R1032" i="1"/>
  <c r="R1031" i="1"/>
  <c r="R1065" i="1"/>
  <c r="D1065" i="1" s="1"/>
  <c r="R1050" i="1"/>
  <c r="D1050" i="1" s="1"/>
  <c r="R373" i="1"/>
  <c r="D373" i="1" s="1"/>
  <c r="R416" i="1"/>
  <c r="R415" i="1"/>
  <c r="T41" i="15"/>
  <c r="T45" i="15"/>
  <c r="T44" i="15"/>
  <c r="T43" i="15"/>
  <c r="T39" i="15"/>
  <c r="T38" i="15"/>
  <c r="T37" i="15"/>
  <c r="T36" i="15"/>
  <c r="T35" i="15"/>
  <c r="T32" i="15"/>
  <c r="T31" i="15"/>
  <c r="T27" i="15"/>
  <c r="T26" i="15"/>
  <c r="T24" i="15"/>
  <c r="T23" i="15"/>
  <c r="T21" i="15"/>
  <c r="T20" i="15"/>
  <c r="T19" i="15"/>
  <c r="T18" i="15"/>
  <c r="T17" i="15"/>
  <c r="T16" i="15"/>
  <c r="T15" i="15"/>
  <c r="T14" i="15"/>
  <c r="T13" i="15"/>
  <c r="T10" i="15"/>
  <c r="T8" i="15"/>
  <c r="T5" i="15"/>
  <c r="T4" i="15"/>
  <c r="T3" i="15"/>
  <c r="T2" i="15"/>
  <c r="A79" i="1"/>
  <c r="C79" i="1"/>
  <c r="B79" i="1" s="1"/>
  <c r="F79" i="1"/>
  <c r="M79" i="1"/>
  <c r="O79" i="1"/>
  <c r="P79" i="1"/>
  <c r="Q79" i="1" s="1"/>
  <c r="S79" i="1"/>
  <c r="R1099" i="1" l="1"/>
  <c r="D1099" i="1" s="1"/>
  <c r="R530" i="1"/>
  <c r="D530" i="1" s="1"/>
  <c r="D418" i="1"/>
  <c r="D1193" i="1"/>
  <c r="D1490" i="1"/>
  <c r="D1375" i="1"/>
  <c r="D417" i="1"/>
  <c r="D1192" i="1"/>
  <c r="D1191" i="1"/>
  <c r="D1190" i="1"/>
  <c r="D1411" i="1"/>
  <c r="D1410" i="1"/>
  <c r="D1031" i="1"/>
  <c r="D1032" i="1"/>
  <c r="D415" i="1"/>
  <c r="D416" i="1"/>
  <c r="R79" i="1"/>
  <c r="D79" i="1" s="1"/>
  <c r="E426" i="6" l="1"/>
  <c r="E427" i="6"/>
  <c r="E429" i="6"/>
  <c r="E428" i="6"/>
  <c r="F426" i="6"/>
  <c r="F427" i="6"/>
  <c r="F429" i="6"/>
  <c r="F428" i="6"/>
  <c r="I426" i="6"/>
  <c r="I427" i="6"/>
  <c r="I429" i="6"/>
  <c r="I428" i="6"/>
  <c r="J426" i="6"/>
  <c r="J427" i="6"/>
  <c r="J429" i="6"/>
  <c r="J428" i="6"/>
  <c r="E1060" i="6"/>
  <c r="I1060" i="6"/>
  <c r="J1060" i="6"/>
  <c r="A781" i="1" l="1"/>
  <c r="C781" i="1"/>
  <c r="B781" i="1" s="1"/>
  <c r="F781" i="1"/>
  <c r="M781" i="1"/>
  <c r="O781" i="1"/>
  <c r="P781" i="1"/>
  <c r="Q781" i="1" s="1"/>
  <c r="A1087" i="1"/>
  <c r="B1087" i="1"/>
  <c r="A95" i="1"/>
  <c r="C95" i="1"/>
  <c r="B95" i="1" s="1"/>
  <c r="F95" i="1"/>
  <c r="M95" i="1"/>
  <c r="O95" i="1"/>
  <c r="P95" i="1"/>
  <c r="Q95" i="1" s="1"/>
  <c r="A64" i="1"/>
  <c r="C64" i="1"/>
  <c r="B64" i="1" s="1"/>
  <c r="F64" i="1"/>
  <c r="M64" i="1"/>
  <c r="O64" i="1"/>
  <c r="P64" i="1"/>
  <c r="Q64" i="1" s="1"/>
  <c r="A1569" i="1"/>
  <c r="C1569" i="1"/>
  <c r="B1569" i="1" s="1"/>
  <c r="F1569" i="1"/>
  <c r="M1569" i="1"/>
  <c r="O1569" i="1"/>
  <c r="Q1569" i="1"/>
  <c r="A1574" i="1"/>
  <c r="C1574" i="1"/>
  <c r="B1574" i="1" s="1"/>
  <c r="F1574" i="1"/>
  <c r="M1574" i="1"/>
  <c r="O1574" i="1"/>
  <c r="P1574" i="1"/>
  <c r="Q1574" i="1" s="1"/>
  <c r="A1309" i="1"/>
  <c r="C1309" i="1"/>
  <c r="B1309" i="1" s="1"/>
  <c r="F1309" i="1"/>
  <c r="M1309" i="1"/>
  <c r="O1309" i="1"/>
  <c r="P1309" i="1"/>
  <c r="Q1309" i="1" s="1"/>
  <c r="A1213" i="1"/>
  <c r="C1213" i="1"/>
  <c r="B1213" i="1" s="1"/>
  <c r="F1213" i="1"/>
  <c r="M1213" i="1"/>
  <c r="O1213" i="1"/>
  <c r="P1213" i="1"/>
  <c r="Q1213" i="1" s="1"/>
  <c r="A680" i="1"/>
  <c r="C680" i="1"/>
  <c r="B680" i="1" s="1"/>
  <c r="F680" i="1"/>
  <c r="M680" i="1"/>
  <c r="O680" i="1"/>
  <c r="P680" i="1"/>
  <c r="Q680" i="1" s="1"/>
  <c r="A804" i="1"/>
  <c r="C804" i="1"/>
  <c r="B804" i="1" s="1"/>
  <c r="F804" i="1"/>
  <c r="M804" i="1"/>
  <c r="O804" i="1"/>
  <c r="P804" i="1"/>
  <c r="Q804" i="1" s="1"/>
  <c r="A158" i="1"/>
  <c r="C158" i="1"/>
  <c r="B158" i="1" s="1"/>
  <c r="F158" i="1"/>
  <c r="M158" i="1"/>
  <c r="O158" i="1"/>
  <c r="P158" i="1"/>
  <c r="Q158" i="1" s="1"/>
  <c r="A992" i="1"/>
  <c r="C992" i="1"/>
  <c r="B992" i="1" s="1"/>
  <c r="F992" i="1"/>
  <c r="M992" i="1"/>
  <c r="P992" i="1"/>
  <c r="Q992" i="1" s="1"/>
  <c r="A1124" i="1"/>
  <c r="C1124" i="1"/>
  <c r="B1124" i="1" s="1"/>
  <c r="F1124" i="1"/>
  <c r="M1124" i="1"/>
  <c r="O1124" i="1"/>
  <c r="P1124" i="1"/>
  <c r="Q1124" i="1" s="1"/>
  <c r="A26" i="1"/>
  <c r="C26" i="1"/>
  <c r="B26" i="1" s="1"/>
  <c r="F26" i="1"/>
  <c r="M26" i="1"/>
  <c r="O26" i="1"/>
  <c r="P26" i="1"/>
  <c r="Q26" i="1" s="1"/>
  <c r="A159" i="1"/>
  <c r="C159" i="1"/>
  <c r="B159" i="1" s="1"/>
  <c r="F159" i="1"/>
  <c r="M159" i="1"/>
  <c r="O159" i="1"/>
  <c r="P159" i="1"/>
  <c r="Q159" i="1" s="1"/>
  <c r="S159" i="1"/>
  <c r="A157" i="1"/>
  <c r="C157" i="1"/>
  <c r="B157" i="1" s="1"/>
  <c r="F157" i="1"/>
  <c r="M157" i="1"/>
  <c r="O157" i="1"/>
  <c r="P157" i="1"/>
  <c r="Q157" i="1" s="1"/>
  <c r="S157" i="1"/>
  <c r="A1279" i="1"/>
  <c r="C1279" i="1"/>
  <c r="B1279" i="1" s="1"/>
  <c r="F1279" i="1"/>
  <c r="O1279" i="1"/>
  <c r="P1279" i="1"/>
  <c r="Q1279" i="1" s="1"/>
  <c r="E432" i="6"/>
  <c r="E431" i="6"/>
  <c r="F432" i="6"/>
  <c r="F431" i="6"/>
  <c r="I432" i="6"/>
  <c r="I431" i="6"/>
  <c r="J432" i="6"/>
  <c r="J431" i="6"/>
  <c r="E430" i="6"/>
  <c r="F430" i="6"/>
  <c r="I430" i="6"/>
  <c r="J430" i="6"/>
  <c r="E433" i="6"/>
  <c r="F433" i="6"/>
  <c r="I433" i="6"/>
  <c r="J433" i="6"/>
  <c r="R1309" i="1" l="1"/>
  <c r="R781" i="1"/>
  <c r="R95" i="1"/>
  <c r="D95" i="1" s="1"/>
  <c r="R64" i="1"/>
  <c r="R159" i="1"/>
  <c r="R1124" i="1"/>
  <c r="R158" i="1"/>
  <c r="R1569" i="1"/>
  <c r="R1574" i="1"/>
  <c r="R680" i="1"/>
  <c r="R804" i="1"/>
  <c r="R1213" i="1"/>
  <c r="D1214" i="1" s="1"/>
  <c r="R157" i="1"/>
  <c r="R1279" i="1"/>
  <c r="R26" i="1"/>
  <c r="R992" i="1"/>
  <c r="D992" i="1" s="1"/>
  <c r="D158" i="1"/>
  <c r="D159" i="1"/>
  <c r="D157" i="1"/>
  <c r="D1279" i="1"/>
  <c r="T22" i="16"/>
  <c r="A557" i="1"/>
  <c r="C557" i="1"/>
  <c r="B557" i="1" s="1"/>
  <c r="F557" i="1"/>
  <c r="M557" i="1"/>
  <c r="O557" i="1"/>
  <c r="P557" i="1"/>
  <c r="Q557" i="1" s="1"/>
  <c r="A1471" i="1"/>
  <c r="C1471" i="1"/>
  <c r="B1471" i="1" s="1"/>
  <c r="F1471" i="1"/>
  <c r="M1471" i="1"/>
  <c r="O1471" i="1"/>
  <c r="P1471" i="1"/>
  <c r="Q1471" i="1" s="1"/>
  <c r="E1122" i="6"/>
  <c r="F1122" i="6"/>
  <c r="I1122" i="6"/>
  <c r="J1122" i="6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E1038" i="6"/>
  <c r="F1038" i="6"/>
  <c r="I1038" i="6"/>
  <c r="J1038" i="6"/>
  <c r="A1838" i="1"/>
  <c r="C1838" i="1"/>
  <c r="B1838" i="1" s="1"/>
  <c r="F1838" i="1"/>
  <c r="M1838" i="1"/>
  <c r="O1838" i="1"/>
  <c r="P1838" i="1"/>
  <c r="Q1838" i="1" s="1"/>
  <c r="K1387" i="1"/>
  <c r="O1387" i="1" s="1"/>
  <c r="A1387" i="1"/>
  <c r="C1387" i="1"/>
  <c r="B1387" i="1" s="1"/>
  <c r="F1387" i="1"/>
  <c r="A312" i="1"/>
  <c r="C312" i="1"/>
  <c r="B312" i="1" s="1"/>
  <c r="F312" i="1"/>
  <c r="M312" i="1"/>
  <c r="O312" i="1"/>
  <c r="P312" i="1"/>
  <c r="Q312" i="1" s="1"/>
  <c r="A1373" i="1"/>
  <c r="C1373" i="1"/>
  <c r="B1373" i="1" s="1"/>
  <c r="F1373" i="1"/>
  <c r="M1373" i="1"/>
  <c r="O1373" i="1"/>
  <c r="P1373" i="1"/>
  <c r="Q1373" i="1" s="1"/>
  <c r="A372" i="1"/>
  <c r="C372" i="1"/>
  <c r="B372" i="1" s="1"/>
  <c r="D372" i="1"/>
  <c r="F372" i="1"/>
  <c r="M372" i="1"/>
  <c r="O372" i="1"/>
  <c r="P372" i="1"/>
  <c r="Q372" i="1" s="1"/>
  <c r="S372" i="1"/>
  <c r="A494" i="1"/>
  <c r="C494" i="1"/>
  <c r="B494" i="1" s="1"/>
  <c r="F494" i="1"/>
  <c r="M494" i="1"/>
  <c r="O494" i="1"/>
  <c r="P494" i="1"/>
  <c r="Q494" i="1" s="1"/>
  <c r="A414" i="1"/>
  <c r="C414" i="1"/>
  <c r="B414" i="1" s="1"/>
  <c r="F414" i="1"/>
  <c r="M414" i="1"/>
  <c r="O414" i="1"/>
  <c r="P414" i="1"/>
  <c r="Q414" i="1" s="1"/>
  <c r="A802" i="1"/>
  <c r="C802" i="1"/>
  <c r="B802" i="1" s="1"/>
  <c r="F802" i="1"/>
  <c r="M802" i="1"/>
  <c r="O802" i="1"/>
  <c r="P802" i="1"/>
  <c r="Q802" i="1" s="1"/>
  <c r="A803" i="1"/>
  <c r="C803" i="1"/>
  <c r="B803" i="1" s="1"/>
  <c r="F803" i="1"/>
  <c r="M803" i="1"/>
  <c r="O803" i="1"/>
  <c r="P803" i="1"/>
  <c r="Q803" i="1" s="1"/>
  <c r="A783" i="1"/>
  <c r="C783" i="1"/>
  <c r="B783" i="1" s="1"/>
  <c r="F783" i="1"/>
  <c r="M783" i="1"/>
  <c r="O783" i="1"/>
  <c r="P783" i="1"/>
  <c r="Q783" i="1" s="1"/>
  <c r="A1457" i="1"/>
  <c r="C1457" i="1"/>
  <c r="B1457" i="1" s="1"/>
  <c r="F1457" i="1"/>
  <c r="M1457" i="1"/>
  <c r="O1457" i="1"/>
  <c r="P1457" i="1"/>
  <c r="Q1457" i="1" s="1"/>
  <c r="A134" i="1"/>
  <c r="C134" i="1"/>
  <c r="B134" i="1" s="1"/>
  <c r="F134" i="1"/>
  <c r="M134" i="1"/>
  <c r="O134" i="1"/>
  <c r="P134" i="1"/>
  <c r="Q134" i="1" s="1"/>
  <c r="A1486" i="1"/>
  <c r="C1486" i="1"/>
  <c r="B1486" i="1" s="1"/>
  <c r="F1486" i="1"/>
  <c r="M1486" i="1"/>
  <c r="O1486" i="1"/>
  <c r="P1486" i="1"/>
  <c r="Q1486" i="1" s="1"/>
  <c r="A1485" i="1"/>
  <c r="C1485" i="1"/>
  <c r="B1485" i="1" s="1"/>
  <c r="F1485" i="1"/>
  <c r="M1485" i="1"/>
  <c r="O1485" i="1"/>
  <c r="P1485" i="1"/>
  <c r="Q1485" i="1" s="1"/>
  <c r="A1487" i="1"/>
  <c r="C1487" i="1"/>
  <c r="B1487" i="1" s="1"/>
  <c r="F1487" i="1"/>
  <c r="M1487" i="1"/>
  <c r="O1487" i="1"/>
  <c r="P1487" i="1"/>
  <c r="Q1487" i="1" s="1"/>
  <c r="E922" i="6"/>
  <c r="E931" i="6"/>
  <c r="E955" i="6"/>
  <c r="E980" i="6"/>
  <c r="E1005" i="6"/>
  <c r="E1028" i="6"/>
  <c r="F931" i="6"/>
  <c r="F955" i="6"/>
  <c r="F980" i="6"/>
  <c r="F1005" i="6"/>
  <c r="F1028" i="6"/>
  <c r="I922" i="6"/>
  <c r="I931" i="6"/>
  <c r="I955" i="6"/>
  <c r="I980" i="6"/>
  <c r="I1005" i="6"/>
  <c r="I1028" i="6"/>
  <c r="J922" i="6"/>
  <c r="J931" i="6"/>
  <c r="J955" i="6"/>
  <c r="J980" i="6"/>
  <c r="J1005" i="6"/>
  <c r="J1028" i="6"/>
  <c r="A1107" i="1"/>
  <c r="C1107" i="1"/>
  <c r="B1107" i="1" s="1"/>
  <c r="D1107" i="1"/>
  <c r="F1107" i="1"/>
  <c r="M1107" i="1"/>
  <c r="O1107" i="1"/>
  <c r="P1107" i="1"/>
  <c r="Q1107" i="1" s="1"/>
  <c r="S1107" i="1"/>
  <c r="A1573" i="1"/>
  <c r="C1573" i="1"/>
  <c r="B1573" i="1" s="1"/>
  <c r="F1573" i="1"/>
  <c r="M1573" i="1"/>
  <c r="O1573" i="1"/>
  <c r="A1340" i="1"/>
  <c r="C1340" i="1"/>
  <c r="B1340" i="1" s="1"/>
  <c r="F1340" i="1"/>
  <c r="M1340" i="1"/>
  <c r="O1340" i="1"/>
  <c r="P1340" i="1"/>
  <c r="Q1340" i="1" s="1"/>
  <c r="A630" i="1"/>
  <c r="C630" i="1"/>
  <c r="B630" i="1" s="1"/>
  <c r="F630" i="1"/>
  <c r="M630" i="1"/>
  <c r="O630" i="1"/>
  <c r="P630" i="1"/>
  <c r="Q630" i="1" s="1"/>
  <c r="A1323" i="1"/>
  <c r="C1323" i="1"/>
  <c r="B1323" i="1" s="1"/>
  <c r="F1323" i="1"/>
  <c r="M1323" i="1"/>
  <c r="O1323" i="1"/>
  <c r="P1323" i="1"/>
  <c r="Q1323" i="1" s="1"/>
  <c r="A1187" i="1"/>
  <c r="C1187" i="1"/>
  <c r="B1187" i="1" s="1"/>
  <c r="F1187" i="1"/>
  <c r="M1187" i="1"/>
  <c r="O1187" i="1"/>
  <c r="P1187" i="1"/>
  <c r="Q1187" i="1" s="1"/>
  <c r="A63" i="1"/>
  <c r="C63" i="1"/>
  <c r="B63" i="1" s="1"/>
  <c r="F63" i="1"/>
  <c r="M63" i="1"/>
  <c r="O63" i="1"/>
  <c r="P63" i="1"/>
  <c r="Q63" i="1" s="1"/>
  <c r="A828" i="1"/>
  <c r="C828" i="1"/>
  <c r="B828" i="1" s="1"/>
  <c r="F828" i="1"/>
  <c r="M828" i="1"/>
  <c r="P828" i="1"/>
  <c r="Q828" i="1" s="1"/>
  <c r="A1407" i="1"/>
  <c r="C1407" i="1"/>
  <c r="B1407" i="1" s="1"/>
  <c r="F1407" i="1"/>
  <c r="M1407" i="1"/>
  <c r="O1407" i="1"/>
  <c r="P1407" i="1"/>
  <c r="Q1407" i="1" s="1"/>
  <c r="A1801" i="1"/>
  <c r="C1801" i="1"/>
  <c r="B1801" i="1" s="1"/>
  <c r="F1801" i="1"/>
  <c r="M1801" i="1"/>
  <c r="O1801" i="1"/>
  <c r="P1801" i="1"/>
  <c r="Q1801" i="1" s="1"/>
  <c r="A750" i="1"/>
  <c r="C750" i="1"/>
  <c r="B750" i="1" s="1"/>
  <c r="F750" i="1"/>
  <c r="M750" i="1"/>
  <c r="O750" i="1"/>
  <c r="P750" i="1"/>
  <c r="Q750" i="1" s="1"/>
  <c r="K156" i="1"/>
  <c r="P156" i="1" s="1"/>
  <c r="Q156" i="1" s="1"/>
  <c r="A156" i="1"/>
  <c r="C156" i="1"/>
  <c r="B156" i="1" s="1"/>
  <c r="F156" i="1"/>
  <c r="S156" i="1"/>
  <c r="A1769" i="1"/>
  <c r="C1769" i="1"/>
  <c r="B1769" i="1" s="1"/>
  <c r="F1769" i="1"/>
  <c r="M1769" i="1"/>
  <c r="O1769" i="1"/>
  <c r="P1769" i="1"/>
  <c r="Q1769" i="1" s="1"/>
  <c r="A253" i="1"/>
  <c r="C253" i="1"/>
  <c r="B253" i="1" s="1"/>
  <c r="F253" i="1"/>
  <c r="M253" i="1"/>
  <c r="O253" i="1"/>
  <c r="P253" i="1"/>
  <c r="Q253" i="1" s="1"/>
  <c r="A1602" i="1"/>
  <c r="C1602" i="1"/>
  <c r="B1602" i="1" s="1"/>
  <c r="F1602" i="1"/>
  <c r="M1602" i="1"/>
  <c r="O1602" i="1"/>
  <c r="P1602" i="1"/>
  <c r="Q1602" i="1" s="1"/>
  <c r="A933" i="1"/>
  <c r="C933" i="1"/>
  <c r="B933" i="1" s="1"/>
  <c r="F933" i="1"/>
  <c r="M933" i="1"/>
  <c r="O933" i="1"/>
  <c r="P933" i="1"/>
  <c r="Q933" i="1" s="1"/>
  <c r="S933" i="1"/>
  <c r="A1609" i="1"/>
  <c r="C1609" i="1"/>
  <c r="B1609" i="1" s="1"/>
  <c r="D1609" i="1"/>
  <c r="F1609" i="1"/>
  <c r="M1609" i="1"/>
  <c r="O1609" i="1"/>
  <c r="P1609" i="1"/>
  <c r="Q1609" i="1" s="1"/>
  <c r="S1609" i="1"/>
  <c r="A258" i="1"/>
  <c r="C258" i="1"/>
  <c r="B258" i="1" s="1"/>
  <c r="F258" i="1"/>
  <c r="M258" i="1"/>
  <c r="O258" i="1"/>
  <c r="P258" i="1"/>
  <c r="Q258" i="1" s="1"/>
  <c r="S258" i="1"/>
  <c r="A570" i="1"/>
  <c r="C570" i="1"/>
  <c r="B570" i="1" s="1"/>
  <c r="D570" i="1"/>
  <c r="F570" i="1"/>
  <c r="M570" i="1"/>
  <c r="O570" i="1"/>
  <c r="P570" i="1"/>
  <c r="Q570" i="1" s="1"/>
  <c r="S570" i="1"/>
  <c r="A6" i="1"/>
  <c r="C6" i="1"/>
  <c r="B6" i="1" s="1"/>
  <c r="F6" i="1"/>
  <c r="M6" i="1"/>
  <c r="O6" i="1"/>
  <c r="P6" i="1"/>
  <c r="Q6" i="1" s="1"/>
  <c r="S6" i="1"/>
  <c r="A39" i="1"/>
  <c r="C39" i="1"/>
  <c r="B39" i="1" s="1"/>
  <c r="F39" i="1"/>
  <c r="M39" i="1"/>
  <c r="O39" i="1"/>
  <c r="P39" i="1"/>
  <c r="Q39" i="1" s="1"/>
  <c r="S39" i="1"/>
  <c r="A403" i="1"/>
  <c r="C403" i="1"/>
  <c r="B403" i="1" s="1"/>
  <c r="F403" i="1"/>
  <c r="M403" i="1"/>
  <c r="O403" i="1"/>
  <c r="P403" i="1"/>
  <c r="Q403" i="1" s="1"/>
  <c r="S403" i="1"/>
  <c r="A571" i="1"/>
  <c r="C571" i="1"/>
  <c r="B571" i="1" s="1"/>
  <c r="D571" i="1"/>
  <c r="F571" i="1"/>
  <c r="M571" i="1"/>
  <c r="O571" i="1"/>
  <c r="P571" i="1"/>
  <c r="Q571" i="1" s="1"/>
  <c r="S571" i="1"/>
  <c r="A920" i="1"/>
  <c r="C920" i="1"/>
  <c r="B920" i="1" s="1"/>
  <c r="D920" i="1"/>
  <c r="F920" i="1"/>
  <c r="M920" i="1"/>
  <c r="O920" i="1"/>
  <c r="P920" i="1"/>
  <c r="Q920" i="1" s="1"/>
  <c r="S920" i="1"/>
  <c r="A921" i="1"/>
  <c r="C921" i="1"/>
  <c r="B921" i="1" s="1"/>
  <c r="D921" i="1"/>
  <c r="F921" i="1"/>
  <c r="M921" i="1"/>
  <c r="O921" i="1"/>
  <c r="P921" i="1"/>
  <c r="Q921" i="1" s="1"/>
  <c r="S921" i="1"/>
  <c r="A922" i="1"/>
  <c r="C922" i="1"/>
  <c r="B922" i="1" s="1"/>
  <c r="D922" i="1"/>
  <c r="F922" i="1"/>
  <c r="M922" i="1"/>
  <c r="O922" i="1"/>
  <c r="P922" i="1"/>
  <c r="Q922" i="1" s="1"/>
  <c r="S922" i="1"/>
  <c r="A1242" i="1"/>
  <c r="C1242" i="1"/>
  <c r="B1242" i="1" s="1"/>
  <c r="F1242" i="1"/>
  <c r="M1242" i="1"/>
  <c r="O1242" i="1"/>
  <c r="P1242" i="1"/>
  <c r="Q1242" i="1" s="1"/>
  <c r="S1242" i="1"/>
  <c r="A40" i="1"/>
  <c r="C40" i="1"/>
  <c r="B40" i="1" s="1"/>
  <c r="F40" i="1"/>
  <c r="M40" i="1"/>
  <c r="O40" i="1"/>
  <c r="P40" i="1"/>
  <c r="Q40" i="1" s="1"/>
  <c r="S40" i="1"/>
  <c r="A572" i="1"/>
  <c r="C572" i="1"/>
  <c r="B572" i="1" s="1"/>
  <c r="D572" i="1"/>
  <c r="F572" i="1"/>
  <c r="M572" i="1"/>
  <c r="O572" i="1"/>
  <c r="P572" i="1"/>
  <c r="Q572" i="1" s="1"/>
  <c r="S572" i="1"/>
  <c r="A843" i="1"/>
  <c r="C843" i="1"/>
  <c r="B843" i="1" s="1"/>
  <c r="D843" i="1"/>
  <c r="F843" i="1"/>
  <c r="M843" i="1"/>
  <c r="O843" i="1"/>
  <c r="P843" i="1"/>
  <c r="Q843" i="1" s="1"/>
  <c r="S843" i="1"/>
  <c r="A1322" i="1"/>
  <c r="C1322" i="1"/>
  <c r="B1322" i="1" s="1"/>
  <c r="F1322" i="1"/>
  <c r="M1322" i="1"/>
  <c r="O1322" i="1"/>
  <c r="P1322" i="1"/>
  <c r="Q1322" i="1" s="1"/>
  <c r="S1322" i="1"/>
  <c r="A1805" i="1"/>
  <c r="C1805" i="1"/>
  <c r="B1805" i="1" s="1"/>
  <c r="F1805" i="1"/>
  <c r="M1805" i="1"/>
  <c r="O1805" i="1"/>
  <c r="P1805" i="1"/>
  <c r="Q1805" i="1" s="1"/>
  <c r="S1805" i="1"/>
  <c r="A315" i="1"/>
  <c r="C315" i="1"/>
  <c r="B315" i="1" s="1"/>
  <c r="D315" i="1"/>
  <c r="F315" i="1"/>
  <c r="M315" i="1"/>
  <c r="O315" i="1"/>
  <c r="P315" i="1"/>
  <c r="Q315" i="1" s="1"/>
  <c r="S315" i="1"/>
  <c r="A573" i="1"/>
  <c r="C573" i="1"/>
  <c r="B573" i="1" s="1"/>
  <c r="D573" i="1"/>
  <c r="F573" i="1"/>
  <c r="M573" i="1"/>
  <c r="O573" i="1"/>
  <c r="P573" i="1"/>
  <c r="Q573" i="1" s="1"/>
  <c r="S573" i="1"/>
  <c r="A1620" i="1"/>
  <c r="C1620" i="1"/>
  <c r="B1620" i="1" s="1"/>
  <c r="F1620" i="1"/>
  <c r="M1620" i="1"/>
  <c r="O1620" i="1"/>
  <c r="P1620" i="1"/>
  <c r="Q1620" i="1" s="1"/>
  <c r="S1620" i="1"/>
  <c r="A85" i="1"/>
  <c r="C85" i="1"/>
  <c r="B85" i="1" s="1"/>
  <c r="D85" i="1"/>
  <c r="F85" i="1"/>
  <c r="M85" i="1"/>
  <c r="O85" i="1"/>
  <c r="P85" i="1"/>
  <c r="Q85" i="1" s="1"/>
  <c r="S85" i="1"/>
  <c r="A520" i="1"/>
  <c r="C520" i="1"/>
  <c r="B520" i="1" s="1"/>
  <c r="D520" i="1"/>
  <c r="F520" i="1"/>
  <c r="M520" i="1"/>
  <c r="O520" i="1"/>
  <c r="P520" i="1"/>
  <c r="Q520" i="1" s="1"/>
  <c r="S520" i="1"/>
  <c r="A574" i="1"/>
  <c r="C574" i="1"/>
  <c r="B574" i="1" s="1"/>
  <c r="D574" i="1"/>
  <c r="F574" i="1"/>
  <c r="M574" i="1"/>
  <c r="O574" i="1"/>
  <c r="P574" i="1"/>
  <c r="Q574" i="1" s="1"/>
  <c r="S574" i="1"/>
  <c r="A116" i="1"/>
  <c r="C116" i="1"/>
  <c r="B116" i="1" s="1"/>
  <c r="F116" i="1"/>
  <c r="M116" i="1"/>
  <c r="O116" i="1"/>
  <c r="P116" i="1"/>
  <c r="Q116" i="1" s="1"/>
  <c r="S116" i="1"/>
  <c r="A575" i="1"/>
  <c r="C575" i="1"/>
  <c r="B575" i="1" s="1"/>
  <c r="D575" i="1"/>
  <c r="F575" i="1"/>
  <c r="M575" i="1"/>
  <c r="O575" i="1"/>
  <c r="P575" i="1"/>
  <c r="Q575" i="1" s="1"/>
  <c r="S575" i="1"/>
  <c r="A1428" i="1"/>
  <c r="C1428" i="1"/>
  <c r="B1428" i="1" s="1"/>
  <c r="F1428" i="1"/>
  <c r="M1428" i="1"/>
  <c r="O1428" i="1"/>
  <c r="P1428" i="1"/>
  <c r="Q1428" i="1" s="1"/>
  <c r="S1428" i="1"/>
  <c r="A1429" i="1"/>
  <c r="C1429" i="1"/>
  <c r="B1429" i="1" s="1"/>
  <c r="F1429" i="1"/>
  <c r="M1429" i="1"/>
  <c r="O1429" i="1"/>
  <c r="P1429" i="1"/>
  <c r="Q1429" i="1" s="1"/>
  <c r="S1429" i="1"/>
  <c r="A117" i="1"/>
  <c r="C117" i="1"/>
  <c r="B117" i="1" s="1"/>
  <c r="F117" i="1"/>
  <c r="M117" i="1"/>
  <c r="O117" i="1"/>
  <c r="P117" i="1"/>
  <c r="Q117" i="1" s="1"/>
  <c r="S117" i="1"/>
  <c r="A1542" i="1"/>
  <c r="C1542" i="1"/>
  <c r="B1542" i="1" s="1"/>
  <c r="D1542" i="1"/>
  <c r="F1542" i="1"/>
  <c r="M1542" i="1"/>
  <c r="O1542" i="1"/>
  <c r="P1542" i="1"/>
  <c r="Q1542" i="1" s="1"/>
  <c r="S1542" i="1"/>
  <c r="A1806" i="1"/>
  <c r="C1806" i="1"/>
  <c r="B1806" i="1" s="1"/>
  <c r="F1806" i="1"/>
  <c r="M1806" i="1"/>
  <c r="O1806" i="1"/>
  <c r="P1806" i="1"/>
  <c r="Q1806" i="1" s="1"/>
  <c r="S1806" i="1"/>
  <c r="A1640" i="1"/>
  <c r="C1640" i="1"/>
  <c r="B1640" i="1" s="1"/>
  <c r="D1640" i="1"/>
  <c r="F1640" i="1"/>
  <c r="M1640" i="1"/>
  <c r="O1640" i="1"/>
  <c r="P1640" i="1"/>
  <c r="Q1640" i="1" s="1"/>
  <c r="S1640" i="1"/>
  <c r="A576" i="1"/>
  <c r="C576" i="1"/>
  <c r="B576" i="1" s="1"/>
  <c r="D576" i="1"/>
  <c r="F576" i="1"/>
  <c r="M576" i="1"/>
  <c r="O576" i="1"/>
  <c r="P576" i="1"/>
  <c r="Q576" i="1" s="1"/>
  <c r="S576" i="1"/>
  <c r="A1854" i="1"/>
  <c r="C1854" i="1"/>
  <c r="B1854" i="1" s="1"/>
  <c r="D1854" i="1"/>
  <c r="F1854" i="1"/>
  <c r="M1854" i="1"/>
  <c r="O1854" i="1"/>
  <c r="P1854" i="1"/>
  <c r="Q1854" i="1" s="1"/>
  <c r="S1854" i="1"/>
  <c r="A1136" i="1"/>
  <c r="C1136" i="1"/>
  <c r="B1136" i="1" s="1"/>
  <c r="F1136" i="1"/>
  <c r="M1136" i="1"/>
  <c r="O1136" i="1"/>
  <c r="P1136" i="1"/>
  <c r="Q1136" i="1" s="1"/>
  <c r="S1136" i="1"/>
  <c r="A1286" i="1"/>
  <c r="C1286" i="1"/>
  <c r="B1286" i="1" s="1"/>
  <c r="F1286" i="1"/>
  <c r="M1286" i="1"/>
  <c r="O1286" i="1"/>
  <c r="P1286" i="1"/>
  <c r="Q1286" i="1" s="1"/>
  <c r="S1286" i="1"/>
  <c r="A1641" i="1"/>
  <c r="C1641" i="1"/>
  <c r="B1641" i="1" s="1"/>
  <c r="D1641" i="1"/>
  <c r="F1641" i="1"/>
  <c r="M1641" i="1"/>
  <c r="O1641" i="1"/>
  <c r="P1641" i="1"/>
  <c r="Q1641" i="1" s="1"/>
  <c r="S1641" i="1"/>
  <c r="A1642" i="1"/>
  <c r="C1642" i="1"/>
  <c r="B1642" i="1" s="1"/>
  <c r="D1642" i="1"/>
  <c r="F1642" i="1"/>
  <c r="M1642" i="1"/>
  <c r="O1642" i="1"/>
  <c r="P1642" i="1"/>
  <c r="Q1642" i="1" s="1"/>
  <c r="S1642" i="1"/>
  <c r="A1788" i="1"/>
  <c r="C1788" i="1"/>
  <c r="B1788" i="1" s="1"/>
  <c r="F1788" i="1"/>
  <c r="M1788" i="1"/>
  <c r="O1788" i="1"/>
  <c r="P1788" i="1"/>
  <c r="Q1788" i="1" s="1"/>
  <c r="S1788" i="1"/>
  <c r="A577" i="1"/>
  <c r="C577" i="1"/>
  <c r="B577" i="1" s="1"/>
  <c r="D577" i="1"/>
  <c r="F577" i="1"/>
  <c r="M577" i="1"/>
  <c r="O577" i="1"/>
  <c r="P577" i="1"/>
  <c r="Q577" i="1" s="1"/>
  <c r="S577" i="1"/>
  <c r="A608" i="1"/>
  <c r="C608" i="1"/>
  <c r="B608" i="1" s="1"/>
  <c r="D608" i="1"/>
  <c r="F608" i="1"/>
  <c r="M608" i="1"/>
  <c r="O608" i="1"/>
  <c r="P608" i="1"/>
  <c r="Q608" i="1" s="1"/>
  <c r="S608" i="1"/>
  <c r="A1430" i="1"/>
  <c r="C1430" i="1"/>
  <c r="B1430" i="1" s="1"/>
  <c r="F1430" i="1"/>
  <c r="M1430" i="1"/>
  <c r="O1430" i="1"/>
  <c r="P1430" i="1"/>
  <c r="Q1430" i="1" s="1"/>
  <c r="S1430" i="1"/>
  <c r="A41" i="1"/>
  <c r="C41" i="1"/>
  <c r="B41" i="1" s="1"/>
  <c r="F41" i="1"/>
  <c r="M41" i="1"/>
  <c r="O41" i="1"/>
  <c r="P41" i="1"/>
  <c r="Q41" i="1" s="1"/>
  <c r="S41" i="1"/>
  <c r="A844" i="1"/>
  <c r="C844" i="1"/>
  <c r="B844" i="1" s="1"/>
  <c r="D844" i="1"/>
  <c r="F844" i="1"/>
  <c r="M844" i="1"/>
  <c r="O844" i="1"/>
  <c r="P844" i="1"/>
  <c r="Q844" i="1" s="1"/>
  <c r="S844" i="1"/>
  <c r="A578" i="1"/>
  <c r="C578" i="1"/>
  <c r="B578" i="1" s="1"/>
  <c r="D578" i="1"/>
  <c r="F578" i="1"/>
  <c r="M578" i="1"/>
  <c r="O578" i="1"/>
  <c r="P578" i="1"/>
  <c r="Q578" i="1" s="1"/>
  <c r="S578" i="1"/>
  <c r="A579" i="1"/>
  <c r="C579" i="1"/>
  <c r="B579" i="1" s="1"/>
  <c r="D579" i="1"/>
  <c r="F579" i="1"/>
  <c r="M579" i="1"/>
  <c r="O579" i="1"/>
  <c r="P579" i="1"/>
  <c r="Q579" i="1" s="1"/>
  <c r="S579" i="1"/>
  <c r="A580" i="1"/>
  <c r="C580" i="1"/>
  <c r="B580" i="1" s="1"/>
  <c r="D580" i="1"/>
  <c r="F580" i="1"/>
  <c r="M580" i="1"/>
  <c r="O580" i="1"/>
  <c r="P580" i="1"/>
  <c r="Q580" i="1" s="1"/>
  <c r="S580" i="1"/>
  <c r="A1431" i="1"/>
  <c r="C1431" i="1"/>
  <c r="B1431" i="1" s="1"/>
  <c r="F1431" i="1"/>
  <c r="M1431" i="1"/>
  <c r="O1431" i="1"/>
  <c r="P1431" i="1"/>
  <c r="Q1431" i="1" s="1"/>
  <c r="S1431" i="1"/>
  <c r="A581" i="1"/>
  <c r="C581" i="1"/>
  <c r="B581" i="1" s="1"/>
  <c r="D581" i="1"/>
  <c r="F581" i="1"/>
  <c r="M581" i="1"/>
  <c r="O581" i="1"/>
  <c r="P581" i="1"/>
  <c r="Q581" i="1" s="1"/>
  <c r="S581" i="1"/>
  <c r="A862" i="1"/>
  <c r="C862" i="1"/>
  <c r="B862" i="1" s="1"/>
  <c r="F862" i="1"/>
  <c r="M862" i="1"/>
  <c r="O862" i="1"/>
  <c r="P862" i="1"/>
  <c r="Q862" i="1" s="1"/>
  <c r="S862" i="1"/>
  <c r="A1672" i="1"/>
  <c r="C1672" i="1"/>
  <c r="B1672" i="1" s="1"/>
  <c r="D1672" i="1"/>
  <c r="F1672" i="1"/>
  <c r="M1672" i="1"/>
  <c r="O1672" i="1"/>
  <c r="P1672" i="1"/>
  <c r="Q1672" i="1" s="1"/>
  <c r="S1672" i="1"/>
  <c r="A1559" i="1"/>
  <c r="C1559" i="1"/>
  <c r="B1559" i="1" s="1"/>
  <c r="D1559" i="1"/>
  <c r="F1559" i="1"/>
  <c r="M1559" i="1"/>
  <c r="O1559" i="1"/>
  <c r="P1559" i="1"/>
  <c r="Q1559" i="1" s="1"/>
  <c r="S1559" i="1"/>
  <c r="A21" i="1"/>
  <c r="C21" i="1"/>
  <c r="B21" i="1" s="1"/>
  <c r="F21" i="1"/>
  <c r="M21" i="1"/>
  <c r="O21" i="1"/>
  <c r="P21" i="1"/>
  <c r="Q21" i="1" s="1"/>
  <c r="S21" i="1"/>
  <c r="A582" i="1"/>
  <c r="C582" i="1"/>
  <c r="B582" i="1" s="1"/>
  <c r="D582" i="1"/>
  <c r="F582" i="1"/>
  <c r="M582" i="1"/>
  <c r="O582" i="1"/>
  <c r="P582" i="1"/>
  <c r="Q582" i="1" s="1"/>
  <c r="S582" i="1"/>
  <c r="A583" i="1"/>
  <c r="C583" i="1"/>
  <c r="B583" i="1" s="1"/>
  <c r="D583" i="1"/>
  <c r="F583" i="1"/>
  <c r="M583" i="1"/>
  <c r="O583" i="1"/>
  <c r="P583" i="1"/>
  <c r="Q583" i="1" s="1"/>
  <c r="S583" i="1"/>
  <c r="A584" i="1"/>
  <c r="C584" i="1"/>
  <c r="B584" i="1" s="1"/>
  <c r="D584" i="1"/>
  <c r="F584" i="1"/>
  <c r="M584" i="1"/>
  <c r="O584" i="1"/>
  <c r="P584" i="1"/>
  <c r="Q584" i="1" s="1"/>
  <c r="S584" i="1"/>
  <c r="A1697" i="1"/>
  <c r="C1697" i="1"/>
  <c r="B1697" i="1" s="1"/>
  <c r="F1697" i="1"/>
  <c r="M1697" i="1"/>
  <c r="O1697" i="1"/>
  <c r="P1697" i="1"/>
  <c r="Q1697" i="1" s="1"/>
  <c r="S1697" i="1"/>
  <c r="A1807" i="1"/>
  <c r="C1807" i="1"/>
  <c r="B1807" i="1" s="1"/>
  <c r="F1807" i="1"/>
  <c r="M1807" i="1"/>
  <c r="O1807" i="1"/>
  <c r="P1807" i="1"/>
  <c r="Q1807" i="1" s="1"/>
  <c r="S1807" i="1"/>
  <c r="A275" i="1"/>
  <c r="C275" i="1"/>
  <c r="B275" i="1" s="1"/>
  <c r="D275" i="1"/>
  <c r="F275" i="1"/>
  <c r="M275" i="1"/>
  <c r="O275" i="1"/>
  <c r="P275" i="1"/>
  <c r="Q275" i="1" s="1"/>
  <c r="S275" i="1"/>
  <c r="A297" i="1"/>
  <c r="C297" i="1"/>
  <c r="B297" i="1" s="1"/>
  <c r="D297" i="1"/>
  <c r="F297" i="1"/>
  <c r="M297" i="1"/>
  <c r="O297" i="1"/>
  <c r="P297" i="1"/>
  <c r="Q297" i="1" s="1"/>
  <c r="S297" i="1"/>
  <c r="A318" i="1"/>
  <c r="C318" i="1"/>
  <c r="B318" i="1" s="1"/>
  <c r="D318" i="1"/>
  <c r="F318" i="1"/>
  <c r="M318" i="1"/>
  <c r="O318" i="1"/>
  <c r="P318" i="1"/>
  <c r="Q318" i="1" s="1"/>
  <c r="S318" i="1"/>
  <c r="A331" i="1"/>
  <c r="C331" i="1"/>
  <c r="B331" i="1" s="1"/>
  <c r="D331" i="1"/>
  <c r="F331" i="1"/>
  <c r="M331" i="1"/>
  <c r="O331" i="1"/>
  <c r="P331" i="1"/>
  <c r="Q331" i="1" s="1"/>
  <c r="S331" i="1"/>
  <c r="A422" i="1"/>
  <c r="C422" i="1"/>
  <c r="B422" i="1" s="1"/>
  <c r="D422" i="1"/>
  <c r="F422" i="1"/>
  <c r="M422" i="1"/>
  <c r="O422" i="1"/>
  <c r="P422" i="1"/>
  <c r="Q422" i="1" s="1"/>
  <c r="S422" i="1"/>
  <c r="A504" i="1"/>
  <c r="C504" i="1"/>
  <c r="B504" i="1" s="1"/>
  <c r="D504" i="1"/>
  <c r="F504" i="1"/>
  <c r="M504" i="1"/>
  <c r="O504" i="1"/>
  <c r="P504" i="1"/>
  <c r="Q504" i="1" s="1"/>
  <c r="S504" i="1"/>
  <c r="A585" i="1"/>
  <c r="C585" i="1"/>
  <c r="B585" i="1" s="1"/>
  <c r="D585" i="1"/>
  <c r="F585" i="1"/>
  <c r="M585" i="1"/>
  <c r="O585" i="1"/>
  <c r="P585" i="1"/>
  <c r="Q585" i="1" s="1"/>
  <c r="S585" i="1"/>
  <c r="A845" i="1"/>
  <c r="C845" i="1"/>
  <c r="B845" i="1" s="1"/>
  <c r="D845" i="1"/>
  <c r="F845" i="1"/>
  <c r="M845" i="1"/>
  <c r="O845" i="1"/>
  <c r="P845" i="1"/>
  <c r="Q845" i="1" s="1"/>
  <c r="S845" i="1"/>
  <c r="A1498" i="1"/>
  <c r="C1498" i="1"/>
  <c r="B1498" i="1" s="1"/>
  <c r="F1498" i="1"/>
  <c r="M1498" i="1"/>
  <c r="O1498" i="1"/>
  <c r="P1498" i="1"/>
  <c r="Q1498" i="1" s="1"/>
  <c r="S1498" i="1"/>
  <c r="A1610" i="1"/>
  <c r="C1610" i="1"/>
  <c r="B1610" i="1" s="1"/>
  <c r="D1610" i="1"/>
  <c r="F1610" i="1"/>
  <c r="M1610" i="1"/>
  <c r="O1610" i="1"/>
  <c r="P1610" i="1"/>
  <c r="Q1610" i="1" s="1"/>
  <c r="S1610" i="1"/>
  <c r="A522" i="1"/>
  <c r="C522" i="1"/>
  <c r="B522" i="1" s="1"/>
  <c r="D522" i="1"/>
  <c r="F522" i="1"/>
  <c r="M522" i="1"/>
  <c r="O522" i="1"/>
  <c r="P522" i="1"/>
  <c r="Q522" i="1" s="1"/>
  <c r="S522" i="1"/>
  <c r="A615" i="1"/>
  <c r="C615" i="1"/>
  <c r="B615" i="1" s="1"/>
  <c r="F615" i="1"/>
  <c r="M615" i="1"/>
  <c r="O615" i="1"/>
  <c r="P615" i="1"/>
  <c r="Q615" i="1" s="1"/>
  <c r="S615" i="1"/>
  <c r="A1137" i="1"/>
  <c r="C1137" i="1"/>
  <c r="B1137" i="1" s="1"/>
  <c r="F1137" i="1"/>
  <c r="M1137" i="1"/>
  <c r="O1137" i="1"/>
  <c r="P1137" i="1"/>
  <c r="Q1137" i="1" s="1"/>
  <c r="S1137" i="1"/>
  <c r="A82" i="1"/>
  <c r="C82" i="1"/>
  <c r="B82" i="1" s="1"/>
  <c r="D82" i="1"/>
  <c r="F82" i="1"/>
  <c r="M82" i="1"/>
  <c r="O82" i="1"/>
  <c r="P82" i="1"/>
  <c r="Q82" i="1" s="1"/>
  <c r="S82" i="1"/>
  <c r="A586" i="1"/>
  <c r="C586" i="1"/>
  <c r="B586" i="1" s="1"/>
  <c r="D586" i="1"/>
  <c r="F586" i="1"/>
  <c r="M586" i="1"/>
  <c r="O586" i="1"/>
  <c r="P586" i="1"/>
  <c r="Q586" i="1" s="1"/>
  <c r="S586" i="1"/>
  <c r="A587" i="1"/>
  <c r="C587" i="1"/>
  <c r="B587" i="1" s="1"/>
  <c r="D587" i="1"/>
  <c r="F587" i="1"/>
  <c r="M587" i="1"/>
  <c r="O587" i="1"/>
  <c r="P587" i="1"/>
  <c r="Q587" i="1" s="1"/>
  <c r="S587" i="1"/>
  <c r="A1845" i="1"/>
  <c r="C1845" i="1"/>
  <c r="B1845" i="1" s="1"/>
  <c r="D1845" i="1"/>
  <c r="F1845" i="1"/>
  <c r="M1845" i="1"/>
  <c r="O1845" i="1"/>
  <c r="P1845" i="1"/>
  <c r="Q1845" i="1" s="1"/>
  <c r="S1845" i="1"/>
  <c r="A1855" i="1"/>
  <c r="C1855" i="1"/>
  <c r="B1855" i="1" s="1"/>
  <c r="D1855" i="1"/>
  <c r="F1855" i="1"/>
  <c r="M1855" i="1"/>
  <c r="O1855" i="1"/>
  <c r="P1855" i="1"/>
  <c r="Q1855" i="1" s="1"/>
  <c r="S1855" i="1"/>
  <c r="A2" i="1"/>
  <c r="C2" i="1"/>
  <c r="B2" i="1" s="1"/>
  <c r="D2" i="1"/>
  <c r="F2" i="1"/>
  <c r="M2" i="1"/>
  <c r="O2" i="1"/>
  <c r="P2" i="1"/>
  <c r="Q2" i="1" s="1"/>
  <c r="S2" i="1"/>
  <c r="A1674" i="1"/>
  <c r="C1674" i="1"/>
  <c r="B1674" i="1" s="1"/>
  <c r="D1674" i="1"/>
  <c r="F1674" i="1"/>
  <c r="M1674" i="1"/>
  <c r="O1674" i="1"/>
  <c r="P1674" i="1"/>
  <c r="Q1674" i="1" s="1"/>
  <c r="S1674" i="1"/>
  <c r="A1789" i="1"/>
  <c r="C1789" i="1"/>
  <c r="B1789" i="1" s="1"/>
  <c r="F1789" i="1"/>
  <c r="M1789" i="1"/>
  <c r="O1789" i="1"/>
  <c r="P1789" i="1"/>
  <c r="Q1789" i="1" s="1"/>
  <c r="S1789" i="1"/>
  <c r="A588" i="1"/>
  <c r="C588" i="1"/>
  <c r="B588" i="1" s="1"/>
  <c r="D588" i="1"/>
  <c r="F588" i="1"/>
  <c r="M588" i="1"/>
  <c r="O588" i="1"/>
  <c r="P588" i="1"/>
  <c r="Q588" i="1" s="1"/>
  <c r="S588" i="1"/>
  <c r="A688" i="1"/>
  <c r="C688" i="1"/>
  <c r="B688" i="1" s="1"/>
  <c r="D688" i="1"/>
  <c r="F688" i="1"/>
  <c r="M688" i="1"/>
  <c r="O688" i="1"/>
  <c r="P688" i="1"/>
  <c r="Q688" i="1" s="1"/>
  <c r="S688" i="1"/>
  <c r="A923" i="1"/>
  <c r="C923" i="1"/>
  <c r="B923" i="1" s="1"/>
  <c r="D923" i="1"/>
  <c r="F923" i="1"/>
  <c r="M923" i="1"/>
  <c r="O923" i="1"/>
  <c r="P923" i="1"/>
  <c r="Q923" i="1" s="1"/>
  <c r="S923" i="1"/>
  <c r="A86" i="1"/>
  <c r="C86" i="1"/>
  <c r="B86" i="1" s="1"/>
  <c r="F86" i="1"/>
  <c r="M86" i="1"/>
  <c r="O86" i="1"/>
  <c r="P86" i="1"/>
  <c r="Q86" i="1" s="1"/>
  <c r="S86" i="1"/>
  <c r="A1138" i="1"/>
  <c r="C1138" i="1"/>
  <c r="B1138" i="1" s="1"/>
  <c r="F1138" i="1"/>
  <c r="M1138" i="1"/>
  <c r="O1138" i="1"/>
  <c r="P1138" i="1"/>
  <c r="Q1138" i="1" s="1"/>
  <c r="S1138" i="1"/>
  <c r="A1205" i="1"/>
  <c r="C1205" i="1"/>
  <c r="B1205" i="1" s="1"/>
  <c r="F1205" i="1"/>
  <c r="M1205" i="1"/>
  <c r="O1205" i="1"/>
  <c r="P1205" i="1"/>
  <c r="Q1205" i="1" s="1"/>
  <c r="S1205" i="1"/>
  <c r="A1643" i="1"/>
  <c r="C1643" i="1"/>
  <c r="B1643" i="1" s="1"/>
  <c r="D1643" i="1"/>
  <c r="F1643" i="1"/>
  <c r="M1643" i="1"/>
  <c r="O1643" i="1"/>
  <c r="P1643" i="1"/>
  <c r="Q1643" i="1" s="1"/>
  <c r="S1643" i="1"/>
  <c r="A42" i="1"/>
  <c r="C42" i="1"/>
  <c r="B42" i="1" s="1"/>
  <c r="F42" i="1"/>
  <c r="M42" i="1"/>
  <c r="O42" i="1"/>
  <c r="P42" i="1"/>
  <c r="Q42" i="1" s="1"/>
  <c r="S42" i="1"/>
  <c r="A589" i="1"/>
  <c r="C589" i="1"/>
  <c r="B589" i="1" s="1"/>
  <c r="D589" i="1"/>
  <c r="F589" i="1"/>
  <c r="M589" i="1"/>
  <c r="O589" i="1"/>
  <c r="P589" i="1"/>
  <c r="Q589" i="1" s="1"/>
  <c r="S589" i="1"/>
  <c r="A727" i="1"/>
  <c r="C727" i="1"/>
  <c r="B727" i="1" s="1"/>
  <c r="F727" i="1"/>
  <c r="M727" i="1"/>
  <c r="O727" i="1"/>
  <c r="P727" i="1"/>
  <c r="Q727" i="1" s="1"/>
  <c r="S727" i="1"/>
  <c r="A1432" i="1"/>
  <c r="C1432" i="1"/>
  <c r="B1432" i="1" s="1"/>
  <c r="F1432" i="1"/>
  <c r="M1432" i="1"/>
  <c r="O1432" i="1"/>
  <c r="P1432" i="1"/>
  <c r="Q1432" i="1" s="1"/>
  <c r="S1432" i="1"/>
  <c r="A118" i="1"/>
  <c r="C118" i="1"/>
  <c r="B118" i="1" s="1"/>
  <c r="F118" i="1"/>
  <c r="M118" i="1"/>
  <c r="O118" i="1"/>
  <c r="P118" i="1"/>
  <c r="Q118" i="1" s="1"/>
  <c r="S118" i="1"/>
  <c r="A404" i="1"/>
  <c r="C404" i="1"/>
  <c r="B404" i="1" s="1"/>
  <c r="F404" i="1"/>
  <c r="M404" i="1"/>
  <c r="O404" i="1"/>
  <c r="P404" i="1"/>
  <c r="Q404" i="1" s="1"/>
  <c r="S404" i="1"/>
  <c r="A590" i="1"/>
  <c r="C590" i="1"/>
  <c r="B590" i="1" s="1"/>
  <c r="D590" i="1"/>
  <c r="F590" i="1"/>
  <c r="M590" i="1"/>
  <c r="O590" i="1"/>
  <c r="P590" i="1"/>
  <c r="Q590" i="1" s="1"/>
  <c r="S590" i="1"/>
  <c r="A1778" i="1"/>
  <c r="C1778" i="1"/>
  <c r="B1778" i="1" s="1"/>
  <c r="D1778" i="1"/>
  <c r="F1778" i="1"/>
  <c r="M1778" i="1"/>
  <c r="O1778" i="1"/>
  <c r="P1778" i="1"/>
  <c r="Q1778" i="1" s="1"/>
  <c r="S1778" i="1"/>
  <c r="A206" i="1"/>
  <c r="C206" i="1"/>
  <c r="B206" i="1" s="1"/>
  <c r="F206" i="1"/>
  <c r="M206" i="1"/>
  <c r="O206" i="1"/>
  <c r="P206" i="1"/>
  <c r="Q206" i="1" s="1"/>
  <c r="S206" i="1"/>
  <c r="A4" i="1"/>
  <c r="C4" i="1"/>
  <c r="B4" i="1" s="1"/>
  <c r="D4" i="1"/>
  <c r="F4" i="1"/>
  <c r="M4" i="1"/>
  <c r="O4" i="1"/>
  <c r="P4" i="1"/>
  <c r="Q4" i="1" s="1"/>
  <c r="S4" i="1"/>
  <c r="A289" i="1"/>
  <c r="C289" i="1"/>
  <c r="B289" i="1" s="1"/>
  <c r="F289" i="1"/>
  <c r="M289" i="1"/>
  <c r="O289" i="1"/>
  <c r="P289" i="1"/>
  <c r="Q289" i="1" s="1"/>
  <c r="S289" i="1"/>
  <c r="A616" i="1"/>
  <c r="C616" i="1"/>
  <c r="B616" i="1" s="1"/>
  <c r="F616" i="1"/>
  <c r="M616" i="1"/>
  <c r="O616" i="1"/>
  <c r="P616" i="1"/>
  <c r="Q616" i="1" s="1"/>
  <c r="S616" i="1"/>
  <c r="A883" i="1"/>
  <c r="C883" i="1"/>
  <c r="B883" i="1" s="1"/>
  <c r="D883" i="1"/>
  <c r="F883" i="1"/>
  <c r="M883" i="1"/>
  <c r="O883" i="1"/>
  <c r="P883" i="1"/>
  <c r="Q883" i="1" s="1"/>
  <c r="S883" i="1"/>
  <c r="A1287" i="1"/>
  <c r="C1287" i="1"/>
  <c r="B1287" i="1" s="1"/>
  <c r="F1287" i="1"/>
  <c r="M1287" i="1"/>
  <c r="O1287" i="1"/>
  <c r="P1287" i="1"/>
  <c r="Q1287" i="1" s="1"/>
  <c r="S1287" i="1"/>
  <c r="A591" i="1"/>
  <c r="C591" i="1"/>
  <c r="B591" i="1" s="1"/>
  <c r="D591" i="1"/>
  <c r="F591" i="1"/>
  <c r="M591" i="1"/>
  <c r="O591" i="1"/>
  <c r="P591" i="1"/>
  <c r="Q591" i="1" s="1"/>
  <c r="S591" i="1"/>
  <c r="A222" i="1"/>
  <c r="C222" i="1"/>
  <c r="B222" i="1" s="1"/>
  <c r="D222" i="1"/>
  <c r="F222" i="1"/>
  <c r="M222" i="1"/>
  <c r="O222" i="1"/>
  <c r="P222" i="1"/>
  <c r="Q222" i="1" s="1"/>
  <c r="S222" i="1"/>
  <c r="A233" i="1"/>
  <c r="C233" i="1"/>
  <c r="B233" i="1" s="1"/>
  <c r="F233" i="1"/>
  <c r="M233" i="1"/>
  <c r="O233" i="1"/>
  <c r="P233" i="1"/>
  <c r="Q233" i="1" s="1"/>
  <c r="S233" i="1"/>
  <c r="A607" i="1"/>
  <c r="C607" i="1"/>
  <c r="B607" i="1" s="1"/>
  <c r="D607" i="1"/>
  <c r="F607" i="1"/>
  <c r="M607" i="1"/>
  <c r="O607" i="1"/>
  <c r="P607" i="1"/>
  <c r="Q607" i="1" s="1"/>
  <c r="S607" i="1"/>
  <c r="A655" i="1"/>
  <c r="C655" i="1"/>
  <c r="B655" i="1" s="1"/>
  <c r="F655" i="1"/>
  <c r="M655" i="1"/>
  <c r="O655" i="1"/>
  <c r="P655" i="1"/>
  <c r="Q655" i="1" s="1"/>
  <c r="S655" i="1"/>
  <c r="A863" i="1"/>
  <c r="C863" i="1"/>
  <c r="B863" i="1" s="1"/>
  <c r="F863" i="1"/>
  <c r="M863" i="1"/>
  <c r="O863" i="1"/>
  <c r="P863" i="1"/>
  <c r="Q863" i="1" s="1"/>
  <c r="S863" i="1"/>
  <c r="A1467" i="1"/>
  <c r="C1467" i="1"/>
  <c r="B1467" i="1" s="1"/>
  <c r="F1467" i="1"/>
  <c r="M1467" i="1"/>
  <c r="O1467" i="1"/>
  <c r="P1467" i="1"/>
  <c r="Q1467" i="1" s="1"/>
  <c r="S1467" i="1"/>
  <c r="A279" i="1"/>
  <c r="C279" i="1"/>
  <c r="B279" i="1" s="1"/>
  <c r="F279" i="1"/>
  <c r="M279" i="1"/>
  <c r="O279" i="1"/>
  <c r="P279" i="1"/>
  <c r="Q279" i="1" s="1"/>
  <c r="S279" i="1"/>
  <c r="A1698" i="1"/>
  <c r="C1698" i="1"/>
  <c r="B1698" i="1" s="1"/>
  <c r="F1698" i="1"/>
  <c r="M1698" i="1"/>
  <c r="O1698" i="1"/>
  <c r="P1698" i="1"/>
  <c r="Q1698" i="1" s="1"/>
  <c r="S1698" i="1"/>
  <c r="A1699" i="1"/>
  <c r="C1699" i="1"/>
  <c r="B1699" i="1" s="1"/>
  <c r="F1699" i="1"/>
  <c r="M1699" i="1"/>
  <c r="O1699" i="1"/>
  <c r="P1699" i="1"/>
  <c r="Q1699" i="1" s="1"/>
  <c r="S1699" i="1"/>
  <c r="A1700" i="1"/>
  <c r="C1700" i="1"/>
  <c r="B1700" i="1" s="1"/>
  <c r="F1700" i="1"/>
  <c r="M1700" i="1"/>
  <c r="O1700" i="1"/>
  <c r="P1700" i="1"/>
  <c r="Q1700" i="1" s="1"/>
  <c r="S1700" i="1"/>
  <c r="A1779" i="1"/>
  <c r="C1779" i="1"/>
  <c r="B1779" i="1" s="1"/>
  <c r="D1779" i="1"/>
  <c r="F1779" i="1"/>
  <c r="M1779" i="1"/>
  <c r="O1779" i="1"/>
  <c r="P1779" i="1"/>
  <c r="Q1779" i="1" s="1"/>
  <c r="S1779" i="1"/>
  <c r="A280" i="1"/>
  <c r="C280" i="1"/>
  <c r="B280" i="1" s="1"/>
  <c r="F280" i="1"/>
  <c r="M280" i="1"/>
  <c r="O280" i="1"/>
  <c r="P280" i="1"/>
  <c r="Q280" i="1" s="1"/>
  <c r="S280" i="1"/>
  <c r="A592" i="1"/>
  <c r="C592" i="1"/>
  <c r="B592" i="1" s="1"/>
  <c r="D592" i="1"/>
  <c r="F592" i="1"/>
  <c r="M592" i="1"/>
  <c r="O592" i="1"/>
  <c r="P592" i="1"/>
  <c r="Q592" i="1" s="1"/>
  <c r="S592" i="1"/>
  <c r="A846" i="1"/>
  <c r="C846" i="1"/>
  <c r="B846" i="1" s="1"/>
  <c r="D846" i="1"/>
  <c r="F846" i="1"/>
  <c r="M846" i="1"/>
  <c r="O846" i="1"/>
  <c r="P846" i="1"/>
  <c r="Q846" i="1" s="1"/>
  <c r="S846" i="1"/>
  <c r="A924" i="1"/>
  <c r="C924" i="1"/>
  <c r="B924" i="1" s="1"/>
  <c r="D924" i="1"/>
  <c r="F924" i="1"/>
  <c r="M924" i="1"/>
  <c r="O924" i="1"/>
  <c r="P924" i="1"/>
  <c r="Q924" i="1" s="1"/>
  <c r="S924" i="1"/>
  <c r="A925" i="1"/>
  <c r="C925" i="1"/>
  <c r="B925" i="1" s="1"/>
  <c r="D925" i="1"/>
  <c r="F925" i="1"/>
  <c r="M925" i="1"/>
  <c r="O925" i="1"/>
  <c r="P925" i="1"/>
  <c r="Q925" i="1" s="1"/>
  <c r="S925" i="1"/>
  <c r="A1780" i="1"/>
  <c r="C1780" i="1"/>
  <c r="B1780" i="1" s="1"/>
  <c r="D1780" i="1"/>
  <c r="F1780" i="1"/>
  <c r="M1780" i="1"/>
  <c r="O1780" i="1"/>
  <c r="P1780" i="1"/>
  <c r="Q1780" i="1" s="1"/>
  <c r="S1780" i="1"/>
  <c r="A885" i="1"/>
  <c r="C885" i="1"/>
  <c r="B885" i="1" s="1"/>
  <c r="D885" i="1"/>
  <c r="F885" i="1"/>
  <c r="M885" i="1"/>
  <c r="O885" i="1"/>
  <c r="P885" i="1"/>
  <c r="Q885" i="1" s="1"/>
  <c r="S885" i="1"/>
  <c r="A1644" i="1"/>
  <c r="C1644" i="1"/>
  <c r="B1644" i="1" s="1"/>
  <c r="D1644" i="1"/>
  <c r="F1644" i="1"/>
  <c r="M1644" i="1"/>
  <c r="O1644" i="1"/>
  <c r="P1644" i="1"/>
  <c r="Q1644" i="1" s="1"/>
  <c r="S1644" i="1"/>
  <c r="A1701" i="1"/>
  <c r="C1701" i="1"/>
  <c r="B1701" i="1" s="1"/>
  <c r="F1701" i="1"/>
  <c r="M1701" i="1"/>
  <c r="O1701" i="1"/>
  <c r="P1701" i="1"/>
  <c r="Q1701" i="1" s="1"/>
  <c r="S1701" i="1"/>
  <c r="A1139" i="1"/>
  <c r="C1139" i="1"/>
  <c r="B1139" i="1" s="1"/>
  <c r="F1139" i="1"/>
  <c r="M1139" i="1"/>
  <c r="O1139" i="1"/>
  <c r="P1139" i="1"/>
  <c r="Q1139" i="1" s="1"/>
  <c r="S1139" i="1"/>
  <c r="A1499" i="1"/>
  <c r="C1499" i="1"/>
  <c r="B1499" i="1" s="1"/>
  <c r="F1499" i="1"/>
  <c r="M1499" i="1"/>
  <c r="O1499" i="1"/>
  <c r="P1499" i="1"/>
  <c r="Q1499" i="1" s="1"/>
  <c r="S1499" i="1"/>
  <c r="A1140" i="1"/>
  <c r="C1140" i="1"/>
  <c r="B1140" i="1" s="1"/>
  <c r="F1140" i="1"/>
  <c r="M1140" i="1"/>
  <c r="O1140" i="1"/>
  <c r="P1140" i="1"/>
  <c r="Q1140" i="1" s="1"/>
  <c r="S1140" i="1"/>
  <c r="A43" i="1"/>
  <c r="C43" i="1"/>
  <c r="B43" i="1" s="1"/>
  <c r="F43" i="1"/>
  <c r="M43" i="1"/>
  <c r="O43" i="1"/>
  <c r="P43" i="1"/>
  <c r="Q43" i="1" s="1"/>
  <c r="S43" i="1"/>
  <c r="A1141" i="1"/>
  <c r="C1141" i="1"/>
  <c r="B1141" i="1" s="1"/>
  <c r="F1141" i="1"/>
  <c r="M1141" i="1"/>
  <c r="O1141" i="1"/>
  <c r="P1141" i="1"/>
  <c r="Q1141" i="1" s="1"/>
  <c r="S1141" i="1"/>
  <c r="A1500" i="1"/>
  <c r="C1500" i="1"/>
  <c r="B1500" i="1" s="1"/>
  <c r="F1500" i="1"/>
  <c r="M1500" i="1"/>
  <c r="O1500" i="1"/>
  <c r="P1500" i="1"/>
  <c r="Q1500" i="1" s="1"/>
  <c r="S1500" i="1"/>
  <c r="A44" i="1"/>
  <c r="C44" i="1"/>
  <c r="B44" i="1" s="1"/>
  <c r="F44" i="1"/>
  <c r="M44" i="1"/>
  <c r="O44" i="1"/>
  <c r="P44" i="1"/>
  <c r="Q44" i="1" s="1"/>
  <c r="S44" i="1"/>
  <c r="A593" i="1"/>
  <c r="C593" i="1"/>
  <c r="B593" i="1" s="1"/>
  <c r="D593" i="1"/>
  <c r="F593" i="1"/>
  <c r="M593" i="1"/>
  <c r="O593" i="1"/>
  <c r="P593" i="1"/>
  <c r="Q593" i="1" s="1"/>
  <c r="S593" i="1"/>
  <c r="A594" i="1"/>
  <c r="C594" i="1"/>
  <c r="B594" i="1" s="1"/>
  <c r="D594" i="1"/>
  <c r="F594" i="1"/>
  <c r="M594" i="1"/>
  <c r="O594" i="1"/>
  <c r="P594" i="1"/>
  <c r="Q594" i="1" s="1"/>
  <c r="S594" i="1"/>
  <c r="A847" i="1"/>
  <c r="C847" i="1"/>
  <c r="B847" i="1" s="1"/>
  <c r="D847" i="1"/>
  <c r="F847" i="1"/>
  <c r="M847" i="1"/>
  <c r="O847" i="1"/>
  <c r="P847" i="1"/>
  <c r="Q847" i="1" s="1"/>
  <c r="S847" i="1"/>
  <c r="A617" i="1"/>
  <c r="C617" i="1"/>
  <c r="B617" i="1" s="1"/>
  <c r="F617" i="1"/>
  <c r="M617" i="1"/>
  <c r="O617" i="1"/>
  <c r="P617" i="1"/>
  <c r="Q617" i="1" s="1"/>
  <c r="S617" i="1"/>
  <c r="A689" i="1"/>
  <c r="C689" i="1"/>
  <c r="B689" i="1" s="1"/>
  <c r="D689" i="1"/>
  <c r="F689" i="1"/>
  <c r="M689" i="1"/>
  <c r="O689" i="1"/>
  <c r="P689" i="1"/>
  <c r="Q689" i="1" s="1"/>
  <c r="S689" i="1"/>
  <c r="A784" i="1"/>
  <c r="C784" i="1"/>
  <c r="B784" i="1" s="1"/>
  <c r="F784" i="1"/>
  <c r="M784" i="1"/>
  <c r="O784" i="1"/>
  <c r="P784" i="1"/>
  <c r="Q784" i="1" s="1"/>
  <c r="S784" i="1"/>
  <c r="A1314" i="1"/>
  <c r="C1314" i="1"/>
  <c r="B1314" i="1" s="1"/>
  <c r="F1314" i="1"/>
  <c r="M1314" i="1"/>
  <c r="O1314" i="1"/>
  <c r="P1314" i="1"/>
  <c r="Q1314" i="1" s="1"/>
  <c r="S1314" i="1"/>
  <c r="A1501" i="1"/>
  <c r="C1501" i="1"/>
  <c r="B1501" i="1" s="1"/>
  <c r="F1501" i="1"/>
  <c r="M1501" i="1"/>
  <c r="O1501" i="1"/>
  <c r="P1501" i="1"/>
  <c r="Q1501" i="1" s="1"/>
  <c r="S1501" i="1"/>
  <c r="A595" i="1"/>
  <c r="C595" i="1"/>
  <c r="B595" i="1" s="1"/>
  <c r="D595" i="1"/>
  <c r="F595" i="1"/>
  <c r="M595" i="1"/>
  <c r="O595" i="1"/>
  <c r="P595" i="1"/>
  <c r="Q595" i="1" s="1"/>
  <c r="S595" i="1"/>
  <c r="A759" i="1"/>
  <c r="C759" i="1"/>
  <c r="B759" i="1" s="1"/>
  <c r="D759" i="1"/>
  <c r="F759" i="1"/>
  <c r="M759" i="1"/>
  <c r="O759" i="1"/>
  <c r="P759" i="1"/>
  <c r="Q759" i="1" s="1"/>
  <c r="S759" i="1"/>
  <c r="A1502" i="1"/>
  <c r="C1502" i="1"/>
  <c r="B1502" i="1" s="1"/>
  <c r="F1502" i="1"/>
  <c r="M1502" i="1"/>
  <c r="O1502" i="1"/>
  <c r="P1502" i="1"/>
  <c r="Q1502" i="1" s="1"/>
  <c r="S1502" i="1"/>
  <c r="A1544" i="1"/>
  <c r="C1544" i="1"/>
  <c r="B1544" i="1" s="1"/>
  <c r="D1544" i="1"/>
  <c r="F1544" i="1"/>
  <c r="M1544" i="1"/>
  <c r="O1544" i="1"/>
  <c r="P1544" i="1"/>
  <c r="Q1544" i="1" s="1"/>
  <c r="S1544" i="1"/>
  <c r="A1645" i="1"/>
  <c r="C1645" i="1"/>
  <c r="B1645" i="1" s="1"/>
  <c r="D1645" i="1"/>
  <c r="F1645" i="1"/>
  <c r="M1645" i="1"/>
  <c r="O1645" i="1"/>
  <c r="P1645" i="1"/>
  <c r="Q1645" i="1" s="1"/>
  <c r="S1645" i="1"/>
  <c r="A298" i="1"/>
  <c r="C298" i="1"/>
  <c r="B298" i="1" s="1"/>
  <c r="D298" i="1"/>
  <c r="F298" i="1"/>
  <c r="M298" i="1"/>
  <c r="O298" i="1"/>
  <c r="P298" i="1"/>
  <c r="Q298" i="1" s="1"/>
  <c r="S298" i="1"/>
  <c r="A332" i="1"/>
  <c r="C332" i="1"/>
  <c r="B332" i="1" s="1"/>
  <c r="D332" i="1"/>
  <c r="F332" i="1"/>
  <c r="M332" i="1"/>
  <c r="O332" i="1"/>
  <c r="P332" i="1"/>
  <c r="Q332" i="1" s="1"/>
  <c r="S332" i="1"/>
  <c r="A423" i="1"/>
  <c r="C423" i="1"/>
  <c r="B423" i="1" s="1"/>
  <c r="D423" i="1"/>
  <c r="F423" i="1"/>
  <c r="M423" i="1"/>
  <c r="O423" i="1"/>
  <c r="P423" i="1"/>
  <c r="Q423" i="1" s="1"/>
  <c r="S423" i="1"/>
  <c r="A505" i="1"/>
  <c r="C505" i="1"/>
  <c r="B505" i="1" s="1"/>
  <c r="D505" i="1"/>
  <c r="F505" i="1"/>
  <c r="M505" i="1"/>
  <c r="O505" i="1"/>
  <c r="P505" i="1"/>
  <c r="Q505" i="1" s="1"/>
  <c r="S505" i="1"/>
  <c r="A73" i="1"/>
  <c r="C73" i="1"/>
  <c r="B73" i="1" s="1"/>
  <c r="F73" i="1"/>
  <c r="M73" i="1"/>
  <c r="O73" i="1"/>
  <c r="P73" i="1"/>
  <c r="Q73" i="1" s="1"/>
  <c r="S73" i="1"/>
  <c r="A596" i="1"/>
  <c r="C596" i="1"/>
  <c r="B596" i="1" s="1"/>
  <c r="D596" i="1"/>
  <c r="F596" i="1"/>
  <c r="M596" i="1"/>
  <c r="O596" i="1"/>
  <c r="P596" i="1"/>
  <c r="Q596" i="1" s="1"/>
  <c r="S596" i="1"/>
  <c r="A934" i="1"/>
  <c r="C934" i="1"/>
  <c r="B934" i="1" s="1"/>
  <c r="F934" i="1"/>
  <c r="M934" i="1"/>
  <c r="O934" i="1"/>
  <c r="P934" i="1"/>
  <c r="Q934" i="1" s="1"/>
  <c r="S934" i="1"/>
  <c r="A1611" i="1"/>
  <c r="C1611" i="1"/>
  <c r="B1611" i="1" s="1"/>
  <c r="D1611" i="1"/>
  <c r="F1611" i="1"/>
  <c r="M1611" i="1"/>
  <c r="O1611" i="1"/>
  <c r="P1611" i="1"/>
  <c r="Q1611" i="1" s="1"/>
  <c r="S1611" i="1"/>
  <c r="A1243" i="1"/>
  <c r="C1243" i="1"/>
  <c r="B1243" i="1" s="1"/>
  <c r="D1243" i="1"/>
  <c r="F1243" i="1"/>
  <c r="O1243" i="1"/>
  <c r="P1243" i="1"/>
  <c r="Q1243" i="1" s="1"/>
  <c r="S1243" i="1"/>
  <c r="A1391" i="1"/>
  <c r="C1391" i="1"/>
  <c r="B1391" i="1" s="1"/>
  <c r="F1391" i="1"/>
  <c r="M1391" i="1"/>
  <c r="O1391" i="1"/>
  <c r="P1391" i="1"/>
  <c r="Q1391" i="1" s="1"/>
  <c r="S1391" i="1"/>
  <c r="A1808" i="1"/>
  <c r="C1808" i="1"/>
  <c r="B1808" i="1" s="1"/>
  <c r="F1808" i="1"/>
  <c r="M1808" i="1"/>
  <c r="O1808" i="1"/>
  <c r="P1808" i="1"/>
  <c r="Q1808" i="1" s="1"/>
  <c r="S1808" i="1"/>
  <c r="A641" i="1"/>
  <c r="C641" i="1"/>
  <c r="B641" i="1" s="1"/>
  <c r="D641" i="1"/>
  <c r="F641" i="1"/>
  <c r="M641" i="1"/>
  <c r="O641" i="1"/>
  <c r="P641" i="1"/>
  <c r="Q641" i="1" s="1"/>
  <c r="S641" i="1"/>
  <c r="A1142" i="1"/>
  <c r="C1142" i="1"/>
  <c r="B1142" i="1" s="1"/>
  <c r="F1142" i="1"/>
  <c r="M1142" i="1"/>
  <c r="O1142" i="1"/>
  <c r="P1142" i="1"/>
  <c r="Q1142" i="1" s="1"/>
  <c r="S1142" i="1"/>
  <c r="A1143" i="1"/>
  <c r="C1143" i="1"/>
  <c r="B1143" i="1" s="1"/>
  <c r="F1143" i="1"/>
  <c r="M1143" i="1"/>
  <c r="O1143" i="1"/>
  <c r="P1143" i="1"/>
  <c r="Q1143" i="1" s="1"/>
  <c r="S1143" i="1"/>
  <c r="A728" i="1"/>
  <c r="C728" i="1"/>
  <c r="B728" i="1" s="1"/>
  <c r="F728" i="1"/>
  <c r="M728" i="1"/>
  <c r="O728" i="1"/>
  <c r="P728" i="1"/>
  <c r="Q728" i="1" s="1"/>
  <c r="S728" i="1"/>
  <c r="A1503" i="1"/>
  <c r="C1503" i="1"/>
  <c r="B1503" i="1" s="1"/>
  <c r="F1503" i="1"/>
  <c r="M1503" i="1"/>
  <c r="O1503" i="1"/>
  <c r="P1503" i="1"/>
  <c r="Q1503" i="1" s="1"/>
  <c r="S1503" i="1"/>
  <c r="A1702" i="1"/>
  <c r="C1702" i="1"/>
  <c r="B1702" i="1" s="1"/>
  <c r="F1702" i="1"/>
  <c r="M1702" i="1"/>
  <c r="O1702" i="1"/>
  <c r="P1702" i="1"/>
  <c r="Q1702" i="1" s="1"/>
  <c r="S1702" i="1"/>
  <c r="A1809" i="1"/>
  <c r="C1809" i="1"/>
  <c r="B1809" i="1" s="1"/>
  <c r="F1809" i="1"/>
  <c r="M1809" i="1"/>
  <c r="O1809" i="1"/>
  <c r="P1809" i="1"/>
  <c r="Q1809" i="1" s="1"/>
  <c r="S1809" i="1"/>
  <c r="A785" i="1"/>
  <c r="C785" i="1"/>
  <c r="B785" i="1" s="1"/>
  <c r="F785" i="1"/>
  <c r="M785" i="1"/>
  <c r="O785" i="1"/>
  <c r="P785" i="1"/>
  <c r="Q785" i="1" s="1"/>
  <c r="S785" i="1"/>
  <c r="A5" i="1"/>
  <c r="C5" i="1"/>
  <c r="B5" i="1" s="1"/>
  <c r="D5" i="1"/>
  <c r="F5" i="1"/>
  <c r="M5" i="1"/>
  <c r="O5" i="1"/>
  <c r="P5" i="1"/>
  <c r="Q5" i="1" s="1"/>
  <c r="S5" i="1"/>
  <c r="A1504" i="1"/>
  <c r="C1504" i="1"/>
  <c r="B1504" i="1" s="1"/>
  <c r="F1504" i="1"/>
  <c r="M1504" i="1"/>
  <c r="O1504" i="1"/>
  <c r="P1504" i="1"/>
  <c r="Q1504" i="1" s="1"/>
  <c r="S1504" i="1"/>
  <c r="A1543" i="1"/>
  <c r="C1543" i="1"/>
  <c r="B1543" i="1" s="1"/>
  <c r="D1543" i="1"/>
  <c r="F1543" i="1"/>
  <c r="M1543" i="1"/>
  <c r="O1543" i="1"/>
  <c r="P1543" i="1"/>
  <c r="Q1543" i="1" s="1"/>
  <c r="S1543" i="1"/>
  <c r="A597" i="1"/>
  <c r="C597" i="1"/>
  <c r="B597" i="1" s="1"/>
  <c r="D597" i="1"/>
  <c r="F597" i="1"/>
  <c r="M597" i="1"/>
  <c r="O597" i="1"/>
  <c r="P597" i="1"/>
  <c r="Q597" i="1" s="1"/>
  <c r="S597" i="1"/>
  <c r="A848" i="1"/>
  <c r="C848" i="1"/>
  <c r="B848" i="1" s="1"/>
  <c r="D848" i="1"/>
  <c r="F848" i="1"/>
  <c r="M848" i="1"/>
  <c r="O848" i="1"/>
  <c r="P848" i="1"/>
  <c r="Q848" i="1" s="1"/>
  <c r="S848" i="1"/>
  <c r="A290" i="1"/>
  <c r="C290" i="1"/>
  <c r="B290" i="1" s="1"/>
  <c r="F290" i="1"/>
  <c r="M290" i="1"/>
  <c r="O290" i="1"/>
  <c r="P290" i="1"/>
  <c r="Q290" i="1" s="1"/>
  <c r="S290" i="1"/>
  <c r="A1228" i="1"/>
  <c r="C1228" i="1"/>
  <c r="B1228" i="1" s="1"/>
  <c r="D1228" i="1"/>
  <c r="F1228" i="1"/>
  <c r="M1228" i="1"/>
  <c r="O1228" i="1"/>
  <c r="P1228" i="1"/>
  <c r="Q1228" i="1" s="1"/>
  <c r="S1228" i="1"/>
  <c r="A1593" i="1"/>
  <c r="C1593" i="1"/>
  <c r="B1593" i="1" s="1"/>
  <c r="D1593" i="1"/>
  <c r="F1593" i="1"/>
  <c r="M1593" i="1"/>
  <c r="O1593" i="1"/>
  <c r="P1593" i="1"/>
  <c r="Q1593" i="1" s="1"/>
  <c r="S1593" i="1"/>
  <c r="A598" i="1"/>
  <c r="C598" i="1"/>
  <c r="B598" i="1" s="1"/>
  <c r="D598" i="1"/>
  <c r="F598" i="1"/>
  <c r="M598" i="1"/>
  <c r="O598" i="1"/>
  <c r="P598" i="1"/>
  <c r="Q598" i="1" s="1"/>
  <c r="S598" i="1"/>
  <c r="A314" i="1"/>
  <c r="C314" i="1"/>
  <c r="B314" i="1" s="1"/>
  <c r="D314" i="1"/>
  <c r="F314" i="1"/>
  <c r="M314" i="1"/>
  <c r="O314" i="1"/>
  <c r="P314" i="1"/>
  <c r="Q314" i="1" s="1"/>
  <c r="S314" i="1"/>
  <c r="A7" i="1"/>
  <c r="C7" i="1"/>
  <c r="B7" i="1" s="1"/>
  <c r="F7" i="1"/>
  <c r="M7" i="1"/>
  <c r="O7" i="1"/>
  <c r="P7" i="1"/>
  <c r="Q7" i="1" s="1"/>
  <c r="S7" i="1"/>
  <c r="A695" i="1"/>
  <c r="C695" i="1"/>
  <c r="B695" i="1" s="1"/>
  <c r="D695" i="1"/>
  <c r="F695" i="1"/>
  <c r="M695" i="1"/>
  <c r="O695" i="1"/>
  <c r="P695" i="1"/>
  <c r="Q695" i="1" s="1"/>
  <c r="S695" i="1"/>
  <c r="A1505" i="1"/>
  <c r="C1505" i="1"/>
  <c r="B1505" i="1" s="1"/>
  <c r="F1505" i="1"/>
  <c r="M1505" i="1"/>
  <c r="O1505" i="1"/>
  <c r="P1505" i="1"/>
  <c r="Q1505" i="1" s="1"/>
  <c r="S1505" i="1"/>
  <c r="A405" i="1"/>
  <c r="C405" i="1"/>
  <c r="B405" i="1" s="1"/>
  <c r="F405" i="1"/>
  <c r="M405" i="1"/>
  <c r="O405" i="1"/>
  <c r="P405" i="1"/>
  <c r="Q405" i="1" s="1"/>
  <c r="S405" i="1"/>
  <c r="A864" i="1"/>
  <c r="C864" i="1"/>
  <c r="B864" i="1" s="1"/>
  <c r="F864" i="1"/>
  <c r="M864" i="1"/>
  <c r="O864" i="1"/>
  <c r="P864" i="1"/>
  <c r="Q864" i="1" s="1"/>
  <c r="S864" i="1"/>
  <c r="A884" i="1"/>
  <c r="C884" i="1"/>
  <c r="B884" i="1" s="1"/>
  <c r="D884" i="1"/>
  <c r="F884" i="1"/>
  <c r="M884" i="1"/>
  <c r="O884" i="1"/>
  <c r="P884" i="1"/>
  <c r="Q884" i="1" s="1"/>
  <c r="S884" i="1"/>
  <c r="A1646" i="1"/>
  <c r="C1646" i="1"/>
  <c r="B1646" i="1" s="1"/>
  <c r="D1646" i="1"/>
  <c r="F1646" i="1"/>
  <c r="M1646" i="1"/>
  <c r="O1646" i="1"/>
  <c r="P1646" i="1"/>
  <c r="Q1646" i="1" s="1"/>
  <c r="S1646" i="1"/>
  <c r="A1810" i="1"/>
  <c r="C1810" i="1"/>
  <c r="B1810" i="1" s="1"/>
  <c r="F1810" i="1"/>
  <c r="M1810" i="1"/>
  <c r="O1810" i="1"/>
  <c r="P1810" i="1"/>
  <c r="Q1810" i="1" s="1"/>
  <c r="S1810" i="1"/>
  <c r="A1846" i="1"/>
  <c r="C1846" i="1"/>
  <c r="B1846" i="1" s="1"/>
  <c r="D1846" i="1"/>
  <c r="F1846" i="1"/>
  <c r="M1846" i="1"/>
  <c r="O1846" i="1"/>
  <c r="P1846" i="1"/>
  <c r="Q1846" i="1" s="1"/>
  <c r="S1846" i="1"/>
  <c r="A31" i="1"/>
  <c r="C31" i="1"/>
  <c r="B31" i="1" s="1"/>
  <c r="D31" i="1"/>
  <c r="F31" i="1"/>
  <c r="M31" i="1"/>
  <c r="O31" i="1"/>
  <c r="P31" i="1"/>
  <c r="Q31" i="1" s="1"/>
  <c r="S31" i="1"/>
  <c r="A482" i="1"/>
  <c r="C482" i="1"/>
  <c r="B482" i="1" s="1"/>
  <c r="F482" i="1"/>
  <c r="M482" i="1"/>
  <c r="O482" i="1"/>
  <c r="P482" i="1"/>
  <c r="Q482" i="1" s="1"/>
  <c r="S482" i="1"/>
  <c r="A599" i="1"/>
  <c r="C599" i="1"/>
  <c r="B599" i="1" s="1"/>
  <c r="D599" i="1"/>
  <c r="F599" i="1"/>
  <c r="M599" i="1"/>
  <c r="O599" i="1"/>
  <c r="P599" i="1"/>
  <c r="Q599" i="1" s="1"/>
  <c r="S599" i="1"/>
  <c r="A886" i="1"/>
  <c r="C886" i="1"/>
  <c r="B886" i="1" s="1"/>
  <c r="D886" i="1"/>
  <c r="F886" i="1"/>
  <c r="M886" i="1"/>
  <c r="O886" i="1"/>
  <c r="P886" i="1"/>
  <c r="Q886" i="1" s="1"/>
  <c r="S886" i="1"/>
  <c r="A1433" i="1"/>
  <c r="C1433" i="1"/>
  <c r="B1433" i="1" s="1"/>
  <c r="F1433" i="1"/>
  <c r="M1433" i="1"/>
  <c r="O1433" i="1"/>
  <c r="P1433" i="1"/>
  <c r="Q1433" i="1" s="1"/>
  <c r="S1433" i="1"/>
  <c r="A1647" i="1"/>
  <c r="C1647" i="1"/>
  <c r="B1647" i="1" s="1"/>
  <c r="D1647" i="1"/>
  <c r="F1647" i="1"/>
  <c r="M1647" i="1"/>
  <c r="O1647" i="1"/>
  <c r="P1647" i="1"/>
  <c r="Q1647" i="1" s="1"/>
  <c r="S1647" i="1"/>
  <c r="A656" i="1"/>
  <c r="C656" i="1"/>
  <c r="B656" i="1" s="1"/>
  <c r="D656" i="1"/>
  <c r="F656" i="1"/>
  <c r="M656" i="1"/>
  <c r="O656" i="1"/>
  <c r="P656" i="1"/>
  <c r="Q656" i="1" s="1"/>
  <c r="S656" i="1"/>
  <c r="A693" i="1"/>
  <c r="C693" i="1"/>
  <c r="B693" i="1" s="1"/>
  <c r="D693" i="1"/>
  <c r="F693" i="1"/>
  <c r="M693" i="1"/>
  <c r="O693" i="1"/>
  <c r="P693" i="1"/>
  <c r="Q693" i="1" s="1"/>
  <c r="S693" i="1"/>
  <c r="A694" i="1"/>
  <c r="C694" i="1"/>
  <c r="B694" i="1" s="1"/>
  <c r="D694" i="1"/>
  <c r="F694" i="1"/>
  <c r="M694" i="1"/>
  <c r="O694" i="1"/>
  <c r="P694" i="1"/>
  <c r="Q694" i="1" s="1"/>
  <c r="S694" i="1"/>
  <c r="A760" i="1"/>
  <c r="C760" i="1"/>
  <c r="B760" i="1" s="1"/>
  <c r="D760" i="1"/>
  <c r="F760" i="1"/>
  <c r="M760" i="1"/>
  <c r="O760" i="1"/>
  <c r="P760" i="1"/>
  <c r="Q760" i="1" s="1"/>
  <c r="S760" i="1"/>
  <c r="A1506" i="1"/>
  <c r="C1506" i="1"/>
  <c r="B1506" i="1" s="1"/>
  <c r="F1506" i="1"/>
  <c r="M1506" i="1"/>
  <c r="O1506" i="1"/>
  <c r="P1506" i="1"/>
  <c r="Q1506" i="1" s="1"/>
  <c r="S1506" i="1"/>
  <c r="A1549" i="1"/>
  <c r="C1549" i="1"/>
  <c r="B1549" i="1" s="1"/>
  <c r="D1549" i="1"/>
  <c r="F1549" i="1"/>
  <c r="M1549" i="1"/>
  <c r="O1549" i="1"/>
  <c r="P1549" i="1"/>
  <c r="Q1549" i="1" s="1"/>
  <c r="S1549" i="1"/>
  <c r="A207" i="1"/>
  <c r="C207" i="1"/>
  <c r="B207" i="1" s="1"/>
  <c r="F207" i="1"/>
  <c r="M207" i="1"/>
  <c r="O207" i="1"/>
  <c r="P207" i="1"/>
  <c r="Q207" i="1" s="1"/>
  <c r="S207" i="1"/>
  <c r="A234" i="1"/>
  <c r="C234" i="1"/>
  <c r="B234" i="1" s="1"/>
  <c r="F234" i="1"/>
  <c r="M234" i="1"/>
  <c r="O234" i="1"/>
  <c r="P234" i="1"/>
  <c r="Q234" i="1" s="1"/>
  <c r="S234" i="1"/>
  <c r="A849" i="1"/>
  <c r="C849" i="1"/>
  <c r="B849" i="1" s="1"/>
  <c r="D849" i="1"/>
  <c r="F849" i="1"/>
  <c r="M849" i="1"/>
  <c r="O849" i="1"/>
  <c r="P849" i="1"/>
  <c r="Q849" i="1" s="1"/>
  <c r="S849" i="1"/>
  <c r="A83" i="1"/>
  <c r="C83" i="1"/>
  <c r="B83" i="1" s="1"/>
  <c r="D83" i="1"/>
  <c r="F83" i="1"/>
  <c r="M83" i="1"/>
  <c r="O83" i="1"/>
  <c r="P83" i="1"/>
  <c r="Q83" i="1" s="1"/>
  <c r="S83" i="1"/>
  <c r="A1244" i="1"/>
  <c r="C1244" i="1"/>
  <c r="B1244" i="1" s="1"/>
  <c r="D1244" i="1"/>
  <c r="F1244" i="1"/>
  <c r="O1244" i="1"/>
  <c r="P1244" i="1"/>
  <c r="Q1244" i="1" s="1"/>
  <c r="S1244" i="1"/>
  <c r="A1144" i="1"/>
  <c r="C1144" i="1"/>
  <c r="B1144" i="1" s="1"/>
  <c r="F1144" i="1"/>
  <c r="M1144" i="1"/>
  <c r="O1144" i="1"/>
  <c r="P1144" i="1"/>
  <c r="Q1144" i="1" s="1"/>
  <c r="S1144" i="1"/>
  <c r="A786" i="1"/>
  <c r="C786" i="1"/>
  <c r="B786" i="1" s="1"/>
  <c r="F786" i="1"/>
  <c r="M786" i="1"/>
  <c r="O786" i="1"/>
  <c r="P786" i="1"/>
  <c r="Q786" i="1" s="1"/>
  <c r="S786" i="1"/>
  <c r="A787" i="1"/>
  <c r="C787" i="1"/>
  <c r="B787" i="1" s="1"/>
  <c r="F787" i="1"/>
  <c r="M787" i="1"/>
  <c r="O787" i="1"/>
  <c r="P787" i="1"/>
  <c r="Q787" i="1" s="1"/>
  <c r="S787" i="1"/>
  <c r="A1675" i="1"/>
  <c r="C1675" i="1"/>
  <c r="B1675" i="1" s="1"/>
  <c r="D1675" i="1"/>
  <c r="F1675" i="1"/>
  <c r="M1675" i="1"/>
  <c r="O1675" i="1"/>
  <c r="P1675" i="1"/>
  <c r="Q1675" i="1" s="1"/>
  <c r="S1675" i="1"/>
  <c r="A1507" i="1"/>
  <c r="C1507" i="1"/>
  <c r="B1507" i="1" s="1"/>
  <c r="F1507" i="1"/>
  <c r="M1507" i="1"/>
  <c r="O1507" i="1"/>
  <c r="P1507" i="1"/>
  <c r="Q1507" i="1" s="1"/>
  <c r="S1507" i="1"/>
  <c r="A887" i="1"/>
  <c r="C887" i="1"/>
  <c r="B887" i="1" s="1"/>
  <c r="D887" i="1"/>
  <c r="F887" i="1"/>
  <c r="M887" i="1"/>
  <c r="O887" i="1"/>
  <c r="P887" i="1"/>
  <c r="Q887" i="1" s="1"/>
  <c r="S887" i="1"/>
  <c r="A1508" i="1"/>
  <c r="C1508" i="1"/>
  <c r="B1508" i="1" s="1"/>
  <c r="F1508" i="1"/>
  <c r="M1508" i="1"/>
  <c r="O1508" i="1"/>
  <c r="P1508" i="1"/>
  <c r="Q1508" i="1" s="1"/>
  <c r="S1508" i="1"/>
  <c r="A1235" i="1"/>
  <c r="C1235" i="1"/>
  <c r="B1235" i="1" s="1"/>
  <c r="D1235" i="1"/>
  <c r="F1235" i="1"/>
  <c r="M1235" i="1"/>
  <c r="O1235" i="1"/>
  <c r="P1235" i="1"/>
  <c r="Q1235" i="1" s="1"/>
  <c r="S1235" i="1"/>
  <c r="A1550" i="1"/>
  <c r="C1550" i="1"/>
  <c r="B1550" i="1" s="1"/>
  <c r="D1550" i="1"/>
  <c r="F1550" i="1"/>
  <c r="M1550" i="1"/>
  <c r="O1550" i="1"/>
  <c r="P1550" i="1"/>
  <c r="Q1550" i="1" s="1"/>
  <c r="S1550" i="1"/>
  <c r="A1545" i="1"/>
  <c r="C1545" i="1"/>
  <c r="B1545" i="1" s="1"/>
  <c r="D1545" i="1"/>
  <c r="F1545" i="1"/>
  <c r="M1545" i="1"/>
  <c r="O1545" i="1"/>
  <c r="P1545" i="1"/>
  <c r="Q1545" i="1" s="1"/>
  <c r="S1545" i="1"/>
  <c r="A1811" i="1"/>
  <c r="C1811" i="1"/>
  <c r="B1811" i="1" s="1"/>
  <c r="F1811" i="1"/>
  <c r="M1811" i="1"/>
  <c r="O1811" i="1"/>
  <c r="P1811" i="1"/>
  <c r="Q1811" i="1" s="1"/>
  <c r="S1811" i="1"/>
  <c r="A299" i="1"/>
  <c r="C299" i="1"/>
  <c r="B299" i="1" s="1"/>
  <c r="D299" i="1"/>
  <c r="F299" i="1"/>
  <c r="M299" i="1"/>
  <c r="O299" i="1"/>
  <c r="P299" i="1"/>
  <c r="Q299" i="1" s="1"/>
  <c r="S299" i="1"/>
  <c r="A319" i="1"/>
  <c r="C319" i="1"/>
  <c r="B319" i="1" s="1"/>
  <c r="D319" i="1"/>
  <c r="F319" i="1"/>
  <c r="M319" i="1"/>
  <c r="O319" i="1"/>
  <c r="P319" i="1"/>
  <c r="Q319" i="1" s="1"/>
  <c r="S319" i="1"/>
  <c r="A333" i="1"/>
  <c r="C333" i="1"/>
  <c r="B333" i="1" s="1"/>
  <c r="D333" i="1"/>
  <c r="F333" i="1"/>
  <c r="M333" i="1"/>
  <c r="O333" i="1"/>
  <c r="P333" i="1"/>
  <c r="Q333" i="1" s="1"/>
  <c r="S333" i="1"/>
  <c r="A424" i="1"/>
  <c r="C424" i="1"/>
  <c r="B424" i="1" s="1"/>
  <c r="D424" i="1"/>
  <c r="F424" i="1"/>
  <c r="M424" i="1"/>
  <c r="O424" i="1"/>
  <c r="P424" i="1"/>
  <c r="Q424" i="1" s="1"/>
  <c r="S424" i="1"/>
  <c r="A506" i="1"/>
  <c r="C506" i="1"/>
  <c r="B506" i="1" s="1"/>
  <c r="D506" i="1"/>
  <c r="F506" i="1"/>
  <c r="M506" i="1"/>
  <c r="O506" i="1"/>
  <c r="P506" i="1"/>
  <c r="Q506" i="1" s="1"/>
  <c r="S506" i="1"/>
  <c r="A1612" i="1"/>
  <c r="C1612" i="1"/>
  <c r="B1612" i="1" s="1"/>
  <c r="D1612" i="1"/>
  <c r="F1612" i="1"/>
  <c r="M1612" i="1"/>
  <c r="O1612" i="1"/>
  <c r="P1612" i="1"/>
  <c r="Q1612" i="1" s="1"/>
  <c r="S1612" i="1"/>
  <c r="A1245" i="1"/>
  <c r="C1245" i="1"/>
  <c r="B1245" i="1" s="1"/>
  <c r="D1245" i="1"/>
  <c r="F1245" i="1"/>
  <c r="O1245" i="1"/>
  <c r="P1245" i="1"/>
  <c r="Q1245" i="1" s="1"/>
  <c r="S1245" i="1"/>
  <c r="A657" i="1"/>
  <c r="C657" i="1"/>
  <c r="B657" i="1" s="1"/>
  <c r="D657" i="1"/>
  <c r="F657" i="1"/>
  <c r="M657" i="1"/>
  <c r="O657" i="1"/>
  <c r="P657" i="1"/>
  <c r="Q657" i="1" s="1"/>
  <c r="S657" i="1"/>
  <c r="A1475" i="1"/>
  <c r="C1475" i="1"/>
  <c r="B1475" i="1" s="1"/>
  <c r="F1475" i="1"/>
  <c r="M1475" i="1"/>
  <c r="O1475" i="1"/>
  <c r="P1475" i="1"/>
  <c r="Q1475" i="1" s="1"/>
  <c r="S1475" i="1"/>
  <c r="A1246" i="1"/>
  <c r="C1246" i="1"/>
  <c r="B1246" i="1" s="1"/>
  <c r="D1246" i="1"/>
  <c r="F1246" i="1"/>
  <c r="O1246" i="1"/>
  <c r="P1246" i="1"/>
  <c r="Q1246" i="1" s="1"/>
  <c r="S1246" i="1"/>
  <c r="A1247" i="1"/>
  <c r="C1247" i="1"/>
  <c r="B1247" i="1" s="1"/>
  <c r="D1247" i="1"/>
  <c r="F1247" i="1"/>
  <c r="O1247" i="1"/>
  <c r="P1247" i="1"/>
  <c r="Q1247" i="1" s="1"/>
  <c r="S1247" i="1"/>
  <c r="A1703" i="1"/>
  <c r="C1703" i="1"/>
  <c r="B1703" i="1" s="1"/>
  <c r="F1703" i="1"/>
  <c r="M1703" i="1"/>
  <c r="O1703" i="1"/>
  <c r="P1703" i="1"/>
  <c r="Q1703" i="1" s="1"/>
  <c r="S1703" i="1"/>
  <c r="A87" i="1"/>
  <c r="C87" i="1"/>
  <c r="B87" i="1" s="1"/>
  <c r="F87" i="1"/>
  <c r="M87" i="1"/>
  <c r="O87" i="1"/>
  <c r="P87" i="1"/>
  <c r="Q87" i="1" s="1"/>
  <c r="S87" i="1"/>
  <c r="A1704" i="1"/>
  <c r="C1704" i="1"/>
  <c r="B1704" i="1" s="1"/>
  <c r="F1704" i="1"/>
  <c r="M1704" i="1"/>
  <c r="O1704" i="1"/>
  <c r="P1704" i="1"/>
  <c r="Q1704" i="1" s="1"/>
  <c r="S1704" i="1"/>
  <c r="A1145" i="1"/>
  <c r="C1145" i="1"/>
  <c r="B1145" i="1" s="1"/>
  <c r="F1145" i="1"/>
  <c r="M1145" i="1"/>
  <c r="O1145" i="1"/>
  <c r="P1145" i="1"/>
  <c r="Q1145" i="1" s="1"/>
  <c r="S1145" i="1"/>
  <c r="A1509" i="1"/>
  <c r="C1509" i="1"/>
  <c r="B1509" i="1" s="1"/>
  <c r="F1509" i="1"/>
  <c r="M1509" i="1"/>
  <c r="O1509" i="1"/>
  <c r="P1509" i="1"/>
  <c r="Q1509" i="1" s="1"/>
  <c r="S1509" i="1"/>
  <c r="A1812" i="1"/>
  <c r="C1812" i="1"/>
  <c r="B1812" i="1" s="1"/>
  <c r="F1812" i="1"/>
  <c r="M1812" i="1"/>
  <c r="O1812" i="1"/>
  <c r="P1812" i="1"/>
  <c r="Q1812" i="1" s="1"/>
  <c r="S1812" i="1"/>
  <c r="A1705" i="1"/>
  <c r="C1705" i="1"/>
  <c r="B1705" i="1" s="1"/>
  <c r="F1705" i="1"/>
  <c r="M1705" i="1"/>
  <c r="O1705" i="1"/>
  <c r="P1705" i="1"/>
  <c r="Q1705" i="1" s="1"/>
  <c r="S1705" i="1"/>
  <c r="A658" i="1"/>
  <c r="C658" i="1"/>
  <c r="B658" i="1" s="1"/>
  <c r="D658" i="1"/>
  <c r="F658" i="1"/>
  <c r="M658" i="1"/>
  <c r="O658" i="1"/>
  <c r="P658" i="1"/>
  <c r="Q658" i="1" s="1"/>
  <c r="S658" i="1"/>
  <c r="A1434" i="1"/>
  <c r="C1434" i="1"/>
  <c r="B1434" i="1" s="1"/>
  <c r="F1434" i="1"/>
  <c r="M1434" i="1"/>
  <c r="O1434" i="1"/>
  <c r="P1434" i="1"/>
  <c r="Q1434" i="1" s="1"/>
  <c r="S1434" i="1"/>
  <c r="A1510" i="1"/>
  <c r="C1510" i="1"/>
  <c r="B1510" i="1" s="1"/>
  <c r="F1510" i="1"/>
  <c r="M1510" i="1"/>
  <c r="O1510" i="1"/>
  <c r="P1510" i="1"/>
  <c r="Q1510" i="1" s="1"/>
  <c r="S1510" i="1"/>
  <c r="A1706" i="1"/>
  <c r="C1706" i="1"/>
  <c r="B1706" i="1" s="1"/>
  <c r="F1706" i="1"/>
  <c r="M1706" i="1"/>
  <c r="O1706" i="1"/>
  <c r="P1706" i="1"/>
  <c r="Q1706" i="1" s="1"/>
  <c r="S1706" i="1"/>
  <c r="A1676" i="1"/>
  <c r="C1676" i="1"/>
  <c r="B1676" i="1" s="1"/>
  <c r="D1676" i="1"/>
  <c r="F1676" i="1"/>
  <c r="M1676" i="1"/>
  <c r="O1676" i="1"/>
  <c r="P1676" i="1"/>
  <c r="Q1676" i="1" s="1"/>
  <c r="S1676" i="1"/>
  <c r="A1613" i="1"/>
  <c r="C1613" i="1"/>
  <c r="B1613" i="1" s="1"/>
  <c r="D1613" i="1"/>
  <c r="F1613" i="1"/>
  <c r="M1613" i="1"/>
  <c r="O1613" i="1"/>
  <c r="P1613" i="1"/>
  <c r="Q1613" i="1" s="1"/>
  <c r="S1613" i="1"/>
  <c r="A201" i="1"/>
  <c r="C201" i="1"/>
  <c r="B201" i="1" s="1"/>
  <c r="D201" i="1"/>
  <c r="F201" i="1"/>
  <c r="M201" i="1"/>
  <c r="O201" i="1"/>
  <c r="P201" i="1"/>
  <c r="Q201" i="1" s="1"/>
  <c r="S201" i="1"/>
  <c r="A394" i="1"/>
  <c r="C394" i="1"/>
  <c r="B394" i="1" s="1"/>
  <c r="D394" i="1"/>
  <c r="F394" i="1"/>
  <c r="M394" i="1"/>
  <c r="O394" i="1"/>
  <c r="P394" i="1"/>
  <c r="Q394" i="1" s="1"/>
  <c r="S394" i="1"/>
  <c r="A1248" i="1"/>
  <c r="C1248" i="1"/>
  <c r="B1248" i="1" s="1"/>
  <c r="D1248" i="1"/>
  <c r="F1248" i="1"/>
  <c r="O1248" i="1"/>
  <c r="P1248" i="1"/>
  <c r="Q1248" i="1" s="1"/>
  <c r="S1248" i="1"/>
  <c r="A1249" i="1"/>
  <c r="C1249" i="1"/>
  <c r="B1249" i="1" s="1"/>
  <c r="D1249" i="1"/>
  <c r="F1249" i="1"/>
  <c r="O1249" i="1"/>
  <c r="P1249" i="1"/>
  <c r="Q1249" i="1" s="1"/>
  <c r="S1249" i="1"/>
  <c r="A1250" i="1"/>
  <c r="C1250" i="1"/>
  <c r="B1250" i="1" s="1"/>
  <c r="D1250" i="1"/>
  <c r="F1250" i="1"/>
  <c r="O1250" i="1"/>
  <c r="P1250" i="1"/>
  <c r="Q1250" i="1" s="1"/>
  <c r="S1250" i="1"/>
  <c r="A761" i="1"/>
  <c r="C761" i="1"/>
  <c r="B761" i="1" s="1"/>
  <c r="D761" i="1"/>
  <c r="F761" i="1"/>
  <c r="M761" i="1"/>
  <c r="O761" i="1"/>
  <c r="P761" i="1"/>
  <c r="Q761" i="1" s="1"/>
  <c r="S761" i="1"/>
  <c r="A1146" i="1"/>
  <c r="C1146" i="1"/>
  <c r="B1146" i="1" s="1"/>
  <c r="F1146" i="1"/>
  <c r="M1146" i="1"/>
  <c r="O1146" i="1"/>
  <c r="P1146" i="1"/>
  <c r="Q1146" i="1" s="1"/>
  <c r="S1146" i="1"/>
  <c r="A762" i="1"/>
  <c r="C762" i="1"/>
  <c r="B762" i="1" s="1"/>
  <c r="D762" i="1"/>
  <c r="F762" i="1"/>
  <c r="M762" i="1"/>
  <c r="O762" i="1"/>
  <c r="P762" i="1"/>
  <c r="Q762" i="1" s="1"/>
  <c r="S762" i="1"/>
  <c r="A1813" i="1"/>
  <c r="C1813" i="1"/>
  <c r="B1813" i="1" s="1"/>
  <c r="F1813" i="1"/>
  <c r="M1813" i="1"/>
  <c r="O1813" i="1"/>
  <c r="P1813" i="1"/>
  <c r="Q1813" i="1" s="1"/>
  <c r="S1813" i="1"/>
  <c r="A900" i="1"/>
  <c r="C900" i="1"/>
  <c r="B900" i="1" s="1"/>
  <c r="D900" i="1"/>
  <c r="F900" i="1"/>
  <c r="M900" i="1"/>
  <c r="O900" i="1"/>
  <c r="P900" i="1"/>
  <c r="Q900" i="1" s="1"/>
  <c r="S900" i="1"/>
  <c r="A88" i="1"/>
  <c r="C88" i="1"/>
  <c r="B88" i="1" s="1"/>
  <c r="F88" i="1"/>
  <c r="M88" i="1"/>
  <c r="O88" i="1"/>
  <c r="P88" i="1"/>
  <c r="Q88" i="1" s="1"/>
  <c r="S88" i="1"/>
  <c r="A566" i="1"/>
  <c r="C566" i="1"/>
  <c r="B566" i="1" s="1"/>
  <c r="D566" i="1"/>
  <c r="F566" i="1"/>
  <c r="M566" i="1"/>
  <c r="O566" i="1"/>
  <c r="P566" i="1"/>
  <c r="Q566" i="1" s="1"/>
  <c r="S566" i="1"/>
  <c r="A1707" i="1"/>
  <c r="C1707" i="1"/>
  <c r="B1707" i="1" s="1"/>
  <c r="F1707" i="1"/>
  <c r="M1707" i="1"/>
  <c r="O1707" i="1"/>
  <c r="P1707" i="1"/>
  <c r="Q1707" i="1" s="1"/>
  <c r="S1707" i="1"/>
  <c r="A1708" i="1"/>
  <c r="C1708" i="1"/>
  <c r="B1708" i="1" s="1"/>
  <c r="F1708" i="1"/>
  <c r="M1708" i="1"/>
  <c r="O1708" i="1"/>
  <c r="P1708" i="1"/>
  <c r="Q1708" i="1" s="1"/>
  <c r="S1708" i="1"/>
  <c r="A395" i="1"/>
  <c r="C395" i="1"/>
  <c r="B395" i="1" s="1"/>
  <c r="D395" i="1"/>
  <c r="F395" i="1"/>
  <c r="M395" i="1"/>
  <c r="O395" i="1"/>
  <c r="P395" i="1"/>
  <c r="Q395" i="1" s="1"/>
  <c r="S395" i="1"/>
  <c r="A119" i="1"/>
  <c r="C119" i="1"/>
  <c r="B119" i="1" s="1"/>
  <c r="F119" i="1"/>
  <c r="M119" i="1"/>
  <c r="O119" i="1"/>
  <c r="P119" i="1"/>
  <c r="Q119" i="1" s="1"/>
  <c r="S119" i="1"/>
  <c r="A659" i="1"/>
  <c r="C659" i="1"/>
  <c r="B659" i="1" s="1"/>
  <c r="D659" i="1"/>
  <c r="F659" i="1"/>
  <c r="M659" i="1"/>
  <c r="O659" i="1"/>
  <c r="P659" i="1"/>
  <c r="Q659" i="1" s="1"/>
  <c r="S659" i="1"/>
  <c r="A521" i="1"/>
  <c r="C521" i="1"/>
  <c r="B521" i="1" s="1"/>
  <c r="D521" i="1"/>
  <c r="F521" i="1"/>
  <c r="M521" i="1"/>
  <c r="O521" i="1"/>
  <c r="P521" i="1"/>
  <c r="Q521" i="1" s="1"/>
  <c r="S521" i="1"/>
  <c r="A1251" i="1"/>
  <c r="C1251" i="1"/>
  <c r="B1251" i="1" s="1"/>
  <c r="D1251" i="1"/>
  <c r="F1251" i="1"/>
  <c r="O1251" i="1"/>
  <c r="P1251" i="1"/>
  <c r="Q1251" i="1" s="1"/>
  <c r="S1251" i="1"/>
  <c r="A1252" i="1"/>
  <c r="C1252" i="1"/>
  <c r="B1252" i="1" s="1"/>
  <c r="D1252" i="1"/>
  <c r="F1252" i="1"/>
  <c r="O1252" i="1"/>
  <c r="P1252" i="1"/>
  <c r="Q1252" i="1" s="1"/>
  <c r="S1252" i="1"/>
  <c r="A1435" i="1"/>
  <c r="C1435" i="1"/>
  <c r="B1435" i="1" s="1"/>
  <c r="F1435" i="1"/>
  <c r="M1435" i="1"/>
  <c r="O1435" i="1"/>
  <c r="P1435" i="1"/>
  <c r="Q1435" i="1" s="1"/>
  <c r="S1435" i="1"/>
  <c r="A1709" i="1"/>
  <c r="C1709" i="1"/>
  <c r="B1709" i="1" s="1"/>
  <c r="F1709" i="1"/>
  <c r="M1709" i="1"/>
  <c r="O1709" i="1"/>
  <c r="P1709" i="1"/>
  <c r="Q1709" i="1" s="1"/>
  <c r="S1709" i="1"/>
  <c r="A660" i="1"/>
  <c r="C660" i="1"/>
  <c r="B660" i="1" s="1"/>
  <c r="D660" i="1"/>
  <c r="F660" i="1"/>
  <c r="M660" i="1"/>
  <c r="O660" i="1"/>
  <c r="P660" i="1"/>
  <c r="Q660" i="1" s="1"/>
  <c r="S660" i="1"/>
  <c r="A1511" i="1"/>
  <c r="C1511" i="1"/>
  <c r="B1511" i="1" s="1"/>
  <c r="F1511" i="1"/>
  <c r="M1511" i="1"/>
  <c r="O1511" i="1"/>
  <c r="P1511" i="1"/>
  <c r="Q1511" i="1" s="1"/>
  <c r="S1511" i="1"/>
  <c r="A1147" i="1"/>
  <c r="C1147" i="1"/>
  <c r="B1147" i="1" s="1"/>
  <c r="F1147" i="1"/>
  <c r="M1147" i="1"/>
  <c r="O1147" i="1"/>
  <c r="P1147" i="1"/>
  <c r="Q1147" i="1" s="1"/>
  <c r="S1147" i="1"/>
  <c r="A1710" i="1"/>
  <c r="C1710" i="1"/>
  <c r="B1710" i="1" s="1"/>
  <c r="F1710" i="1"/>
  <c r="M1710" i="1"/>
  <c r="O1710" i="1"/>
  <c r="P1710" i="1"/>
  <c r="Q1710" i="1" s="1"/>
  <c r="S1710" i="1"/>
  <c r="A1814" i="1"/>
  <c r="C1814" i="1"/>
  <c r="B1814" i="1" s="1"/>
  <c r="F1814" i="1"/>
  <c r="M1814" i="1"/>
  <c r="O1814" i="1"/>
  <c r="P1814" i="1"/>
  <c r="Q1814" i="1" s="1"/>
  <c r="S1814" i="1"/>
  <c r="A115" i="1"/>
  <c r="C115" i="1"/>
  <c r="B115" i="1" s="1"/>
  <c r="D115" i="1"/>
  <c r="F115" i="1"/>
  <c r="M115" i="1"/>
  <c r="O115" i="1"/>
  <c r="P115" i="1"/>
  <c r="Q115" i="1" s="1"/>
  <c r="S115" i="1"/>
  <c r="A618" i="1"/>
  <c r="C618" i="1"/>
  <c r="B618" i="1" s="1"/>
  <c r="F618" i="1"/>
  <c r="M618" i="1"/>
  <c r="O618" i="1"/>
  <c r="P618" i="1"/>
  <c r="Q618" i="1" s="1"/>
  <c r="S618" i="1"/>
  <c r="A661" i="1"/>
  <c r="C661" i="1"/>
  <c r="B661" i="1" s="1"/>
  <c r="D661" i="1"/>
  <c r="F661" i="1"/>
  <c r="M661" i="1"/>
  <c r="O661" i="1"/>
  <c r="P661" i="1"/>
  <c r="Q661" i="1" s="1"/>
  <c r="S661" i="1"/>
  <c r="A662" i="1"/>
  <c r="C662" i="1"/>
  <c r="B662" i="1" s="1"/>
  <c r="D662" i="1"/>
  <c r="F662" i="1"/>
  <c r="M662" i="1"/>
  <c r="O662" i="1"/>
  <c r="P662" i="1"/>
  <c r="Q662" i="1" s="1"/>
  <c r="S662" i="1"/>
  <c r="A1377" i="1"/>
  <c r="C1377" i="1"/>
  <c r="B1377" i="1" s="1"/>
  <c r="F1377" i="1"/>
  <c r="M1377" i="1"/>
  <c r="O1377" i="1"/>
  <c r="P1377" i="1"/>
  <c r="Q1377" i="1" s="1"/>
  <c r="S1377" i="1"/>
  <c r="A1378" i="1"/>
  <c r="C1378" i="1"/>
  <c r="B1378" i="1" s="1"/>
  <c r="F1378" i="1"/>
  <c r="M1378" i="1"/>
  <c r="O1378" i="1"/>
  <c r="P1378" i="1"/>
  <c r="Q1378" i="1" s="1"/>
  <c r="S1378" i="1"/>
  <c r="A1711" i="1"/>
  <c r="C1711" i="1"/>
  <c r="B1711" i="1" s="1"/>
  <c r="F1711" i="1"/>
  <c r="M1711" i="1"/>
  <c r="O1711" i="1"/>
  <c r="P1711" i="1"/>
  <c r="Q1711" i="1" s="1"/>
  <c r="S1711" i="1"/>
  <c r="A1790" i="1"/>
  <c r="C1790" i="1"/>
  <c r="B1790" i="1" s="1"/>
  <c r="F1790" i="1"/>
  <c r="M1790" i="1"/>
  <c r="O1790" i="1"/>
  <c r="P1790" i="1"/>
  <c r="Q1790" i="1" s="1"/>
  <c r="S1790" i="1"/>
  <c r="A1436" i="1"/>
  <c r="C1436" i="1"/>
  <c r="B1436" i="1" s="1"/>
  <c r="F1436" i="1"/>
  <c r="M1436" i="1"/>
  <c r="O1436" i="1"/>
  <c r="P1436" i="1"/>
  <c r="Q1436" i="1" s="1"/>
  <c r="S1436" i="1"/>
  <c r="A865" i="1"/>
  <c r="C865" i="1"/>
  <c r="B865" i="1" s="1"/>
  <c r="F865" i="1"/>
  <c r="M865" i="1"/>
  <c r="O865" i="1"/>
  <c r="P865" i="1"/>
  <c r="Q865" i="1" s="1"/>
  <c r="S865" i="1"/>
  <c r="A1253" i="1"/>
  <c r="C1253" i="1"/>
  <c r="B1253" i="1" s="1"/>
  <c r="D1253" i="1"/>
  <c r="F1253" i="1"/>
  <c r="O1253" i="1"/>
  <c r="P1253" i="1"/>
  <c r="Q1253" i="1" s="1"/>
  <c r="S1253" i="1"/>
  <c r="A1254" i="1"/>
  <c r="C1254" i="1"/>
  <c r="B1254" i="1" s="1"/>
  <c r="D1254" i="1"/>
  <c r="F1254" i="1"/>
  <c r="O1254" i="1"/>
  <c r="P1254" i="1"/>
  <c r="Q1254" i="1" s="1"/>
  <c r="S1254" i="1"/>
  <c r="A1621" i="1"/>
  <c r="C1621" i="1"/>
  <c r="B1621" i="1" s="1"/>
  <c r="F1621" i="1"/>
  <c r="M1621" i="1"/>
  <c r="O1621" i="1"/>
  <c r="P1621" i="1"/>
  <c r="Q1621" i="1" s="1"/>
  <c r="S1621" i="1"/>
  <c r="A1648" i="1"/>
  <c r="C1648" i="1"/>
  <c r="B1648" i="1" s="1"/>
  <c r="D1648" i="1"/>
  <c r="F1648" i="1"/>
  <c r="M1648" i="1"/>
  <c r="O1648" i="1"/>
  <c r="P1648" i="1"/>
  <c r="Q1648" i="1" s="1"/>
  <c r="S1648" i="1"/>
  <c r="A1712" i="1"/>
  <c r="C1712" i="1"/>
  <c r="B1712" i="1" s="1"/>
  <c r="F1712" i="1"/>
  <c r="M1712" i="1"/>
  <c r="O1712" i="1"/>
  <c r="P1712" i="1"/>
  <c r="Q1712" i="1" s="1"/>
  <c r="S1712" i="1"/>
  <c r="A1512" i="1"/>
  <c r="C1512" i="1"/>
  <c r="B1512" i="1" s="1"/>
  <c r="F1512" i="1"/>
  <c r="M1512" i="1"/>
  <c r="O1512" i="1"/>
  <c r="P1512" i="1"/>
  <c r="Q1512" i="1" s="1"/>
  <c r="S1512" i="1"/>
  <c r="A1622" i="1"/>
  <c r="C1622" i="1"/>
  <c r="B1622" i="1" s="1"/>
  <c r="F1622" i="1"/>
  <c r="M1622" i="1"/>
  <c r="O1622" i="1"/>
  <c r="P1622" i="1"/>
  <c r="Q1622" i="1" s="1"/>
  <c r="S1622" i="1"/>
  <c r="A1677" i="1"/>
  <c r="C1677" i="1"/>
  <c r="B1677" i="1" s="1"/>
  <c r="D1677" i="1"/>
  <c r="F1677" i="1"/>
  <c r="M1677" i="1"/>
  <c r="O1677" i="1"/>
  <c r="P1677" i="1"/>
  <c r="Q1677" i="1" s="1"/>
  <c r="S1677" i="1"/>
  <c r="A1713" i="1"/>
  <c r="C1713" i="1"/>
  <c r="B1713" i="1" s="1"/>
  <c r="F1713" i="1"/>
  <c r="M1713" i="1"/>
  <c r="O1713" i="1"/>
  <c r="P1713" i="1"/>
  <c r="Q1713" i="1" s="1"/>
  <c r="S1713" i="1"/>
  <c r="A866" i="1"/>
  <c r="C866" i="1"/>
  <c r="B866" i="1" s="1"/>
  <c r="F866" i="1"/>
  <c r="M866" i="1"/>
  <c r="O866" i="1"/>
  <c r="P866" i="1"/>
  <c r="Q866" i="1" s="1"/>
  <c r="S866" i="1"/>
  <c r="A1077" i="1"/>
  <c r="C1077" i="1"/>
  <c r="B1077" i="1" s="1"/>
  <c r="D1077" i="1"/>
  <c r="F1077" i="1"/>
  <c r="M1077" i="1"/>
  <c r="O1077" i="1"/>
  <c r="P1077" i="1"/>
  <c r="Q1077" i="1" s="1"/>
  <c r="S1077" i="1"/>
  <c r="A867" i="1"/>
  <c r="C867" i="1"/>
  <c r="B867" i="1" s="1"/>
  <c r="F867" i="1"/>
  <c r="M867" i="1"/>
  <c r="O867" i="1"/>
  <c r="P867" i="1"/>
  <c r="Q867" i="1" s="1"/>
  <c r="S867" i="1"/>
  <c r="A909" i="1"/>
  <c r="C909" i="1"/>
  <c r="B909" i="1" s="1"/>
  <c r="D909" i="1"/>
  <c r="F909" i="1"/>
  <c r="M909" i="1"/>
  <c r="O909" i="1"/>
  <c r="P909" i="1"/>
  <c r="Q909" i="1" s="1"/>
  <c r="S909" i="1"/>
  <c r="A1148" i="1"/>
  <c r="C1148" i="1"/>
  <c r="B1148" i="1" s="1"/>
  <c r="F1148" i="1"/>
  <c r="M1148" i="1"/>
  <c r="O1148" i="1"/>
  <c r="P1148" i="1"/>
  <c r="Q1148" i="1" s="1"/>
  <c r="S1148" i="1"/>
  <c r="A1206" i="1"/>
  <c r="C1206" i="1"/>
  <c r="B1206" i="1" s="1"/>
  <c r="F1206" i="1"/>
  <c r="M1206" i="1"/>
  <c r="O1206" i="1"/>
  <c r="P1206" i="1"/>
  <c r="Q1206" i="1" s="1"/>
  <c r="S1206" i="1"/>
  <c r="A1847" i="1"/>
  <c r="C1847" i="1"/>
  <c r="B1847" i="1" s="1"/>
  <c r="D1847" i="1"/>
  <c r="F1847" i="1"/>
  <c r="M1847" i="1"/>
  <c r="O1847" i="1"/>
  <c r="P1847" i="1"/>
  <c r="Q1847" i="1" s="1"/>
  <c r="S1847" i="1"/>
  <c r="A1513" i="1"/>
  <c r="C1513" i="1"/>
  <c r="B1513" i="1" s="1"/>
  <c r="F1513" i="1"/>
  <c r="M1513" i="1"/>
  <c r="O1513" i="1"/>
  <c r="P1513" i="1"/>
  <c r="Q1513" i="1" s="1"/>
  <c r="S1513" i="1"/>
  <c r="A1546" i="1"/>
  <c r="C1546" i="1"/>
  <c r="B1546" i="1" s="1"/>
  <c r="D1546" i="1"/>
  <c r="F1546" i="1"/>
  <c r="M1546" i="1"/>
  <c r="O1546" i="1"/>
  <c r="P1546" i="1"/>
  <c r="Q1546" i="1" s="1"/>
  <c r="S1546" i="1"/>
  <c r="A1714" i="1"/>
  <c r="C1714" i="1"/>
  <c r="B1714" i="1" s="1"/>
  <c r="F1714" i="1"/>
  <c r="M1714" i="1"/>
  <c r="O1714" i="1"/>
  <c r="P1714" i="1"/>
  <c r="Q1714" i="1" s="1"/>
  <c r="S1714" i="1"/>
  <c r="A1715" i="1"/>
  <c r="C1715" i="1"/>
  <c r="B1715" i="1" s="1"/>
  <c r="F1715" i="1"/>
  <c r="M1715" i="1"/>
  <c r="O1715" i="1"/>
  <c r="P1715" i="1"/>
  <c r="Q1715" i="1" s="1"/>
  <c r="S1715" i="1"/>
  <c r="A1856" i="1"/>
  <c r="C1856" i="1"/>
  <c r="B1856" i="1" s="1"/>
  <c r="D1856" i="1"/>
  <c r="F1856" i="1"/>
  <c r="M1856" i="1"/>
  <c r="O1856" i="1"/>
  <c r="P1856" i="1"/>
  <c r="Q1856" i="1" s="1"/>
  <c r="S1856" i="1"/>
  <c r="A1224" i="1"/>
  <c r="C1224" i="1"/>
  <c r="B1224" i="1" s="1"/>
  <c r="D1224" i="1"/>
  <c r="F1224" i="1"/>
  <c r="M1224" i="1"/>
  <c r="O1224" i="1"/>
  <c r="P1224" i="1"/>
  <c r="Q1224" i="1" s="1"/>
  <c r="S1224" i="1"/>
  <c r="A483" i="1"/>
  <c r="C483" i="1"/>
  <c r="B483" i="1" s="1"/>
  <c r="F483" i="1"/>
  <c r="M483" i="1"/>
  <c r="O483" i="1"/>
  <c r="P483" i="1"/>
  <c r="Q483" i="1" s="1"/>
  <c r="S483" i="1"/>
  <c r="A850" i="1"/>
  <c r="C850" i="1"/>
  <c r="B850" i="1" s="1"/>
  <c r="D850" i="1"/>
  <c r="F850" i="1"/>
  <c r="M850" i="1"/>
  <c r="O850" i="1"/>
  <c r="P850" i="1"/>
  <c r="Q850" i="1" s="1"/>
  <c r="S850" i="1"/>
  <c r="A1255" i="1"/>
  <c r="C1255" i="1"/>
  <c r="B1255" i="1" s="1"/>
  <c r="D1255" i="1"/>
  <c r="F1255" i="1"/>
  <c r="O1255" i="1"/>
  <c r="P1255" i="1"/>
  <c r="Q1255" i="1" s="1"/>
  <c r="S1255" i="1"/>
  <c r="A1848" i="1"/>
  <c r="C1848" i="1"/>
  <c r="B1848" i="1" s="1"/>
  <c r="D1848" i="1"/>
  <c r="F1848" i="1"/>
  <c r="M1848" i="1"/>
  <c r="O1848" i="1"/>
  <c r="P1848" i="1"/>
  <c r="Q1848" i="1" s="1"/>
  <c r="S1848" i="1"/>
  <c r="A8" i="1"/>
  <c r="C8" i="1"/>
  <c r="B8" i="1" s="1"/>
  <c r="F8" i="1"/>
  <c r="M8" i="1"/>
  <c r="O8" i="1"/>
  <c r="P8" i="1"/>
  <c r="Q8" i="1" s="1"/>
  <c r="S8" i="1"/>
  <c r="A533" i="1"/>
  <c r="C533" i="1"/>
  <c r="B533" i="1" s="1"/>
  <c r="F533" i="1"/>
  <c r="M533" i="1"/>
  <c r="O533" i="1"/>
  <c r="P533" i="1"/>
  <c r="Q533" i="1" s="1"/>
  <c r="S533" i="1"/>
  <c r="A663" i="1"/>
  <c r="C663" i="1"/>
  <c r="B663" i="1" s="1"/>
  <c r="D663" i="1"/>
  <c r="F663" i="1"/>
  <c r="M663" i="1"/>
  <c r="O663" i="1"/>
  <c r="P663" i="1"/>
  <c r="Q663" i="1" s="1"/>
  <c r="S663" i="1"/>
  <c r="A1149" i="1"/>
  <c r="C1149" i="1"/>
  <c r="B1149" i="1" s="1"/>
  <c r="F1149" i="1"/>
  <c r="M1149" i="1"/>
  <c r="O1149" i="1"/>
  <c r="P1149" i="1"/>
  <c r="Q1149" i="1" s="1"/>
  <c r="S1149" i="1"/>
  <c r="A729" i="1"/>
  <c r="C729" i="1"/>
  <c r="B729" i="1" s="1"/>
  <c r="F729" i="1"/>
  <c r="M729" i="1"/>
  <c r="O729" i="1"/>
  <c r="P729" i="1"/>
  <c r="Q729" i="1" s="1"/>
  <c r="S729" i="1"/>
  <c r="A1595" i="1"/>
  <c r="C1595" i="1"/>
  <c r="B1595" i="1" s="1"/>
  <c r="D1595" i="1"/>
  <c r="F1595" i="1"/>
  <c r="M1595" i="1"/>
  <c r="O1595" i="1"/>
  <c r="P1595" i="1"/>
  <c r="Q1595" i="1" s="1"/>
  <c r="S1595" i="1"/>
  <c r="A1437" i="1"/>
  <c r="C1437" i="1"/>
  <c r="B1437" i="1" s="1"/>
  <c r="F1437" i="1"/>
  <c r="M1437" i="1"/>
  <c r="O1437" i="1"/>
  <c r="P1437" i="1"/>
  <c r="Q1437" i="1" s="1"/>
  <c r="S1437" i="1"/>
  <c r="A1649" i="1"/>
  <c r="C1649" i="1"/>
  <c r="B1649" i="1" s="1"/>
  <c r="D1649" i="1"/>
  <c r="F1649" i="1"/>
  <c r="M1649" i="1"/>
  <c r="O1649" i="1"/>
  <c r="P1649" i="1"/>
  <c r="Q1649" i="1" s="1"/>
  <c r="S1649" i="1"/>
  <c r="A9" i="1"/>
  <c r="C9" i="1"/>
  <c r="B9" i="1" s="1"/>
  <c r="F9" i="1"/>
  <c r="M9" i="1"/>
  <c r="O9" i="1"/>
  <c r="P9" i="1"/>
  <c r="Q9" i="1" s="1"/>
  <c r="S9" i="1"/>
  <c r="A664" i="1"/>
  <c r="C664" i="1"/>
  <c r="B664" i="1" s="1"/>
  <c r="D664" i="1"/>
  <c r="F664" i="1"/>
  <c r="M664" i="1"/>
  <c r="O664" i="1"/>
  <c r="P664" i="1"/>
  <c r="Q664" i="1" s="1"/>
  <c r="S664" i="1"/>
  <c r="A1678" i="1"/>
  <c r="C1678" i="1"/>
  <c r="B1678" i="1" s="1"/>
  <c r="D1678" i="1"/>
  <c r="F1678" i="1"/>
  <c r="M1678" i="1"/>
  <c r="O1678" i="1"/>
  <c r="P1678" i="1"/>
  <c r="Q1678" i="1" s="1"/>
  <c r="S1678" i="1"/>
  <c r="A1815" i="1"/>
  <c r="C1815" i="1"/>
  <c r="B1815" i="1" s="1"/>
  <c r="F1815" i="1"/>
  <c r="M1815" i="1"/>
  <c r="O1815" i="1"/>
  <c r="P1815" i="1"/>
  <c r="Q1815" i="1" s="1"/>
  <c r="S1815" i="1"/>
  <c r="A1849" i="1"/>
  <c r="C1849" i="1"/>
  <c r="B1849" i="1" s="1"/>
  <c r="D1849" i="1"/>
  <c r="F1849" i="1"/>
  <c r="M1849" i="1"/>
  <c r="O1849" i="1"/>
  <c r="P1849" i="1"/>
  <c r="Q1849" i="1" s="1"/>
  <c r="S1849" i="1"/>
  <c r="A441" i="1"/>
  <c r="C441" i="1"/>
  <c r="B441" i="1" s="1"/>
  <c r="D441" i="1"/>
  <c r="F441" i="1"/>
  <c r="M441" i="1"/>
  <c r="O441" i="1"/>
  <c r="P441" i="1"/>
  <c r="Q441" i="1" s="1"/>
  <c r="S441" i="1"/>
  <c r="A534" i="1"/>
  <c r="C534" i="1"/>
  <c r="B534" i="1" s="1"/>
  <c r="F534" i="1"/>
  <c r="M534" i="1"/>
  <c r="O534" i="1"/>
  <c r="P534" i="1"/>
  <c r="Q534" i="1" s="1"/>
  <c r="S534" i="1"/>
  <c r="A788" i="1"/>
  <c r="C788" i="1"/>
  <c r="B788" i="1" s="1"/>
  <c r="F788" i="1"/>
  <c r="M788" i="1"/>
  <c r="O788" i="1"/>
  <c r="P788" i="1"/>
  <c r="Q788" i="1" s="1"/>
  <c r="S788" i="1"/>
  <c r="A851" i="1"/>
  <c r="C851" i="1"/>
  <c r="B851" i="1" s="1"/>
  <c r="D851" i="1"/>
  <c r="F851" i="1"/>
  <c r="M851" i="1"/>
  <c r="O851" i="1"/>
  <c r="P851" i="1"/>
  <c r="Q851" i="1" s="1"/>
  <c r="S851" i="1"/>
  <c r="A486" i="1"/>
  <c r="C486" i="1"/>
  <c r="B486" i="1" s="1"/>
  <c r="F486" i="1"/>
  <c r="M486" i="1"/>
  <c r="O486" i="1"/>
  <c r="P486" i="1"/>
  <c r="Q486" i="1" s="1"/>
  <c r="S486" i="1"/>
  <c r="A1650" i="1"/>
  <c r="C1650" i="1"/>
  <c r="B1650" i="1" s="1"/>
  <c r="D1650" i="1"/>
  <c r="F1650" i="1"/>
  <c r="M1650" i="1"/>
  <c r="O1650" i="1"/>
  <c r="P1650" i="1"/>
  <c r="Q1650" i="1" s="1"/>
  <c r="S1650" i="1"/>
  <c r="A1651" i="1"/>
  <c r="C1651" i="1"/>
  <c r="B1651" i="1" s="1"/>
  <c r="D1651" i="1"/>
  <c r="F1651" i="1"/>
  <c r="M1651" i="1"/>
  <c r="O1651" i="1"/>
  <c r="P1651" i="1"/>
  <c r="Q1651" i="1" s="1"/>
  <c r="S1651" i="1"/>
  <c r="A1652" i="1"/>
  <c r="C1652" i="1"/>
  <c r="B1652" i="1" s="1"/>
  <c r="D1652" i="1"/>
  <c r="F1652" i="1"/>
  <c r="M1652" i="1"/>
  <c r="O1652" i="1"/>
  <c r="P1652" i="1"/>
  <c r="Q1652" i="1" s="1"/>
  <c r="S1652" i="1"/>
  <c r="A300" i="1"/>
  <c r="C300" i="1"/>
  <c r="B300" i="1" s="1"/>
  <c r="D300" i="1"/>
  <c r="F300" i="1"/>
  <c r="M300" i="1"/>
  <c r="O300" i="1"/>
  <c r="P300" i="1"/>
  <c r="Q300" i="1" s="1"/>
  <c r="S300" i="1"/>
  <c r="A320" i="1"/>
  <c r="C320" i="1"/>
  <c r="B320" i="1" s="1"/>
  <c r="D320" i="1"/>
  <c r="F320" i="1"/>
  <c r="M320" i="1"/>
  <c r="O320" i="1"/>
  <c r="P320" i="1"/>
  <c r="Q320" i="1" s="1"/>
  <c r="S320" i="1"/>
  <c r="A425" i="1"/>
  <c r="C425" i="1"/>
  <c r="B425" i="1" s="1"/>
  <c r="D425" i="1"/>
  <c r="F425" i="1"/>
  <c r="M425" i="1"/>
  <c r="O425" i="1"/>
  <c r="P425" i="1"/>
  <c r="Q425" i="1" s="1"/>
  <c r="S425" i="1"/>
  <c r="A500" i="1"/>
  <c r="C500" i="1"/>
  <c r="B500" i="1" s="1"/>
  <c r="D500" i="1"/>
  <c r="F500" i="1"/>
  <c r="M500" i="1"/>
  <c r="O500" i="1"/>
  <c r="P500" i="1"/>
  <c r="Q500" i="1" s="1"/>
  <c r="S500" i="1"/>
  <c r="A1256" i="1"/>
  <c r="C1256" i="1"/>
  <c r="B1256" i="1" s="1"/>
  <c r="D1256" i="1"/>
  <c r="F1256" i="1"/>
  <c r="O1256" i="1"/>
  <c r="P1256" i="1"/>
  <c r="Q1256" i="1" s="1"/>
  <c r="S1256" i="1"/>
  <c r="A1514" i="1"/>
  <c r="C1514" i="1"/>
  <c r="B1514" i="1" s="1"/>
  <c r="F1514" i="1"/>
  <c r="M1514" i="1"/>
  <c r="O1514" i="1"/>
  <c r="P1514" i="1"/>
  <c r="Q1514" i="1" s="1"/>
  <c r="S1514" i="1"/>
  <c r="A1548" i="1"/>
  <c r="C1548" i="1"/>
  <c r="B1548" i="1" s="1"/>
  <c r="D1548" i="1"/>
  <c r="F1548" i="1"/>
  <c r="M1548" i="1"/>
  <c r="O1548" i="1"/>
  <c r="P1548" i="1"/>
  <c r="Q1548" i="1" s="1"/>
  <c r="S1548" i="1"/>
  <c r="A523" i="1"/>
  <c r="C523" i="1"/>
  <c r="B523" i="1" s="1"/>
  <c r="D523" i="1"/>
  <c r="F523" i="1"/>
  <c r="M523" i="1"/>
  <c r="O523" i="1"/>
  <c r="P523" i="1"/>
  <c r="Q523" i="1" s="1"/>
  <c r="S523" i="1"/>
  <c r="A600" i="1"/>
  <c r="C600" i="1"/>
  <c r="B600" i="1" s="1"/>
  <c r="D600" i="1"/>
  <c r="F600" i="1"/>
  <c r="M600" i="1"/>
  <c r="O600" i="1"/>
  <c r="P600" i="1"/>
  <c r="Q600" i="1" s="1"/>
  <c r="S600" i="1"/>
  <c r="A763" i="1"/>
  <c r="C763" i="1"/>
  <c r="B763" i="1" s="1"/>
  <c r="D763" i="1"/>
  <c r="F763" i="1"/>
  <c r="M763" i="1"/>
  <c r="O763" i="1"/>
  <c r="P763" i="1"/>
  <c r="Q763" i="1" s="1"/>
  <c r="S763" i="1"/>
  <c r="A901" i="1"/>
  <c r="C901" i="1"/>
  <c r="B901" i="1" s="1"/>
  <c r="D901" i="1"/>
  <c r="F901" i="1"/>
  <c r="M901" i="1"/>
  <c r="O901" i="1"/>
  <c r="P901" i="1"/>
  <c r="Q901" i="1" s="1"/>
  <c r="S901" i="1"/>
  <c r="A1150" i="1"/>
  <c r="C1150" i="1"/>
  <c r="B1150" i="1" s="1"/>
  <c r="F1150" i="1"/>
  <c r="M1150" i="1"/>
  <c r="O1150" i="1"/>
  <c r="P1150" i="1"/>
  <c r="Q1150" i="1" s="1"/>
  <c r="S1150" i="1"/>
  <c r="A276" i="1"/>
  <c r="C276" i="1"/>
  <c r="B276" i="1" s="1"/>
  <c r="D276" i="1"/>
  <c r="F276" i="1"/>
  <c r="M276" i="1"/>
  <c r="O276" i="1"/>
  <c r="P276" i="1"/>
  <c r="Q276" i="1" s="1"/>
  <c r="S276" i="1"/>
  <c r="A535" i="1"/>
  <c r="C535" i="1"/>
  <c r="B535" i="1" s="1"/>
  <c r="F535" i="1"/>
  <c r="M535" i="1"/>
  <c r="O535" i="1"/>
  <c r="P535" i="1"/>
  <c r="Q535" i="1" s="1"/>
  <c r="S535" i="1"/>
  <c r="A1151" i="1"/>
  <c r="C1151" i="1"/>
  <c r="B1151" i="1" s="1"/>
  <c r="F1151" i="1"/>
  <c r="M1151" i="1"/>
  <c r="O1151" i="1"/>
  <c r="P1151" i="1"/>
  <c r="Q1151" i="1" s="1"/>
  <c r="S1151" i="1"/>
  <c r="A89" i="1"/>
  <c r="C89" i="1"/>
  <c r="B89" i="1" s="1"/>
  <c r="F89" i="1"/>
  <c r="M89" i="1"/>
  <c r="O89" i="1"/>
  <c r="P89" i="1"/>
  <c r="Q89" i="1" s="1"/>
  <c r="S89" i="1"/>
  <c r="A120" i="1"/>
  <c r="C120" i="1"/>
  <c r="B120" i="1" s="1"/>
  <c r="F120" i="1"/>
  <c r="M120" i="1"/>
  <c r="O120" i="1"/>
  <c r="P120" i="1"/>
  <c r="Q120" i="1" s="1"/>
  <c r="S120" i="1"/>
  <c r="A470" i="1"/>
  <c r="C470" i="1"/>
  <c r="B470" i="1" s="1"/>
  <c r="F470" i="1"/>
  <c r="M470" i="1"/>
  <c r="O470" i="1"/>
  <c r="P470" i="1"/>
  <c r="Q470" i="1" s="1"/>
  <c r="S470" i="1"/>
  <c r="A665" i="1"/>
  <c r="C665" i="1"/>
  <c r="B665" i="1" s="1"/>
  <c r="D665" i="1"/>
  <c r="F665" i="1"/>
  <c r="M665" i="1"/>
  <c r="O665" i="1"/>
  <c r="P665" i="1"/>
  <c r="Q665" i="1" s="1"/>
  <c r="S665" i="1"/>
  <c r="A1547" i="1"/>
  <c r="C1547" i="1"/>
  <c r="B1547" i="1" s="1"/>
  <c r="D1547" i="1"/>
  <c r="F1547" i="1"/>
  <c r="M1547" i="1"/>
  <c r="O1547" i="1"/>
  <c r="P1547" i="1"/>
  <c r="Q1547" i="1" s="1"/>
  <c r="S1547" i="1"/>
  <c r="A1614" i="1"/>
  <c r="C1614" i="1"/>
  <c r="B1614" i="1" s="1"/>
  <c r="D1614" i="1"/>
  <c r="F1614" i="1"/>
  <c r="M1614" i="1"/>
  <c r="O1614" i="1"/>
  <c r="P1614" i="1"/>
  <c r="Q1614" i="1" s="1"/>
  <c r="S1614" i="1"/>
  <c r="A1679" i="1"/>
  <c r="C1679" i="1"/>
  <c r="B1679" i="1" s="1"/>
  <c r="D1679" i="1"/>
  <c r="F1679" i="1"/>
  <c r="M1679" i="1"/>
  <c r="O1679" i="1"/>
  <c r="P1679" i="1"/>
  <c r="Q1679" i="1" s="1"/>
  <c r="S1679" i="1"/>
  <c r="A1781" i="1"/>
  <c r="C1781" i="1"/>
  <c r="B1781" i="1" s="1"/>
  <c r="D1781" i="1"/>
  <c r="F1781" i="1"/>
  <c r="M1781" i="1"/>
  <c r="O1781" i="1"/>
  <c r="P1781" i="1"/>
  <c r="Q1781" i="1" s="1"/>
  <c r="S1781" i="1"/>
  <c r="A436" i="1"/>
  <c r="C436" i="1"/>
  <c r="B436" i="1" s="1"/>
  <c r="D436" i="1"/>
  <c r="F436" i="1"/>
  <c r="M436" i="1"/>
  <c r="O436" i="1"/>
  <c r="P436" i="1"/>
  <c r="Q436" i="1" s="1"/>
  <c r="S436" i="1"/>
  <c r="A619" i="1"/>
  <c r="C619" i="1"/>
  <c r="B619" i="1" s="1"/>
  <c r="F619" i="1"/>
  <c r="M619" i="1"/>
  <c r="O619" i="1"/>
  <c r="P619" i="1"/>
  <c r="Q619" i="1" s="1"/>
  <c r="S619" i="1"/>
  <c r="A730" i="1"/>
  <c r="C730" i="1"/>
  <c r="B730" i="1" s="1"/>
  <c r="F730" i="1"/>
  <c r="M730" i="1"/>
  <c r="O730" i="1"/>
  <c r="P730" i="1"/>
  <c r="Q730" i="1" s="1"/>
  <c r="S730" i="1"/>
  <c r="A1392" i="1"/>
  <c r="C1392" i="1"/>
  <c r="B1392" i="1" s="1"/>
  <c r="F1392" i="1"/>
  <c r="M1392" i="1"/>
  <c r="O1392" i="1"/>
  <c r="P1392" i="1"/>
  <c r="Q1392" i="1" s="1"/>
  <c r="S1392" i="1"/>
  <c r="A1716" i="1"/>
  <c r="C1716" i="1"/>
  <c r="B1716" i="1" s="1"/>
  <c r="F1716" i="1"/>
  <c r="M1716" i="1"/>
  <c r="O1716" i="1"/>
  <c r="P1716" i="1"/>
  <c r="Q1716" i="1" s="1"/>
  <c r="S1716" i="1"/>
  <c r="A1717" i="1"/>
  <c r="C1717" i="1"/>
  <c r="B1717" i="1" s="1"/>
  <c r="F1717" i="1"/>
  <c r="M1717" i="1"/>
  <c r="O1717" i="1"/>
  <c r="P1717" i="1"/>
  <c r="Q1717" i="1" s="1"/>
  <c r="S1717" i="1"/>
  <c r="A536" i="1"/>
  <c r="C536" i="1"/>
  <c r="B536" i="1" s="1"/>
  <c r="F536" i="1"/>
  <c r="M536" i="1"/>
  <c r="O536" i="1"/>
  <c r="P536" i="1"/>
  <c r="Q536" i="1" s="1"/>
  <c r="S536" i="1"/>
  <c r="A1438" i="1"/>
  <c r="C1438" i="1"/>
  <c r="B1438" i="1" s="1"/>
  <c r="F1438" i="1"/>
  <c r="M1438" i="1"/>
  <c r="O1438" i="1"/>
  <c r="P1438" i="1"/>
  <c r="Q1438" i="1" s="1"/>
  <c r="S1438" i="1"/>
  <c r="A1515" i="1"/>
  <c r="C1515" i="1"/>
  <c r="B1515" i="1" s="1"/>
  <c r="F1515" i="1"/>
  <c r="M1515" i="1"/>
  <c r="O1515" i="1"/>
  <c r="P1515" i="1"/>
  <c r="Q1515" i="1" s="1"/>
  <c r="S1515" i="1"/>
  <c r="A1516" i="1"/>
  <c r="C1516" i="1"/>
  <c r="B1516" i="1" s="1"/>
  <c r="F1516" i="1"/>
  <c r="M1516" i="1"/>
  <c r="O1516" i="1"/>
  <c r="P1516" i="1"/>
  <c r="Q1516" i="1" s="1"/>
  <c r="S1516" i="1"/>
  <c r="A1718" i="1"/>
  <c r="C1718" i="1"/>
  <c r="B1718" i="1" s="1"/>
  <c r="F1718" i="1"/>
  <c r="M1718" i="1"/>
  <c r="O1718" i="1"/>
  <c r="P1718" i="1"/>
  <c r="Q1718" i="1" s="1"/>
  <c r="S1718" i="1"/>
  <c r="A1240" i="1"/>
  <c r="C1240" i="1"/>
  <c r="B1240" i="1" s="1"/>
  <c r="F1240" i="1"/>
  <c r="M1240" i="1"/>
  <c r="O1240" i="1"/>
  <c r="P1240" i="1"/>
  <c r="Q1240" i="1" s="1"/>
  <c r="S1240" i="1"/>
  <c r="A1623" i="1"/>
  <c r="C1623" i="1"/>
  <c r="B1623" i="1" s="1"/>
  <c r="F1623" i="1"/>
  <c r="M1623" i="1"/>
  <c r="O1623" i="1"/>
  <c r="P1623" i="1"/>
  <c r="Q1623" i="1" s="1"/>
  <c r="S1623" i="1"/>
  <c r="A1152" i="1"/>
  <c r="C1152" i="1"/>
  <c r="B1152" i="1" s="1"/>
  <c r="F1152" i="1"/>
  <c r="M1152" i="1"/>
  <c r="O1152" i="1"/>
  <c r="P1152" i="1"/>
  <c r="Q1152" i="1" s="1"/>
  <c r="S1152" i="1"/>
  <c r="A1816" i="1"/>
  <c r="C1816" i="1"/>
  <c r="B1816" i="1" s="1"/>
  <c r="F1816" i="1"/>
  <c r="M1816" i="1"/>
  <c r="O1816" i="1"/>
  <c r="P1816" i="1"/>
  <c r="Q1816" i="1" s="1"/>
  <c r="S1816" i="1"/>
  <c r="A468" i="1"/>
  <c r="C468" i="1"/>
  <c r="B468" i="1" s="1"/>
  <c r="D468" i="1"/>
  <c r="F468" i="1"/>
  <c r="M468" i="1"/>
  <c r="O468" i="1"/>
  <c r="P468" i="1"/>
  <c r="Q468" i="1" s="1"/>
  <c r="S468" i="1"/>
  <c r="A1078" i="1"/>
  <c r="C1078" i="1"/>
  <c r="B1078" i="1" s="1"/>
  <c r="D1078" i="1"/>
  <c r="F1078" i="1"/>
  <c r="M1078" i="1"/>
  <c r="O1078" i="1"/>
  <c r="P1078" i="1"/>
  <c r="Q1078" i="1" s="1"/>
  <c r="S1078" i="1"/>
  <c r="A868" i="1"/>
  <c r="C868" i="1"/>
  <c r="B868" i="1" s="1"/>
  <c r="F868" i="1"/>
  <c r="M868" i="1"/>
  <c r="O868" i="1"/>
  <c r="P868" i="1"/>
  <c r="Q868" i="1" s="1"/>
  <c r="S868" i="1"/>
  <c r="A1719" i="1"/>
  <c r="C1719" i="1"/>
  <c r="B1719" i="1" s="1"/>
  <c r="F1719" i="1"/>
  <c r="M1719" i="1"/>
  <c r="O1719" i="1"/>
  <c r="P1719" i="1"/>
  <c r="Q1719" i="1" s="1"/>
  <c r="S1719" i="1"/>
  <c r="A666" i="1"/>
  <c r="C666" i="1"/>
  <c r="B666" i="1" s="1"/>
  <c r="D666" i="1"/>
  <c r="F666" i="1"/>
  <c r="M666" i="1"/>
  <c r="O666" i="1"/>
  <c r="P666" i="1"/>
  <c r="Q666" i="1" s="1"/>
  <c r="S666" i="1"/>
  <c r="A869" i="1"/>
  <c r="C869" i="1"/>
  <c r="B869" i="1" s="1"/>
  <c r="F869" i="1"/>
  <c r="M869" i="1"/>
  <c r="O869" i="1"/>
  <c r="P869" i="1"/>
  <c r="Q869" i="1" s="1"/>
  <c r="S869" i="1"/>
  <c r="A870" i="1"/>
  <c r="C870" i="1"/>
  <c r="B870" i="1" s="1"/>
  <c r="F870" i="1"/>
  <c r="M870" i="1"/>
  <c r="O870" i="1"/>
  <c r="P870" i="1"/>
  <c r="Q870" i="1" s="1"/>
  <c r="S870" i="1"/>
  <c r="A1207" i="1"/>
  <c r="C1207" i="1"/>
  <c r="B1207" i="1" s="1"/>
  <c r="F1207" i="1"/>
  <c r="M1207" i="1"/>
  <c r="O1207" i="1"/>
  <c r="P1207" i="1"/>
  <c r="Q1207" i="1" s="1"/>
  <c r="S1207" i="1"/>
  <c r="A235" i="1"/>
  <c r="C235" i="1"/>
  <c r="B235" i="1" s="1"/>
  <c r="F235" i="1"/>
  <c r="M235" i="1"/>
  <c r="O235" i="1"/>
  <c r="P235" i="1"/>
  <c r="Q235" i="1" s="1"/>
  <c r="S235" i="1"/>
  <c r="A1517" i="1"/>
  <c r="C1517" i="1"/>
  <c r="B1517" i="1" s="1"/>
  <c r="F1517" i="1"/>
  <c r="M1517" i="1"/>
  <c r="O1517" i="1"/>
  <c r="P1517" i="1"/>
  <c r="Q1517" i="1" s="1"/>
  <c r="S1517" i="1"/>
  <c r="A1720" i="1"/>
  <c r="C1720" i="1"/>
  <c r="B1720" i="1" s="1"/>
  <c r="F1720" i="1"/>
  <c r="M1720" i="1"/>
  <c r="O1720" i="1"/>
  <c r="P1720" i="1"/>
  <c r="Q1720" i="1" s="1"/>
  <c r="S1720" i="1"/>
  <c r="A1257" i="1"/>
  <c r="C1257" i="1"/>
  <c r="B1257" i="1" s="1"/>
  <c r="D1257" i="1"/>
  <c r="F1257" i="1"/>
  <c r="O1257" i="1"/>
  <c r="P1257" i="1"/>
  <c r="Q1257" i="1" s="1"/>
  <c r="S1257" i="1"/>
  <c r="A1379" i="1"/>
  <c r="C1379" i="1"/>
  <c r="B1379" i="1" s="1"/>
  <c r="F1379" i="1"/>
  <c r="M1379" i="1"/>
  <c r="O1379" i="1"/>
  <c r="P1379" i="1"/>
  <c r="Q1379" i="1" s="1"/>
  <c r="S1379" i="1"/>
  <c r="A1380" i="1"/>
  <c r="C1380" i="1"/>
  <c r="B1380" i="1" s="1"/>
  <c r="F1380" i="1"/>
  <c r="M1380" i="1"/>
  <c r="O1380" i="1"/>
  <c r="P1380" i="1"/>
  <c r="Q1380" i="1" s="1"/>
  <c r="S1380" i="1"/>
  <c r="A487" i="1"/>
  <c r="C487" i="1"/>
  <c r="B487" i="1" s="1"/>
  <c r="F487" i="1"/>
  <c r="M487" i="1"/>
  <c r="O487" i="1"/>
  <c r="P487" i="1"/>
  <c r="Q487" i="1" s="1"/>
  <c r="S487" i="1"/>
  <c r="A1670" i="1"/>
  <c r="C1670" i="1"/>
  <c r="B1670" i="1" s="1"/>
  <c r="D1670" i="1"/>
  <c r="F1670" i="1"/>
  <c r="M1670" i="1"/>
  <c r="O1670" i="1"/>
  <c r="P1670" i="1"/>
  <c r="Q1670" i="1" s="1"/>
  <c r="S1670" i="1"/>
  <c r="A1671" i="1"/>
  <c r="C1671" i="1"/>
  <c r="B1671" i="1" s="1"/>
  <c r="D1671" i="1"/>
  <c r="F1671" i="1"/>
  <c r="M1671" i="1"/>
  <c r="O1671" i="1"/>
  <c r="P1671" i="1"/>
  <c r="Q1671" i="1" s="1"/>
  <c r="S1671" i="1"/>
  <c r="A667" i="1"/>
  <c r="C667" i="1"/>
  <c r="B667" i="1" s="1"/>
  <c r="D667" i="1"/>
  <c r="F667" i="1"/>
  <c r="M667" i="1"/>
  <c r="O667" i="1"/>
  <c r="P667" i="1"/>
  <c r="Q667" i="1" s="1"/>
  <c r="S667" i="1"/>
  <c r="A852" i="1"/>
  <c r="C852" i="1"/>
  <c r="B852" i="1" s="1"/>
  <c r="D852" i="1"/>
  <c r="F852" i="1"/>
  <c r="M852" i="1"/>
  <c r="O852" i="1"/>
  <c r="P852" i="1"/>
  <c r="Q852" i="1" s="1"/>
  <c r="S852" i="1"/>
  <c r="A902" i="1"/>
  <c r="C902" i="1"/>
  <c r="B902" i="1" s="1"/>
  <c r="D902" i="1"/>
  <c r="F902" i="1"/>
  <c r="M902" i="1"/>
  <c r="O902" i="1"/>
  <c r="P902" i="1"/>
  <c r="Q902" i="1" s="1"/>
  <c r="S902" i="1"/>
  <c r="A903" i="1"/>
  <c r="C903" i="1"/>
  <c r="B903" i="1" s="1"/>
  <c r="D903" i="1"/>
  <c r="F903" i="1"/>
  <c r="M903" i="1"/>
  <c r="O903" i="1"/>
  <c r="P903" i="1"/>
  <c r="Q903" i="1" s="1"/>
  <c r="S903" i="1"/>
  <c r="A1215" i="1"/>
  <c r="C1215" i="1"/>
  <c r="B1215" i="1" s="1"/>
  <c r="D1215" i="1"/>
  <c r="F1215" i="1"/>
  <c r="M1215" i="1"/>
  <c r="O1215" i="1"/>
  <c r="P1215" i="1"/>
  <c r="Q1215" i="1" s="1"/>
  <c r="S1215" i="1"/>
  <c r="A1216" i="1"/>
  <c r="C1216" i="1"/>
  <c r="B1216" i="1" s="1"/>
  <c r="D1216" i="1"/>
  <c r="F1216" i="1"/>
  <c r="M1216" i="1"/>
  <c r="O1216" i="1"/>
  <c r="P1216" i="1"/>
  <c r="Q1216" i="1" s="1"/>
  <c r="S1216" i="1"/>
  <c r="A1721" i="1"/>
  <c r="C1721" i="1"/>
  <c r="B1721" i="1" s="1"/>
  <c r="F1721" i="1"/>
  <c r="M1721" i="1"/>
  <c r="O1721" i="1"/>
  <c r="P1721" i="1"/>
  <c r="Q1721" i="1" s="1"/>
  <c r="S1721" i="1"/>
  <c r="A1817" i="1"/>
  <c r="C1817" i="1"/>
  <c r="B1817" i="1" s="1"/>
  <c r="F1817" i="1"/>
  <c r="M1817" i="1"/>
  <c r="O1817" i="1"/>
  <c r="P1817" i="1"/>
  <c r="Q1817" i="1" s="1"/>
  <c r="S1817" i="1"/>
  <c r="A1208" i="1"/>
  <c r="C1208" i="1"/>
  <c r="B1208" i="1" s="1"/>
  <c r="F1208" i="1"/>
  <c r="M1208" i="1"/>
  <c r="O1208" i="1"/>
  <c r="P1208" i="1"/>
  <c r="Q1208" i="1" s="1"/>
  <c r="S1208" i="1"/>
  <c r="A1476" i="1"/>
  <c r="C1476" i="1"/>
  <c r="B1476" i="1" s="1"/>
  <c r="F1476" i="1"/>
  <c r="M1476" i="1"/>
  <c r="O1476" i="1"/>
  <c r="P1476" i="1"/>
  <c r="Q1476" i="1" s="1"/>
  <c r="S1476" i="1"/>
  <c r="A236" i="1"/>
  <c r="C236" i="1"/>
  <c r="B236" i="1" s="1"/>
  <c r="F236" i="1"/>
  <c r="M236" i="1"/>
  <c r="O236" i="1"/>
  <c r="P236" i="1"/>
  <c r="Q236" i="1" s="1"/>
  <c r="S236" i="1"/>
  <c r="A466" i="1"/>
  <c r="C466" i="1"/>
  <c r="B466" i="1" s="1"/>
  <c r="D466" i="1"/>
  <c r="F466" i="1"/>
  <c r="M466" i="1"/>
  <c r="O466" i="1"/>
  <c r="P466" i="1"/>
  <c r="Q466" i="1" s="1"/>
  <c r="S466" i="1"/>
  <c r="A601" i="1"/>
  <c r="C601" i="1"/>
  <c r="B601" i="1" s="1"/>
  <c r="D601" i="1"/>
  <c r="F601" i="1"/>
  <c r="M601" i="1"/>
  <c r="O601" i="1"/>
  <c r="P601" i="1"/>
  <c r="Q601" i="1" s="1"/>
  <c r="S601" i="1"/>
  <c r="A1439" i="1"/>
  <c r="C1439" i="1"/>
  <c r="B1439" i="1" s="1"/>
  <c r="F1439" i="1"/>
  <c r="M1439" i="1"/>
  <c r="O1439" i="1"/>
  <c r="P1439" i="1"/>
  <c r="Q1439" i="1" s="1"/>
  <c r="S1439" i="1"/>
  <c r="A1477" i="1"/>
  <c r="C1477" i="1"/>
  <c r="B1477" i="1" s="1"/>
  <c r="F1477" i="1"/>
  <c r="M1477" i="1"/>
  <c r="O1477" i="1"/>
  <c r="P1477" i="1"/>
  <c r="Q1477" i="1" s="1"/>
  <c r="S1477" i="1"/>
  <c r="A853" i="1"/>
  <c r="C853" i="1"/>
  <c r="B853" i="1" s="1"/>
  <c r="D853" i="1"/>
  <c r="F853" i="1"/>
  <c r="M853" i="1"/>
  <c r="O853" i="1"/>
  <c r="P853" i="1"/>
  <c r="Q853" i="1" s="1"/>
  <c r="S853" i="1"/>
  <c r="A1653" i="1"/>
  <c r="C1653" i="1"/>
  <c r="B1653" i="1" s="1"/>
  <c r="D1653" i="1"/>
  <c r="F1653" i="1"/>
  <c r="M1653" i="1"/>
  <c r="O1653" i="1"/>
  <c r="P1653" i="1"/>
  <c r="Q1653" i="1" s="1"/>
  <c r="S1653" i="1"/>
  <c r="A301" i="1"/>
  <c r="C301" i="1"/>
  <c r="B301" i="1" s="1"/>
  <c r="D301" i="1"/>
  <c r="F301" i="1"/>
  <c r="M301" i="1"/>
  <c r="O301" i="1"/>
  <c r="P301" i="1"/>
  <c r="Q301" i="1" s="1"/>
  <c r="S301" i="1"/>
  <c r="A321" i="1"/>
  <c r="C321" i="1"/>
  <c r="B321" i="1" s="1"/>
  <c r="D321" i="1"/>
  <c r="F321" i="1"/>
  <c r="M321" i="1"/>
  <c r="O321" i="1"/>
  <c r="P321" i="1"/>
  <c r="Q321" i="1" s="1"/>
  <c r="S321" i="1"/>
  <c r="A334" i="1"/>
  <c r="C334" i="1"/>
  <c r="B334" i="1" s="1"/>
  <c r="D334" i="1"/>
  <c r="F334" i="1"/>
  <c r="M334" i="1"/>
  <c r="O334" i="1"/>
  <c r="P334" i="1"/>
  <c r="Q334" i="1" s="1"/>
  <c r="S334" i="1"/>
  <c r="A426" i="1"/>
  <c r="C426" i="1"/>
  <c r="B426" i="1" s="1"/>
  <c r="D426" i="1"/>
  <c r="F426" i="1"/>
  <c r="M426" i="1"/>
  <c r="O426" i="1"/>
  <c r="P426" i="1"/>
  <c r="Q426" i="1" s="1"/>
  <c r="S426" i="1"/>
  <c r="A501" i="1"/>
  <c r="C501" i="1"/>
  <c r="B501" i="1" s="1"/>
  <c r="D501" i="1"/>
  <c r="F501" i="1"/>
  <c r="M501" i="1"/>
  <c r="O501" i="1"/>
  <c r="P501" i="1"/>
  <c r="Q501" i="1" s="1"/>
  <c r="S501" i="1"/>
  <c r="A100" i="1"/>
  <c r="C100" i="1"/>
  <c r="B100" i="1" s="1"/>
  <c r="D100" i="1"/>
  <c r="F100" i="1"/>
  <c r="M100" i="1"/>
  <c r="O100" i="1"/>
  <c r="P100" i="1"/>
  <c r="Q100" i="1" s="1"/>
  <c r="S100" i="1"/>
  <c r="A1615" i="1"/>
  <c r="C1615" i="1"/>
  <c r="B1615" i="1" s="1"/>
  <c r="D1615" i="1"/>
  <c r="F1615" i="1"/>
  <c r="M1615" i="1"/>
  <c r="O1615" i="1"/>
  <c r="P1615" i="1"/>
  <c r="Q1615" i="1" s="1"/>
  <c r="S1615" i="1"/>
  <c r="A1258" i="1"/>
  <c r="C1258" i="1"/>
  <c r="B1258" i="1" s="1"/>
  <c r="D1258" i="1"/>
  <c r="F1258" i="1"/>
  <c r="O1258" i="1"/>
  <c r="P1258" i="1"/>
  <c r="Q1258" i="1" s="1"/>
  <c r="S1258" i="1"/>
  <c r="A1518" i="1"/>
  <c r="C1518" i="1"/>
  <c r="B1518" i="1" s="1"/>
  <c r="F1518" i="1"/>
  <c r="M1518" i="1"/>
  <c r="O1518" i="1"/>
  <c r="P1518" i="1"/>
  <c r="Q1518" i="1" s="1"/>
  <c r="S1518" i="1"/>
  <c r="A1857" i="1"/>
  <c r="C1857" i="1"/>
  <c r="B1857" i="1" s="1"/>
  <c r="D1857" i="1"/>
  <c r="F1857" i="1"/>
  <c r="M1857" i="1"/>
  <c r="O1857" i="1"/>
  <c r="P1857" i="1"/>
  <c r="Q1857" i="1" s="1"/>
  <c r="S1857" i="1"/>
  <c r="A524" i="1"/>
  <c r="C524" i="1"/>
  <c r="B524" i="1" s="1"/>
  <c r="D524" i="1"/>
  <c r="F524" i="1"/>
  <c r="M524" i="1"/>
  <c r="O524" i="1"/>
  <c r="P524" i="1"/>
  <c r="Q524" i="1" s="1"/>
  <c r="S524" i="1"/>
  <c r="A1153" i="1"/>
  <c r="C1153" i="1"/>
  <c r="B1153" i="1" s="1"/>
  <c r="F1153" i="1"/>
  <c r="M1153" i="1"/>
  <c r="O1153" i="1"/>
  <c r="P1153" i="1"/>
  <c r="Q1153" i="1" s="1"/>
  <c r="S1153" i="1"/>
  <c r="A1440" i="1"/>
  <c r="C1440" i="1"/>
  <c r="B1440" i="1" s="1"/>
  <c r="F1440" i="1"/>
  <c r="M1440" i="1"/>
  <c r="O1440" i="1"/>
  <c r="P1440" i="1"/>
  <c r="Q1440" i="1" s="1"/>
  <c r="S1440" i="1"/>
  <c r="A10" i="1"/>
  <c r="C10" i="1"/>
  <c r="B10" i="1" s="1"/>
  <c r="F10" i="1"/>
  <c r="M10" i="1"/>
  <c r="O10" i="1"/>
  <c r="P10" i="1"/>
  <c r="Q10" i="1" s="1"/>
  <c r="S10" i="1"/>
  <c r="A899" i="1"/>
  <c r="C899" i="1"/>
  <c r="B899" i="1" s="1"/>
  <c r="D899" i="1"/>
  <c r="F899" i="1"/>
  <c r="M899" i="1"/>
  <c r="O899" i="1"/>
  <c r="P899" i="1"/>
  <c r="Q899" i="1" s="1"/>
  <c r="S899" i="1"/>
  <c r="A1616" i="1"/>
  <c r="C1616" i="1"/>
  <c r="B1616" i="1" s="1"/>
  <c r="D1616" i="1"/>
  <c r="F1616" i="1"/>
  <c r="M1616" i="1"/>
  <c r="O1616" i="1"/>
  <c r="P1616" i="1"/>
  <c r="Q1616" i="1" s="1"/>
  <c r="S1616" i="1"/>
  <c r="A1220" i="1"/>
  <c r="C1220" i="1"/>
  <c r="B1220" i="1" s="1"/>
  <c r="D1220" i="1"/>
  <c r="F1220" i="1"/>
  <c r="M1220" i="1"/>
  <c r="O1220" i="1"/>
  <c r="P1220" i="1"/>
  <c r="Q1220" i="1" s="1"/>
  <c r="S1220" i="1"/>
  <c r="A1221" i="1"/>
  <c r="C1221" i="1"/>
  <c r="B1221" i="1" s="1"/>
  <c r="D1221" i="1"/>
  <c r="F1221" i="1"/>
  <c r="M1221" i="1"/>
  <c r="O1221" i="1"/>
  <c r="P1221" i="1"/>
  <c r="Q1221" i="1" s="1"/>
  <c r="S1221" i="1"/>
  <c r="A1551" i="1"/>
  <c r="C1551" i="1"/>
  <c r="B1551" i="1" s="1"/>
  <c r="D1551" i="1"/>
  <c r="F1551" i="1"/>
  <c r="M1551" i="1"/>
  <c r="O1551" i="1"/>
  <c r="P1551" i="1"/>
  <c r="Q1551" i="1" s="1"/>
  <c r="S1551" i="1"/>
  <c r="A1624" i="1"/>
  <c r="C1624" i="1"/>
  <c r="B1624" i="1" s="1"/>
  <c r="F1624" i="1"/>
  <c r="M1624" i="1"/>
  <c r="O1624" i="1"/>
  <c r="P1624" i="1"/>
  <c r="Q1624" i="1" s="1"/>
  <c r="S1624" i="1"/>
  <c r="A1722" i="1"/>
  <c r="C1722" i="1"/>
  <c r="B1722" i="1" s="1"/>
  <c r="F1722" i="1"/>
  <c r="M1722" i="1"/>
  <c r="O1722" i="1"/>
  <c r="P1722" i="1"/>
  <c r="Q1722" i="1" s="1"/>
  <c r="S1722" i="1"/>
  <c r="A406" i="1"/>
  <c r="C406" i="1"/>
  <c r="B406" i="1" s="1"/>
  <c r="F406" i="1"/>
  <c r="M406" i="1"/>
  <c r="O406" i="1"/>
  <c r="P406" i="1"/>
  <c r="Q406" i="1" s="1"/>
  <c r="S406" i="1"/>
  <c r="A1365" i="1"/>
  <c r="C1365" i="1"/>
  <c r="B1365" i="1" s="1"/>
  <c r="D1365" i="1"/>
  <c r="F1365" i="1"/>
  <c r="M1365" i="1"/>
  <c r="O1365" i="1"/>
  <c r="P1365" i="1"/>
  <c r="Q1365" i="1" s="1"/>
  <c r="S1365" i="1"/>
  <c r="A1519" i="1"/>
  <c r="C1519" i="1"/>
  <c r="B1519" i="1" s="1"/>
  <c r="F1519" i="1"/>
  <c r="M1519" i="1"/>
  <c r="O1519" i="1"/>
  <c r="P1519" i="1"/>
  <c r="Q1519" i="1" s="1"/>
  <c r="S1519" i="1"/>
  <c r="A1723" i="1"/>
  <c r="C1723" i="1"/>
  <c r="B1723" i="1" s="1"/>
  <c r="F1723" i="1"/>
  <c r="M1723" i="1"/>
  <c r="O1723" i="1"/>
  <c r="P1723" i="1"/>
  <c r="Q1723" i="1" s="1"/>
  <c r="S1723" i="1"/>
  <c r="A467" i="1"/>
  <c r="C467" i="1"/>
  <c r="B467" i="1" s="1"/>
  <c r="D467" i="1"/>
  <c r="F467" i="1"/>
  <c r="M467" i="1"/>
  <c r="O467" i="1"/>
  <c r="P467" i="1"/>
  <c r="Q467" i="1" s="1"/>
  <c r="S467" i="1"/>
  <c r="A1226" i="1"/>
  <c r="C1226" i="1"/>
  <c r="B1226" i="1" s="1"/>
  <c r="D1226" i="1"/>
  <c r="F1226" i="1"/>
  <c r="M1226" i="1"/>
  <c r="O1226" i="1"/>
  <c r="P1226" i="1"/>
  <c r="Q1226" i="1" s="1"/>
  <c r="S1226" i="1"/>
  <c r="A1791" i="1"/>
  <c r="C1791" i="1"/>
  <c r="B1791" i="1" s="1"/>
  <c r="F1791" i="1"/>
  <c r="M1791" i="1"/>
  <c r="O1791" i="1"/>
  <c r="P1791" i="1"/>
  <c r="Q1791" i="1" s="1"/>
  <c r="S1791" i="1"/>
  <c r="A897" i="1"/>
  <c r="C897" i="1"/>
  <c r="B897" i="1" s="1"/>
  <c r="D897" i="1"/>
  <c r="F897" i="1"/>
  <c r="M897" i="1"/>
  <c r="O897" i="1"/>
  <c r="P897" i="1"/>
  <c r="Q897" i="1" s="1"/>
  <c r="S897" i="1"/>
  <c r="A1225" i="1"/>
  <c r="C1225" i="1"/>
  <c r="B1225" i="1" s="1"/>
  <c r="D1225" i="1"/>
  <c r="F1225" i="1"/>
  <c r="M1225" i="1"/>
  <c r="O1225" i="1"/>
  <c r="P1225" i="1"/>
  <c r="Q1225" i="1" s="1"/>
  <c r="S1225" i="1"/>
  <c r="A1154" i="1"/>
  <c r="C1154" i="1"/>
  <c r="B1154" i="1" s="1"/>
  <c r="F1154" i="1"/>
  <c r="M1154" i="1"/>
  <c r="O1154" i="1"/>
  <c r="P1154" i="1"/>
  <c r="Q1154" i="1" s="1"/>
  <c r="S1154" i="1"/>
  <c r="A668" i="1"/>
  <c r="C668" i="1"/>
  <c r="B668" i="1" s="1"/>
  <c r="D668" i="1"/>
  <c r="F668" i="1"/>
  <c r="M668" i="1"/>
  <c r="O668" i="1"/>
  <c r="P668" i="1"/>
  <c r="Q668" i="1" s="1"/>
  <c r="S668" i="1"/>
  <c r="A1259" i="1"/>
  <c r="C1259" i="1"/>
  <c r="B1259" i="1" s="1"/>
  <c r="D1259" i="1"/>
  <c r="F1259" i="1"/>
  <c r="O1259" i="1"/>
  <c r="P1259" i="1"/>
  <c r="Q1259" i="1" s="1"/>
  <c r="S1259" i="1"/>
  <c r="A121" i="1"/>
  <c r="C121" i="1"/>
  <c r="B121" i="1" s="1"/>
  <c r="F121" i="1"/>
  <c r="M121" i="1"/>
  <c r="O121" i="1"/>
  <c r="P121" i="1"/>
  <c r="Q121" i="1" s="1"/>
  <c r="S121" i="1"/>
  <c r="A1639" i="1"/>
  <c r="C1639" i="1"/>
  <c r="B1639" i="1" s="1"/>
  <c r="D1639" i="1"/>
  <c r="F1639" i="1"/>
  <c r="M1639" i="1"/>
  <c r="O1639" i="1"/>
  <c r="P1639" i="1"/>
  <c r="Q1639" i="1" s="1"/>
  <c r="S1639" i="1"/>
  <c r="A1818" i="1"/>
  <c r="C1818" i="1"/>
  <c r="B1818" i="1" s="1"/>
  <c r="F1818" i="1"/>
  <c r="M1818" i="1"/>
  <c r="O1818" i="1"/>
  <c r="P1818" i="1"/>
  <c r="Q1818" i="1" s="1"/>
  <c r="S1818" i="1"/>
  <c r="A45" i="1"/>
  <c r="C45" i="1"/>
  <c r="B45" i="1" s="1"/>
  <c r="F45" i="1"/>
  <c r="M45" i="1"/>
  <c r="O45" i="1"/>
  <c r="P45" i="1"/>
  <c r="Q45" i="1" s="1"/>
  <c r="S45" i="1"/>
  <c r="A731" i="1"/>
  <c r="C731" i="1"/>
  <c r="B731" i="1" s="1"/>
  <c r="F731" i="1"/>
  <c r="M731" i="1"/>
  <c r="O731" i="1"/>
  <c r="P731" i="1"/>
  <c r="Q731" i="1" s="1"/>
  <c r="S731" i="1"/>
  <c r="A1858" i="1"/>
  <c r="C1858" i="1"/>
  <c r="B1858" i="1" s="1"/>
  <c r="D1858" i="1"/>
  <c r="F1858" i="1"/>
  <c r="M1858" i="1"/>
  <c r="O1858" i="1"/>
  <c r="P1858" i="1"/>
  <c r="Q1858" i="1" s="1"/>
  <c r="S1858" i="1"/>
  <c r="A764" i="1"/>
  <c r="C764" i="1"/>
  <c r="B764" i="1" s="1"/>
  <c r="D764" i="1"/>
  <c r="F764" i="1"/>
  <c r="M764" i="1"/>
  <c r="O764" i="1"/>
  <c r="P764" i="1"/>
  <c r="Q764" i="1" s="1"/>
  <c r="S764" i="1"/>
  <c r="A789" i="1"/>
  <c r="C789" i="1"/>
  <c r="B789" i="1" s="1"/>
  <c r="F789" i="1"/>
  <c r="M789" i="1"/>
  <c r="O789" i="1"/>
  <c r="P789" i="1"/>
  <c r="Q789" i="1" s="1"/>
  <c r="S789" i="1"/>
  <c r="A1520" i="1"/>
  <c r="C1520" i="1"/>
  <c r="B1520" i="1" s="1"/>
  <c r="F1520" i="1"/>
  <c r="M1520" i="1"/>
  <c r="O1520" i="1"/>
  <c r="P1520" i="1"/>
  <c r="Q1520" i="1" s="1"/>
  <c r="S1520" i="1"/>
  <c r="A1724" i="1"/>
  <c r="C1724" i="1"/>
  <c r="B1724" i="1" s="1"/>
  <c r="F1724" i="1"/>
  <c r="M1724" i="1"/>
  <c r="O1724" i="1"/>
  <c r="P1724" i="1"/>
  <c r="Q1724" i="1" s="1"/>
  <c r="S1724" i="1"/>
  <c r="A471" i="1"/>
  <c r="C471" i="1"/>
  <c r="B471" i="1" s="1"/>
  <c r="F471" i="1"/>
  <c r="M471" i="1"/>
  <c r="O471" i="1"/>
  <c r="P471" i="1"/>
  <c r="Q471" i="1" s="1"/>
  <c r="S471" i="1"/>
  <c r="A732" i="1"/>
  <c r="C732" i="1"/>
  <c r="B732" i="1" s="1"/>
  <c r="F732" i="1"/>
  <c r="M732" i="1"/>
  <c r="O732" i="1"/>
  <c r="P732" i="1"/>
  <c r="Q732" i="1" s="1"/>
  <c r="S732" i="1"/>
  <c r="A1155" i="1"/>
  <c r="C1155" i="1"/>
  <c r="B1155" i="1" s="1"/>
  <c r="F1155" i="1"/>
  <c r="M1155" i="1"/>
  <c r="O1155" i="1"/>
  <c r="P1155" i="1"/>
  <c r="Q1155" i="1" s="1"/>
  <c r="S1155" i="1"/>
  <c r="A101" i="1"/>
  <c r="C101" i="1"/>
  <c r="B101" i="1" s="1"/>
  <c r="D101" i="1"/>
  <c r="F101" i="1"/>
  <c r="M101" i="1"/>
  <c r="O101" i="1"/>
  <c r="P101" i="1"/>
  <c r="Q101" i="1" s="1"/>
  <c r="S101" i="1"/>
  <c r="A302" i="1"/>
  <c r="C302" i="1"/>
  <c r="B302" i="1" s="1"/>
  <c r="D302" i="1"/>
  <c r="F302" i="1"/>
  <c r="M302" i="1"/>
  <c r="O302" i="1"/>
  <c r="P302" i="1"/>
  <c r="Q302" i="1" s="1"/>
  <c r="S302" i="1"/>
  <c r="A322" i="1"/>
  <c r="C322" i="1"/>
  <c r="B322" i="1" s="1"/>
  <c r="D322" i="1"/>
  <c r="F322" i="1"/>
  <c r="M322" i="1"/>
  <c r="O322" i="1"/>
  <c r="P322" i="1"/>
  <c r="Q322" i="1" s="1"/>
  <c r="S322" i="1"/>
  <c r="A335" i="1"/>
  <c r="C335" i="1"/>
  <c r="B335" i="1" s="1"/>
  <c r="D335" i="1"/>
  <c r="F335" i="1"/>
  <c r="M335" i="1"/>
  <c r="O335" i="1"/>
  <c r="P335" i="1"/>
  <c r="Q335" i="1" s="1"/>
  <c r="S335" i="1"/>
  <c r="A407" i="1"/>
  <c r="C407" i="1"/>
  <c r="B407" i="1" s="1"/>
  <c r="F407" i="1"/>
  <c r="M407" i="1"/>
  <c r="O407" i="1"/>
  <c r="P407" i="1"/>
  <c r="Q407" i="1" s="1"/>
  <c r="S407" i="1"/>
  <c r="A427" i="1"/>
  <c r="C427" i="1"/>
  <c r="B427" i="1" s="1"/>
  <c r="D427" i="1"/>
  <c r="F427" i="1"/>
  <c r="M427" i="1"/>
  <c r="O427" i="1"/>
  <c r="P427" i="1"/>
  <c r="Q427" i="1" s="1"/>
  <c r="S427" i="1"/>
  <c r="A507" i="1"/>
  <c r="C507" i="1"/>
  <c r="B507" i="1" s="1"/>
  <c r="D507" i="1"/>
  <c r="F507" i="1"/>
  <c r="M507" i="1"/>
  <c r="O507" i="1"/>
  <c r="P507" i="1"/>
  <c r="Q507" i="1" s="1"/>
  <c r="S507" i="1"/>
  <c r="A813" i="1"/>
  <c r="C813" i="1"/>
  <c r="B813" i="1" s="1"/>
  <c r="F813" i="1"/>
  <c r="M813" i="1"/>
  <c r="O813" i="1"/>
  <c r="P813" i="1"/>
  <c r="Q813" i="1" s="1"/>
  <c r="S813" i="1"/>
  <c r="A1441" i="1"/>
  <c r="C1441" i="1"/>
  <c r="B1441" i="1" s="1"/>
  <c r="F1441" i="1"/>
  <c r="M1441" i="1"/>
  <c r="O1441" i="1"/>
  <c r="P1441" i="1"/>
  <c r="Q1441" i="1" s="1"/>
  <c r="S1441" i="1"/>
  <c r="A1552" i="1"/>
  <c r="C1552" i="1"/>
  <c r="B1552" i="1" s="1"/>
  <c r="D1552" i="1"/>
  <c r="F1552" i="1"/>
  <c r="M1552" i="1"/>
  <c r="O1552" i="1"/>
  <c r="P1552" i="1"/>
  <c r="Q1552" i="1" s="1"/>
  <c r="S1552" i="1"/>
  <c r="A602" i="1"/>
  <c r="C602" i="1"/>
  <c r="B602" i="1" s="1"/>
  <c r="D602" i="1"/>
  <c r="F602" i="1"/>
  <c r="M602" i="1"/>
  <c r="O602" i="1"/>
  <c r="P602" i="1"/>
  <c r="Q602" i="1" s="1"/>
  <c r="S602" i="1"/>
  <c r="A1260" i="1"/>
  <c r="C1260" i="1"/>
  <c r="B1260" i="1" s="1"/>
  <c r="D1260" i="1"/>
  <c r="F1260" i="1"/>
  <c r="O1260" i="1"/>
  <c r="P1260" i="1"/>
  <c r="Q1260" i="1" s="1"/>
  <c r="S1260" i="1"/>
  <c r="A1261" i="1"/>
  <c r="C1261" i="1"/>
  <c r="B1261" i="1" s="1"/>
  <c r="D1261" i="1"/>
  <c r="F1261" i="1"/>
  <c r="O1261" i="1"/>
  <c r="P1261" i="1"/>
  <c r="Q1261" i="1" s="1"/>
  <c r="S1261" i="1"/>
  <c r="A733" i="1"/>
  <c r="C733" i="1"/>
  <c r="B733" i="1" s="1"/>
  <c r="F733" i="1"/>
  <c r="M733" i="1"/>
  <c r="O733" i="1"/>
  <c r="P733" i="1"/>
  <c r="Q733" i="1" s="1"/>
  <c r="S733" i="1"/>
  <c r="A1617" i="1"/>
  <c r="C1617" i="1"/>
  <c r="B1617" i="1" s="1"/>
  <c r="D1617" i="1"/>
  <c r="F1617" i="1"/>
  <c r="M1617" i="1"/>
  <c r="O1617" i="1"/>
  <c r="P1617" i="1"/>
  <c r="Q1617" i="1" s="1"/>
  <c r="S1617" i="1"/>
  <c r="A1680" i="1"/>
  <c r="C1680" i="1"/>
  <c r="B1680" i="1" s="1"/>
  <c r="D1680" i="1"/>
  <c r="F1680" i="1"/>
  <c r="M1680" i="1"/>
  <c r="O1680" i="1"/>
  <c r="P1680" i="1"/>
  <c r="Q1680" i="1" s="1"/>
  <c r="S1680" i="1"/>
  <c r="A469" i="1"/>
  <c r="C469" i="1"/>
  <c r="B469" i="1" s="1"/>
  <c r="F469" i="1"/>
  <c r="M469" i="1"/>
  <c r="O469" i="1"/>
  <c r="P469" i="1"/>
  <c r="Q469" i="1" s="1"/>
  <c r="S469" i="1"/>
  <c r="A1725" i="1"/>
  <c r="C1725" i="1"/>
  <c r="B1725" i="1" s="1"/>
  <c r="F1725" i="1"/>
  <c r="M1725" i="1"/>
  <c r="O1725" i="1"/>
  <c r="P1725" i="1"/>
  <c r="Q1725" i="1" s="1"/>
  <c r="S1725" i="1"/>
  <c r="A1726" i="1"/>
  <c r="C1726" i="1"/>
  <c r="B1726" i="1" s="1"/>
  <c r="F1726" i="1"/>
  <c r="M1726" i="1"/>
  <c r="O1726" i="1"/>
  <c r="P1726" i="1"/>
  <c r="Q1726" i="1" s="1"/>
  <c r="S1726" i="1"/>
  <c r="A525" i="1"/>
  <c r="C525" i="1"/>
  <c r="B525" i="1" s="1"/>
  <c r="D525" i="1"/>
  <c r="F525" i="1"/>
  <c r="M525" i="1"/>
  <c r="O525" i="1"/>
  <c r="P525" i="1"/>
  <c r="Q525" i="1" s="1"/>
  <c r="S525" i="1"/>
  <c r="A537" i="1"/>
  <c r="C537" i="1"/>
  <c r="B537" i="1" s="1"/>
  <c r="F537" i="1"/>
  <c r="M537" i="1"/>
  <c r="O537" i="1"/>
  <c r="P537" i="1"/>
  <c r="Q537" i="1" s="1"/>
  <c r="S537" i="1"/>
  <c r="A538" i="1"/>
  <c r="C538" i="1"/>
  <c r="B538" i="1" s="1"/>
  <c r="F538" i="1"/>
  <c r="M538" i="1"/>
  <c r="O538" i="1"/>
  <c r="P538" i="1"/>
  <c r="Q538" i="1" s="1"/>
  <c r="S538" i="1"/>
  <c r="A765" i="1"/>
  <c r="C765" i="1"/>
  <c r="B765" i="1" s="1"/>
  <c r="D765" i="1"/>
  <c r="F765" i="1"/>
  <c r="M765" i="1"/>
  <c r="O765" i="1"/>
  <c r="P765" i="1"/>
  <c r="Q765" i="1" s="1"/>
  <c r="S765" i="1"/>
  <c r="A790" i="1"/>
  <c r="C790" i="1"/>
  <c r="B790" i="1" s="1"/>
  <c r="F790" i="1"/>
  <c r="M790" i="1"/>
  <c r="O790" i="1"/>
  <c r="P790" i="1"/>
  <c r="Q790" i="1" s="1"/>
  <c r="S790" i="1"/>
  <c r="A1804" i="1"/>
  <c r="C1804" i="1"/>
  <c r="B1804" i="1" s="1"/>
  <c r="D1804" i="1"/>
  <c r="F1804" i="1"/>
  <c r="M1804" i="1"/>
  <c r="O1804" i="1"/>
  <c r="P1804" i="1"/>
  <c r="Q1804" i="1" s="1"/>
  <c r="S1804" i="1"/>
  <c r="A814" i="1"/>
  <c r="C814" i="1"/>
  <c r="B814" i="1" s="1"/>
  <c r="F814" i="1"/>
  <c r="M814" i="1"/>
  <c r="O814" i="1"/>
  <c r="P814" i="1"/>
  <c r="Q814" i="1" s="1"/>
  <c r="S814" i="1"/>
  <c r="A46" i="1"/>
  <c r="C46" i="1"/>
  <c r="B46" i="1" s="1"/>
  <c r="F46" i="1"/>
  <c r="M46" i="1"/>
  <c r="O46" i="1"/>
  <c r="P46" i="1"/>
  <c r="Q46" i="1" s="1"/>
  <c r="S46" i="1"/>
  <c r="A47" i="1"/>
  <c r="C47" i="1"/>
  <c r="B47" i="1" s="1"/>
  <c r="F47" i="1"/>
  <c r="M47" i="1"/>
  <c r="O47" i="1"/>
  <c r="P47" i="1"/>
  <c r="Q47" i="1" s="1"/>
  <c r="S47" i="1"/>
  <c r="A102" i="1"/>
  <c r="C102" i="1"/>
  <c r="B102" i="1" s="1"/>
  <c r="D102" i="1"/>
  <c r="F102" i="1"/>
  <c r="M102" i="1"/>
  <c r="O102" i="1"/>
  <c r="P102" i="1"/>
  <c r="Q102" i="1" s="1"/>
  <c r="S102" i="1"/>
  <c r="A1654" i="1"/>
  <c r="C1654" i="1"/>
  <c r="B1654" i="1" s="1"/>
  <c r="D1654" i="1"/>
  <c r="F1654" i="1"/>
  <c r="M1654" i="1"/>
  <c r="O1654" i="1"/>
  <c r="P1654" i="1"/>
  <c r="Q1654" i="1" s="1"/>
  <c r="S1654" i="1"/>
  <c r="A1655" i="1"/>
  <c r="C1655" i="1"/>
  <c r="B1655" i="1" s="1"/>
  <c r="D1655" i="1"/>
  <c r="F1655" i="1"/>
  <c r="M1655" i="1"/>
  <c r="O1655" i="1"/>
  <c r="P1655" i="1"/>
  <c r="Q1655" i="1" s="1"/>
  <c r="S1655" i="1"/>
  <c r="A1819" i="1"/>
  <c r="C1819" i="1"/>
  <c r="B1819" i="1" s="1"/>
  <c r="F1819" i="1"/>
  <c r="M1819" i="1"/>
  <c r="O1819" i="1"/>
  <c r="P1819" i="1"/>
  <c r="Q1819" i="1" s="1"/>
  <c r="S1819" i="1"/>
  <c r="A1850" i="1"/>
  <c r="C1850" i="1"/>
  <c r="B1850" i="1" s="1"/>
  <c r="D1850" i="1"/>
  <c r="F1850" i="1"/>
  <c r="M1850" i="1"/>
  <c r="O1850" i="1"/>
  <c r="P1850" i="1"/>
  <c r="Q1850" i="1" s="1"/>
  <c r="S1850" i="1"/>
  <c r="A103" i="1"/>
  <c r="C103" i="1"/>
  <c r="B103" i="1" s="1"/>
  <c r="D103" i="1"/>
  <c r="F103" i="1"/>
  <c r="M103" i="1"/>
  <c r="O103" i="1"/>
  <c r="P103" i="1"/>
  <c r="Q103" i="1" s="1"/>
  <c r="S103" i="1"/>
  <c r="A1478" i="1"/>
  <c r="C1478" i="1"/>
  <c r="B1478" i="1" s="1"/>
  <c r="F1478" i="1"/>
  <c r="M1478" i="1"/>
  <c r="O1478" i="1"/>
  <c r="P1478" i="1"/>
  <c r="Q1478" i="1" s="1"/>
  <c r="S1478" i="1"/>
  <c r="A313" i="1"/>
  <c r="C313" i="1"/>
  <c r="B313" i="1" s="1"/>
  <c r="D313" i="1"/>
  <c r="F313" i="1"/>
  <c r="M313" i="1"/>
  <c r="O313" i="1"/>
  <c r="P313" i="1"/>
  <c r="Q313" i="1" s="1"/>
  <c r="S313" i="1"/>
  <c r="A1156" i="1"/>
  <c r="C1156" i="1"/>
  <c r="B1156" i="1" s="1"/>
  <c r="F1156" i="1"/>
  <c r="M1156" i="1"/>
  <c r="O1156" i="1"/>
  <c r="P1156" i="1"/>
  <c r="Q1156" i="1" s="1"/>
  <c r="S1156" i="1"/>
  <c r="A815" i="1"/>
  <c r="C815" i="1"/>
  <c r="B815" i="1" s="1"/>
  <c r="F815" i="1"/>
  <c r="M815" i="1"/>
  <c r="O815" i="1"/>
  <c r="P815" i="1"/>
  <c r="Q815" i="1" s="1"/>
  <c r="S815" i="1"/>
  <c r="A871" i="1"/>
  <c r="C871" i="1"/>
  <c r="B871" i="1" s="1"/>
  <c r="F871" i="1"/>
  <c r="M871" i="1"/>
  <c r="O871" i="1"/>
  <c r="P871" i="1"/>
  <c r="Q871" i="1" s="1"/>
  <c r="S871" i="1"/>
  <c r="A904" i="1"/>
  <c r="C904" i="1"/>
  <c r="B904" i="1" s="1"/>
  <c r="D904" i="1"/>
  <c r="F904" i="1"/>
  <c r="M904" i="1"/>
  <c r="O904" i="1"/>
  <c r="P904" i="1"/>
  <c r="Q904" i="1" s="1"/>
  <c r="S904" i="1"/>
  <c r="A1227" i="1"/>
  <c r="C1227" i="1"/>
  <c r="B1227" i="1" s="1"/>
  <c r="D1227" i="1"/>
  <c r="F1227" i="1"/>
  <c r="M1227" i="1"/>
  <c r="O1227" i="1"/>
  <c r="P1227" i="1"/>
  <c r="Q1227" i="1" s="1"/>
  <c r="S1227" i="1"/>
  <c r="A104" i="1"/>
  <c r="C104" i="1"/>
  <c r="B104" i="1" s="1"/>
  <c r="D104" i="1"/>
  <c r="F104" i="1"/>
  <c r="M104" i="1"/>
  <c r="O104" i="1"/>
  <c r="P104" i="1"/>
  <c r="Q104" i="1" s="1"/>
  <c r="S104" i="1"/>
  <c r="A445" i="1"/>
  <c r="C445" i="1"/>
  <c r="B445" i="1" s="1"/>
  <c r="D445" i="1"/>
  <c r="F445" i="1"/>
  <c r="M445" i="1"/>
  <c r="O445" i="1"/>
  <c r="P445" i="1"/>
  <c r="Q445" i="1" s="1"/>
  <c r="S445" i="1"/>
  <c r="A1288" i="1"/>
  <c r="C1288" i="1"/>
  <c r="B1288" i="1" s="1"/>
  <c r="F1288" i="1"/>
  <c r="M1288" i="1"/>
  <c r="O1288" i="1"/>
  <c r="P1288" i="1"/>
  <c r="Q1288" i="1" s="1"/>
  <c r="S1288" i="1"/>
  <c r="A74" i="1"/>
  <c r="C74" i="1"/>
  <c r="B74" i="1" s="1"/>
  <c r="F74" i="1"/>
  <c r="M74" i="1"/>
  <c r="O74" i="1"/>
  <c r="P74" i="1"/>
  <c r="Q74" i="1" s="1"/>
  <c r="S74" i="1"/>
  <c r="A408" i="1"/>
  <c r="C408" i="1"/>
  <c r="B408" i="1" s="1"/>
  <c r="F408" i="1"/>
  <c r="M408" i="1"/>
  <c r="O408" i="1"/>
  <c r="P408" i="1"/>
  <c r="Q408" i="1" s="1"/>
  <c r="S408" i="1"/>
  <c r="A1625" i="1"/>
  <c r="C1625" i="1"/>
  <c r="B1625" i="1" s="1"/>
  <c r="F1625" i="1"/>
  <c r="M1625" i="1"/>
  <c r="O1625" i="1"/>
  <c r="P1625" i="1"/>
  <c r="Q1625" i="1" s="1"/>
  <c r="S1625" i="1"/>
  <c r="A1727" i="1"/>
  <c r="C1727" i="1"/>
  <c r="B1727" i="1" s="1"/>
  <c r="F1727" i="1"/>
  <c r="M1727" i="1"/>
  <c r="O1727" i="1"/>
  <c r="P1727" i="1"/>
  <c r="Q1727" i="1" s="1"/>
  <c r="S1727" i="1"/>
  <c r="A1820" i="1"/>
  <c r="C1820" i="1"/>
  <c r="B1820" i="1" s="1"/>
  <c r="F1820" i="1"/>
  <c r="M1820" i="1"/>
  <c r="O1820" i="1"/>
  <c r="P1820" i="1"/>
  <c r="Q1820" i="1" s="1"/>
  <c r="S1820" i="1"/>
  <c r="A734" i="1"/>
  <c r="C734" i="1"/>
  <c r="B734" i="1" s="1"/>
  <c r="F734" i="1"/>
  <c r="M734" i="1"/>
  <c r="O734" i="1"/>
  <c r="P734" i="1"/>
  <c r="Q734" i="1" s="1"/>
  <c r="S734" i="1"/>
  <c r="A1521" i="1"/>
  <c r="C1521" i="1"/>
  <c r="B1521" i="1" s="1"/>
  <c r="F1521" i="1"/>
  <c r="M1521" i="1"/>
  <c r="O1521" i="1"/>
  <c r="P1521" i="1"/>
  <c r="Q1521" i="1" s="1"/>
  <c r="S1521" i="1"/>
  <c r="A690" i="1"/>
  <c r="C690" i="1"/>
  <c r="B690" i="1" s="1"/>
  <c r="D690" i="1"/>
  <c r="F690" i="1"/>
  <c r="M690" i="1"/>
  <c r="O690" i="1"/>
  <c r="P690" i="1"/>
  <c r="Q690" i="1" s="1"/>
  <c r="S690" i="1"/>
  <c r="A1681" i="1"/>
  <c r="C1681" i="1"/>
  <c r="B1681" i="1" s="1"/>
  <c r="D1681" i="1"/>
  <c r="F1681" i="1"/>
  <c r="M1681" i="1"/>
  <c r="O1681" i="1"/>
  <c r="P1681" i="1"/>
  <c r="Q1681" i="1" s="1"/>
  <c r="S1681" i="1"/>
  <c r="A1682" i="1"/>
  <c r="C1682" i="1"/>
  <c r="B1682" i="1" s="1"/>
  <c r="D1682" i="1"/>
  <c r="F1682" i="1"/>
  <c r="M1682" i="1"/>
  <c r="O1682" i="1"/>
  <c r="P1682" i="1"/>
  <c r="Q1682" i="1" s="1"/>
  <c r="S1682" i="1"/>
  <c r="A1683" i="1"/>
  <c r="C1683" i="1"/>
  <c r="B1683" i="1" s="1"/>
  <c r="D1683" i="1"/>
  <c r="F1683" i="1"/>
  <c r="M1683" i="1"/>
  <c r="O1683" i="1"/>
  <c r="P1683" i="1"/>
  <c r="Q1683" i="1" s="1"/>
  <c r="S1683" i="1"/>
  <c r="A1209" i="1"/>
  <c r="C1209" i="1"/>
  <c r="B1209" i="1" s="1"/>
  <c r="F1209" i="1"/>
  <c r="M1209" i="1"/>
  <c r="O1209" i="1"/>
  <c r="P1209" i="1"/>
  <c r="Q1209" i="1" s="1"/>
  <c r="S1209" i="1"/>
  <c r="A218" i="1"/>
  <c r="C218" i="1"/>
  <c r="B218" i="1" s="1"/>
  <c r="D218" i="1"/>
  <c r="F218" i="1"/>
  <c r="M218" i="1"/>
  <c r="O218" i="1"/>
  <c r="P218" i="1"/>
  <c r="Q218" i="1" s="1"/>
  <c r="S218" i="1"/>
  <c r="A288" i="1"/>
  <c r="C288" i="1"/>
  <c r="B288" i="1" s="1"/>
  <c r="D288" i="1"/>
  <c r="F288" i="1"/>
  <c r="M288" i="1"/>
  <c r="O288" i="1"/>
  <c r="P288" i="1"/>
  <c r="Q288" i="1" s="1"/>
  <c r="S288" i="1"/>
  <c r="A1792" i="1"/>
  <c r="C1792" i="1"/>
  <c r="B1792" i="1" s="1"/>
  <c r="F1792" i="1"/>
  <c r="M1792" i="1"/>
  <c r="O1792" i="1"/>
  <c r="P1792" i="1"/>
  <c r="Q1792" i="1" s="1"/>
  <c r="S1792" i="1"/>
  <c r="A75" i="1"/>
  <c r="C75" i="1"/>
  <c r="B75" i="1" s="1"/>
  <c r="F75" i="1"/>
  <c r="M75" i="1"/>
  <c r="O75" i="1"/>
  <c r="P75" i="1"/>
  <c r="Q75" i="1" s="1"/>
  <c r="S75" i="1"/>
  <c r="A669" i="1"/>
  <c r="C669" i="1"/>
  <c r="B669" i="1" s="1"/>
  <c r="D669" i="1"/>
  <c r="F669" i="1"/>
  <c r="M669" i="1"/>
  <c r="O669" i="1"/>
  <c r="P669" i="1"/>
  <c r="Q669" i="1" s="1"/>
  <c r="S669" i="1"/>
  <c r="A1157" i="1"/>
  <c r="C1157" i="1"/>
  <c r="B1157" i="1" s="1"/>
  <c r="F1157" i="1"/>
  <c r="M1157" i="1"/>
  <c r="O1157" i="1"/>
  <c r="P1157" i="1"/>
  <c r="Q1157" i="1" s="1"/>
  <c r="S1157" i="1"/>
  <c r="A1442" i="1"/>
  <c r="C1442" i="1"/>
  <c r="B1442" i="1" s="1"/>
  <c r="F1442" i="1"/>
  <c r="M1442" i="1"/>
  <c r="O1442" i="1"/>
  <c r="P1442" i="1"/>
  <c r="Q1442" i="1" s="1"/>
  <c r="S1442" i="1"/>
  <c r="A1594" i="1"/>
  <c r="C1594" i="1"/>
  <c r="B1594" i="1" s="1"/>
  <c r="D1594" i="1"/>
  <c r="F1594" i="1"/>
  <c r="M1594" i="1"/>
  <c r="O1594" i="1"/>
  <c r="P1594" i="1"/>
  <c r="Q1594" i="1" s="1"/>
  <c r="S1594" i="1"/>
  <c r="A208" i="1"/>
  <c r="C208" i="1"/>
  <c r="B208" i="1" s="1"/>
  <c r="F208" i="1"/>
  <c r="M208" i="1"/>
  <c r="O208" i="1"/>
  <c r="P208" i="1"/>
  <c r="Q208" i="1" s="1"/>
  <c r="S208" i="1"/>
  <c r="A872" i="1"/>
  <c r="C872" i="1"/>
  <c r="B872" i="1" s="1"/>
  <c r="F872" i="1"/>
  <c r="M872" i="1"/>
  <c r="O872" i="1"/>
  <c r="P872" i="1"/>
  <c r="Q872" i="1" s="1"/>
  <c r="S872" i="1"/>
  <c r="A889" i="1"/>
  <c r="C889" i="1"/>
  <c r="B889" i="1" s="1"/>
  <c r="D889" i="1"/>
  <c r="F889" i="1"/>
  <c r="M889" i="1"/>
  <c r="O889" i="1"/>
  <c r="P889" i="1"/>
  <c r="Q889" i="1" s="1"/>
  <c r="S889" i="1"/>
  <c r="A905" i="1"/>
  <c r="C905" i="1"/>
  <c r="B905" i="1" s="1"/>
  <c r="D905" i="1"/>
  <c r="F905" i="1"/>
  <c r="M905" i="1"/>
  <c r="O905" i="1"/>
  <c r="P905" i="1"/>
  <c r="Q905" i="1" s="1"/>
  <c r="S905" i="1"/>
  <c r="A914" i="1"/>
  <c r="C914" i="1"/>
  <c r="B914" i="1" s="1"/>
  <c r="D914" i="1"/>
  <c r="F914" i="1"/>
  <c r="M914" i="1"/>
  <c r="O914" i="1"/>
  <c r="P914" i="1"/>
  <c r="Q914" i="1" s="1"/>
  <c r="S914" i="1"/>
  <c r="A237" i="1"/>
  <c r="C237" i="1"/>
  <c r="B237" i="1" s="1"/>
  <c r="F237" i="1"/>
  <c r="M237" i="1"/>
  <c r="O237" i="1"/>
  <c r="P237" i="1"/>
  <c r="Q237" i="1" s="1"/>
  <c r="S237" i="1"/>
  <c r="A1262" i="1"/>
  <c r="C1262" i="1"/>
  <c r="B1262" i="1" s="1"/>
  <c r="D1262" i="1"/>
  <c r="F1262" i="1"/>
  <c r="O1262" i="1"/>
  <c r="P1262" i="1"/>
  <c r="Q1262" i="1" s="1"/>
  <c r="S1262" i="1"/>
  <c r="A11" i="1"/>
  <c r="C11" i="1"/>
  <c r="B11" i="1" s="1"/>
  <c r="F11" i="1"/>
  <c r="M11" i="1"/>
  <c r="O11" i="1"/>
  <c r="P11" i="1"/>
  <c r="Q11" i="1" s="1"/>
  <c r="S11" i="1"/>
  <c r="A122" i="1"/>
  <c r="C122" i="1"/>
  <c r="B122" i="1" s="1"/>
  <c r="F122" i="1"/>
  <c r="M122" i="1"/>
  <c r="O122" i="1"/>
  <c r="P122" i="1"/>
  <c r="Q122" i="1" s="1"/>
  <c r="S122" i="1"/>
  <c r="A1366" i="1"/>
  <c r="C1366" i="1"/>
  <c r="B1366" i="1" s="1"/>
  <c r="D1366" i="1"/>
  <c r="F1366" i="1"/>
  <c r="M1366" i="1"/>
  <c r="O1366" i="1"/>
  <c r="P1366" i="1"/>
  <c r="Q1366" i="1" s="1"/>
  <c r="S1366" i="1"/>
  <c r="A1443" i="1"/>
  <c r="C1443" i="1"/>
  <c r="B1443" i="1" s="1"/>
  <c r="F1443" i="1"/>
  <c r="M1443" i="1"/>
  <c r="O1443" i="1"/>
  <c r="P1443" i="1"/>
  <c r="Q1443" i="1" s="1"/>
  <c r="S1443" i="1"/>
  <c r="A1851" i="1"/>
  <c r="C1851" i="1"/>
  <c r="B1851" i="1" s="1"/>
  <c r="D1851" i="1"/>
  <c r="F1851" i="1"/>
  <c r="M1851" i="1"/>
  <c r="O1851" i="1"/>
  <c r="P1851" i="1"/>
  <c r="Q1851" i="1" s="1"/>
  <c r="S1851" i="1"/>
  <c r="A105" i="1"/>
  <c r="C105" i="1"/>
  <c r="B105" i="1" s="1"/>
  <c r="D105" i="1"/>
  <c r="F105" i="1"/>
  <c r="M105" i="1"/>
  <c r="O105" i="1"/>
  <c r="P105" i="1"/>
  <c r="Q105" i="1" s="1"/>
  <c r="S105" i="1"/>
  <c r="A1728" i="1"/>
  <c r="C1728" i="1"/>
  <c r="B1728" i="1" s="1"/>
  <c r="F1728" i="1"/>
  <c r="M1728" i="1"/>
  <c r="O1728" i="1"/>
  <c r="P1728" i="1"/>
  <c r="Q1728" i="1" s="1"/>
  <c r="S1728" i="1"/>
  <c r="A146" i="1"/>
  <c r="C146" i="1"/>
  <c r="B146" i="1" s="1"/>
  <c r="F146" i="1"/>
  <c r="M146" i="1"/>
  <c r="O146" i="1"/>
  <c r="P146" i="1"/>
  <c r="Q146" i="1" s="1"/>
  <c r="S146" i="1"/>
  <c r="A147" i="1"/>
  <c r="C147" i="1"/>
  <c r="B147" i="1" s="1"/>
  <c r="F147" i="1"/>
  <c r="M147" i="1"/>
  <c r="O147" i="1"/>
  <c r="P147" i="1"/>
  <c r="Q147" i="1" s="1"/>
  <c r="S147" i="1"/>
  <c r="A148" i="1"/>
  <c r="C148" i="1"/>
  <c r="B148" i="1" s="1"/>
  <c r="F148" i="1"/>
  <c r="M148" i="1"/>
  <c r="O148" i="1"/>
  <c r="P148" i="1"/>
  <c r="Q148" i="1" s="1"/>
  <c r="S148" i="1"/>
  <c r="A149" i="1"/>
  <c r="C149" i="1"/>
  <c r="B149" i="1" s="1"/>
  <c r="F149" i="1"/>
  <c r="M149" i="1"/>
  <c r="O149" i="1"/>
  <c r="P149" i="1"/>
  <c r="Q149" i="1" s="1"/>
  <c r="S149" i="1"/>
  <c r="A336" i="1"/>
  <c r="C336" i="1"/>
  <c r="B336" i="1" s="1"/>
  <c r="D336" i="1"/>
  <c r="F336" i="1"/>
  <c r="M336" i="1"/>
  <c r="O336" i="1"/>
  <c r="P336" i="1"/>
  <c r="Q336" i="1" s="1"/>
  <c r="S336" i="1"/>
  <c r="A1522" i="1"/>
  <c r="C1522" i="1"/>
  <c r="B1522" i="1" s="1"/>
  <c r="F1522" i="1"/>
  <c r="M1522" i="1"/>
  <c r="O1522" i="1"/>
  <c r="P1522" i="1"/>
  <c r="Q1522" i="1" s="1"/>
  <c r="S1522" i="1"/>
  <c r="A488" i="1"/>
  <c r="C488" i="1"/>
  <c r="B488" i="1" s="1"/>
  <c r="F488" i="1"/>
  <c r="M488" i="1"/>
  <c r="O488" i="1"/>
  <c r="P488" i="1"/>
  <c r="Q488" i="1" s="1"/>
  <c r="S488" i="1"/>
  <c r="A1560" i="1"/>
  <c r="C1560" i="1"/>
  <c r="B1560" i="1" s="1"/>
  <c r="D1560" i="1"/>
  <c r="F1560" i="1"/>
  <c r="M1560" i="1"/>
  <c r="O1560" i="1"/>
  <c r="P1560" i="1"/>
  <c r="Q1560" i="1" s="1"/>
  <c r="S1560" i="1"/>
  <c r="A1618" i="1"/>
  <c r="C1618" i="1"/>
  <c r="B1618" i="1" s="1"/>
  <c r="D1618" i="1"/>
  <c r="F1618" i="1"/>
  <c r="M1618" i="1"/>
  <c r="O1618" i="1"/>
  <c r="P1618" i="1"/>
  <c r="Q1618" i="1" s="1"/>
  <c r="S1618" i="1"/>
  <c r="A1393" i="1"/>
  <c r="C1393" i="1"/>
  <c r="B1393" i="1" s="1"/>
  <c r="F1393" i="1"/>
  <c r="M1393" i="1"/>
  <c r="O1393" i="1"/>
  <c r="P1393" i="1"/>
  <c r="Q1393" i="1" s="1"/>
  <c r="S1393" i="1"/>
  <c r="A489" i="1"/>
  <c r="C489" i="1"/>
  <c r="B489" i="1" s="1"/>
  <c r="F489" i="1"/>
  <c r="M489" i="1"/>
  <c r="O489" i="1"/>
  <c r="P489" i="1"/>
  <c r="Q489" i="1" s="1"/>
  <c r="S489" i="1"/>
  <c r="A816" i="1"/>
  <c r="C816" i="1"/>
  <c r="B816" i="1" s="1"/>
  <c r="F816" i="1"/>
  <c r="M816" i="1"/>
  <c r="O816" i="1"/>
  <c r="P816" i="1"/>
  <c r="Q816" i="1" s="1"/>
  <c r="S816" i="1"/>
  <c r="A817" i="1"/>
  <c r="C817" i="1"/>
  <c r="B817" i="1" s="1"/>
  <c r="F817" i="1"/>
  <c r="M817" i="1"/>
  <c r="O817" i="1"/>
  <c r="P817" i="1"/>
  <c r="Q817" i="1" s="1"/>
  <c r="S817" i="1"/>
  <c r="A1729" i="1"/>
  <c r="C1729" i="1"/>
  <c r="B1729" i="1" s="1"/>
  <c r="F1729" i="1"/>
  <c r="M1729" i="1"/>
  <c r="O1729" i="1"/>
  <c r="P1729" i="1"/>
  <c r="Q1729" i="1" s="1"/>
  <c r="S1729" i="1"/>
  <c r="A614" i="1"/>
  <c r="C614" i="1"/>
  <c r="B614" i="1" s="1"/>
  <c r="D614" i="1"/>
  <c r="F614" i="1"/>
  <c r="M614" i="1"/>
  <c r="O614" i="1"/>
  <c r="P614" i="1"/>
  <c r="Q614" i="1" s="1"/>
  <c r="S614" i="1"/>
  <c r="A1821" i="1"/>
  <c r="C1821" i="1"/>
  <c r="B1821" i="1" s="1"/>
  <c r="F1821" i="1"/>
  <c r="M1821" i="1"/>
  <c r="O1821" i="1"/>
  <c r="P1821" i="1"/>
  <c r="Q1821" i="1" s="1"/>
  <c r="S1821" i="1"/>
  <c r="A337" i="1"/>
  <c r="C337" i="1"/>
  <c r="B337" i="1" s="1"/>
  <c r="D337" i="1"/>
  <c r="F337" i="1"/>
  <c r="M337" i="1"/>
  <c r="O337" i="1"/>
  <c r="P337" i="1"/>
  <c r="Q337" i="1" s="1"/>
  <c r="S337" i="1"/>
  <c r="A409" i="1"/>
  <c r="C409" i="1"/>
  <c r="B409" i="1" s="1"/>
  <c r="F409" i="1"/>
  <c r="M409" i="1"/>
  <c r="O409" i="1"/>
  <c r="P409" i="1"/>
  <c r="Q409" i="1" s="1"/>
  <c r="S409" i="1"/>
  <c r="A410" i="1"/>
  <c r="C410" i="1"/>
  <c r="B410" i="1" s="1"/>
  <c r="F410" i="1"/>
  <c r="M410" i="1"/>
  <c r="O410" i="1"/>
  <c r="P410" i="1"/>
  <c r="Q410" i="1" s="1"/>
  <c r="S410" i="1"/>
  <c r="A1263" i="1"/>
  <c r="C1263" i="1"/>
  <c r="B1263" i="1" s="1"/>
  <c r="D1263" i="1"/>
  <c r="F1263" i="1"/>
  <c r="O1263" i="1"/>
  <c r="P1263" i="1"/>
  <c r="Q1263" i="1" s="1"/>
  <c r="S1263" i="1"/>
  <c r="A1730" i="1"/>
  <c r="C1730" i="1"/>
  <c r="B1730" i="1" s="1"/>
  <c r="F1730" i="1"/>
  <c r="M1730" i="1"/>
  <c r="O1730" i="1"/>
  <c r="P1730" i="1"/>
  <c r="Q1730" i="1" s="1"/>
  <c r="S1730" i="1"/>
  <c r="A1859" i="1"/>
  <c r="C1859" i="1"/>
  <c r="B1859" i="1" s="1"/>
  <c r="D1859" i="1"/>
  <c r="F1859" i="1"/>
  <c r="M1859" i="1"/>
  <c r="O1859" i="1"/>
  <c r="P1859" i="1"/>
  <c r="Q1859" i="1" s="1"/>
  <c r="S1859" i="1"/>
  <c r="A873" i="1"/>
  <c r="C873" i="1"/>
  <c r="B873" i="1" s="1"/>
  <c r="F873" i="1"/>
  <c r="M873" i="1"/>
  <c r="O873" i="1"/>
  <c r="P873" i="1"/>
  <c r="Q873" i="1" s="1"/>
  <c r="S873" i="1"/>
  <c r="A1561" i="1"/>
  <c r="C1561" i="1"/>
  <c r="B1561" i="1" s="1"/>
  <c r="D1561" i="1"/>
  <c r="F1561" i="1"/>
  <c r="M1561" i="1"/>
  <c r="O1561" i="1"/>
  <c r="P1561" i="1"/>
  <c r="Q1561" i="1" s="1"/>
  <c r="S1561" i="1"/>
  <c r="A1562" i="1"/>
  <c r="C1562" i="1"/>
  <c r="B1562" i="1" s="1"/>
  <c r="D1562" i="1"/>
  <c r="F1562" i="1"/>
  <c r="M1562" i="1"/>
  <c r="O1562" i="1"/>
  <c r="P1562" i="1"/>
  <c r="Q1562" i="1" s="1"/>
  <c r="S1562" i="1"/>
  <c r="A48" i="1"/>
  <c r="C48" i="1"/>
  <c r="B48" i="1" s="1"/>
  <c r="F48" i="1"/>
  <c r="M48" i="1"/>
  <c r="O48" i="1"/>
  <c r="P48" i="1"/>
  <c r="Q48" i="1" s="1"/>
  <c r="S48" i="1"/>
  <c r="A966" i="1"/>
  <c r="C966" i="1"/>
  <c r="B966" i="1" s="1"/>
  <c r="D966" i="1"/>
  <c r="F966" i="1"/>
  <c r="M966" i="1"/>
  <c r="O966" i="1"/>
  <c r="P966" i="1"/>
  <c r="Q966" i="1" s="1"/>
  <c r="S966" i="1"/>
  <c r="A967" i="1"/>
  <c r="C967" i="1"/>
  <c r="B967" i="1" s="1"/>
  <c r="D967" i="1"/>
  <c r="F967" i="1"/>
  <c r="M967" i="1"/>
  <c r="O967" i="1"/>
  <c r="P967" i="1"/>
  <c r="Q967" i="1" s="1"/>
  <c r="S967" i="1"/>
  <c r="A1731" i="1"/>
  <c r="C1731" i="1"/>
  <c r="B1731" i="1" s="1"/>
  <c r="F1731" i="1"/>
  <c r="M1731" i="1"/>
  <c r="O1731" i="1"/>
  <c r="P1731" i="1"/>
  <c r="Q1731" i="1" s="1"/>
  <c r="S1731" i="1"/>
  <c r="A1793" i="1"/>
  <c r="C1793" i="1"/>
  <c r="B1793" i="1" s="1"/>
  <c r="F1793" i="1"/>
  <c r="M1793" i="1"/>
  <c r="O1793" i="1"/>
  <c r="P1793" i="1"/>
  <c r="Q1793" i="1" s="1"/>
  <c r="S1793" i="1"/>
  <c r="A220" i="1"/>
  <c r="C220" i="1"/>
  <c r="B220" i="1" s="1"/>
  <c r="D220" i="1"/>
  <c r="F220" i="1"/>
  <c r="M220" i="1"/>
  <c r="O220" i="1"/>
  <c r="P220" i="1"/>
  <c r="Q220" i="1" s="1"/>
  <c r="S220" i="1"/>
  <c r="A1158" i="1"/>
  <c r="C1158" i="1"/>
  <c r="B1158" i="1" s="1"/>
  <c r="F1158" i="1"/>
  <c r="M1158" i="1"/>
  <c r="O1158" i="1"/>
  <c r="P1158" i="1"/>
  <c r="Q1158" i="1" s="1"/>
  <c r="S1158" i="1"/>
  <c r="A1159" i="1"/>
  <c r="C1159" i="1"/>
  <c r="B1159" i="1" s="1"/>
  <c r="F1159" i="1"/>
  <c r="M1159" i="1"/>
  <c r="O1159" i="1"/>
  <c r="P1159" i="1"/>
  <c r="Q1159" i="1" s="1"/>
  <c r="S1159" i="1"/>
  <c r="A539" i="1"/>
  <c r="C539" i="1"/>
  <c r="B539" i="1" s="1"/>
  <c r="F539" i="1"/>
  <c r="M539" i="1"/>
  <c r="O539" i="1"/>
  <c r="P539" i="1"/>
  <c r="Q539" i="1" s="1"/>
  <c r="S539" i="1"/>
  <c r="A540" i="1"/>
  <c r="C540" i="1"/>
  <c r="B540" i="1" s="1"/>
  <c r="F540" i="1"/>
  <c r="M540" i="1"/>
  <c r="O540" i="1"/>
  <c r="P540" i="1"/>
  <c r="Q540" i="1" s="1"/>
  <c r="S540" i="1"/>
  <c r="A791" i="1"/>
  <c r="C791" i="1"/>
  <c r="B791" i="1" s="1"/>
  <c r="F791" i="1"/>
  <c r="M791" i="1"/>
  <c r="O791" i="1"/>
  <c r="P791" i="1"/>
  <c r="Q791" i="1" s="1"/>
  <c r="S791" i="1"/>
  <c r="A1444" i="1"/>
  <c r="C1444" i="1"/>
  <c r="B1444" i="1" s="1"/>
  <c r="F1444" i="1"/>
  <c r="M1444" i="1"/>
  <c r="O1444" i="1"/>
  <c r="P1444" i="1"/>
  <c r="Q1444" i="1" s="1"/>
  <c r="S1444" i="1"/>
  <c r="A338" i="1"/>
  <c r="C338" i="1"/>
  <c r="B338" i="1" s="1"/>
  <c r="D338" i="1"/>
  <c r="F338" i="1"/>
  <c r="M338" i="1"/>
  <c r="O338" i="1"/>
  <c r="P338" i="1"/>
  <c r="Q338" i="1" s="1"/>
  <c r="S338" i="1"/>
  <c r="A22" i="1"/>
  <c r="C22" i="1"/>
  <c r="B22" i="1" s="1"/>
  <c r="F22" i="1"/>
  <c r="M22" i="1"/>
  <c r="O22" i="1"/>
  <c r="P22" i="1"/>
  <c r="Q22" i="1" s="1"/>
  <c r="S22" i="1"/>
  <c r="A1210" i="1"/>
  <c r="C1210" i="1"/>
  <c r="B1210" i="1" s="1"/>
  <c r="F1210" i="1"/>
  <c r="M1210" i="1"/>
  <c r="O1210" i="1"/>
  <c r="P1210" i="1"/>
  <c r="Q1210" i="1" s="1"/>
  <c r="S1210" i="1"/>
  <c r="A1264" i="1"/>
  <c r="C1264" i="1"/>
  <c r="B1264" i="1" s="1"/>
  <c r="D1264" i="1"/>
  <c r="F1264" i="1"/>
  <c r="O1264" i="1"/>
  <c r="P1264" i="1"/>
  <c r="Q1264" i="1" s="1"/>
  <c r="S1264" i="1"/>
  <c r="A339" i="1"/>
  <c r="C339" i="1"/>
  <c r="B339" i="1" s="1"/>
  <c r="D339" i="1"/>
  <c r="F339" i="1"/>
  <c r="M339" i="1"/>
  <c r="O339" i="1"/>
  <c r="P339" i="1"/>
  <c r="Q339" i="1" s="1"/>
  <c r="S339" i="1"/>
  <c r="A735" i="1"/>
  <c r="C735" i="1"/>
  <c r="B735" i="1" s="1"/>
  <c r="F735" i="1"/>
  <c r="M735" i="1"/>
  <c r="O735" i="1"/>
  <c r="P735" i="1"/>
  <c r="Q735" i="1" s="1"/>
  <c r="S735" i="1"/>
  <c r="A1394" i="1"/>
  <c r="C1394" i="1"/>
  <c r="B1394" i="1" s="1"/>
  <c r="F1394" i="1"/>
  <c r="M1394" i="1"/>
  <c r="O1394" i="1"/>
  <c r="P1394" i="1"/>
  <c r="Q1394" i="1" s="1"/>
  <c r="S1394" i="1"/>
  <c r="A1732" i="1"/>
  <c r="C1732" i="1"/>
  <c r="B1732" i="1" s="1"/>
  <c r="F1732" i="1"/>
  <c r="M1732" i="1"/>
  <c r="O1732" i="1"/>
  <c r="P1732" i="1"/>
  <c r="Q1732" i="1" s="1"/>
  <c r="S1732" i="1"/>
  <c r="A890" i="1"/>
  <c r="C890" i="1"/>
  <c r="B890" i="1" s="1"/>
  <c r="D890" i="1"/>
  <c r="F890" i="1"/>
  <c r="M890" i="1"/>
  <c r="O890" i="1"/>
  <c r="P890" i="1"/>
  <c r="Q890" i="1" s="1"/>
  <c r="S890" i="1"/>
  <c r="A1852" i="1"/>
  <c r="C1852" i="1"/>
  <c r="B1852" i="1" s="1"/>
  <c r="D1852" i="1"/>
  <c r="F1852" i="1"/>
  <c r="M1852" i="1"/>
  <c r="O1852" i="1"/>
  <c r="P1852" i="1"/>
  <c r="Q1852" i="1" s="1"/>
  <c r="S1852" i="1"/>
  <c r="A1860" i="1"/>
  <c r="C1860" i="1"/>
  <c r="B1860" i="1" s="1"/>
  <c r="D1860" i="1"/>
  <c r="F1860" i="1"/>
  <c r="M1860" i="1"/>
  <c r="O1860" i="1"/>
  <c r="P1860" i="1"/>
  <c r="Q1860" i="1" s="1"/>
  <c r="S1860" i="1"/>
  <c r="A106" i="1"/>
  <c r="C106" i="1"/>
  <c r="B106" i="1" s="1"/>
  <c r="D106" i="1"/>
  <c r="F106" i="1"/>
  <c r="M106" i="1"/>
  <c r="O106" i="1"/>
  <c r="P106" i="1"/>
  <c r="Q106" i="1" s="1"/>
  <c r="S106" i="1"/>
  <c r="A107" i="1"/>
  <c r="C107" i="1"/>
  <c r="B107" i="1" s="1"/>
  <c r="D107" i="1"/>
  <c r="F107" i="1"/>
  <c r="M107" i="1"/>
  <c r="O107" i="1"/>
  <c r="P107" i="1"/>
  <c r="Q107" i="1" s="1"/>
  <c r="S107" i="1"/>
  <c r="A316" i="1"/>
  <c r="C316" i="1"/>
  <c r="B316" i="1" s="1"/>
  <c r="D316" i="1"/>
  <c r="F316" i="1"/>
  <c r="M316" i="1"/>
  <c r="O316" i="1"/>
  <c r="P316" i="1"/>
  <c r="Q316" i="1" s="1"/>
  <c r="S316" i="1"/>
  <c r="A691" i="1"/>
  <c r="C691" i="1"/>
  <c r="B691" i="1" s="1"/>
  <c r="D691" i="1"/>
  <c r="F691" i="1"/>
  <c r="M691" i="1"/>
  <c r="O691" i="1"/>
  <c r="P691" i="1"/>
  <c r="Q691" i="1" s="1"/>
  <c r="S691" i="1"/>
  <c r="A1289" i="1"/>
  <c r="C1289" i="1"/>
  <c r="B1289" i="1" s="1"/>
  <c r="F1289" i="1"/>
  <c r="M1289" i="1"/>
  <c r="O1289" i="1"/>
  <c r="P1289" i="1"/>
  <c r="Q1289" i="1" s="1"/>
  <c r="S1289" i="1"/>
  <c r="A736" i="1"/>
  <c r="C736" i="1"/>
  <c r="B736" i="1" s="1"/>
  <c r="F736" i="1"/>
  <c r="M736" i="1"/>
  <c r="O736" i="1"/>
  <c r="P736" i="1"/>
  <c r="Q736" i="1" s="1"/>
  <c r="S736" i="1"/>
  <c r="A1733" i="1"/>
  <c r="C1733" i="1"/>
  <c r="B1733" i="1" s="1"/>
  <c r="F1733" i="1"/>
  <c r="M1733" i="1"/>
  <c r="O1733" i="1"/>
  <c r="P1733" i="1"/>
  <c r="Q1733" i="1" s="1"/>
  <c r="S1733" i="1"/>
  <c r="A238" i="1"/>
  <c r="C238" i="1"/>
  <c r="B238" i="1" s="1"/>
  <c r="F238" i="1"/>
  <c r="M238" i="1"/>
  <c r="O238" i="1"/>
  <c r="P238" i="1"/>
  <c r="Q238" i="1" s="1"/>
  <c r="S238" i="1"/>
  <c r="A519" i="1"/>
  <c r="C519" i="1"/>
  <c r="B519" i="1" s="1"/>
  <c r="D519" i="1"/>
  <c r="F519" i="1"/>
  <c r="M519" i="1"/>
  <c r="O519" i="1"/>
  <c r="P519" i="1"/>
  <c r="Q519" i="1" s="1"/>
  <c r="S519" i="1"/>
  <c r="A1160" i="1"/>
  <c r="C1160" i="1"/>
  <c r="B1160" i="1" s="1"/>
  <c r="F1160" i="1"/>
  <c r="M1160" i="1"/>
  <c r="O1160" i="1"/>
  <c r="P1160" i="1"/>
  <c r="Q1160" i="1" s="1"/>
  <c r="S1160" i="1"/>
  <c r="A123" i="1"/>
  <c r="C123" i="1"/>
  <c r="B123" i="1" s="1"/>
  <c r="F123" i="1"/>
  <c r="M123" i="1"/>
  <c r="O123" i="1"/>
  <c r="P123" i="1"/>
  <c r="Q123" i="1" s="1"/>
  <c r="S123" i="1"/>
  <c r="A609" i="1"/>
  <c r="C609" i="1"/>
  <c r="B609" i="1" s="1"/>
  <c r="D609" i="1"/>
  <c r="F609" i="1"/>
  <c r="M609" i="1"/>
  <c r="O609" i="1"/>
  <c r="P609" i="1"/>
  <c r="Q609" i="1" s="1"/>
  <c r="S609" i="1"/>
  <c r="A1315" i="1"/>
  <c r="C1315" i="1"/>
  <c r="B1315" i="1" s="1"/>
  <c r="F1315" i="1"/>
  <c r="M1315" i="1"/>
  <c r="O1315" i="1"/>
  <c r="P1315" i="1"/>
  <c r="Q1315" i="1" s="1"/>
  <c r="S1315" i="1"/>
  <c r="A541" i="1"/>
  <c r="C541" i="1"/>
  <c r="B541" i="1" s="1"/>
  <c r="F541" i="1"/>
  <c r="M541" i="1"/>
  <c r="O541" i="1"/>
  <c r="P541" i="1"/>
  <c r="Q541" i="1" s="1"/>
  <c r="S541" i="1"/>
  <c r="A1468" i="1"/>
  <c r="C1468" i="1"/>
  <c r="B1468" i="1" s="1"/>
  <c r="F1468" i="1"/>
  <c r="M1468" i="1"/>
  <c r="O1468" i="1"/>
  <c r="P1468" i="1"/>
  <c r="Q1468" i="1" s="1"/>
  <c r="S1468" i="1"/>
  <c r="A1853" i="1"/>
  <c r="C1853" i="1"/>
  <c r="B1853" i="1" s="1"/>
  <c r="D1853" i="1"/>
  <c r="F1853" i="1"/>
  <c r="M1853" i="1"/>
  <c r="O1853" i="1"/>
  <c r="P1853" i="1"/>
  <c r="Q1853" i="1" s="1"/>
  <c r="S1853" i="1"/>
  <c r="A340" i="1"/>
  <c r="C340" i="1"/>
  <c r="B340" i="1" s="1"/>
  <c r="D340" i="1"/>
  <c r="F340" i="1"/>
  <c r="M340" i="1"/>
  <c r="O340" i="1"/>
  <c r="P340" i="1"/>
  <c r="Q340" i="1" s="1"/>
  <c r="S340" i="1"/>
  <c r="A490" i="1"/>
  <c r="C490" i="1"/>
  <c r="B490" i="1" s="1"/>
  <c r="F490" i="1"/>
  <c r="M490" i="1"/>
  <c r="O490" i="1"/>
  <c r="P490" i="1"/>
  <c r="Q490" i="1" s="1"/>
  <c r="S490" i="1"/>
  <c r="A642" i="1"/>
  <c r="C642" i="1"/>
  <c r="B642" i="1" s="1"/>
  <c r="D642" i="1"/>
  <c r="F642" i="1"/>
  <c r="M642" i="1"/>
  <c r="O642" i="1"/>
  <c r="P642" i="1"/>
  <c r="Q642" i="1" s="1"/>
  <c r="S642" i="1"/>
  <c r="A692" i="1"/>
  <c r="C692" i="1"/>
  <c r="B692" i="1" s="1"/>
  <c r="D692" i="1"/>
  <c r="F692" i="1"/>
  <c r="M692" i="1"/>
  <c r="O692" i="1"/>
  <c r="P692" i="1"/>
  <c r="Q692" i="1" s="1"/>
  <c r="S692" i="1"/>
  <c r="A1071" i="1"/>
  <c r="C1071" i="1"/>
  <c r="B1071" i="1" s="1"/>
  <c r="D1071" i="1"/>
  <c r="F1071" i="1"/>
  <c r="M1071" i="1"/>
  <c r="O1071" i="1"/>
  <c r="P1071" i="1"/>
  <c r="Q1071" i="1" s="1"/>
  <c r="S1071" i="1"/>
  <c r="A1326" i="1"/>
  <c r="C1326" i="1"/>
  <c r="B1326" i="1" s="1"/>
  <c r="D1326" i="1"/>
  <c r="F1326" i="1"/>
  <c r="M1326" i="1"/>
  <c r="O1326" i="1"/>
  <c r="P1326" i="1"/>
  <c r="Q1326" i="1" s="1"/>
  <c r="S1326" i="1"/>
  <c r="A1351" i="1"/>
  <c r="C1351" i="1"/>
  <c r="B1351" i="1" s="1"/>
  <c r="F1351" i="1"/>
  <c r="M1351" i="1"/>
  <c r="O1351" i="1"/>
  <c r="P1351" i="1"/>
  <c r="Q1351" i="1" s="1"/>
  <c r="S1351" i="1"/>
  <c r="A1352" i="1"/>
  <c r="C1352" i="1"/>
  <c r="B1352" i="1" s="1"/>
  <c r="F1352" i="1"/>
  <c r="M1352" i="1"/>
  <c r="O1352" i="1"/>
  <c r="P1352" i="1"/>
  <c r="Q1352" i="1" s="1"/>
  <c r="S1352" i="1"/>
  <c r="A1353" i="1"/>
  <c r="C1353" i="1"/>
  <c r="B1353" i="1" s="1"/>
  <c r="F1353" i="1"/>
  <c r="M1353" i="1"/>
  <c r="O1353" i="1"/>
  <c r="P1353" i="1"/>
  <c r="Q1353" i="1" s="1"/>
  <c r="S1353" i="1"/>
  <c r="A792" i="1"/>
  <c r="C792" i="1"/>
  <c r="B792" i="1" s="1"/>
  <c r="F792" i="1"/>
  <c r="M792" i="1"/>
  <c r="O792" i="1"/>
  <c r="P792" i="1"/>
  <c r="Q792" i="1" s="1"/>
  <c r="S792" i="1"/>
  <c r="A1161" i="1"/>
  <c r="C1161" i="1"/>
  <c r="B1161" i="1" s="1"/>
  <c r="F1161" i="1"/>
  <c r="M1161" i="1"/>
  <c r="O1161" i="1"/>
  <c r="P1161" i="1"/>
  <c r="Q1161" i="1" s="1"/>
  <c r="S1161" i="1"/>
  <c r="A1395" i="1"/>
  <c r="C1395" i="1"/>
  <c r="B1395" i="1" s="1"/>
  <c r="F1395" i="1"/>
  <c r="M1395" i="1"/>
  <c r="O1395" i="1"/>
  <c r="P1395" i="1"/>
  <c r="Q1395" i="1" s="1"/>
  <c r="S1395" i="1"/>
  <c r="A303" i="1"/>
  <c r="C303" i="1"/>
  <c r="B303" i="1" s="1"/>
  <c r="D303" i="1"/>
  <c r="F303" i="1"/>
  <c r="M303" i="1"/>
  <c r="O303" i="1"/>
  <c r="P303" i="1"/>
  <c r="Q303" i="1" s="1"/>
  <c r="S303" i="1"/>
  <c r="A323" i="1"/>
  <c r="C323" i="1"/>
  <c r="B323" i="1" s="1"/>
  <c r="D323" i="1"/>
  <c r="F323" i="1"/>
  <c r="M323" i="1"/>
  <c r="O323" i="1"/>
  <c r="P323" i="1"/>
  <c r="Q323" i="1" s="1"/>
  <c r="S323" i="1"/>
  <c r="A428" i="1"/>
  <c r="C428" i="1"/>
  <c r="B428" i="1" s="1"/>
  <c r="D428" i="1"/>
  <c r="F428" i="1"/>
  <c r="M428" i="1"/>
  <c r="O428" i="1"/>
  <c r="P428" i="1"/>
  <c r="Q428" i="1" s="1"/>
  <c r="S428" i="1"/>
  <c r="A508" i="1"/>
  <c r="C508" i="1"/>
  <c r="B508" i="1" s="1"/>
  <c r="D508" i="1"/>
  <c r="F508" i="1"/>
  <c r="M508" i="1"/>
  <c r="O508" i="1"/>
  <c r="P508" i="1"/>
  <c r="Q508" i="1" s="1"/>
  <c r="S508" i="1"/>
  <c r="A209" i="1"/>
  <c r="C209" i="1"/>
  <c r="B209" i="1" s="1"/>
  <c r="F209" i="1"/>
  <c r="M209" i="1"/>
  <c r="O209" i="1"/>
  <c r="P209" i="1"/>
  <c r="Q209" i="1" s="1"/>
  <c r="S209" i="1"/>
  <c r="A1619" i="1"/>
  <c r="C1619" i="1"/>
  <c r="B1619" i="1" s="1"/>
  <c r="D1619" i="1"/>
  <c r="F1619" i="1"/>
  <c r="M1619" i="1"/>
  <c r="O1619" i="1"/>
  <c r="P1619" i="1"/>
  <c r="Q1619" i="1" s="1"/>
  <c r="S1619" i="1"/>
  <c r="A542" i="1"/>
  <c r="C542" i="1"/>
  <c r="B542" i="1" s="1"/>
  <c r="F542" i="1"/>
  <c r="M542" i="1"/>
  <c r="O542" i="1"/>
  <c r="P542" i="1"/>
  <c r="Q542" i="1" s="1"/>
  <c r="S542" i="1"/>
  <c r="A543" i="1"/>
  <c r="C543" i="1"/>
  <c r="B543" i="1" s="1"/>
  <c r="F543" i="1"/>
  <c r="M543" i="1"/>
  <c r="O543" i="1"/>
  <c r="P543" i="1"/>
  <c r="Q543" i="1" s="1"/>
  <c r="S543" i="1"/>
  <c r="A1734" i="1"/>
  <c r="C1734" i="1"/>
  <c r="B1734" i="1" s="1"/>
  <c r="F1734" i="1"/>
  <c r="M1734" i="1"/>
  <c r="O1734" i="1"/>
  <c r="P1734" i="1"/>
  <c r="Q1734" i="1" s="1"/>
  <c r="S1734" i="1"/>
  <c r="A861" i="1"/>
  <c r="C861" i="1"/>
  <c r="B861" i="1" s="1"/>
  <c r="D861" i="1"/>
  <c r="F861" i="1"/>
  <c r="M861" i="1"/>
  <c r="O861" i="1"/>
  <c r="P861" i="1"/>
  <c r="Q861" i="1" s="1"/>
  <c r="S861" i="1"/>
  <c r="A1265" i="1"/>
  <c r="C1265" i="1"/>
  <c r="B1265" i="1" s="1"/>
  <c r="D1265" i="1"/>
  <c r="F1265" i="1"/>
  <c r="O1265" i="1"/>
  <c r="P1265" i="1"/>
  <c r="Q1265" i="1" s="1"/>
  <c r="S1265" i="1"/>
  <c r="A1290" i="1"/>
  <c r="C1290" i="1"/>
  <c r="B1290" i="1" s="1"/>
  <c r="F1290" i="1"/>
  <c r="M1290" i="1"/>
  <c r="O1290" i="1"/>
  <c r="P1290" i="1"/>
  <c r="Q1290" i="1" s="1"/>
  <c r="S1290" i="1"/>
  <c r="A1735" i="1"/>
  <c r="C1735" i="1"/>
  <c r="B1735" i="1" s="1"/>
  <c r="F1735" i="1"/>
  <c r="M1735" i="1"/>
  <c r="O1735" i="1"/>
  <c r="P1735" i="1"/>
  <c r="Q1735" i="1" s="1"/>
  <c r="S1735" i="1"/>
  <c r="A49" i="1"/>
  <c r="C49" i="1"/>
  <c r="B49" i="1" s="1"/>
  <c r="F49" i="1"/>
  <c r="M49" i="1"/>
  <c r="O49" i="1"/>
  <c r="P49" i="1"/>
  <c r="Q49" i="1" s="1"/>
  <c r="S49" i="1"/>
  <c r="A76" i="1"/>
  <c r="C76" i="1"/>
  <c r="B76" i="1" s="1"/>
  <c r="F76" i="1"/>
  <c r="M76" i="1"/>
  <c r="O76" i="1"/>
  <c r="P76" i="1"/>
  <c r="Q76" i="1" s="1"/>
  <c r="S76" i="1"/>
  <c r="A737" i="1"/>
  <c r="C737" i="1"/>
  <c r="B737" i="1" s="1"/>
  <c r="F737" i="1"/>
  <c r="M737" i="1"/>
  <c r="O737" i="1"/>
  <c r="P737" i="1"/>
  <c r="Q737" i="1" s="1"/>
  <c r="S737" i="1"/>
  <c r="A1523" i="1"/>
  <c r="C1523" i="1"/>
  <c r="B1523" i="1" s="1"/>
  <c r="F1523" i="1"/>
  <c r="M1523" i="1"/>
  <c r="O1523" i="1"/>
  <c r="P1523" i="1"/>
  <c r="Q1523" i="1" s="1"/>
  <c r="S1523" i="1"/>
  <c r="A1822" i="1"/>
  <c r="C1822" i="1"/>
  <c r="B1822" i="1" s="1"/>
  <c r="F1822" i="1"/>
  <c r="M1822" i="1"/>
  <c r="O1822" i="1"/>
  <c r="P1822" i="1"/>
  <c r="Q1822" i="1" s="1"/>
  <c r="S1822" i="1"/>
  <c r="A670" i="1"/>
  <c r="C670" i="1"/>
  <c r="B670" i="1" s="1"/>
  <c r="D670" i="1"/>
  <c r="F670" i="1"/>
  <c r="M670" i="1"/>
  <c r="O670" i="1"/>
  <c r="P670" i="1"/>
  <c r="Q670" i="1" s="1"/>
  <c r="S670" i="1"/>
  <c r="A1266" i="1"/>
  <c r="C1266" i="1"/>
  <c r="B1266" i="1" s="1"/>
  <c r="D1266" i="1"/>
  <c r="F1266" i="1"/>
  <c r="O1266" i="1"/>
  <c r="P1266" i="1"/>
  <c r="Q1266" i="1" s="1"/>
  <c r="S1266" i="1"/>
  <c r="A1350" i="1"/>
  <c r="C1350" i="1"/>
  <c r="B1350" i="1" s="1"/>
  <c r="F1350" i="1"/>
  <c r="M1350" i="1"/>
  <c r="O1350" i="1"/>
  <c r="P1350" i="1"/>
  <c r="Q1350" i="1" s="1"/>
  <c r="S1350" i="1"/>
  <c r="A1445" i="1"/>
  <c r="C1445" i="1"/>
  <c r="B1445" i="1" s="1"/>
  <c r="F1445" i="1"/>
  <c r="M1445" i="1"/>
  <c r="O1445" i="1"/>
  <c r="P1445" i="1"/>
  <c r="Q1445" i="1" s="1"/>
  <c r="S1445" i="1"/>
  <c r="A1553" i="1"/>
  <c r="C1553" i="1"/>
  <c r="B1553" i="1" s="1"/>
  <c r="D1553" i="1"/>
  <c r="F1553" i="1"/>
  <c r="M1553" i="1"/>
  <c r="O1553" i="1"/>
  <c r="P1553" i="1"/>
  <c r="Q1553" i="1" s="1"/>
  <c r="S1553" i="1"/>
  <c r="A1626" i="1"/>
  <c r="C1626" i="1"/>
  <c r="B1626" i="1" s="1"/>
  <c r="F1626" i="1"/>
  <c r="M1626" i="1"/>
  <c r="O1626" i="1"/>
  <c r="P1626" i="1"/>
  <c r="Q1626" i="1" s="1"/>
  <c r="S1626" i="1"/>
  <c r="A1794" i="1"/>
  <c r="C1794" i="1"/>
  <c r="B1794" i="1" s="1"/>
  <c r="F1794" i="1"/>
  <c r="M1794" i="1"/>
  <c r="O1794" i="1"/>
  <c r="P1794" i="1"/>
  <c r="Q1794" i="1" s="1"/>
  <c r="S1794" i="1"/>
  <c r="A341" i="1"/>
  <c r="C341" i="1"/>
  <c r="B341" i="1" s="1"/>
  <c r="D341" i="1"/>
  <c r="F341" i="1"/>
  <c r="M341" i="1"/>
  <c r="O341" i="1"/>
  <c r="P341" i="1"/>
  <c r="Q341" i="1" s="1"/>
  <c r="S341" i="1"/>
  <c r="A1162" i="1"/>
  <c r="C1162" i="1"/>
  <c r="B1162" i="1" s="1"/>
  <c r="F1162" i="1"/>
  <c r="M1162" i="1"/>
  <c r="O1162" i="1"/>
  <c r="P1162" i="1"/>
  <c r="Q1162" i="1" s="1"/>
  <c r="S1162" i="1"/>
  <c r="A12" i="1"/>
  <c r="C12" i="1"/>
  <c r="B12" i="1" s="1"/>
  <c r="F12" i="1"/>
  <c r="M12" i="1"/>
  <c r="O12" i="1"/>
  <c r="P12" i="1"/>
  <c r="Q12" i="1" s="1"/>
  <c r="S12" i="1"/>
  <c r="A711" i="1"/>
  <c r="C711" i="1"/>
  <c r="B711" i="1" s="1"/>
  <c r="D711" i="1"/>
  <c r="F711" i="1"/>
  <c r="M711" i="1"/>
  <c r="O711" i="1"/>
  <c r="P711" i="1"/>
  <c r="Q711" i="1" s="1"/>
  <c r="S711" i="1"/>
  <c r="A1163" i="1"/>
  <c r="C1163" i="1"/>
  <c r="B1163" i="1" s="1"/>
  <c r="F1163" i="1"/>
  <c r="M1163" i="1"/>
  <c r="O1163" i="1"/>
  <c r="P1163" i="1"/>
  <c r="Q1163" i="1" s="1"/>
  <c r="S1163" i="1"/>
  <c r="A1218" i="1"/>
  <c r="C1218" i="1"/>
  <c r="B1218" i="1" s="1"/>
  <c r="D1218" i="1"/>
  <c r="F1218" i="1"/>
  <c r="M1218" i="1"/>
  <c r="O1218" i="1"/>
  <c r="P1218" i="1"/>
  <c r="Q1218" i="1" s="1"/>
  <c r="S1218" i="1"/>
  <c r="A1554" i="1"/>
  <c r="C1554" i="1"/>
  <c r="B1554" i="1" s="1"/>
  <c r="D1554" i="1"/>
  <c r="F1554" i="1"/>
  <c r="M1554" i="1"/>
  <c r="O1554" i="1"/>
  <c r="P1554" i="1"/>
  <c r="Q1554" i="1" s="1"/>
  <c r="S1554" i="1"/>
  <c r="A1782" i="1"/>
  <c r="C1782" i="1"/>
  <c r="B1782" i="1" s="1"/>
  <c r="D1782" i="1"/>
  <c r="F1782" i="1"/>
  <c r="M1782" i="1"/>
  <c r="O1782" i="1"/>
  <c r="P1782" i="1"/>
  <c r="Q1782" i="1" s="1"/>
  <c r="S1782" i="1"/>
  <c r="A260" i="1"/>
  <c r="C260" i="1"/>
  <c r="B260" i="1" s="1"/>
  <c r="D260" i="1"/>
  <c r="F260" i="1"/>
  <c r="M260" i="1"/>
  <c r="O260" i="1"/>
  <c r="P260" i="1"/>
  <c r="Q260" i="1" s="1"/>
  <c r="S260" i="1"/>
  <c r="A342" i="1"/>
  <c r="C342" i="1"/>
  <c r="B342" i="1" s="1"/>
  <c r="D342" i="1"/>
  <c r="F342" i="1"/>
  <c r="M342" i="1"/>
  <c r="O342" i="1"/>
  <c r="P342" i="1"/>
  <c r="Q342" i="1" s="1"/>
  <c r="S342" i="1"/>
  <c r="A1229" i="1"/>
  <c r="C1229" i="1"/>
  <c r="B1229" i="1" s="1"/>
  <c r="D1229" i="1"/>
  <c r="F1229" i="1"/>
  <c r="M1229" i="1"/>
  <c r="O1229" i="1"/>
  <c r="P1229" i="1"/>
  <c r="Q1229" i="1" s="1"/>
  <c r="S1229" i="1"/>
  <c r="A1301" i="1"/>
  <c r="C1301" i="1"/>
  <c r="B1301" i="1" s="1"/>
  <c r="F1301" i="1"/>
  <c r="M1301" i="1"/>
  <c r="O1301" i="1"/>
  <c r="P1301" i="1"/>
  <c r="Q1301" i="1" s="1"/>
  <c r="S1301" i="1"/>
  <c r="A1302" i="1"/>
  <c r="C1302" i="1"/>
  <c r="B1302" i="1" s="1"/>
  <c r="F1302" i="1"/>
  <c r="M1302" i="1"/>
  <c r="O1302" i="1"/>
  <c r="P1302" i="1"/>
  <c r="Q1302" i="1" s="1"/>
  <c r="S1302" i="1"/>
  <c r="A1303" i="1"/>
  <c r="C1303" i="1"/>
  <c r="B1303" i="1" s="1"/>
  <c r="F1303" i="1"/>
  <c r="M1303" i="1"/>
  <c r="O1303" i="1"/>
  <c r="P1303" i="1"/>
  <c r="Q1303" i="1" s="1"/>
  <c r="S1303" i="1"/>
  <c r="A1304" i="1"/>
  <c r="C1304" i="1"/>
  <c r="B1304" i="1" s="1"/>
  <c r="F1304" i="1"/>
  <c r="M1304" i="1"/>
  <c r="O1304" i="1"/>
  <c r="P1304" i="1"/>
  <c r="Q1304" i="1" s="1"/>
  <c r="S1304" i="1"/>
  <c r="A1305" i="1"/>
  <c r="C1305" i="1"/>
  <c r="B1305" i="1" s="1"/>
  <c r="F1305" i="1"/>
  <c r="M1305" i="1"/>
  <c r="O1305" i="1"/>
  <c r="P1305" i="1"/>
  <c r="Q1305" i="1" s="1"/>
  <c r="S1305" i="1"/>
  <c r="A1306" i="1"/>
  <c r="C1306" i="1"/>
  <c r="B1306" i="1" s="1"/>
  <c r="F1306" i="1"/>
  <c r="M1306" i="1"/>
  <c r="O1306" i="1"/>
  <c r="P1306" i="1"/>
  <c r="Q1306" i="1" s="1"/>
  <c r="S1306" i="1"/>
  <c r="A1307" i="1"/>
  <c r="C1307" i="1"/>
  <c r="B1307" i="1" s="1"/>
  <c r="F1307" i="1"/>
  <c r="M1307" i="1"/>
  <c r="O1307" i="1"/>
  <c r="P1307" i="1"/>
  <c r="Q1307" i="1" s="1"/>
  <c r="S1307" i="1"/>
  <c r="A1684" i="1"/>
  <c r="C1684" i="1"/>
  <c r="B1684" i="1" s="1"/>
  <c r="D1684" i="1"/>
  <c r="F1684" i="1"/>
  <c r="M1684" i="1"/>
  <c r="O1684" i="1"/>
  <c r="P1684" i="1"/>
  <c r="Q1684" i="1" s="1"/>
  <c r="S1684" i="1"/>
  <c r="A1736" i="1"/>
  <c r="C1736" i="1"/>
  <c r="B1736" i="1" s="1"/>
  <c r="F1736" i="1"/>
  <c r="M1736" i="1"/>
  <c r="O1736" i="1"/>
  <c r="P1736" i="1"/>
  <c r="Q1736" i="1" s="1"/>
  <c r="S1736" i="1"/>
  <c r="A239" i="1"/>
  <c r="C239" i="1"/>
  <c r="B239" i="1" s="1"/>
  <c r="F239" i="1"/>
  <c r="M239" i="1"/>
  <c r="O239" i="1"/>
  <c r="P239" i="1"/>
  <c r="Q239" i="1" s="1"/>
  <c r="S239" i="1"/>
  <c r="A793" i="1"/>
  <c r="C793" i="1"/>
  <c r="B793" i="1" s="1"/>
  <c r="F793" i="1"/>
  <c r="M793" i="1"/>
  <c r="O793" i="1"/>
  <c r="P793" i="1"/>
  <c r="Q793" i="1" s="1"/>
  <c r="S793" i="1"/>
  <c r="A1164" i="1"/>
  <c r="C1164" i="1"/>
  <c r="B1164" i="1" s="1"/>
  <c r="F1164" i="1"/>
  <c r="M1164" i="1"/>
  <c r="O1164" i="1"/>
  <c r="P1164" i="1"/>
  <c r="Q1164" i="1" s="1"/>
  <c r="S1164" i="1"/>
  <c r="A1627" i="1"/>
  <c r="C1627" i="1"/>
  <c r="B1627" i="1" s="1"/>
  <c r="F1627" i="1"/>
  <c r="M1627" i="1"/>
  <c r="O1627" i="1"/>
  <c r="P1627" i="1"/>
  <c r="Q1627" i="1" s="1"/>
  <c r="S1627" i="1"/>
  <c r="A1628" i="1"/>
  <c r="C1628" i="1"/>
  <c r="B1628" i="1" s="1"/>
  <c r="F1628" i="1"/>
  <c r="M1628" i="1"/>
  <c r="O1628" i="1"/>
  <c r="P1628" i="1"/>
  <c r="Q1628" i="1" s="1"/>
  <c r="S1628" i="1"/>
  <c r="A50" i="1"/>
  <c r="C50" i="1"/>
  <c r="B50" i="1" s="1"/>
  <c r="F50" i="1"/>
  <c r="M50" i="1"/>
  <c r="O50" i="1"/>
  <c r="P50" i="1"/>
  <c r="Q50" i="1" s="1"/>
  <c r="S50" i="1"/>
  <c r="A779" i="1"/>
  <c r="C779" i="1"/>
  <c r="B779" i="1" s="1"/>
  <c r="D779" i="1"/>
  <c r="F779" i="1"/>
  <c r="M779" i="1"/>
  <c r="O779" i="1"/>
  <c r="P779" i="1"/>
  <c r="Q779" i="1" s="1"/>
  <c r="S779" i="1"/>
  <c r="A906" i="1"/>
  <c r="C906" i="1"/>
  <c r="B906" i="1" s="1"/>
  <c r="D906" i="1"/>
  <c r="F906" i="1"/>
  <c r="M906" i="1"/>
  <c r="O906" i="1"/>
  <c r="P906" i="1"/>
  <c r="Q906" i="1" s="1"/>
  <c r="S906" i="1"/>
  <c r="A1267" i="1"/>
  <c r="C1267" i="1"/>
  <c r="B1267" i="1" s="1"/>
  <c r="D1267" i="1"/>
  <c r="F1267" i="1"/>
  <c r="O1267" i="1"/>
  <c r="P1267" i="1"/>
  <c r="Q1267" i="1" s="1"/>
  <c r="S1267" i="1"/>
  <c r="A1268" i="1"/>
  <c r="C1268" i="1"/>
  <c r="B1268" i="1" s="1"/>
  <c r="D1268" i="1"/>
  <c r="F1268" i="1"/>
  <c r="O1268" i="1"/>
  <c r="P1268" i="1"/>
  <c r="Q1268" i="1" s="1"/>
  <c r="S1268" i="1"/>
  <c r="A108" i="1"/>
  <c r="C108" i="1"/>
  <c r="B108" i="1" s="1"/>
  <c r="D108" i="1"/>
  <c r="F108" i="1"/>
  <c r="M108" i="1"/>
  <c r="O108" i="1"/>
  <c r="P108" i="1"/>
  <c r="Q108" i="1" s="1"/>
  <c r="S108" i="1"/>
  <c r="A124" i="1"/>
  <c r="C124" i="1"/>
  <c r="B124" i="1" s="1"/>
  <c r="F124" i="1"/>
  <c r="M124" i="1"/>
  <c r="O124" i="1"/>
  <c r="P124" i="1"/>
  <c r="Q124" i="1" s="1"/>
  <c r="S124" i="1"/>
  <c r="A125" i="1"/>
  <c r="C125" i="1"/>
  <c r="B125" i="1" s="1"/>
  <c r="F125" i="1"/>
  <c r="M125" i="1"/>
  <c r="O125" i="1"/>
  <c r="P125" i="1"/>
  <c r="Q125" i="1" s="1"/>
  <c r="S125" i="1"/>
  <c r="A544" i="1"/>
  <c r="C544" i="1"/>
  <c r="B544" i="1" s="1"/>
  <c r="F544" i="1"/>
  <c r="M544" i="1"/>
  <c r="O544" i="1"/>
  <c r="P544" i="1"/>
  <c r="Q544" i="1" s="1"/>
  <c r="S544" i="1"/>
  <c r="A818" i="1"/>
  <c r="C818" i="1"/>
  <c r="B818" i="1" s="1"/>
  <c r="F818" i="1"/>
  <c r="M818" i="1"/>
  <c r="O818" i="1"/>
  <c r="P818" i="1"/>
  <c r="Q818" i="1" s="1"/>
  <c r="S818" i="1"/>
  <c r="A915" i="1"/>
  <c r="C915" i="1"/>
  <c r="B915" i="1" s="1"/>
  <c r="D915" i="1"/>
  <c r="F915" i="1"/>
  <c r="M915" i="1"/>
  <c r="O915" i="1"/>
  <c r="P915" i="1"/>
  <c r="Q915" i="1" s="1"/>
  <c r="S915" i="1"/>
  <c r="A223" i="1"/>
  <c r="C223" i="1"/>
  <c r="B223" i="1" s="1"/>
  <c r="D223" i="1"/>
  <c r="F223" i="1"/>
  <c r="M223" i="1"/>
  <c r="O223" i="1"/>
  <c r="P223" i="1"/>
  <c r="Q223" i="1" s="1"/>
  <c r="S223" i="1"/>
  <c r="A1165" i="1"/>
  <c r="C1165" i="1"/>
  <c r="B1165" i="1" s="1"/>
  <c r="F1165" i="1"/>
  <c r="M1165" i="1"/>
  <c r="O1165" i="1"/>
  <c r="P1165" i="1"/>
  <c r="Q1165" i="1" s="1"/>
  <c r="S1165" i="1"/>
  <c r="A1555" i="1"/>
  <c r="C1555" i="1"/>
  <c r="B1555" i="1" s="1"/>
  <c r="D1555" i="1"/>
  <c r="F1555" i="1"/>
  <c r="M1555" i="1"/>
  <c r="O1555" i="1"/>
  <c r="P1555" i="1"/>
  <c r="Q1555" i="1" s="1"/>
  <c r="S1555" i="1"/>
  <c r="A1556" i="1"/>
  <c r="C1556" i="1"/>
  <c r="B1556" i="1" s="1"/>
  <c r="D1556" i="1"/>
  <c r="F1556" i="1"/>
  <c r="M1556" i="1"/>
  <c r="O1556" i="1"/>
  <c r="P1556" i="1"/>
  <c r="Q1556" i="1" s="1"/>
  <c r="S1556" i="1"/>
  <c r="A1656" i="1"/>
  <c r="C1656" i="1"/>
  <c r="B1656" i="1" s="1"/>
  <c r="D1656" i="1"/>
  <c r="F1656" i="1"/>
  <c r="M1656" i="1"/>
  <c r="O1656" i="1"/>
  <c r="P1656" i="1"/>
  <c r="Q1656" i="1" s="1"/>
  <c r="S1656" i="1"/>
  <c r="A1823" i="1"/>
  <c r="C1823" i="1"/>
  <c r="B1823" i="1" s="1"/>
  <c r="F1823" i="1"/>
  <c r="M1823" i="1"/>
  <c r="O1823" i="1"/>
  <c r="P1823" i="1"/>
  <c r="Q1823" i="1" s="1"/>
  <c r="S1823" i="1"/>
  <c r="A343" i="1"/>
  <c r="C343" i="1"/>
  <c r="B343" i="1" s="1"/>
  <c r="D343" i="1"/>
  <c r="F343" i="1"/>
  <c r="M343" i="1"/>
  <c r="O343" i="1"/>
  <c r="P343" i="1"/>
  <c r="Q343" i="1" s="1"/>
  <c r="S343" i="1"/>
  <c r="A1824" i="1"/>
  <c r="C1824" i="1"/>
  <c r="B1824" i="1" s="1"/>
  <c r="F1824" i="1"/>
  <c r="M1824" i="1"/>
  <c r="O1824" i="1"/>
  <c r="P1824" i="1"/>
  <c r="Q1824" i="1" s="1"/>
  <c r="S1824" i="1"/>
  <c r="A240" i="1"/>
  <c r="C240" i="1"/>
  <c r="B240" i="1" s="1"/>
  <c r="F240" i="1"/>
  <c r="M240" i="1"/>
  <c r="O240" i="1"/>
  <c r="P240" i="1"/>
  <c r="Q240" i="1" s="1"/>
  <c r="S240" i="1"/>
  <c r="A526" i="1"/>
  <c r="C526" i="1"/>
  <c r="B526" i="1" s="1"/>
  <c r="D526" i="1"/>
  <c r="F526" i="1"/>
  <c r="M526" i="1"/>
  <c r="O526" i="1"/>
  <c r="P526" i="1"/>
  <c r="Q526" i="1" s="1"/>
  <c r="S526" i="1"/>
  <c r="A545" i="1"/>
  <c r="C545" i="1"/>
  <c r="B545" i="1" s="1"/>
  <c r="F545" i="1"/>
  <c r="M545" i="1"/>
  <c r="O545" i="1"/>
  <c r="P545" i="1"/>
  <c r="Q545" i="1" s="1"/>
  <c r="S545" i="1"/>
  <c r="A1079" i="1"/>
  <c r="C1079" i="1"/>
  <c r="B1079" i="1" s="1"/>
  <c r="D1079" i="1"/>
  <c r="F1079" i="1"/>
  <c r="M1079" i="1"/>
  <c r="O1079" i="1"/>
  <c r="P1079" i="1"/>
  <c r="Q1079" i="1" s="1"/>
  <c r="S1079" i="1"/>
  <c r="A738" i="1"/>
  <c r="C738" i="1"/>
  <c r="B738" i="1" s="1"/>
  <c r="F738" i="1"/>
  <c r="M738" i="1"/>
  <c r="O738" i="1"/>
  <c r="P738" i="1"/>
  <c r="Q738" i="1" s="1"/>
  <c r="S738" i="1"/>
  <c r="A1597" i="1"/>
  <c r="C1597" i="1"/>
  <c r="B1597" i="1" s="1"/>
  <c r="F1597" i="1"/>
  <c r="M1597" i="1"/>
  <c r="O1597" i="1"/>
  <c r="P1597" i="1"/>
  <c r="Q1597" i="1" s="1"/>
  <c r="S1597" i="1"/>
  <c r="A317" i="1"/>
  <c r="C317" i="1"/>
  <c r="B317" i="1" s="1"/>
  <c r="D317" i="1"/>
  <c r="F317" i="1"/>
  <c r="M317" i="1"/>
  <c r="O317" i="1"/>
  <c r="P317" i="1"/>
  <c r="Q317" i="1" s="1"/>
  <c r="S317" i="1"/>
  <c r="A1589" i="1"/>
  <c r="C1589" i="1"/>
  <c r="B1589" i="1" s="1"/>
  <c r="D1589" i="1"/>
  <c r="F1589" i="1"/>
  <c r="M1589" i="1"/>
  <c r="O1589" i="1"/>
  <c r="P1589" i="1"/>
  <c r="Q1589" i="1" s="1"/>
  <c r="S1589" i="1"/>
  <c r="A344" i="1"/>
  <c r="C344" i="1"/>
  <c r="B344" i="1" s="1"/>
  <c r="D344" i="1"/>
  <c r="F344" i="1"/>
  <c r="M344" i="1"/>
  <c r="O344" i="1"/>
  <c r="P344" i="1"/>
  <c r="Q344" i="1" s="1"/>
  <c r="S344" i="1"/>
  <c r="A840" i="1"/>
  <c r="C840" i="1"/>
  <c r="B840" i="1" s="1"/>
  <c r="F840" i="1"/>
  <c r="M840" i="1"/>
  <c r="O840" i="1"/>
  <c r="P840" i="1"/>
  <c r="Q840" i="1" s="1"/>
  <c r="S840" i="1"/>
  <c r="A874" i="1"/>
  <c r="C874" i="1"/>
  <c r="B874" i="1" s="1"/>
  <c r="F874" i="1"/>
  <c r="M874" i="1"/>
  <c r="O874" i="1"/>
  <c r="P874" i="1"/>
  <c r="Q874" i="1" s="1"/>
  <c r="S874" i="1"/>
  <c r="A1524" i="1"/>
  <c r="C1524" i="1"/>
  <c r="B1524" i="1" s="1"/>
  <c r="F1524" i="1"/>
  <c r="M1524" i="1"/>
  <c r="O1524" i="1"/>
  <c r="P1524" i="1"/>
  <c r="Q1524" i="1" s="1"/>
  <c r="S1524" i="1"/>
  <c r="A1629" i="1"/>
  <c r="C1629" i="1"/>
  <c r="B1629" i="1" s="1"/>
  <c r="F1629" i="1"/>
  <c r="M1629" i="1"/>
  <c r="O1629" i="1"/>
  <c r="P1629" i="1"/>
  <c r="Q1629" i="1" s="1"/>
  <c r="S1629" i="1"/>
  <c r="A90" i="1"/>
  <c r="C90" i="1"/>
  <c r="B90" i="1" s="1"/>
  <c r="D90" i="1"/>
  <c r="F90" i="1"/>
  <c r="M90" i="1"/>
  <c r="O90" i="1"/>
  <c r="P90" i="1"/>
  <c r="Q90" i="1" s="1"/>
  <c r="S90" i="1"/>
  <c r="A1737" i="1"/>
  <c r="C1737" i="1"/>
  <c r="B1737" i="1" s="1"/>
  <c r="F1737" i="1"/>
  <c r="M1737" i="1"/>
  <c r="O1737" i="1"/>
  <c r="P1737" i="1"/>
  <c r="Q1737" i="1" s="1"/>
  <c r="S1737" i="1"/>
  <c r="A411" i="1"/>
  <c r="C411" i="1"/>
  <c r="B411" i="1" s="1"/>
  <c r="F411" i="1"/>
  <c r="M411" i="1"/>
  <c r="O411" i="1"/>
  <c r="P411" i="1"/>
  <c r="Q411" i="1" s="1"/>
  <c r="S411" i="1"/>
  <c r="A304" i="1"/>
  <c r="C304" i="1"/>
  <c r="B304" i="1" s="1"/>
  <c r="D304" i="1"/>
  <c r="F304" i="1"/>
  <c r="M304" i="1"/>
  <c r="O304" i="1"/>
  <c r="P304" i="1"/>
  <c r="Q304" i="1" s="1"/>
  <c r="S304" i="1"/>
  <c r="A324" i="1"/>
  <c r="C324" i="1"/>
  <c r="B324" i="1" s="1"/>
  <c r="D324" i="1"/>
  <c r="F324" i="1"/>
  <c r="M324" i="1"/>
  <c r="O324" i="1"/>
  <c r="P324" i="1"/>
  <c r="Q324" i="1" s="1"/>
  <c r="S324" i="1"/>
  <c r="A429" i="1"/>
  <c r="C429" i="1"/>
  <c r="B429" i="1" s="1"/>
  <c r="D429" i="1"/>
  <c r="F429" i="1"/>
  <c r="M429" i="1"/>
  <c r="O429" i="1"/>
  <c r="P429" i="1"/>
  <c r="Q429" i="1" s="1"/>
  <c r="S429" i="1"/>
  <c r="A440" i="1"/>
  <c r="C440" i="1"/>
  <c r="B440" i="1" s="1"/>
  <c r="D440" i="1"/>
  <c r="F440" i="1"/>
  <c r="M440" i="1"/>
  <c r="O440" i="1"/>
  <c r="P440" i="1"/>
  <c r="Q440" i="1" s="1"/>
  <c r="S440" i="1"/>
  <c r="A442" i="1"/>
  <c r="C442" i="1"/>
  <c r="B442" i="1" s="1"/>
  <c r="D442" i="1"/>
  <c r="F442" i="1"/>
  <c r="M442" i="1"/>
  <c r="O442" i="1"/>
  <c r="P442" i="1"/>
  <c r="Q442" i="1" s="1"/>
  <c r="S442" i="1"/>
  <c r="A457" i="1"/>
  <c r="C457" i="1"/>
  <c r="B457" i="1" s="1"/>
  <c r="D457" i="1"/>
  <c r="F457" i="1"/>
  <c r="M457" i="1"/>
  <c r="O457" i="1"/>
  <c r="P457" i="1"/>
  <c r="Q457" i="1" s="1"/>
  <c r="S457" i="1"/>
  <c r="A502" i="1"/>
  <c r="C502" i="1"/>
  <c r="B502" i="1" s="1"/>
  <c r="D502" i="1"/>
  <c r="F502" i="1"/>
  <c r="M502" i="1"/>
  <c r="O502" i="1"/>
  <c r="P502" i="1"/>
  <c r="Q502" i="1" s="1"/>
  <c r="S502" i="1"/>
  <c r="A620" i="1"/>
  <c r="C620" i="1"/>
  <c r="B620" i="1" s="1"/>
  <c r="F620" i="1"/>
  <c r="M620" i="1"/>
  <c r="O620" i="1"/>
  <c r="P620" i="1"/>
  <c r="Q620" i="1" s="1"/>
  <c r="S620" i="1"/>
  <c r="A227" i="1"/>
  <c r="C227" i="1"/>
  <c r="B227" i="1" s="1"/>
  <c r="F227" i="1"/>
  <c r="M227" i="1"/>
  <c r="O227" i="1"/>
  <c r="P227" i="1"/>
  <c r="Q227" i="1" s="1"/>
  <c r="A51" i="1"/>
  <c r="C51" i="1"/>
  <c r="B51" i="1" s="1"/>
  <c r="F51" i="1"/>
  <c r="M51" i="1"/>
  <c r="O51" i="1"/>
  <c r="P51" i="1"/>
  <c r="Q51" i="1" s="1"/>
  <c r="S51" i="1"/>
  <c r="A52" i="1"/>
  <c r="C52" i="1"/>
  <c r="B52" i="1" s="1"/>
  <c r="F52" i="1"/>
  <c r="M52" i="1"/>
  <c r="O52" i="1"/>
  <c r="P52" i="1"/>
  <c r="Q52" i="1" s="1"/>
  <c r="S52" i="1"/>
  <c r="A603" i="1"/>
  <c r="C603" i="1"/>
  <c r="B603" i="1" s="1"/>
  <c r="D603" i="1"/>
  <c r="F603" i="1"/>
  <c r="M603" i="1"/>
  <c r="O603" i="1"/>
  <c r="P603" i="1"/>
  <c r="Q603" i="1" s="1"/>
  <c r="S603" i="1"/>
  <c r="A766" i="1"/>
  <c r="C766" i="1"/>
  <c r="B766" i="1" s="1"/>
  <c r="D766" i="1"/>
  <c r="F766" i="1"/>
  <c r="M766" i="1"/>
  <c r="O766" i="1"/>
  <c r="P766" i="1"/>
  <c r="Q766" i="1" s="1"/>
  <c r="S766" i="1"/>
  <c r="A1166" i="1"/>
  <c r="C1166" i="1"/>
  <c r="B1166" i="1" s="1"/>
  <c r="F1166" i="1"/>
  <c r="M1166" i="1"/>
  <c r="O1166" i="1"/>
  <c r="P1166" i="1"/>
  <c r="Q1166" i="1" s="1"/>
  <c r="S1166" i="1"/>
  <c r="A1167" i="1"/>
  <c r="C1167" i="1"/>
  <c r="B1167" i="1" s="1"/>
  <c r="F1167" i="1"/>
  <c r="M1167" i="1"/>
  <c r="O1167" i="1"/>
  <c r="P1167" i="1"/>
  <c r="Q1167" i="1" s="1"/>
  <c r="S1167" i="1"/>
  <c r="A1367" i="1"/>
  <c r="C1367" i="1"/>
  <c r="B1367" i="1" s="1"/>
  <c r="D1367" i="1"/>
  <c r="F1367" i="1"/>
  <c r="M1367" i="1"/>
  <c r="O1367" i="1"/>
  <c r="P1367" i="1"/>
  <c r="Q1367" i="1" s="1"/>
  <c r="S1367" i="1"/>
  <c r="A1381" i="1"/>
  <c r="C1381" i="1"/>
  <c r="B1381" i="1" s="1"/>
  <c r="F1381" i="1"/>
  <c r="M1381" i="1"/>
  <c r="O1381" i="1"/>
  <c r="P1381" i="1"/>
  <c r="Q1381" i="1" s="1"/>
  <c r="S1381" i="1"/>
  <c r="A1382" i="1"/>
  <c r="C1382" i="1"/>
  <c r="B1382" i="1" s="1"/>
  <c r="F1382" i="1"/>
  <c r="M1382" i="1"/>
  <c r="O1382" i="1"/>
  <c r="P1382" i="1"/>
  <c r="Q1382" i="1" s="1"/>
  <c r="S1382" i="1"/>
  <c r="A671" i="1"/>
  <c r="C671" i="1"/>
  <c r="B671" i="1" s="1"/>
  <c r="D671" i="1"/>
  <c r="F671" i="1"/>
  <c r="M671" i="1"/>
  <c r="O671" i="1"/>
  <c r="P671" i="1"/>
  <c r="Q671" i="1" s="1"/>
  <c r="S671" i="1"/>
  <c r="A84" i="1"/>
  <c r="C84" i="1"/>
  <c r="B84" i="1" s="1"/>
  <c r="D84" i="1"/>
  <c r="F84" i="1"/>
  <c r="M84" i="1"/>
  <c r="O84" i="1"/>
  <c r="P84" i="1"/>
  <c r="Q84" i="1" s="1"/>
  <c r="S84" i="1"/>
  <c r="A109" i="1"/>
  <c r="C109" i="1"/>
  <c r="B109" i="1" s="1"/>
  <c r="D109" i="1"/>
  <c r="F109" i="1"/>
  <c r="M109" i="1"/>
  <c r="O109" i="1"/>
  <c r="P109" i="1"/>
  <c r="Q109" i="1" s="1"/>
  <c r="S109" i="1"/>
  <c r="A210" i="1"/>
  <c r="C210" i="1"/>
  <c r="B210" i="1" s="1"/>
  <c r="F210" i="1"/>
  <c r="M210" i="1"/>
  <c r="O210" i="1"/>
  <c r="P210" i="1"/>
  <c r="Q210" i="1" s="1"/>
  <c r="S210" i="1"/>
  <c r="A241" i="1"/>
  <c r="C241" i="1"/>
  <c r="B241" i="1" s="1"/>
  <c r="F241" i="1"/>
  <c r="M241" i="1"/>
  <c r="O241" i="1"/>
  <c r="P241" i="1"/>
  <c r="Q241" i="1" s="1"/>
  <c r="S241" i="1"/>
  <c r="A345" i="1"/>
  <c r="C345" i="1"/>
  <c r="B345" i="1" s="1"/>
  <c r="D345" i="1"/>
  <c r="F345" i="1"/>
  <c r="M345" i="1"/>
  <c r="O345" i="1"/>
  <c r="P345" i="1"/>
  <c r="Q345" i="1" s="1"/>
  <c r="S345" i="1"/>
  <c r="A346" i="1"/>
  <c r="C346" i="1"/>
  <c r="B346" i="1" s="1"/>
  <c r="D346" i="1"/>
  <c r="F346" i="1"/>
  <c r="M346" i="1"/>
  <c r="O346" i="1"/>
  <c r="P346" i="1"/>
  <c r="Q346" i="1" s="1"/>
  <c r="S346" i="1"/>
  <c r="A1738" i="1"/>
  <c r="C1738" i="1"/>
  <c r="B1738" i="1" s="1"/>
  <c r="F1738" i="1"/>
  <c r="M1738" i="1"/>
  <c r="O1738" i="1"/>
  <c r="P1738" i="1"/>
  <c r="Q1738" i="1" s="1"/>
  <c r="S1738" i="1"/>
  <c r="A211" i="1"/>
  <c r="C211" i="1"/>
  <c r="B211" i="1" s="1"/>
  <c r="F211" i="1"/>
  <c r="M211" i="1"/>
  <c r="O211" i="1"/>
  <c r="P211" i="1"/>
  <c r="Q211" i="1" s="1"/>
  <c r="S211" i="1"/>
  <c r="A891" i="1"/>
  <c r="C891" i="1"/>
  <c r="B891" i="1" s="1"/>
  <c r="D891" i="1"/>
  <c r="F891" i="1"/>
  <c r="M891" i="1"/>
  <c r="O891" i="1"/>
  <c r="P891" i="1"/>
  <c r="Q891" i="1" s="1"/>
  <c r="S891" i="1"/>
  <c r="A1168" i="1"/>
  <c r="C1168" i="1"/>
  <c r="B1168" i="1" s="1"/>
  <c r="F1168" i="1"/>
  <c r="M1168" i="1"/>
  <c r="O1168" i="1"/>
  <c r="P1168" i="1"/>
  <c r="Q1168" i="1" s="1"/>
  <c r="S1168" i="1"/>
  <c r="A739" i="1"/>
  <c r="C739" i="1"/>
  <c r="B739" i="1" s="1"/>
  <c r="F739" i="1"/>
  <c r="M739" i="1"/>
  <c r="O739" i="1"/>
  <c r="P739" i="1"/>
  <c r="Q739" i="1" s="1"/>
  <c r="S739" i="1"/>
  <c r="A1739" i="1"/>
  <c r="C1739" i="1"/>
  <c r="B1739" i="1" s="1"/>
  <c r="F1739" i="1"/>
  <c r="M1739" i="1"/>
  <c r="O1739" i="1"/>
  <c r="P1739" i="1"/>
  <c r="Q1739" i="1" s="1"/>
  <c r="S1739" i="1"/>
  <c r="A546" i="1"/>
  <c r="C546" i="1"/>
  <c r="B546" i="1" s="1"/>
  <c r="F546" i="1"/>
  <c r="M546" i="1"/>
  <c r="O546" i="1"/>
  <c r="P546" i="1"/>
  <c r="Q546" i="1" s="1"/>
  <c r="S546" i="1"/>
  <c r="A1396" i="1"/>
  <c r="C1396" i="1"/>
  <c r="B1396" i="1" s="1"/>
  <c r="F1396" i="1"/>
  <c r="M1396" i="1"/>
  <c r="O1396" i="1"/>
  <c r="P1396" i="1"/>
  <c r="Q1396" i="1" s="1"/>
  <c r="S1396" i="1"/>
  <c r="A1479" i="1"/>
  <c r="C1479" i="1"/>
  <c r="B1479" i="1" s="1"/>
  <c r="F1479" i="1"/>
  <c r="M1479" i="1"/>
  <c r="O1479" i="1"/>
  <c r="P1479" i="1"/>
  <c r="Q1479" i="1" s="1"/>
  <c r="S1479" i="1"/>
  <c r="A1630" i="1"/>
  <c r="C1630" i="1"/>
  <c r="B1630" i="1" s="1"/>
  <c r="F1630" i="1"/>
  <c r="M1630" i="1"/>
  <c r="O1630" i="1"/>
  <c r="P1630" i="1"/>
  <c r="Q1630" i="1" s="1"/>
  <c r="S1630" i="1"/>
  <c r="A110" i="1"/>
  <c r="C110" i="1"/>
  <c r="B110" i="1" s="1"/>
  <c r="D110" i="1"/>
  <c r="F110" i="1"/>
  <c r="M110" i="1"/>
  <c r="O110" i="1"/>
  <c r="P110" i="1"/>
  <c r="Q110" i="1" s="1"/>
  <c r="S110" i="1"/>
  <c r="A347" i="1"/>
  <c r="C347" i="1"/>
  <c r="B347" i="1" s="1"/>
  <c r="D347" i="1"/>
  <c r="F347" i="1"/>
  <c r="M347" i="1"/>
  <c r="O347" i="1"/>
  <c r="P347" i="1"/>
  <c r="Q347" i="1" s="1"/>
  <c r="S347" i="1"/>
  <c r="A621" i="1"/>
  <c r="C621" i="1"/>
  <c r="B621" i="1" s="1"/>
  <c r="F621" i="1"/>
  <c r="M621" i="1"/>
  <c r="O621" i="1"/>
  <c r="P621" i="1"/>
  <c r="Q621" i="1" s="1"/>
  <c r="S621" i="1"/>
  <c r="A1316" i="1"/>
  <c r="C1316" i="1"/>
  <c r="B1316" i="1" s="1"/>
  <c r="F1316" i="1"/>
  <c r="M1316" i="1"/>
  <c r="O1316" i="1"/>
  <c r="P1316" i="1"/>
  <c r="Q1316" i="1" s="1"/>
  <c r="S1316" i="1"/>
  <c r="A1383" i="1"/>
  <c r="C1383" i="1"/>
  <c r="B1383" i="1" s="1"/>
  <c r="F1383" i="1"/>
  <c r="M1383" i="1"/>
  <c r="O1383" i="1"/>
  <c r="P1383" i="1"/>
  <c r="Q1383" i="1" s="1"/>
  <c r="S1383" i="1"/>
  <c r="A1384" i="1"/>
  <c r="C1384" i="1"/>
  <c r="B1384" i="1" s="1"/>
  <c r="F1384" i="1"/>
  <c r="M1384" i="1"/>
  <c r="O1384" i="1"/>
  <c r="P1384" i="1"/>
  <c r="Q1384" i="1" s="1"/>
  <c r="S1384" i="1"/>
  <c r="A794" i="1"/>
  <c r="C794" i="1"/>
  <c r="B794" i="1" s="1"/>
  <c r="F794" i="1"/>
  <c r="M794" i="1"/>
  <c r="O794" i="1"/>
  <c r="P794" i="1"/>
  <c r="Q794" i="1" s="1"/>
  <c r="S794" i="1"/>
  <c r="A898" i="1"/>
  <c r="C898" i="1"/>
  <c r="B898" i="1" s="1"/>
  <c r="D898" i="1"/>
  <c r="F898" i="1"/>
  <c r="M898" i="1"/>
  <c r="O898" i="1"/>
  <c r="P898" i="1"/>
  <c r="Q898" i="1" s="1"/>
  <c r="S898" i="1"/>
  <c r="A446" i="1"/>
  <c r="C446" i="1"/>
  <c r="B446" i="1" s="1"/>
  <c r="D446" i="1"/>
  <c r="F446" i="1"/>
  <c r="M446" i="1"/>
  <c r="O446" i="1"/>
  <c r="P446" i="1"/>
  <c r="Q446" i="1" s="1"/>
  <c r="S446" i="1"/>
  <c r="A447" i="1"/>
  <c r="C447" i="1"/>
  <c r="B447" i="1" s="1"/>
  <c r="D447" i="1"/>
  <c r="F447" i="1"/>
  <c r="M447" i="1"/>
  <c r="O447" i="1"/>
  <c r="P447" i="1"/>
  <c r="Q447" i="1" s="1"/>
  <c r="S447" i="1"/>
  <c r="A1446" i="1"/>
  <c r="C1446" i="1"/>
  <c r="B1446" i="1" s="1"/>
  <c r="F1446" i="1"/>
  <c r="M1446" i="1"/>
  <c r="O1446" i="1"/>
  <c r="P1446" i="1"/>
  <c r="Q1446" i="1" s="1"/>
  <c r="S1446" i="1"/>
  <c r="A111" i="1"/>
  <c r="C111" i="1"/>
  <c r="B111" i="1" s="1"/>
  <c r="D111" i="1"/>
  <c r="F111" i="1"/>
  <c r="M111" i="1"/>
  <c r="O111" i="1"/>
  <c r="P111" i="1"/>
  <c r="Q111" i="1" s="1"/>
  <c r="S111" i="1"/>
  <c r="A740" i="1"/>
  <c r="C740" i="1"/>
  <c r="B740" i="1" s="1"/>
  <c r="F740" i="1"/>
  <c r="M740" i="1"/>
  <c r="O740" i="1"/>
  <c r="P740" i="1"/>
  <c r="Q740" i="1" s="1"/>
  <c r="S740" i="1"/>
  <c r="A1825" i="1"/>
  <c r="C1825" i="1"/>
  <c r="B1825" i="1" s="1"/>
  <c r="F1825" i="1"/>
  <c r="M1825" i="1"/>
  <c r="O1825" i="1"/>
  <c r="P1825" i="1"/>
  <c r="Q1825" i="1" s="1"/>
  <c r="S1825" i="1"/>
  <c r="A53" i="1"/>
  <c r="C53" i="1"/>
  <c r="B53" i="1" s="1"/>
  <c r="F53" i="1"/>
  <c r="M53" i="1"/>
  <c r="O53" i="1"/>
  <c r="P53" i="1"/>
  <c r="Q53" i="1" s="1"/>
  <c r="S53" i="1"/>
  <c r="A527" i="1"/>
  <c r="C527" i="1"/>
  <c r="B527" i="1" s="1"/>
  <c r="D527" i="1"/>
  <c r="F527" i="1"/>
  <c r="M527" i="1"/>
  <c r="O527" i="1"/>
  <c r="P527" i="1"/>
  <c r="Q527" i="1" s="1"/>
  <c r="S527" i="1"/>
  <c r="A1447" i="1"/>
  <c r="C1447" i="1"/>
  <c r="B1447" i="1" s="1"/>
  <c r="F1447" i="1"/>
  <c r="M1447" i="1"/>
  <c r="O1447" i="1"/>
  <c r="P1447" i="1"/>
  <c r="Q1447" i="1" s="1"/>
  <c r="S1447" i="1"/>
  <c r="A875" i="1"/>
  <c r="C875" i="1"/>
  <c r="B875" i="1" s="1"/>
  <c r="F875" i="1"/>
  <c r="M875" i="1"/>
  <c r="O875" i="1"/>
  <c r="P875" i="1"/>
  <c r="Q875" i="1" s="1"/>
  <c r="S875" i="1"/>
  <c r="A910" i="1"/>
  <c r="C910" i="1"/>
  <c r="B910" i="1" s="1"/>
  <c r="D910" i="1"/>
  <c r="F910" i="1"/>
  <c r="M910" i="1"/>
  <c r="O910" i="1"/>
  <c r="P910" i="1"/>
  <c r="Q910" i="1" s="1"/>
  <c r="S910" i="1"/>
  <c r="A1374" i="1"/>
  <c r="C1374" i="1"/>
  <c r="B1374" i="1" s="1"/>
  <c r="D1374" i="1"/>
  <c r="F1374" i="1"/>
  <c r="M1374" i="1"/>
  <c r="O1374" i="1"/>
  <c r="P1374" i="1"/>
  <c r="Q1374" i="1" s="1"/>
  <c r="S1374" i="1"/>
  <c r="A1740" i="1"/>
  <c r="C1740" i="1"/>
  <c r="B1740" i="1" s="1"/>
  <c r="F1740" i="1"/>
  <c r="M1740" i="1"/>
  <c r="O1740" i="1"/>
  <c r="P1740" i="1"/>
  <c r="Q1740" i="1" s="1"/>
  <c r="S1740" i="1"/>
  <c r="A1795" i="1"/>
  <c r="C1795" i="1"/>
  <c r="B1795" i="1" s="1"/>
  <c r="F1795" i="1"/>
  <c r="M1795" i="1"/>
  <c r="O1795" i="1"/>
  <c r="P1795" i="1"/>
  <c r="Q1795" i="1" s="1"/>
  <c r="S1795" i="1"/>
  <c r="A348" i="1"/>
  <c r="C348" i="1"/>
  <c r="B348" i="1" s="1"/>
  <c r="D348" i="1"/>
  <c r="F348" i="1"/>
  <c r="M348" i="1"/>
  <c r="O348" i="1"/>
  <c r="P348" i="1"/>
  <c r="Q348" i="1" s="1"/>
  <c r="S348" i="1"/>
  <c r="A1269" i="1"/>
  <c r="C1269" i="1"/>
  <c r="B1269" i="1" s="1"/>
  <c r="D1269" i="1"/>
  <c r="F1269" i="1"/>
  <c r="O1269" i="1"/>
  <c r="P1269" i="1"/>
  <c r="Q1269" i="1" s="1"/>
  <c r="S1269" i="1"/>
  <c r="A1826" i="1"/>
  <c r="C1826" i="1"/>
  <c r="B1826" i="1" s="1"/>
  <c r="F1826" i="1"/>
  <c r="M1826" i="1"/>
  <c r="O1826" i="1"/>
  <c r="P1826" i="1"/>
  <c r="Q1826" i="1" s="1"/>
  <c r="S1826" i="1"/>
  <c r="A13" i="1"/>
  <c r="C13" i="1"/>
  <c r="B13" i="1" s="1"/>
  <c r="F13" i="1"/>
  <c r="M13" i="1"/>
  <c r="O13" i="1"/>
  <c r="P13" i="1"/>
  <c r="Q13" i="1" s="1"/>
  <c r="S13" i="1"/>
  <c r="A14" i="1"/>
  <c r="C14" i="1"/>
  <c r="B14" i="1" s="1"/>
  <c r="F14" i="1"/>
  <c r="M14" i="1"/>
  <c r="O14" i="1"/>
  <c r="P14" i="1"/>
  <c r="Q14" i="1" s="1"/>
  <c r="S14" i="1"/>
  <c r="A77" i="1"/>
  <c r="C77" i="1"/>
  <c r="B77" i="1" s="1"/>
  <c r="F77" i="1"/>
  <c r="M77" i="1"/>
  <c r="O77" i="1"/>
  <c r="P77" i="1"/>
  <c r="Q77" i="1" s="1"/>
  <c r="S77" i="1"/>
  <c r="A126" i="1"/>
  <c r="C126" i="1"/>
  <c r="B126" i="1" s="1"/>
  <c r="F126" i="1"/>
  <c r="M126" i="1"/>
  <c r="O126" i="1"/>
  <c r="P126" i="1"/>
  <c r="Q126" i="1" s="1"/>
  <c r="S126" i="1"/>
  <c r="A221" i="1"/>
  <c r="C221" i="1"/>
  <c r="B221" i="1" s="1"/>
  <c r="D221" i="1"/>
  <c r="F221" i="1"/>
  <c r="M221" i="1"/>
  <c r="O221" i="1"/>
  <c r="P221" i="1"/>
  <c r="Q221" i="1" s="1"/>
  <c r="S221" i="1"/>
  <c r="A643" i="1"/>
  <c r="C643" i="1"/>
  <c r="B643" i="1" s="1"/>
  <c r="D643" i="1"/>
  <c r="F643" i="1"/>
  <c r="M643" i="1"/>
  <c r="O643" i="1"/>
  <c r="P643" i="1"/>
  <c r="Q643" i="1" s="1"/>
  <c r="S643" i="1"/>
  <c r="A1448" i="1"/>
  <c r="C1448" i="1"/>
  <c r="B1448" i="1" s="1"/>
  <c r="F1448" i="1"/>
  <c r="M1448" i="1"/>
  <c r="O1448" i="1"/>
  <c r="P1448" i="1"/>
  <c r="Q1448" i="1" s="1"/>
  <c r="S1448" i="1"/>
  <c r="A267" i="1"/>
  <c r="C267" i="1"/>
  <c r="B267" i="1" s="1"/>
  <c r="D267" i="1"/>
  <c r="F267" i="1"/>
  <c r="M267" i="1"/>
  <c r="O267" i="1"/>
  <c r="P267" i="1"/>
  <c r="Q267" i="1" s="1"/>
  <c r="S267" i="1"/>
  <c r="A819" i="1"/>
  <c r="C819" i="1"/>
  <c r="B819" i="1" s="1"/>
  <c r="F819" i="1"/>
  <c r="M819" i="1"/>
  <c r="O819" i="1"/>
  <c r="P819" i="1"/>
  <c r="Q819" i="1" s="1"/>
  <c r="S819" i="1"/>
  <c r="A823" i="1"/>
  <c r="C823" i="1"/>
  <c r="B823" i="1" s="1"/>
  <c r="F823" i="1"/>
  <c r="M823" i="1"/>
  <c r="O823" i="1"/>
  <c r="P823" i="1"/>
  <c r="Q823" i="1" s="1"/>
  <c r="S823" i="1"/>
  <c r="A1270" i="1"/>
  <c r="C1270" i="1"/>
  <c r="B1270" i="1" s="1"/>
  <c r="D1270" i="1"/>
  <c r="F1270" i="1"/>
  <c r="O1270" i="1"/>
  <c r="P1270" i="1"/>
  <c r="Q1270" i="1" s="1"/>
  <c r="S1270" i="1"/>
  <c r="A242" i="1"/>
  <c r="C242" i="1"/>
  <c r="B242" i="1" s="1"/>
  <c r="F242" i="1"/>
  <c r="M242" i="1"/>
  <c r="O242" i="1"/>
  <c r="P242" i="1"/>
  <c r="Q242" i="1" s="1"/>
  <c r="S242" i="1"/>
  <c r="A622" i="1"/>
  <c r="C622" i="1"/>
  <c r="B622" i="1" s="1"/>
  <c r="F622" i="1"/>
  <c r="M622" i="1"/>
  <c r="O622" i="1"/>
  <c r="P622" i="1"/>
  <c r="Q622" i="1" s="1"/>
  <c r="S622" i="1"/>
  <c r="A623" i="1"/>
  <c r="C623" i="1"/>
  <c r="B623" i="1" s="1"/>
  <c r="F623" i="1"/>
  <c r="M623" i="1"/>
  <c r="O623" i="1"/>
  <c r="P623" i="1"/>
  <c r="Q623" i="1" s="1"/>
  <c r="S623" i="1"/>
  <c r="A624" i="1"/>
  <c r="C624" i="1"/>
  <c r="B624" i="1" s="1"/>
  <c r="F624" i="1"/>
  <c r="M624" i="1"/>
  <c r="O624" i="1"/>
  <c r="P624" i="1"/>
  <c r="Q624" i="1" s="1"/>
  <c r="S624" i="1"/>
  <c r="A1354" i="1"/>
  <c r="C1354" i="1"/>
  <c r="B1354" i="1" s="1"/>
  <c r="F1354" i="1"/>
  <c r="M1354" i="1"/>
  <c r="O1354" i="1"/>
  <c r="P1354" i="1"/>
  <c r="Q1354" i="1" s="1"/>
  <c r="S1354" i="1"/>
  <c r="A1355" i="1"/>
  <c r="C1355" i="1"/>
  <c r="B1355" i="1" s="1"/>
  <c r="F1355" i="1"/>
  <c r="M1355" i="1"/>
  <c r="O1355" i="1"/>
  <c r="P1355" i="1"/>
  <c r="Q1355" i="1" s="1"/>
  <c r="S1355" i="1"/>
  <c r="A112" i="1"/>
  <c r="C112" i="1"/>
  <c r="B112" i="1" s="1"/>
  <c r="D112" i="1"/>
  <c r="F112" i="1"/>
  <c r="M112" i="1"/>
  <c r="O112" i="1"/>
  <c r="P112" i="1"/>
  <c r="Q112" i="1" s="1"/>
  <c r="S112" i="1"/>
  <c r="A437" i="1"/>
  <c r="C437" i="1"/>
  <c r="B437" i="1" s="1"/>
  <c r="D437" i="1"/>
  <c r="F437" i="1"/>
  <c r="M437" i="1"/>
  <c r="O437" i="1"/>
  <c r="P437" i="1"/>
  <c r="Q437" i="1" s="1"/>
  <c r="S437" i="1"/>
  <c r="A1657" i="1"/>
  <c r="C1657" i="1"/>
  <c r="B1657" i="1" s="1"/>
  <c r="D1657" i="1"/>
  <c r="F1657" i="1"/>
  <c r="M1657" i="1"/>
  <c r="O1657" i="1"/>
  <c r="P1657" i="1"/>
  <c r="Q1657" i="1" s="1"/>
  <c r="S1657" i="1"/>
  <c r="A1741" i="1"/>
  <c r="C1741" i="1"/>
  <c r="B1741" i="1" s="1"/>
  <c r="F1741" i="1"/>
  <c r="M1741" i="1"/>
  <c r="O1741" i="1"/>
  <c r="P1741" i="1"/>
  <c r="Q1741" i="1" s="1"/>
  <c r="S1741" i="1"/>
  <c r="A1742" i="1"/>
  <c r="C1742" i="1"/>
  <c r="B1742" i="1" s="1"/>
  <c r="F1742" i="1"/>
  <c r="M1742" i="1"/>
  <c r="O1742" i="1"/>
  <c r="P1742" i="1"/>
  <c r="Q1742" i="1" s="1"/>
  <c r="S1742" i="1"/>
  <c r="A672" i="1"/>
  <c r="C672" i="1"/>
  <c r="B672" i="1" s="1"/>
  <c r="D672" i="1"/>
  <c r="F672" i="1"/>
  <c r="M672" i="1"/>
  <c r="O672" i="1"/>
  <c r="P672" i="1"/>
  <c r="Q672" i="1" s="1"/>
  <c r="S672" i="1"/>
  <c r="A1230" i="1"/>
  <c r="C1230" i="1"/>
  <c r="B1230" i="1" s="1"/>
  <c r="D1230" i="1"/>
  <c r="F1230" i="1"/>
  <c r="M1230" i="1"/>
  <c r="O1230" i="1"/>
  <c r="P1230" i="1"/>
  <c r="Q1230" i="1" s="1"/>
  <c r="S1230" i="1"/>
  <c r="A1356" i="1"/>
  <c r="C1356" i="1"/>
  <c r="B1356" i="1" s="1"/>
  <c r="F1356" i="1"/>
  <c r="M1356" i="1"/>
  <c r="O1356" i="1"/>
  <c r="P1356" i="1"/>
  <c r="Q1356" i="1" s="1"/>
  <c r="S1356" i="1"/>
  <c r="A113" i="1"/>
  <c r="C113" i="1"/>
  <c r="B113" i="1" s="1"/>
  <c r="D113" i="1"/>
  <c r="F113" i="1"/>
  <c r="M113" i="1"/>
  <c r="O113" i="1"/>
  <c r="P113" i="1"/>
  <c r="Q113" i="1" s="1"/>
  <c r="S113" i="1"/>
  <c r="A243" i="1"/>
  <c r="C243" i="1"/>
  <c r="B243" i="1" s="1"/>
  <c r="F243" i="1"/>
  <c r="M243" i="1"/>
  <c r="O243" i="1"/>
  <c r="P243" i="1"/>
  <c r="Q243" i="1" s="1"/>
  <c r="S243" i="1"/>
  <c r="A349" i="1"/>
  <c r="C349" i="1"/>
  <c r="B349" i="1" s="1"/>
  <c r="D349" i="1"/>
  <c r="F349" i="1"/>
  <c r="M349" i="1"/>
  <c r="O349" i="1"/>
  <c r="P349" i="1"/>
  <c r="Q349" i="1" s="1"/>
  <c r="S349" i="1"/>
  <c r="A412" i="1"/>
  <c r="C412" i="1"/>
  <c r="B412" i="1" s="1"/>
  <c r="F412" i="1"/>
  <c r="M412" i="1"/>
  <c r="O412" i="1"/>
  <c r="P412" i="1"/>
  <c r="Q412" i="1" s="1"/>
  <c r="S412" i="1"/>
  <c r="A1169" i="1"/>
  <c r="C1169" i="1"/>
  <c r="B1169" i="1" s="1"/>
  <c r="F1169" i="1"/>
  <c r="M1169" i="1"/>
  <c r="O1169" i="1"/>
  <c r="P1169" i="1"/>
  <c r="Q1169" i="1" s="1"/>
  <c r="S1169" i="1"/>
  <c r="A821" i="1"/>
  <c r="C821" i="1"/>
  <c r="B821" i="1" s="1"/>
  <c r="F821" i="1"/>
  <c r="M821" i="1"/>
  <c r="O821" i="1"/>
  <c r="P821" i="1"/>
  <c r="Q821" i="1" s="1"/>
  <c r="S821" i="1"/>
  <c r="A1327" i="1"/>
  <c r="C1327" i="1"/>
  <c r="B1327" i="1" s="1"/>
  <c r="F1327" i="1"/>
  <c r="M1327" i="1"/>
  <c r="O1327" i="1"/>
  <c r="P1327" i="1"/>
  <c r="Q1327" i="1" s="1"/>
  <c r="S1327" i="1"/>
  <c r="A547" i="1"/>
  <c r="C547" i="1"/>
  <c r="B547" i="1" s="1"/>
  <c r="F547" i="1"/>
  <c r="M547" i="1"/>
  <c r="O547" i="1"/>
  <c r="P547" i="1"/>
  <c r="Q547" i="1" s="1"/>
  <c r="S547" i="1"/>
  <c r="A1072" i="1"/>
  <c r="C1072" i="1"/>
  <c r="B1072" i="1" s="1"/>
  <c r="D1072" i="1"/>
  <c r="F1072" i="1"/>
  <c r="M1072" i="1"/>
  <c r="O1072" i="1"/>
  <c r="P1072" i="1"/>
  <c r="Q1072" i="1" s="1"/>
  <c r="S1072" i="1"/>
  <c r="A839" i="1"/>
  <c r="C839" i="1"/>
  <c r="B839" i="1" s="1"/>
  <c r="F839" i="1"/>
  <c r="M839" i="1"/>
  <c r="O839" i="1"/>
  <c r="P839" i="1"/>
  <c r="Q839" i="1" s="1"/>
  <c r="S839" i="1"/>
  <c r="A228" i="1"/>
  <c r="C228" i="1"/>
  <c r="B228" i="1" s="1"/>
  <c r="F228" i="1"/>
  <c r="M228" i="1"/>
  <c r="O228" i="1"/>
  <c r="P228" i="1"/>
  <c r="Q228" i="1" s="1"/>
  <c r="A281" i="1"/>
  <c r="C281" i="1"/>
  <c r="B281" i="1" s="1"/>
  <c r="F281" i="1"/>
  <c r="O281" i="1"/>
  <c r="P281" i="1"/>
  <c r="Q281" i="1" s="1"/>
  <c r="A305" i="1"/>
  <c r="C305" i="1"/>
  <c r="B305" i="1" s="1"/>
  <c r="D305" i="1"/>
  <c r="F305" i="1"/>
  <c r="M305" i="1"/>
  <c r="O305" i="1"/>
  <c r="P305" i="1"/>
  <c r="Q305" i="1" s="1"/>
  <c r="S305" i="1"/>
  <c r="A325" i="1"/>
  <c r="C325" i="1"/>
  <c r="B325" i="1" s="1"/>
  <c r="D325" i="1"/>
  <c r="F325" i="1"/>
  <c r="M325" i="1"/>
  <c r="O325" i="1"/>
  <c r="P325" i="1"/>
  <c r="Q325" i="1" s="1"/>
  <c r="S325" i="1"/>
  <c r="A430" i="1"/>
  <c r="C430" i="1"/>
  <c r="B430" i="1" s="1"/>
  <c r="D430" i="1"/>
  <c r="F430" i="1"/>
  <c r="M430" i="1"/>
  <c r="O430" i="1"/>
  <c r="P430" i="1"/>
  <c r="Q430" i="1" s="1"/>
  <c r="S430" i="1"/>
  <c r="A458" i="1"/>
  <c r="C458" i="1"/>
  <c r="B458" i="1" s="1"/>
  <c r="D458" i="1"/>
  <c r="F458" i="1"/>
  <c r="M458" i="1"/>
  <c r="O458" i="1"/>
  <c r="P458" i="1"/>
  <c r="Q458" i="1" s="1"/>
  <c r="S458" i="1"/>
  <c r="A503" i="1"/>
  <c r="C503" i="1"/>
  <c r="B503" i="1" s="1"/>
  <c r="D503" i="1"/>
  <c r="F503" i="1"/>
  <c r="M503" i="1"/>
  <c r="O503" i="1"/>
  <c r="P503" i="1"/>
  <c r="Q503" i="1" s="1"/>
  <c r="S503" i="1"/>
  <c r="A935" i="1"/>
  <c r="C935" i="1"/>
  <c r="B935" i="1" s="1"/>
  <c r="F935" i="1"/>
  <c r="M935" i="1"/>
  <c r="O935" i="1"/>
  <c r="P935" i="1"/>
  <c r="Q935" i="1" s="1"/>
  <c r="S935" i="1"/>
  <c r="A1073" i="1"/>
  <c r="C1073" i="1"/>
  <c r="B1073" i="1" s="1"/>
  <c r="D1073" i="1"/>
  <c r="F1073" i="1"/>
  <c r="M1073" i="1"/>
  <c r="O1073" i="1"/>
  <c r="P1073" i="1"/>
  <c r="Q1073" i="1" s="1"/>
  <c r="S1073" i="1"/>
  <c r="A1095" i="1"/>
  <c r="C1095" i="1"/>
  <c r="B1095" i="1" s="1"/>
  <c r="D1095" i="1"/>
  <c r="F1095" i="1"/>
  <c r="M1095" i="1"/>
  <c r="O1095" i="1"/>
  <c r="P1095" i="1"/>
  <c r="Q1095" i="1" s="1"/>
  <c r="S1095" i="1"/>
  <c r="A892" i="1"/>
  <c r="C892" i="1"/>
  <c r="B892" i="1" s="1"/>
  <c r="D892" i="1"/>
  <c r="F892" i="1"/>
  <c r="K892" i="1"/>
  <c r="M892" i="1" s="1"/>
  <c r="S892" i="1"/>
  <c r="A244" i="1"/>
  <c r="C244" i="1"/>
  <c r="B244" i="1" s="1"/>
  <c r="F244" i="1"/>
  <c r="M244" i="1"/>
  <c r="O244" i="1"/>
  <c r="P244" i="1"/>
  <c r="Q244" i="1" s="1"/>
  <c r="S244" i="1"/>
  <c r="A1397" i="1"/>
  <c r="C1397" i="1"/>
  <c r="B1397" i="1" s="1"/>
  <c r="F1397" i="1"/>
  <c r="M1397" i="1"/>
  <c r="O1397" i="1"/>
  <c r="P1397" i="1"/>
  <c r="Q1397" i="1" s="1"/>
  <c r="S1397" i="1"/>
  <c r="A1525" i="1"/>
  <c r="C1525" i="1"/>
  <c r="B1525" i="1" s="1"/>
  <c r="F1525" i="1"/>
  <c r="M1525" i="1"/>
  <c r="O1525" i="1"/>
  <c r="P1525" i="1"/>
  <c r="Q1525" i="1" s="1"/>
  <c r="S1525" i="1"/>
  <c r="A229" i="1"/>
  <c r="C229" i="1"/>
  <c r="B229" i="1" s="1"/>
  <c r="F229" i="1"/>
  <c r="M229" i="1"/>
  <c r="O229" i="1"/>
  <c r="P229" i="1"/>
  <c r="Q229" i="1" s="1"/>
  <c r="A854" i="1"/>
  <c r="C854" i="1"/>
  <c r="B854" i="1" s="1"/>
  <c r="D854" i="1"/>
  <c r="F854" i="1"/>
  <c r="M854" i="1"/>
  <c r="O854" i="1"/>
  <c r="P854" i="1"/>
  <c r="Q854" i="1" s="1"/>
  <c r="S854" i="1"/>
  <c r="A911" i="1"/>
  <c r="C911" i="1"/>
  <c r="B911" i="1" s="1"/>
  <c r="D911" i="1"/>
  <c r="F911" i="1"/>
  <c r="M911" i="1"/>
  <c r="O911" i="1"/>
  <c r="P911" i="1"/>
  <c r="Q911" i="1" s="1"/>
  <c r="S911" i="1"/>
  <c r="A912" i="1"/>
  <c r="C912" i="1"/>
  <c r="B912" i="1" s="1"/>
  <c r="D912" i="1"/>
  <c r="F912" i="1"/>
  <c r="M912" i="1"/>
  <c r="O912" i="1"/>
  <c r="P912" i="1"/>
  <c r="Q912" i="1" s="1"/>
  <c r="S912" i="1"/>
  <c r="A1685" i="1"/>
  <c r="C1685" i="1"/>
  <c r="B1685" i="1" s="1"/>
  <c r="D1685" i="1"/>
  <c r="F1685" i="1"/>
  <c r="K1685" i="1"/>
  <c r="O1685" i="1" s="1"/>
  <c r="S1685" i="1"/>
  <c r="A1170" i="1"/>
  <c r="C1170" i="1"/>
  <c r="B1170" i="1" s="1"/>
  <c r="F1170" i="1"/>
  <c r="M1170" i="1"/>
  <c r="O1170" i="1"/>
  <c r="P1170" i="1"/>
  <c r="Q1170" i="1" s="1"/>
  <c r="S1170" i="1"/>
  <c r="A268" i="1"/>
  <c r="C268" i="1"/>
  <c r="B268" i="1" s="1"/>
  <c r="D268" i="1"/>
  <c r="F268" i="1"/>
  <c r="M268" i="1"/>
  <c r="O268" i="1"/>
  <c r="P268" i="1"/>
  <c r="Q268" i="1" s="1"/>
  <c r="S268" i="1"/>
  <c r="A567" i="1"/>
  <c r="C567" i="1"/>
  <c r="B567" i="1" s="1"/>
  <c r="D567" i="1"/>
  <c r="F567" i="1"/>
  <c r="M567" i="1"/>
  <c r="O567" i="1"/>
  <c r="P567" i="1"/>
  <c r="Q567" i="1" s="1"/>
  <c r="S567" i="1"/>
  <c r="A926" i="1"/>
  <c r="C926" i="1"/>
  <c r="B926" i="1" s="1"/>
  <c r="D926" i="1"/>
  <c r="F926" i="1"/>
  <c r="M926" i="1"/>
  <c r="O926" i="1"/>
  <c r="P926" i="1"/>
  <c r="Q926" i="1" s="1"/>
  <c r="S926" i="1"/>
  <c r="A1743" i="1"/>
  <c r="C1743" i="1"/>
  <c r="B1743" i="1" s="1"/>
  <c r="F1743" i="1"/>
  <c r="M1743" i="1"/>
  <c r="O1743" i="1"/>
  <c r="P1743" i="1"/>
  <c r="Q1743" i="1" s="1"/>
  <c r="S1743" i="1"/>
  <c r="A1827" i="1"/>
  <c r="C1827" i="1"/>
  <c r="B1827" i="1" s="1"/>
  <c r="F1827" i="1"/>
  <c r="M1827" i="1"/>
  <c r="O1827" i="1"/>
  <c r="P1827" i="1"/>
  <c r="Q1827" i="1" s="1"/>
  <c r="S1827" i="1"/>
  <c r="A54" i="1"/>
  <c r="C54" i="1"/>
  <c r="B54" i="1" s="1"/>
  <c r="F54" i="1"/>
  <c r="M54" i="1"/>
  <c r="O54" i="1"/>
  <c r="P54" i="1"/>
  <c r="Q54" i="1" s="1"/>
  <c r="S54" i="1"/>
  <c r="A491" i="1"/>
  <c r="C491" i="1"/>
  <c r="B491" i="1" s="1"/>
  <c r="F491" i="1"/>
  <c r="M491" i="1"/>
  <c r="O491" i="1"/>
  <c r="P491" i="1"/>
  <c r="Q491" i="1" s="1"/>
  <c r="S491" i="1"/>
  <c r="A795" i="1"/>
  <c r="C795" i="1"/>
  <c r="B795" i="1" s="1"/>
  <c r="F795" i="1"/>
  <c r="M795" i="1"/>
  <c r="O795" i="1"/>
  <c r="P795" i="1"/>
  <c r="Q795" i="1" s="1"/>
  <c r="S795" i="1"/>
  <c r="A1526" i="1"/>
  <c r="C1526" i="1"/>
  <c r="B1526" i="1" s="1"/>
  <c r="F1526" i="1"/>
  <c r="M1526" i="1"/>
  <c r="O1526" i="1"/>
  <c r="P1526" i="1"/>
  <c r="Q1526" i="1" s="1"/>
  <c r="S1526" i="1"/>
  <c r="A1171" i="1"/>
  <c r="C1171" i="1"/>
  <c r="B1171" i="1" s="1"/>
  <c r="F1171" i="1"/>
  <c r="M1171" i="1"/>
  <c r="O1171" i="1"/>
  <c r="P1171" i="1"/>
  <c r="Q1171" i="1" s="1"/>
  <c r="S1171" i="1"/>
  <c r="A1527" i="1"/>
  <c r="C1527" i="1"/>
  <c r="B1527" i="1" s="1"/>
  <c r="F1527" i="1"/>
  <c r="M1527" i="1"/>
  <c r="O1527" i="1"/>
  <c r="P1527" i="1"/>
  <c r="Q1527" i="1" s="1"/>
  <c r="S1527" i="1"/>
  <c r="A1528" i="1"/>
  <c r="C1528" i="1"/>
  <c r="B1528" i="1" s="1"/>
  <c r="F1528" i="1"/>
  <c r="M1528" i="1"/>
  <c r="O1528" i="1"/>
  <c r="P1528" i="1"/>
  <c r="Q1528" i="1" s="1"/>
  <c r="S1528" i="1"/>
  <c r="A1631" i="1"/>
  <c r="C1631" i="1"/>
  <c r="B1631" i="1" s="1"/>
  <c r="F1631" i="1"/>
  <c r="M1631" i="1"/>
  <c r="O1631" i="1"/>
  <c r="P1631" i="1"/>
  <c r="Q1631" i="1" s="1"/>
  <c r="S1631" i="1"/>
  <c r="A245" i="1"/>
  <c r="C245" i="1"/>
  <c r="B245" i="1" s="1"/>
  <c r="F245" i="1"/>
  <c r="M245" i="1"/>
  <c r="O245" i="1"/>
  <c r="P245" i="1"/>
  <c r="Q245" i="1" s="1"/>
  <c r="S245" i="1"/>
  <c r="A548" i="1"/>
  <c r="C548" i="1"/>
  <c r="B548" i="1" s="1"/>
  <c r="F548" i="1"/>
  <c r="M548" i="1"/>
  <c r="O548" i="1"/>
  <c r="P548" i="1"/>
  <c r="Q548" i="1" s="1"/>
  <c r="S548" i="1"/>
  <c r="A269" i="1"/>
  <c r="C269" i="1"/>
  <c r="B269" i="1" s="1"/>
  <c r="D269" i="1"/>
  <c r="F269" i="1"/>
  <c r="M269" i="1"/>
  <c r="O269" i="1"/>
  <c r="P269" i="1"/>
  <c r="Q269" i="1" s="1"/>
  <c r="S269" i="1"/>
  <c r="A448" i="1"/>
  <c r="C448" i="1"/>
  <c r="B448" i="1" s="1"/>
  <c r="D448" i="1"/>
  <c r="F448" i="1"/>
  <c r="M448" i="1"/>
  <c r="O448" i="1"/>
  <c r="P448" i="1"/>
  <c r="Q448" i="1" s="1"/>
  <c r="S448" i="1"/>
  <c r="A464" i="1"/>
  <c r="C464" i="1"/>
  <c r="B464" i="1" s="1"/>
  <c r="D464" i="1"/>
  <c r="F464" i="1"/>
  <c r="M464" i="1"/>
  <c r="O464" i="1"/>
  <c r="P464" i="1"/>
  <c r="Q464" i="1" s="1"/>
  <c r="S464" i="1"/>
  <c r="A465" i="1"/>
  <c r="C465" i="1"/>
  <c r="B465" i="1" s="1"/>
  <c r="D465" i="1"/>
  <c r="F465" i="1"/>
  <c r="M465" i="1"/>
  <c r="O465" i="1"/>
  <c r="P465" i="1"/>
  <c r="Q465" i="1" s="1"/>
  <c r="S465" i="1"/>
  <c r="A673" i="1"/>
  <c r="C673" i="1"/>
  <c r="B673" i="1" s="1"/>
  <c r="D673" i="1"/>
  <c r="F673" i="1"/>
  <c r="M673" i="1"/>
  <c r="O673" i="1"/>
  <c r="P673" i="1"/>
  <c r="Q673" i="1" s="1"/>
  <c r="S673" i="1"/>
  <c r="A916" i="1"/>
  <c r="C916" i="1"/>
  <c r="B916" i="1" s="1"/>
  <c r="D916" i="1"/>
  <c r="F916" i="1"/>
  <c r="M916" i="1"/>
  <c r="O916" i="1"/>
  <c r="P916" i="1"/>
  <c r="Q916" i="1" s="1"/>
  <c r="S916" i="1"/>
  <c r="A1271" i="1"/>
  <c r="C1271" i="1"/>
  <c r="B1271" i="1" s="1"/>
  <c r="D1271" i="1"/>
  <c r="F1271" i="1"/>
  <c r="O1271" i="1"/>
  <c r="P1271" i="1"/>
  <c r="Q1271" i="1" s="1"/>
  <c r="S1271" i="1"/>
  <c r="A55" i="1"/>
  <c r="C55" i="1"/>
  <c r="B55" i="1" s="1"/>
  <c r="F55" i="1"/>
  <c r="M55" i="1"/>
  <c r="O55" i="1"/>
  <c r="P55" i="1"/>
  <c r="Q55" i="1" s="1"/>
  <c r="S55" i="1"/>
  <c r="A350" i="1"/>
  <c r="C350" i="1"/>
  <c r="B350" i="1" s="1"/>
  <c r="D350" i="1"/>
  <c r="F350" i="1"/>
  <c r="M350" i="1"/>
  <c r="O350" i="1"/>
  <c r="P350" i="1"/>
  <c r="Q350" i="1" s="1"/>
  <c r="S350" i="1"/>
  <c r="A893" i="1"/>
  <c r="C893" i="1"/>
  <c r="B893" i="1" s="1"/>
  <c r="D893" i="1"/>
  <c r="F893" i="1"/>
  <c r="K893" i="1"/>
  <c r="M893" i="1" s="1"/>
  <c r="S893" i="1"/>
  <c r="A741" i="1"/>
  <c r="C741" i="1"/>
  <c r="B741" i="1" s="1"/>
  <c r="F741" i="1"/>
  <c r="M741" i="1"/>
  <c r="O741" i="1"/>
  <c r="P741" i="1"/>
  <c r="Q741" i="1" s="1"/>
  <c r="S741" i="1"/>
  <c r="A262" i="1"/>
  <c r="C262" i="1"/>
  <c r="B262" i="1" s="1"/>
  <c r="D262" i="1"/>
  <c r="F262" i="1"/>
  <c r="M262" i="1"/>
  <c r="O262" i="1"/>
  <c r="P262" i="1"/>
  <c r="Q262" i="1" s="1"/>
  <c r="S262" i="1"/>
  <c r="A1598" i="1"/>
  <c r="C1598" i="1"/>
  <c r="B1598" i="1" s="1"/>
  <c r="F1598" i="1"/>
  <c r="M1598" i="1"/>
  <c r="O1598" i="1"/>
  <c r="P1598" i="1"/>
  <c r="Q1598" i="1" s="1"/>
  <c r="S1598" i="1"/>
  <c r="A917" i="1"/>
  <c r="C917" i="1"/>
  <c r="B917" i="1" s="1"/>
  <c r="D917" i="1"/>
  <c r="F917" i="1"/>
  <c r="M917" i="1"/>
  <c r="O917" i="1"/>
  <c r="P917" i="1"/>
  <c r="Q917" i="1" s="1"/>
  <c r="S917" i="1"/>
  <c r="A449" i="1"/>
  <c r="C449" i="1"/>
  <c r="B449" i="1" s="1"/>
  <c r="D449" i="1"/>
  <c r="F449" i="1"/>
  <c r="M449" i="1"/>
  <c r="O449" i="1"/>
  <c r="P449" i="1"/>
  <c r="Q449" i="1" s="1"/>
  <c r="S449" i="1"/>
  <c r="A1398" i="1"/>
  <c r="C1398" i="1"/>
  <c r="B1398" i="1" s="1"/>
  <c r="F1398" i="1"/>
  <c r="M1398" i="1"/>
  <c r="O1398" i="1"/>
  <c r="P1398" i="1"/>
  <c r="Q1398" i="1" s="1"/>
  <c r="S1398" i="1"/>
  <c r="A894" i="1"/>
  <c r="C894" i="1"/>
  <c r="B894" i="1" s="1"/>
  <c r="D894" i="1"/>
  <c r="F894" i="1"/>
  <c r="K894" i="1"/>
  <c r="S894" i="1"/>
  <c r="A907" i="1"/>
  <c r="C907" i="1"/>
  <c r="B907" i="1" s="1"/>
  <c r="D907" i="1"/>
  <c r="F907" i="1"/>
  <c r="K907" i="1"/>
  <c r="O907" i="1" s="1"/>
  <c r="S907" i="1"/>
  <c r="A1313" i="1"/>
  <c r="C1313" i="1"/>
  <c r="B1313" i="1" s="1"/>
  <c r="D1313" i="1"/>
  <c r="F1313" i="1"/>
  <c r="M1313" i="1"/>
  <c r="O1313" i="1"/>
  <c r="P1313" i="1"/>
  <c r="Q1313" i="1" s="1"/>
  <c r="S1313" i="1"/>
  <c r="A1480" i="1"/>
  <c r="C1480" i="1"/>
  <c r="B1480" i="1" s="1"/>
  <c r="F1480" i="1"/>
  <c r="M1480" i="1"/>
  <c r="O1480" i="1"/>
  <c r="P1480" i="1"/>
  <c r="Q1480" i="1" s="1"/>
  <c r="S1480" i="1"/>
  <c r="A127" i="1"/>
  <c r="C127" i="1"/>
  <c r="B127" i="1" s="1"/>
  <c r="F127" i="1"/>
  <c r="M127" i="1"/>
  <c r="O127" i="1"/>
  <c r="P127" i="1"/>
  <c r="Q127" i="1" s="1"/>
  <c r="S127" i="1"/>
  <c r="A246" i="1"/>
  <c r="C246" i="1"/>
  <c r="B246" i="1" s="1"/>
  <c r="F246" i="1"/>
  <c r="M246" i="1"/>
  <c r="O246" i="1"/>
  <c r="P246" i="1"/>
  <c r="Q246" i="1" s="1"/>
  <c r="S246" i="1"/>
  <c r="A1608" i="1"/>
  <c r="C1608" i="1"/>
  <c r="B1608" i="1" s="1"/>
  <c r="D1608" i="1"/>
  <c r="F1608" i="1"/>
  <c r="K1608" i="1"/>
  <c r="O1608" i="1" s="1"/>
  <c r="S1608" i="1"/>
  <c r="A855" i="1"/>
  <c r="C855" i="1"/>
  <c r="B855" i="1" s="1"/>
  <c r="D855" i="1"/>
  <c r="F855" i="1"/>
  <c r="M855" i="1"/>
  <c r="O855" i="1"/>
  <c r="P855" i="1"/>
  <c r="Q855" i="1" s="1"/>
  <c r="S855" i="1"/>
  <c r="A1529" i="1"/>
  <c r="C1529" i="1"/>
  <c r="B1529" i="1" s="1"/>
  <c r="F1529" i="1"/>
  <c r="M1529" i="1"/>
  <c r="O1529" i="1"/>
  <c r="P1529" i="1"/>
  <c r="Q1529" i="1" s="1"/>
  <c r="S1529" i="1"/>
  <c r="A742" i="1"/>
  <c r="C742" i="1"/>
  <c r="B742" i="1" s="1"/>
  <c r="F742" i="1"/>
  <c r="M742" i="1"/>
  <c r="O742" i="1"/>
  <c r="P742" i="1"/>
  <c r="Q742" i="1" s="1"/>
  <c r="S742" i="1"/>
  <c r="A1211" i="1"/>
  <c r="C1211" i="1"/>
  <c r="B1211" i="1" s="1"/>
  <c r="F1211" i="1"/>
  <c r="M1211" i="1"/>
  <c r="O1211" i="1"/>
  <c r="P1211" i="1"/>
  <c r="Q1211" i="1" s="1"/>
  <c r="S1211" i="1"/>
  <c r="A150" i="1"/>
  <c r="C150" i="1"/>
  <c r="B150" i="1" s="1"/>
  <c r="F150" i="1"/>
  <c r="M150" i="1"/>
  <c r="O150" i="1"/>
  <c r="P150" i="1"/>
  <c r="Q150" i="1" s="1"/>
  <c r="S150" i="1"/>
  <c r="A151" i="1"/>
  <c r="C151" i="1"/>
  <c r="B151" i="1" s="1"/>
  <c r="F151" i="1"/>
  <c r="M151" i="1"/>
  <c r="O151" i="1"/>
  <c r="P151" i="1"/>
  <c r="Q151" i="1" s="1"/>
  <c r="S151" i="1"/>
  <c r="A152" i="1"/>
  <c r="C152" i="1"/>
  <c r="B152" i="1" s="1"/>
  <c r="F152" i="1"/>
  <c r="M152" i="1"/>
  <c r="O152" i="1"/>
  <c r="P152" i="1"/>
  <c r="Q152" i="1" s="1"/>
  <c r="S152" i="1"/>
  <c r="A153" i="1"/>
  <c r="C153" i="1"/>
  <c r="B153" i="1" s="1"/>
  <c r="F153" i="1"/>
  <c r="M153" i="1"/>
  <c r="O153" i="1"/>
  <c r="P153" i="1"/>
  <c r="Q153" i="1" s="1"/>
  <c r="S153" i="1"/>
  <c r="A154" i="1"/>
  <c r="C154" i="1"/>
  <c r="B154" i="1" s="1"/>
  <c r="F154" i="1"/>
  <c r="M154" i="1"/>
  <c r="O154" i="1"/>
  <c r="P154" i="1"/>
  <c r="Q154" i="1" s="1"/>
  <c r="S154" i="1"/>
  <c r="A128" i="1"/>
  <c r="C128" i="1"/>
  <c r="B128" i="1" s="1"/>
  <c r="F128" i="1"/>
  <c r="M128" i="1"/>
  <c r="O128" i="1"/>
  <c r="P128" i="1"/>
  <c r="Q128" i="1" s="1"/>
  <c r="S128" i="1"/>
  <c r="A270" i="1"/>
  <c r="C270" i="1"/>
  <c r="B270" i="1" s="1"/>
  <c r="D270" i="1"/>
  <c r="F270" i="1"/>
  <c r="M270" i="1"/>
  <c r="O270" i="1"/>
  <c r="P270" i="1"/>
  <c r="Q270" i="1" s="1"/>
  <c r="S270" i="1"/>
  <c r="A282" i="1"/>
  <c r="C282" i="1"/>
  <c r="B282" i="1" s="1"/>
  <c r="F282" i="1"/>
  <c r="M282" i="1"/>
  <c r="O282" i="1"/>
  <c r="P282" i="1"/>
  <c r="Q282" i="1" s="1"/>
  <c r="S282" i="1"/>
  <c r="A625" i="1"/>
  <c r="C625" i="1"/>
  <c r="B625" i="1" s="1"/>
  <c r="F625" i="1"/>
  <c r="M625" i="1"/>
  <c r="O625" i="1"/>
  <c r="P625" i="1"/>
  <c r="Q625" i="1" s="1"/>
  <c r="S625" i="1"/>
  <c r="A936" i="1"/>
  <c r="C936" i="1"/>
  <c r="B936" i="1" s="1"/>
  <c r="F936" i="1"/>
  <c r="M936" i="1"/>
  <c r="O936" i="1"/>
  <c r="P936" i="1"/>
  <c r="Q936" i="1" s="1"/>
  <c r="S936" i="1"/>
  <c r="A939" i="1"/>
  <c r="C939" i="1"/>
  <c r="B939" i="1" s="1"/>
  <c r="F939" i="1"/>
  <c r="M939" i="1"/>
  <c r="O939" i="1"/>
  <c r="P939" i="1"/>
  <c r="Q939" i="1" s="1"/>
  <c r="S939" i="1"/>
  <c r="A940" i="1"/>
  <c r="C940" i="1"/>
  <c r="B940" i="1" s="1"/>
  <c r="F940" i="1"/>
  <c r="M940" i="1"/>
  <c r="O940" i="1"/>
  <c r="P940" i="1"/>
  <c r="Q940" i="1" s="1"/>
  <c r="S940" i="1"/>
  <c r="A1010" i="1"/>
  <c r="C1010" i="1"/>
  <c r="B1010" i="1" s="1"/>
  <c r="F1010" i="1"/>
  <c r="M1010" i="1"/>
  <c r="O1010" i="1"/>
  <c r="P1010" i="1"/>
  <c r="Q1010" i="1" s="1"/>
  <c r="S1010" i="1"/>
  <c r="A972" i="1"/>
  <c r="C972" i="1"/>
  <c r="B972" i="1" s="1"/>
  <c r="D972" i="1"/>
  <c r="F972" i="1"/>
  <c r="M972" i="1"/>
  <c r="P972" i="1"/>
  <c r="Q972" i="1" s="1"/>
  <c r="S972" i="1"/>
  <c r="A986" i="1"/>
  <c r="C986" i="1"/>
  <c r="B986" i="1" s="1"/>
  <c r="D986" i="1"/>
  <c r="F986" i="1"/>
  <c r="M986" i="1"/>
  <c r="P986" i="1"/>
  <c r="Q986" i="1" s="1"/>
  <c r="S986" i="1"/>
  <c r="A1057" i="1"/>
  <c r="C1057" i="1"/>
  <c r="B1057" i="1" s="1"/>
  <c r="D1057" i="1"/>
  <c r="F1057" i="1"/>
  <c r="M1057" i="1"/>
  <c r="O1057" i="1"/>
  <c r="Q1057" i="1"/>
  <c r="S1057" i="1"/>
  <c r="A1113" i="1"/>
  <c r="C1113" i="1"/>
  <c r="B1113" i="1" s="1"/>
  <c r="F1113" i="1"/>
  <c r="M1113" i="1"/>
  <c r="O1113" i="1"/>
  <c r="P1113" i="1"/>
  <c r="Q1113" i="1" s="1"/>
  <c r="S1113" i="1"/>
  <c r="A1272" i="1"/>
  <c r="C1272" i="1"/>
  <c r="B1272" i="1" s="1"/>
  <c r="D1272" i="1"/>
  <c r="F1272" i="1"/>
  <c r="O1272" i="1"/>
  <c r="P1272" i="1"/>
  <c r="Q1272" i="1" s="1"/>
  <c r="S1272" i="1"/>
  <c r="A114" i="1"/>
  <c r="C114" i="1"/>
  <c r="B114" i="1" s="1"/>
  <c r="D114" i="1"/>
  <c r="F114" i="1"/>
  <c r="M114" i="1"/>
  <c r="O114" i="1"/>
  <c r="P114" i="1"/>
  <c r="Q114" i="1" s="1"/>
  <c r="S114" i="1"/>
  <c r="A674" i="1"/>
  <c r="C674" i="1"/>
  <c r="B674" i="1" s="1"/>
  <c r="D674" i="1"/>
  <c r="F674" i="1"/>
  <c r="M674" i="1"/>
  <c r="O674" i="1"/>
  <c r="P674" i="1"/>
  <c r="Q674" i="1" s="1"/>
  <c r="S674" i="1"/>
  <c r="A842" i="1"/>
  <c r="C842" i="1"/>
  <c r="B842" i="1" s="1"/>
  <c r="D842" i="1"/>
  <c r="F842" i="1"/>
  <c r="M842" i="1"/>
  <c r="O842" i="1"/>
  <c r="P842" i="1"/>
  <c r="Q842" i="1" s="1"/>
  <c r="S842" i="1"/>
  <c r="A1744" i="1"/>
  <c r="C1744" i="1"/>
  <c r="B1744" i="1" s="1"/>
  <c r="F1744" i="1"/>
  <c r="M1744" i="1"/>
  <c r="O1744" i="1"/>
  <c r="P1744" i="1"/>
  <c r="Q1744" i="1" s="1"/>
  <c r="S1744" i="1"/>
  <c r="A351" i="1"/>
  <c r="C351" i="1"/>
  <c r="B351" i="1" s="1"/>
  <c r="D351" i="1"/>
  <c r="F351" i="1"/>
  <c r="M351" i="1"/>
  <c r="O351" i="1"/>
  <c r="P351" i="1"/>
  <c r="Q351" i="1" s="1"/>
  <c r="S351" i="1"/>
  <c r="A438" i="1"/>
  <c r="C438" i="1"/>
  <c r="B438" i="1" s="1"/>
  <c r="D438" i="1"/>
  <c r="F438" i="1"/>
  <c r="M438" i="1"/>
  <c r="O438" i="1"/>
  <c r="P438" i="1"/>
  <c r="Q438" i="1" s="1"/>
  <c r="S438" i="1"/>
  <c r="A549" i="1"/>
  <c r="C549" i="1"/>
  <c r="B549" i="1" s="1"/>
  <c r="F549" i="1"/>
  <c r="M549" i="1"/>
  <c r="O549" i="1"/>
  <c r="P549" i="1"/>
  <c r="Q549" i="1" s="1"/>
  <c r="S549" i="1"/>
  <c r="A550" i="1"/>
  <c r="C550" i="1"/>
  <c r="B550" i="1" s="1"/>
  <c r="F550" i="1"/>
  <c r="M550" i="1"/>
  <c r="O550" i="1"/>
  <c r="P550" i="1"/>
  <c r="Q550" i="1" s="1"/>
  <c r="S550" i="1"/>
  <c r="A551" i="1"/>
  <c r="C551" i="1"/>
  <c r="B551" i="1" s="1"/>
  <c r="F551" i="1"/>
  <c r="M551" i="1"/>
  <c r="O551" i="1"/>
  <c r="P551" i="1"/>
  <c r="Q551" i="1" s="1"/>
  <c r="S551" i="1"/>
  <c r="A247" i="1"/>
  <c r="C247" i="1"/>
  <c r="B247" i="1" s="1"/>
  <c r="F247" i="1"/>
  <c r="M247" i="1"/>
  <c r="O247" i="1"/>
  <c r="P247" i="1"/>
  <c r="Q247" i="1" s="1"/>
  <c r="S247" i="1"/>
  <c r="A91" i="1"/>
  <c r="C91" i="1"/>
  <c r="B91" i="1" s="1"/>
  <c r="D91" i="1"/>
  <c r="F91" i="1"/>
  <c r="M91" i="1"/>
  <c r="O91" i="1"/>
  <c r="P91" i="1"/>
  <c r="Q91" i="1" s="1"/>
  <c r="S91" i="1"/>
  <c r="A552" i="1"/>
  <c r="C552" i="1"/>
  <c r="B552" i="1" s="1"/>
  <c r="F552" i="1"/>
  <c r="M552" i="1"/>
  <c r="O552" i="1"/>
  <c r="P552" i="1"/>
  <c r="Q552" i="1" s="1"/>
  <c r="S552" i="1"/>
  <c r="A796" i="1"/>
  <c r="C796" i="1"/>
  <c r="B796" i="1" s="1"/>
  <c r="F796" i="1"/>
  <c r="M796" i="1"/>
  <c r="O796" i="1"/>
  <c r="P796" i="1"/>
  <c r="Q796" i="1" s="1"/>
  <c r="S796" i="1"/>
  <c r="A1449" i="1"/>
  <c r="C1449" i="1"/>
  <c r="B1449" i="1" s="1"/>
  <c r="F1449" i="1"/>
  <c r="M1449" i="1"/>
  <c r="O1449" i="1"/>
  <c r="P1449" i="1"/>
  <c r="Q1449" i="1" s="1"/>
  <c r="S1449" i="1"/>
  <c r="A553" i="1"/>
  <c r="C553" i="1"/>
  <c r="B553" i="1" s="1"/>
  <c r="F553" i="1"/>
  <c r="M553" i="1"/>
  <c r="O553" i="1"/>
  <c r="P553" i="1"/>
  <c r="Q553" i="1" s="1"/>
  <c r="S553" i="1"/>
  <c r="A1172" i="1"/>
  <c r="C1172" i="1"/>
  <c r="B1172" i="1" s="1"/>
  <c r="F1172" i="1"/>
  <c r="M1172" i="1"/>
  <c r="O1172" i="1"/>
  <c r="P1172" i="1"/>
  <c r="Q1172" i="1" s="1"/>
  <c r="S1172" i="1"/>
  <c r="A1291" i="1"/>
  <c r="C1291" i="1"/>
  <c r="B1291" i="1" s="1"/>
  <c r="F1291" i="1"/>
  <c r="M1291" i="1"/>
  <c r="O1291" i="1"/>
  <c r="P1291" i="1"/>
  <c r="Q1291" i="1" s="1"/>
  <c r="S1291" i="1"/>
  <c r="A1385" i="1"/>
  <c r="C1385" i="1"/>
  <c r="B1385" i="1" s="1"/>
  <c r="F1385" i="1"/>
  <c r="K1385" i="1"/>
  <c r="M1385" i="1" s="1"/>
  <c r="S1385" i="1"/>
  <c r="A1745" i="1"/>
  <c r="C1745" i="1"/>
  <c r="B1745" i="1" s="1"/>
  <c r="F1745" i="1"/>
  <c r="M1745" i="1"/>
  <c r="O1745" i="1"/>
  <c r="P1745" i="1"/>
  <c r="Q1745" i="1" s="1"/>
  <c r="S1745" i="1"/>
  <c r="A1746" i="1"/>
  <c r="C1746" i="1"/>
  <c r="B1746" i="1" s="1"/>
  <c r="F1746" i="1"/>
  <c r="M1746" i="1"/>
  <c r="O1746" i="1"/>
  <c r="P1746" i="1"/>
  <c r="Q1746" i="1" s="1"/>
  <c r="S1746" i="1"/>
  <c r="A1828" i="1"/>
  <c r="C1828" i="1"/>
  <c r="B1828" i="1" s="1"/>
  <c r="F1828" i="1"/>
  <c r="M1828" i="1"/>
  <c r="O1828" i="1"/>
  <c r="P1828" i="1"/>
  <c r="Q1828" i="1" s="1"/>
  <c r="S1828" i="1"/>
  <c r="A675" i="1"/>
  <c r="C675" i="1"/>
  <c r="B675" i="1" s="1"/>
  <c r="D675" i="1"/>
  <c r="F675" i="1"/>
  <c r="M675" i="1"/>
  <c r="O675" i="1"/>
  <c r="P675" i="1"/>
  <c r="Q675" i="1" s="1"/>
  <c r="S675" i="1"/>
  <c r="A767" i="1"/>
  <c r="C767" i="1"/>
  <c r="B767" i="1" s="1"/>
  <c r="D767" i="1"/>
  <c r="F767" i="1"/>
  <c r="M767" i="1"/>
  <c r="O767" i="1"/>
  <c r="P767" i="1"/>
  <c r="Q767" i="1" s="1"/>
  <c r="S767" i="1"/>
  <c r="A1530" i="1"/>
  <c r="C1530" i="1"/>
  <c r="B1530" i="1" s="1"/>
  <c r="F1530" i="1"/>
  <c r="M1530" i="1"/>
  <c r="O1530" i="1"/>
  <c r="P1530" i="1"/>
  <c r="Q1530" i="1" s="1"/>
  <c r="S1530" i="1"/>
  <c r="A1796" i="1"/>
  <c r="C1796" i="1"/>
  <c r="B1796" i="1" s="1"/>
  <c r="F1796" i="1"/>
  <c r="M1796" i="1"/>
  <c r="O1796" i="1"/>
  <c r="P1796" i="1"/>
  <c r="Q1796" i="1" s="1"/>
  <c r="S1796" i="1"/>
  <c r="A1173" i="1"/>
  <c r="C1173" i="1"/>
  <c r="B1173" i="1" s="1"/>
  <c r="F1173" i="1"/>
  <c r="M1173" i="1"/>
  <c r="O1173" i="1"/>
  <c r="P1173" i="1"/>
  <c r="Q1173" i="1" s="1"/>
  <c r="S1173" i="1"/>
  <c r="A1686" i="1"/>
  <c r="C1686" i="1"/>
  <c r="B1686" i="1" s="1"/>
  <c r="D1686" i="1"/>
  <c r="F1686" i="1"/>
  <c r="K1686" i="1"/>
  <c r="O1686" i="1" s="1"/>
  <c r="S1686" i="1"/>
  <c r="A768" i="1"/>
  <c r="C768" i="1"/>
  <c r="B768" i="1" s="1"/>
  <c r="D768" i="1"/>
  <c r="F768" i="1"/>
  <c r="M768" i="1"/>
  <c r="O768" i="1"/>
  <c r="P768" i="1"/>
  <c r="Q768" i="1" s="1"/>
  <c r="S768" i="1"/>
  <c r="A1399" i="1"/>
  <c r="C1399" i="1"/>
  <c r="B1399" i="1" s="1"/>
  <c r="F1399" i="1"/>
  <c r="O1399" i="1"/>
  <c r="P1399" i="1"/>
  <c r="Q1399" i="1" s="1"/>
  <c r="S1399" i="1"/>
  <c r="A23" i="1"/>
  <c r="C23" i="1"/>
  <c r="B23" i="1" s="1"/>
  <c r="F23" i="1"/>
  <c r="M23" i="1"/>
  <c r="O23" i="1"/>
  <c r="P23" i="1"/>
  <c r="Q23" i="1" s="1"/>
  <c r="S23" i="1"/>
  <c r="A263" i="1"/>
  <c r="C263" i="1"/>
  <c r="B263" i="1" s="1"/>
  <c r="D263" i="1"/>
  <c r="F263" i="1"/>
  <c r="M263" i="1"/>
  <c r="O263" i="1"/>
  <c r="P263" i="1"/>
  <c r="Q263" i="1" s="1"/>
  <c r="S263" i="1"/>
  <c r="A876" i="1"/>
  <c r="C876" i="1"/>
  <c r="B876" i="1" s="1"/>
  <c r="F876" i="1"/>
  <c r="M876" i="1"/>
  <c r="O876" i="1"/>
  <c r="P876" i="1"/>
  <c r="Q876" i="1" s="1"/>
  <c r="S876" i="1"/>
  <c r="A743" i="1"/>
  <c r="C743" i="1"/>
  <c r="B743" i="1" s="1"/>
  <c r="F743" i="1"/>
  <c r="M743" i="1"/>
  <c r="O743" i="1"/>
  <c r="Q743" i="1"/>
  <c r="S743" i="1"/>
  <c r="A352" i="1"/>
  <c r="C352" i="1"/>
  <c r="B352" i="1" s="1"/>
  <c r="D352" i="1"/>
  <c r="F352" i="1"/>
  <c r="M352" i="1"/>
  <c r="O352" i="1"/>
  <c r="P352" i="1"/>
  <c r="Q352" i="1" s="1"/>
  <c r="S352" i="1"/>
  <c r="A913" i="1"/>
  <c r="C913" i="1"/>
  <c r="B913" i="1" s="1"/>
  <c r="D913" i="1"/>
  <c r="F913" i="1"/>
  <c r="M913" i="1"/>
  <c r="O913" i="1"/>
  <c r="P913" i="1"/>
  <c r="Q913" i="1" s="1"/>
  <c r="S913" i="1"/>
  <c r="A744" i="1"/>
  <c r="C744" i="1"/>
  <c r="B744" i="1" s="1"/>
  <c r="F744" i="1"/>
  <c r="M744" i="1"/>
  <c r="O744" i="1"/>
  <c r="P744" i="1"/>
  <c r="Q744" i="1" s="1"/>
  <c r="S744" i="1"/>
  <c r="A1590" i="1"/>
  <c r="C1590" i="1"/>
  <c r="B1590" i="1" s="1"/>
  <c r="D1590" i="1"/>
  <c r="F1590" i="1"/>
  <c r="M1590" i="1"/>
  <c r="O1590" i="1"/>
  <c r="P1590" i="1"/>
  <c r="Q1590" i="1" s="1"/>
  <c r="S1590" i="1"/>
  <c r="A353" i="1"/>
  <c r="C353" i="1"/>
  <c r="B353" i="1" s="1"/>
  <c r="D353" i="1"/>
  <c r="F353" i="1"/>
  <c r="M353" i="1"/>
  <c r="O353" i="1"/>
  <c r="P353" i="1"/>
  <c r="Q353" i="1" s="1"/>
  <c r="S353" i="1"/>
  <c r="A888" i="1"/>
  <c r="C888" i="1"/>
  <c r="B888" i="1" s="1"/>
  <c r="D888" i="1"/>
  <c r="F888" i="1"/>
  <c r="K888" i="1"/>
  <c r="M888" i="1" s="1"/>
  <c r="S888" i="1"/>
  <c r="A56" i="1"/>
  <c r="C56" i="1"/>
  <c r="B56" i="1" s="1"/>
  <c r="F56" i="1"/>
  <c r="K56" i="1"/>
  <c r="M56" i="1" s="1"/>
  <c r="S56" i="1"/>
  <c r="A450" i="1"/>
  <c r="C450" i="1"/>
  <c r="B450" i="1" s="1"/>
  <c r="D450" i="1"/>
  <c r="F450" i="1"/>
  <c r="M450" i="1"/>
  <c r="O450" i="1"/>
  <c r="P450" i="1"/>
  <c r="Q450" i="1" s="1"/>
  <c r="S450" i="1"/>
  <c r="A918" i="1"/>
  <c r="C918" i="1"/>
  <c r="B918" i="1" s="1"/>
  <c r="D918" i="1"/>
  <c r="F918" i="1"/>
  <c r="M918" i="1"/>
  <c r="O918" i="1"/>
  <c r="P918" i="1"/>
  <c r="Q918" i="1" s="1"/>
  <c r="S918" i="1"/>
  <c r="A1174" i="1"/>
  <c r="C1174" i="1"/>
  <c r="B1174" i="1" s="1"/>
  <c r="F1174" i="1"/>
  <c r="K1174" i="1"/>
  <c r="M1174" i="1" s="1"/>
  <c r="S1174" i="1"/>
  <c r="A1469" i="1"/>
  <c r="C1469" i="1"/>
  <c r="B1469" i="1" s="1"/>
  <c r="F1469" i="1"/>
  <c r="M1469" i="1"/>
  <c r="O1469" i="1"/>
  <c r="P1469" i="1"/>
  <c r="Q1469" i="1" s="1"/>
  <c r="S1469" i="1"/>
  <c r="A92" i="1"/>
  <c r="C92" i="1"/>
  <c r="B92" i="1" s="1"/>
  <c r="D92" i="1"/>
  <c r="F92" i="1"/>
  <c r="M92" i="1"/>
  <c r="O92" i="1"/>
  <c r="P92" i="1"/>
  <c r="Q92" i="1" s="1"/>
  <c r="S92" i="1"/>
  <c r="A1042" i="1"/>
  <c r="C1042" i="1"/>
  <c r="B1042" i="1" s="1"/>
  <c r="D1042" i="1"/>
  <c r="F1042" i="1"/>
  <c r="M1042" i="1"/>
  <c r="O1042" i="1"/>
  <c r="P1042" i="1"/>
  <c r="Q1042" i="1" s="1"/>
  <c r="S1042" i="1"/>
  <c r="A797" i="1"/>
  <c r="C797" i="1"/>
  <c r="B797" i="1" s="1"/>
  <c r="F797" i="1"/>
  <c r="M797" i="1"/>
  <c r="O797" i="1"/>
  <c r="P797" i="1"/>
  <c r="Q797" i="1" s="1"/>
  <c r="S797" i="1"/>
  <c r="A895" i="1"/>
  <c r="C895" i="1"/>
  <c r="B895" i="1" s="1"/>
  <c r="D895" i="1"/>
  <c r="F895" i="1"/>
  <c r="K895" i="1"/>
  <c r="M895" i="1" s="1"/>
  <c r="S895" i="1"/>
  <c r="A1114" i="1"/>
  <c r="C1114" i="1"/>
  <c r="B1114" i="1" s="1"/>
  <c r="F1114" i="1"/>
  <c r="M1114" i="1"/>
  <c r="O1114" i="1"/>
  <c r="Q1114" i="1"/>
  <c r="S1114" i="1"/>
  <c r="A1292" i="1"/>
  <c r="C1292" i="1"/>
  <c r="B1292" i="1" s="1"/>
  <c r="F1292" i="1"/>
  <c r="M1292" i="1"/>
  <c r="O1292" i="1"/>
  <c r="P1292" i="1"/>
  <c r="Q1292" i="1" s="1"/>
  <c r="S1292" i="1"/>
  <c r="A1632" i="1"/>
  <c r="C1632" i="1"/>
  <c r="B1632" i="1" s="1"/>
  <c r="F1632" i="1"/>
  <c r="M1632" i="1"/>
  <c r="O1632" i="1"/>
  <c r="P1632" i="1"/>
  <c r="Q1632" i="1" s="1"/>
  <c r="S1632" i="1"/>
  <c r="A1450" i="1"/>
  <c r="C1450" i="1"/>
  <c r="B1450" i="1" s="1"/>
  <c r="F1450" i="1"/>
  <c r="M1450" i="1"/>
  <c r="O1450" i="1"/>
  <c r="P1450" i="1"/>
  <c r="Q1450" i="1" s="1"/>
  <c r="S1450" i="1"/>
  <c r="A1797" i="1"/>
  <c r="C1797" i="1"/>
  <c r="B1797" i="1" s="1"/>
  <c r="F1797" i="1"/>
  <c r="M1797" i="1"/>
  <c r="O1797" i="1"/>
  <c r="P1797" i="1"/>
  <c r="Q1797" i="1" s="1"/>
  <c r="S1797" i="1"/>
  <c r="A941" i="1"/>
  <c r="C941" i="1"/>
  <c r="B941" i="1" s="1"/>
  <c r="F941" i="1"/>
  <c r="M941" i="1"/>
  <c r="O941" i="1"/>
  <c r="P941" i="1"/>
  <c r="Q941" i="1" s="1"/>
  <c r="S941" i="1"/>
  <c r="A942" i="1"/>
  <c r="C942" i="1"/>
  <c r="B942" i="1" s="1"/>
  <c r="F942" i="1"/>
  <c r="M942" i="1"/>
  <c r="O942" i="1"/>
  <c r="P942" i="1"/>
  <c r="Q942" i="1" s="1"/>
  <c r="S942" i="1"/>
  <c r="A1011" i="1"/>
  <c r="C1011" i="1"/>
  <c r="B1011" i="1" s="1"/>
  <c r="F1011" i="1"/>
  <c r="M1011" i="1"/>
  <c r="O1011" i="1"/>
  <c r="P1011" i="1"/>
  <c r="Q1011" i="1" s="1"/>
  <c r="S1011" i="1"/>
  <c r="A973" i="1"/>
  <c r="C973" i="1"/>
  <c r="B973" i="1" s="1"/>
  <c r="D973" i="1"/>
  <c r="F973" i="1"/>
  <c r="M973" i="1"/>
  <c r="P973" i="1"/>
  <c r="Q973" i="1" s="1"/>
  <c r="S973" i="1"/>
  <c r="A987" i="1"/>
  <c r="C987" i="1"/>
  <c r="B987" i="1" s="1"/>
  <c r="D987" i="1"/>
  <c r="F987" i="1"/>
  <c r="M987" i="1"/>
  <c r="P987" i="1"/>
  <c r="Q987" i="1" s="1"/>
  <c r="S987" i="1"/>
  <c r="A1043" i="1"/>
  <c r="C1043" i="1"/>
  <c r="B1043" i="1" s="1"/>
  <c r="D1043" i="1"/>
  <c r="F1043" i="1"/>
  <c r="M1043" i="1"/>
  <c r="O1043" i="1"/>
  <c r="P1043" i="1"/>
  <c r="Q1043" i="1" s="1"/>
  <c r="S1043" i="1"/>
  <c r="A1058" i="1"/>
  <c r="C1058" i="1"/>
  <c r="B1058" i="1" s="1"/>
  <c r="D1058" i="1"/>
  <c r="F1058" i="1"/>
  <c r="M1058" i="1"/>
  <c r="O1058" i="1"/>
  <c r="S1058" i="1"/>
  <c r="A1115" i="1"/>
  <c r="C1115" i="1"/>
  <c r="B1115" i="1" s="1"/>
  <c r="F1115" i="1"/>
  <c r="M1115" i="1"/>
  <c r="P1115" i="1"/>
  <c r="Q1115" i="1" s="1"/>
  <c r="S1115" i="1"/>
  <c r="A1400" i="1"/>
  <c r="C1400" i="1"/>
  <c r="B1400" i="1" s="1"/>
  <c r="F1400" i="1"/>
  <c r="M1400" i="1"/>
  <c r="O1400" i="1"/>
  <c r="P1400" i="1"/>
  <c r="Q1400" i="1" s="1"/>
  <c r="S1400" i="1"/>
  <c r="A129" i="1"/>
  <c r="C129" i="1"/>
  <c r="B129" i="1" s="1"/>
  <c r="F129" i="1"/>
  <c r="M129" i="1"/>
  <c r="O129" i="1"/>
  <c r="P129" i="1"/>
  <c r="Q129" i="1" s="1"/>
  <c r="S129" i="1"/>
  <c r="A1563" i="1"/>
  <c r="C1563" i="1"/>
  <c r="B1563" i="1" s="1"/>
  <c r="D1563" i="1"/>
  <c r="F1563" i="1"/>
  <c r="K1563" i="1"/>
  <c r="M1563" i="1" s="1"/>
  <c r="S1563" i="1"/>
  <c r="A1633" i="1"/>
  <c r="C1633" i="1"/>
  <c r="B1633" i="1" s="1"/>
  <c r="F1633" i="1"/>
  <c r="K1633" i="1"/>
  <c r="M1633" i="1" s="1"/>
  <c r="S1633" i="1"/>
  <c r="A1747" i="1"/>
  <c r="C1747" i="1"/>
  <c r="B1747" i="1" s="1"/>
  <c r="F1747" i="1"/>
  <c r="M1747" i="1"/>
  <c r="O1747" i="1"/>
  <c r="P1747" i="1"/>
  <c r="Q1747" i="1" s="1"/>
  <c r="S1747" i="1"/>
  <c r="A57" i="1"/>
  <c r="C57" i="1"/>
  <c r="B57" i="1" s="1"/>
  <c r="F57" i="1"/>
  <c r="M57" i="1"/>
  <c r="O57" i="1"/>
  <c r="P57" i="1"/>
  <c r="Q57" i="1" s="1"/>
  <c r="S57" i="1"/>
  <c r="A354" i="1"/>
  <c r="C354" i="1"/>
  <c r="B354" i="1" s="1"/>
  <c r="D354" i="1"/>
  <c r="F354" i="1"/>
  <c r="M354" i="1"/>
  <c r="O354" i="1"/>
  <c r="P354" i="1"/>
  <c r="Q354" i="1" s="1"/>
  <c r="S354" i="1"/>
  <c r="A1175" i="1"/>
  <c r="C1175" i="1"/>
  <c r="B1175" i="1" s="1"/>
  <c r="F1175" i="1"/>
  <c r="M1175" i="1"/>
  <c r="O1175" i="1"/>
  <c r="P1175" i="1"/>
  <c r="Q1175" i="1" s="1"/>
  <c r="S1175" i="1"/>
  <c r="A1481" i="1"/>
  <c r="C1481" i="1"/>
  <c r="B1481" i="1" s="1"/>
  <c r="F1481" i="1"/>
  <c r="M1481" i="1"/>
  <c r="O1481" i="1"/>
  <c r="P1481" i="1"/>
  <c r="Q1481" i="1" s="1"/>
  <c r="S1481" i="1"/>
  <c r="A1531" i="1"/>
  <c r="C1531" i="1"/>
  <c r="B1531" i="1" s="1"/>
  <c r="F1531" i="1"/>
  <c r="M1531" i="1"/>
  <c r="O1531" i="1"/>
  <c r="P1531" i="1"/>
  <c r="Q1531" i="1" s="1"/>
  <c r="S1531" i="1"/>
  <c r="A443" i="1"/>
  <c r="C443" i="1"/>
  <c r="B443" i="1" s="1"/>
  <c r="D443" i="1"/>
  <c r="F443" i="1"/>
  <c r="M443" i="1"/>
  <c r="O443" i="1"/>
  <c r="P443" i="1"/>
  <c r="Q443" i="1" s="1"/>
  <c r="S443" i="1"/>
  <c r="A1176" i="1"/>
  <c r="C1176" i="1"/>
  <c r="B1176" i="1" s="1"/>
  <c r="F1176" i="1"/>
  <c r="M1176" i="1"/>
  <c r="O1176" i="1"/>
  <c r="P1176" i="1"/>
  <c r="Q1176" i="1" s="1"/>
  <c r="S1176" i="1"/>
  <c r="A1748" i="1"/>
  <c r="C1748" i="1"/>
  <c r="B1748" i="1" s="1"/>
  <c r="F1748" i="1"/>
  <c r="M1748" i="1"/>
  <c r="O1748" i="1"/>
  <c r="P1748" i="1"/>
  <c r="Q1748" i="1" s="1"/>
  <c r="S1748" i="1"/>
  <c r="A1177" i="1"/>
  <c r="C1177" i="1"/>
  <c r="B1177" i="1" s="1"/>
  <c r="F1177" i="1"/>
  <c r="M1177" i="1"/>
  <c r="O1177" i="1"/>
  <c r="P1177" i="1"/>
  <c r="Q1177" i="1" s="1"/>
  <c r="S1177" i="1"/>
  <c r="A1451" i="1"/>
  <c r="C1451" i="1"/>
  <c r="B1451" i="1" s="1"/>
  <c r="F1451" i="1"/>
  <c r="M1451" i="1"/>
  <c r="O1451" i="1"/>
  <c r="P1451" i="1"/>
  <c r="Q1451" i="1" s="1"/>
  <c r="S1451" i="1"/>
  <c r="A1829" i="1"/>
  <c r="C1829" i="1"/>
  <c r="B1829" i="1" s="1"/>
  <c r="F1829" i="1"/>
  <c r="M1829" i="1"/>
  <c r="O1829" i="1"/>
  <c r="P1829" i="1"/>
  <c r="Q1829" i="1" s="1"/>
  <c r="S1829" i="1"/>
  <c r="A355" i="1"/>
  <c r="C355" i="1"/>
  <c r="B355" i="1" s="1"/>
  <c r="D355" i="1"/>
  <c r="F355" i="1"/>
  <c r="M355" i="1"/>
  <c r="O355" i="1"/>
  <c r="P355" i="1"/>
  <c r="Q355" i="1" s="1"/>
  <c r="S355" i="1"/>
  <c r="A676" i="1"/>
  <c r="C676" i="1"/>
  <c r="B676" i="1" s="1"/>
  <c r="D676" i="1"/>
  <c r="F676" i="1"/>
  <c r="M676" i="1"/>
  <c r="O676" i="1"/>
  <c r="P676" i="1"/>
  <c r="Q676" i="1" s="1"/>
  <c r="S676" i="1"/>
  <c r="A824" i="1"/>
  <c r="C824" i="1"/>
  <c r="B824" i="1" s="1"/>
  <c r="F824" i="1"/>
  <c r="M824" i="1"/>
  <c r="O824" i="1"/>
  <c r="P824" i="1"/>
  <c r="Q824" i="1" s="1"/>
  <c r="S824" i="1"/>
  <c r="A1178" i="1"/>
  <c r="C1178" i="1"/>
  <c r="B1178" i="1" s="1"/>
  <c r="F1178" i="1"/>
  <c r="M1178" i="1"/>
  <c r="O1178" i="1"/>
  <c r="P1178" i="1"/>
  <c r="Q1178" i="1" s="1"/>
  <c r="S1178" i="1"/>
  <c r="A1687" i="1"/>
  <c r="C1687" i="1"/>
  <c r="B1687" i="1" s="1"/>
  <c r="D1687" i="1"/>
  <c r="F1687" i="1"/>
  <c r="K1687" i="1"/>
  <c r="M1687" i="1" s="1"/>
  <c r="S1687" i="1"/>
  <c r="A1293" i="1"/>
  <c r="C1293" i="1"/>
  <c r="B1293" i="1" s="1"/>
  <c r="F1293" i="1"/>
  <c r="M1293" i="1"/>
  <c r="O1293" i="1"/>
  <c r="P1293" i="1"/>
  <c r="Q1293" i="1" s="1"/>
  <c r="S1293" i="1"/>
  <c r="A1532" i="1"/>
  <c r="C1532" i="1"/>
  <c r="B1532" i="1" s="1"/>
  <c r="F1532" i="1"/>
  <c r="M1532" i="1"/>
  <c r="O1532" i="1"/>
  <c r="P1532" i="1"/>
  <c r="Q1532" i="1" s="1"/>
  <c r="S1532" i="1"/>
  <c r="A1749" i="1"/>
  <c r="C1749" i="1"/>
  <c r="B1749" i="1" s="1"/>
  <c r="F1749" i="1"/>
  <c r="M1749" i="1"/>
  <c r="O1749" i="1"/>
  <c r="P1749" i="1"/>
  <c r="Q1749" i="1" s="1"/>
  <c r="S1749" i="1"/>
  <c r="A356" i="1"/>
  <c r="C356" i="1"/>
  <c r="B356" i="1" s="1"/>
  <c r="D356" i="1"/>
  <c r="F356" i="1"/>
  <c r="M356" i="1"/>
  <c r="O356" i="1"/>
  <c r="P356" i="1"/>
  <c r="Q356" i="1" s="1"/>
  <c r="S356" i="1"/>
  <c r="A896" i="1"/>
  <c r="C896" i="1"/>
  <c r="B896" i="1" s="1"/>
  <c r="D896" i="1"/>
  <c r="F896" i="1"/>
  <c r="K896" i="1"/>
  <c r="M896" i="1" s="1"/>
  <c r="S896" i="1"/>
  <c r="A908" i="1"/>
  <c r="C908" i="1"/>
  <c r="B908" i="1" s="1"/>
  <c r="D908" i="1"/>
  <c r="F908" i="1"/>
  <c r="K908" i="1"/>
  <c r="M908" i="1" s="1"/>
  <c r="S908" i="1"/>
  <c r="A205" i="1"/>
  <c r="C205" i="1"/>
  <c r="B205" i="1" s="1"/>
  <c r="D205" i="1"/>
  <c r="F205" i="1"/>
  <c r="M205" i="1"/>
  <c r="O205" i="1"/>
  <c r="P205" i="1"/>
  <c r="Q205" i="1" s="1"/>
  <c r="S205" i="1"/>
  <c r="A271" i="1"/>
  <c r="C271" i="1"/>
  <c r="B271" i="1" s="1"/>
  <c r="D271" i="1"/>
  <c r="F271" i="1"/>
  <c r="M271" i="1"/>
  <c r="O271" i="1"/>
  <c r="P271" i="1"/>
  <c r="Q271" i="1" s="1"/>
  <c r="S271" i="1"/>
  <c r="A798" i="1"/>
  <c r="C798" i="1"/>
  <c r="B798" i="1" s="1"/>
  <c r="F798" i="1"/>
  <c r="M798" i="1"/>
  <c r="O798" i="1"/>
  <c r="P798" i="1"/>
  <c r="Q798" i="1" s="1"/>
  <c r="S798" i="1"/>
  <c r="A1273" i="1"/>
  <c r="C1273" i="1"/>
  <c r="B1273" i="1" s="1"/>
  <c r="D1273" i="1"/>
  <c r="F1273" i="1"/>
  <c r="O1273" i="1"/>
  <c r="P1273" i="1"/>
  <c r="Q1273" i="1" s="1"/>
  <c r="S1273" i="1"/>
  <c r="A1750" i="1"/>
  <c r="C1750" i="1"/>
  <c r="B1750" i="1" s="1"/>
  <c r="F1750" i="1"/>
  <c r="M1750" i="1"/>
  <c r="O1750" i="1"/>
  <c r="P1750" i="1"/>
  <c r="Q1750" i="1" s="1"/>
  <c r="S1750" i="1"/>
  <c r="A1830" i="1"/>
  <c r="C1830" i="1"/>
  <c r="B1830" i="1" s="1"/>
  <c r="F1830" i="1"/>
  <c r="M1830" i="1"/>
  <c r="O1830" i="1"/>
  <c r="P1830" i="1"/>
  <c r="Q1830" i="1" s="1"/>
  <c r="S1830" i="1"/>
  <c r="A1179" i="1"/>
  <c r="C1179" i="1"/>
  <c r="B1179" i="1" s="1"/>
  <c r="F1179" i="1"/>
  <c r="M1179" i="1"/>
  <c r="O1179" i="1"/>
  <c r="P1179" i="1"/>
  <c r="Q1179" i="1" s="1"/>
  <c r="S1179" i="1"/>
  <c r="A1591" i="1"/>
  <c r="C1591" i="1"/>
  <c r="B1591" i="1" s="1"/>
  <c r="D1591" i="1"/>
  <c r="F1591" i="1"/>
  <c r="M1591" i="1"/>
  <c r="O1591" i="1"/>
  <c r="P1591" i="1"/>
  <c r="Q1591" i="1" s="1"/>
  <c r="S1591" i="1"/>
  <c r="A1599" i="1"/>
  <c r="C1599" i="1"/>
  <c r="B1599" i="1" s="1"/>
  <c r="F1599" i="1"/>
  <c r="M1599" i="1"/>
  <c r="O1599" i="1"/>
  <c r="P1599" i="1"/>
  <c r="Q1599" i="1" s="1"/>
  <c r="S1599" i="1"/>
  <c r="A1482" i="1"/>
  <c r="C1482" i="1"/>
  <c r="B1482" i="1" s="1"/>
  <c r="F1482" i="1"/>
  <c r="M1482" i="1"/>
  <c r="O1482" i="1"/>
  <c r="P1482" i="1"/>
  <c r="Q1482" i="1" s="1"/>
  <c r="S1482" i="1"/>
  <c r="A877" i="1"/>
  <c r="C877" i="1"/>
  <c r="B877" i="1" s="1"/>
  <c r="F877" i="1"/>
  <c r="M877" i="1"/>
  <c r="O877" i="1"/>
  <c r="P877" i="1"/>
  <c r="Q877" i="1" s="1"/>
  <c r="S877" i="1"/>
  <c r="A919" i="1"/>
  <c r="C919" i="1"/>
  <c r="B919" i="1" s="1"/>
  <c r="D919" i="1"/>
  <c r="F919" i="1"/>
  <c r="M919" i="1"/>
  <c r="O919" i="1"/>
  <c r="P919" i="1"/>
  <c r="Q919" i="1" s="1"/>
  <c r="S919" i="1"/>
  <c r="A130" i="1"/>
  <c r="C130" i="1"/>
  <c r="B130" i="1" s="1"/>
  <c r="F130" i="1"/>
  <c r="M130" i="1"/>
  <c r="O130" i="1"/>
  <c r="P130" i="1"/>
  <c r="Q130" i="1" s="1"/>
  <c r="S130" i="1"/>
  <c r="A769" i="1"/>
  <c r="C769" i="1"/>
  <c r="B769" i="1" s="1"/>
  <c r="D769" i="1"/>
  <c r="F769" i="1"/>
  <c r="M769" i="1"/>
  <c r="O769" i="1"/>
  <c r="P769" i="1"/>
  <c r="Q769" i="1" s="1"/>
  <c r="S769" i="1"/>
  <c r="A1212" i="1"/>
  <c r="C1212" i="1"/>
  <c r="B1212" i="1" s="1"/>
  <c r="F1212" i="1"/>
  <c r="M1212" i="1"/>
  <c r="O1212" i="1"/>
  <c r="P1212" i="1"/>
  <c r="Q1212" i="1" s="1"/>
  <c r="S1212" i="1"/>
  <c r="A1452" i="1"/>
  <c r="C1452" i="1"/>
  <c r="B1452" i="1" s="1"/>
  <c r="F1452" i="1"/>
  <c r="M1452" i="1"/>
  <c r="O1452" i="1"/>
  <c r="P1452" i="1"/>
  <c r="Q1452" i="1" s="1"/>
  <c r="S1452" i="1"/>
  <c r="A421" i="1"/>
  <c r="C421" i="1"/>
  <c r="B421" i="1" s="1"/>
  <c r="D421" i="1"/>
  <c r="F421" i="1"/>
  <c r="M421" i="1"/>
  <c r="O421" i="1"/>
  <c r="P421" i="1"/>
  <c r="Q421" i="1" s="1"/>
  <c r="S421" i="1"/>
  <c r="A878" i="1"/>
  <c r="C878" i="1"/>
  <c r="B878" i="1" s="1"/>
  <c r="F878" i="1"/>
  <c r="M878" i="1"/>
  <c r="O878" i="1"/>
  <c r="P878" i="1"/>
  <c r="Q878" i="1" s="1"/>
  <c r="S878" i="1"/>
  <c r="A1453" i="1"/>
  <c r="C1453" i="1"/>
  <c r="B1453" i="1" s="1"/>
  <c r="F1453" i="1"/>
  <c r="M1453" i="1"/>
  <c r="O1453" i="1"/>
  <c r="Q1453" i="1"/>
  <c r="S1453" i="1"/>
  <c r="A564" i="1"/>
  <c r="C564" i="1"/>
  <c r="B564" i="1" s="1"/>
  <c r="D564" i="1"/>
  <c r="F564" i="1"/>
  <c r="M564" i="1"/>
  <c r="O564" i="1"/>
  <c r="P564" i="1"/>
  <c r="Q564" i="1" s="1"/>
  <c r="S564" i="1"/>
  <c r="A650" i="1"/>
  <c r="C650" i="1"/>
  <c r="B650" i="1" s="1"/>
  <c r="D650" i="1"/>
  <c r="F650" i="1"/>
  <c r="M650" i="1"/>
  <c r="O650" i="1"/>
  <c r="P650" i="1"/>
  <c r="Q650" i="1" s="1"/>
  <c r="S650" i="1"/>
  <c r="A879" i="1"/>
  <c r="C879" i="1"/>
  <c r="B879" i="1" s="1"/>
  <c r="F879" i="1"/>
  <c r="M879" i="1"/>
  <c r="O879" i="1"/>
  <c r="P879" i="1"/>
  <c r="Q879" i="1" s="1"/>
  <c r="S879" i="1"/>
  <c r="A1401" i="1"/>
  <c r="C1401" i="1"/>
  <c r="B1401" i="1" s="1"/>
  <c r="F1401" i="1"/>
  <c r="M1401" i="1"/>
  <c r="O1401" i="1"/>
  <c r="P1401" i="1"/>
  <c r="Q1401" i="1" s="1"/>
  <c r="S1401" i="1"/>
  <c r="A1557" i="1"/>
  <c r="C1557" i="1"/>
  <c r="B1557" i="1" s="1"/>
  <c r="D1557" i="1"/>
  <c r="F1557" i="1"/>
  <c r="K1557" i="1"/>
  <c r="M1557" i="1" s="1"/>
  <c r="S1557" i="1"/>
  <c r="A1596" i="1"/>
  <c r="C1596" i="1"/>
  <c r="B1596" i="1" s="1"/>
  <c r="D1596" i="1"/>
  <c r="F1596" i="1"/>
  <c r="M1596" i="1"/>
  <c r="O1596" i="1"/>
  <c r="P1596" i="1"/>
  <c r="Q1596" i="1" s="1"/>
  <c r="S1596" i="1"/>
  <c r="A943" i="1"/>
  <c r="C943" i="1"/>
  <c r="B943" i="1" s="1"/>
  <c r="F943" i="1"/>
  <c r="M943" i="1"/>
  <c r="O943" i="1"/>
  <c r="P943" i="1"/>
  <c r="Q943" i="1" s="1"/>
  <c r="S943" i="1"/>
  <c r="A1007" i="1"/>
  <c r="C1007" i="1"/>
  <c r="B1007" i="1" s="1"/>
  <c r="D1007" i="1"/>
  <c r="F1007" i="1"/>
  <c r="M1007" i="1"/>
  <c r="O1007" i="1"/>
  <c r="P1007" i="1"/>
  <c r="Q1007" i="1" s="1"/>
  <c r="S1007" i="1"/>
  <c r="A1059" i="1"/>
  <c r="C1059" i="1"/>
  <c r="B1059" i="1" s="1"/>
  <c r="D1059" i="1"/>
  <c r="F1059" i="1"/>
  <c r="M1059" i="1"/>
  <c r="O1059" i="1"/>
  <c r="P1059" i="1"/>
  <c r="Q1059" i="1" s="1"/>
  <c r="S1059" i="1"/>
  <c r="A1219" i="1"/>
  <c r="C1219" i="1"/>
  <c r="B1219" i="1" s="1"/>
  <c r="D1219" i="1"/>
  <c r="F1219" i="1"/>
  <c r="K1219" i="1"/>
  <c r="M1219" i="1" s="1"/>
  <c r="S1219" i="1"/>
  <c r="A1483" i="1"/>
  <c r="C1483" i="1"/>
  <c r="B1483" i="1" s="1"/>
  <c r="F1483" i="1"/>
  <c r="M1483" i="1"/>
  <c r="O1483" i="1"/>
  <c r="P1483" i="1"/>
  <c r="Q1483" i="1" s="1"/>
  <c r="S1483" i="1"/>
  <c r="A1558" i="1"/>
  <c r="C1558" i="1"/>
  <c r="B1558" i="1" s="1"/>
  <c r="D1558" i="1"/>
  <c r="F1558" i="1"/>
  <c r="M1558" i="1"/>
  <c r="O1558" i="1"/>
  <c r="P1558" i="1"/>
  <c r="Q1558" i="1" s="1"/>
  <c r="S1558" i="1"/>
  <c r="A357" i="1"/>
  <c r="C357" i="1"/>
  <c r="B357" i="1" s="1"/>
  <c r="D357" i="1"/>
  <c r="F357" i="1"/>
  <c r="M357" i="1"/>
  <c r="O357" i="1"/>
  <c r="P357" i="1"/>
  <c r="Q357" i="1" s="1"/>
  <c r="S357" i="1"/>
  <c r="A306" i="1"/>
  <c r="C306" i="1"/>
  <c r="B306" i="1" s="1"/>
  <c r="D306" i="1"/>
  <c r="F306" i="1"/>
  <c r="M306" i="1"/>
  <c r="O306" i="1"/>
  <c r="P306" i="1"/>
  <c r="Q306" i="1" s="1"/>
  <c r="S306" i="1"/>
  <c r="A326" i="1"/>
  <c r="C326" i="1"/>
  <c r="B326" i="1" s="1"/>
  <c r="D326" i="1"/>
  <c r="F326" i="1"/>
  <c r="M326" i="1"/>
  <c r="O326" i="1"/>
  <c r="P326" i="1"/>
  <c r="Q326" i="1" s="1"/>
  <c r="S326" i="1"/>
  <c r="A431" i="1"/>
  <c r="C431" i="1"/>
  <c r="B431" i="1" s="1"/>
  <c r="D431" i="1"/>
  <c r="F431" i="1"/>
  <c r="M431" i="1"/>
  <c r="O431" i="1"/>
  <c r="P431" i="1"/>
  <c r="Q431" i="1" s="1"/>
  <c r="S431" i="1"/>
  <c r="A459" i="1"/>
  <c r="C459" i="1"/>
  <c r="B459" i="1" s="1"/>
  <c r="D459" i="1"/>
  <c r="F459" i="1"/>
  <c r="M459" i="1"/>
  <c r="O459" i="1"/>
  <c r="P459" i="1"/>
  <c r="Q459" i="1" s="1"/>
  <c r="S459" i="1"/>
  <c r="A509" i="1"/>
  <c r="C509" i="1"/>
  <c r="B509" i="1" s="1"/>
  <c r="D509" i="1"/>
  <c r="F509" i="1"/>
  <c r="M509" i="1"/>
  <c r="O509" i="1"/>
  <c r="P509" i="1"/>
  <c r="Q509" i="1" s="1"/>
  <c r="S509" i="1"/>
  <c r="A1012" i="1"/>
  <c r="C1012" i="1"/>
  <c r="B1012" i="1" s="1"/>
  <c r="F1012" i="1"/>
  <c r="M1012" i="1"/>
  <c r="O1012" i="1"/>
  <c r="P1012" i="1"/>
  <c r="Q1012" i="1" s="1"/>
  <c r="A1116" i="1"/>
  <c r="C1116" i="1"/>
  <c r="B1116" i="1" s="1"/>
  <c r="F1116" i="1"/>
  <c r="M1116" i="1"/>
  <c r="O1116" i="1"/>
  <c r="P1116" i="1"/>
  <c r="Q1116" i="1" s="1"/>
  <c r="A944" i="1"/>
  <c r="C944" i="1"/>
  <c r="B944" i="1" s="1"/>
  <c r="F944" i="1"/>
  <c r="M944" i="1"/>
  <c r="O944" i="1"/>
  <c r="P944" i="1"/>
  <c r="Q944" i="1" s="1"/>
  <c r="S944" i="1"/>
  <c r="A945" i="1"/>
  <c r="C945" i="1"/>
  <c r="B945" i="1" s="1"/>
  <c r="F945" i="1"/>
  <c r="M945" i="1"/>
  <c r="O945" i="1"/>
  <c r="P945" i="1"/>
  <c r="Q945" i="1" s="1"/>
  <c r="S945" i="1"/>
  <c r="A946" i="1"/>
  <c r="C946" i="1"/>
  <c r="B946" i="1" s="1"/>
  <c r="F946" i="1"/>
  <c r="M946" i="1"/>
  <c r="O946" i="1"/>
  <c r="P946" i="1"/>
  <c r="Q946" i="1" s="1"/>
  <c r="S946" i="1"/>
  <c r="A974" i="1"/>
  <c r="C974" i="1"/>
  <c r="B974" i="1" s="1"/>
  <c r="D974" i="1"/>
  <c r="F974" i="1"/>
  <c r="M974" i="1"/>
  <c r="P974" i="1"/>
  <c r="Q974" i="1" s="1"/>
  <c r="S974" i="1"/>
  <c r="A988" i="1"/>
  <c r="C988" i="1"/>
  <c r="B988" i="1" s="1"/>
  <c r="D988" i="1"/>
  <c r="F988" i="1"/>
  <c r="M988" i="1"/>
  <c r="P988" i="1"/>
  <c r="Q988" i="1" s="1"/>
  <c r="S988" i="1"/>
  <c r="A999" i="1"/>
  <c r="C999" i="1"/>
  <c r="B999" i="1" s="1"/>
  <c r="F999" i="1"/>
  <c r="M999" i="1"/>
  <c r="O999" i="1"/>
  <c r="P999" i="1"/>
  <c r="Q999" i="1" s="1"/>
  <c r="S999" i="1"/>
  <c r="A1044" i="1"/>
  <c r="C1044" i="1"/>
  <c r="B1044" i="1" s="1"/>
  <c r="D1044" i="1"/>
  <c r="F1044" i="1"/>
  <c r="M1044" i="1"/>
  <c r="O1044" i="1"/>
  <c r="P1044" i="1"/>
  <c r="Q1044" i="1" s="1"/>
  <c r="S1044" i="1"/>
  <c r="A1060" i="1"/>
  <c r="C1060" i="1"/>
  <c r="B1060" i="1" s="1"/>
  <c r="D1060" i="1"/>
  <c r="F1060" i="1"/>
  <c r="M1060" i="1"/>
  <c r="O1060" i="1"/>
  <c r="Q1060" i="1"/>
  <c r="S1060" i="1"/>
  <c r="A1061" i="1"/>
  <c r="C1061" i="1"/>
  <c r="B1061" i="1" s="1"/>
  <c r="D1061" i="1"/>
  <c r="F1061" i="1"/>
  <c r="M1061" i="1"/>
  <c r="O1061" i="1"/>
  <c r="Q1061" i="1"/>
  <c r="S1061" i="1"/>
  <c r="A272" i="1"/>
  <c r="C272" i="1"/>
  <c r="B272" i="1" s="1"/>
  <c r="D272" i="1"/>
  <c r="F272" i="1"/>
  <c r="M272" i="1"/>
  <c r="O272" i="1"/>
  <c r="P272" i="1"/>
  <c r="Q272" i="1" s="1"/>
  <c r="S272" i="1"/>
  <c r="A358" i="1"/>
  <c r="C358" i="1"/>
  <c r="B358" i="1" s="1"/>
  <c r="D358" i="1"/>
  <c r="F358" i="1"/>
  <c r="M358" i="1"/>
  <c r="O358" i="1"/>
  <c r="P358" i="1"/>
  <c r="Q358" i="1" s="1"/>
  <c r="S358" i="1"/>
  <c r="A1274" i="1"/>
  <c r="C1274" i="1"/>
  <c r="B1274" i="1" s="1"/>
  <c r="D1274" i="1"/>
  <c r="F1274" i="1"/>
  <c r="O1274" i="1"/>
  <c r="P1274" i="1"/>
  <c r="Q1274" i="1" s="1"/>
  <c r="S1274" i="1"/>
  <c r="A58" i="1"/>
  <c r="C58" i="1"/>
  <c r="B58" i="1" s="1"/>
  <c r="F58" i="1"/>
  <c r="M58" i="1"/>
  <c r="O58" i="1"/>
  <c r="P58" i="1"/>
  <c r="Q58" i="1" s="1"/>
  <c r="S58" i="1"/>
  <c r="A1607" i="1"/>
  <c r="C1607" i="1"/>
  <c r="B1607" i="1" s="1"/>
  <c r="D1607" i="1"/>
  <c r="F1607" i="1"/>
  <c r="M1607" i="1"/>
  <c r="O1607" i="1"/>
  <c r="P1607" i="1"/>
  <c r="Q1607" i="1" s="1"/>
  <c r="S1607" i="1"/>
  <c r="A1831" i="1"/>
  <c r="C1831" i="1"/>
  <c r="B1831" i="1" s="1"/>
  <c r="F1831" i="1"/>
  <c r="M1831" i="1"/>
  <c r="O1831" i="1"/>
  <c r="P1831" i="1"/>
  <c r="Q1831" i="1" s="1"/>
  <c r="S1831" i="1"/>
  <c r="A1000" i="1"/>
  <c r="C1000" i="1"/>
  <c r="B1000" i="1" s="1"/>
  <c r="F1000" i="1"/>
  <c r="M1000" i="1"/>
  <c r="O1000" i="1"/>
  <c r="P1000" i="1"/>
  <c r="Q1000" i="1" s="1"/>
  <c r="S1000" i="1"/>
  <c r="A1001" i="1"/>
  <c r="C1001" i="1"/>
  <c r="B1001" i="1" s="1"/>
  <c r="F1001" i="1"/>
  <c r="M1001" i="1"/>
  <c r="O1001" i="1"/>
  <c r="P1001" i="1"/>
  <c r="Q1001" i="1" s="1"/>
  <c r="S1001" i="1"/>
  <c r="A1317" i="1"/>
  <c r="C1317" i="1"/>
  <c r="B1317" i="1" s="1"/>
  <c r="F1317" i="1"/>
  <c r="K1317" i="1"/>
  <c r="O1317" i="1" s="1"/>
  <c r="S1317" i="1"/>
  <c r="A1566" i="1"/>
  <c r="C1566" i="1"/>
  <c r="B1566" i="1" s="1"/>
  <c r="D1566" i="1"/>
  <c r="F1566" i="1"/>
  <c r="M1566" i="1"/>
  <c r="O1566" i="1"/>
  <c r="P1566" i="1"/>
  <c r="Q1566" i="1" s="1"/>
  <c r="S1566" i="1"/>
  <c r="A1688" i="1"/>
  <c r="C1688" i="1"/>
  <c r="B1688" i="1" s="1"/>
  <c r="D1688" i="1"/>
  <c r="F1688" i="1"/>
  <c r="K1688" i="1"/>
  <c r="P1688" i="1" s="1"/>
  <c r="Q1688" i="1" s="1"/>
  <c r="S1688" i="1"/>
  <c r="A16" i="1"/>
  <c r="C16" i="1"/>
  <c r="B16" i="1" s="1"/>
  <c r="F16" i="1"/>
  <c r="M16" i="1"/>
  <c r="O16" i="1"/>
  <c r="P16" i="1"/>
  <c r="Q16" i="1" s="1"/>
  <c r="S16" i="1"/>
  <c r="A15" i="1"/>
  <c r="C15" i="1"/>
  <c r="B15" i="1" s="1"/>
  <c r="F15" i="1"/>
  <c r="M15" i="1"/>
  <c r="O15" i="1"/>
  <c r="P15" i="1"/>
  <c r="Q15" i="1" s="1"/>
  <c r="S15" i="1"/>
  <c r="A770" i="1"/>
  <c r="C770" i="1"/>
  <c r="B770" i="1" s="1"/>
  <c r="D770" i="1"/>
  <c r="F770" i="1"/>
  <c r="M770" i="1"/>
  <c r="O770" i="1"/>
  <c r="P770" i="1"/>
  <c r="Q770" i="1" s="1"/>
  <c r="S770" i="1"/>
  <c r="A644" i="1"/>
  <c r="C644" i="1"/>
  <c r="B644" i="1" s="1"/>
  <c r="D644" i="1"/>
  <c r="F644" i="1"/>
  <c r="M644" i="1"/>
  <c r="O644" i="1"/>
  <c r="P644" i="1"/>
  <c r="Q644" i="1" s="1"/>
  <c r="S644" i="1"/>
  <c r="A1751" i="1"/>
  <c r="C1751" i="1"/>
  <c r="B1751" i="1" s="1"/>
  <c r="F1751" i="1"/>
  <c r="M1751" i="1"/>
  <c r="O1751" i="1"/>
  <c r="P1751" i="1"/>
  <c r="Q1751" i="1" s="1"/>
  <c r="S1751" i="1"/>
  <c r="A1231" i="1"/>
  <c r="C1231" i="1"/>
  <c r="B1231" i="1" s="1"/>
  <c r="D1231" i="1"/>
  <c r="F1231" i="1"/>
  <c r="K1231" i="1"/>
  <c r="P1231" i="1" s="1"/>
  <c r="Q1231" i="1" s="1"/>
  <c r="S1231" i="1"/>
  <c r="A131" i="1"/>
  <c r="C131" i="1"/>
  <c r="B131" i="1" s="1"/>
  <c r="F131" i="1"/>
  <c r="M131" i="1"/>
  <c r="O131" i="1"/>
  <c r="P131" i="1"/>
  <c r="Q131" i="1" s="1"/>
  <c r="S131" i="1"/>
  <c r="A677" i="1"/>
  <c r="C677" i="1"/>
  <c r="B677" i="1" s="1"/>
  <c r="D677" i="1"/>
  <c r="F677" i="1"/>
  <c r="M677" i="1"/>
  <c r="O677" i="1"/>
  <c r="P677" i="1"/>
  <c r="Q677" i="1" s="1"/>
  <c r="S677" i="1"/>
  <c r="A1357" i="1"/>
  <c r="C1357" i="1"/>
  <c r="B1357" i="1" s="1"/>
  <c r="F1357" i="1"/>
  <c r="M1357" i="1"/>
  <c r="O1357" i="1"/>
  <c r="P1357" i="1"/>
  <c r="Q1357" i="1" s="1"/>
  <c r="A359" i="1"/>
  <c r="C359" i="1"/>
  <c r="B359" i="1" s="1"/>
  <c r="D359" i="1"/>
  <c r="F359" i="1"/>
  <c r="M359" i="1"/>
  <c r="O359" i="1"/>
  <c r="P359" i="1"/>
  <c r="Q359" i="1" s="1"/>
  <c r="S359" i="1"/>
  <c r="A1402" i="1"/>
  <c r="C1402" i="1"/>
  <c r="B1402" i="1" s="1"/>
  <c r="F1402" i="1"/>
  <c r="M1402" i="1"/>
  <c r="O1402" i="1"/>
  <c r="P1402" i="1"/>
  <c r="Q1402" i="1" s="1"/>
  <c r="S1402" i="1"/>
  <c r="A1454" i="1"/>
  <c r="C1454" i="1"/>
  <c r="B1454" i="1" s="1"/>
  <c r="F1454" i="1"/>
  <c r="M1454" i="1"/>
  <c r="O1454" i="1"/>
  <c r="P1454" i="1"/>
  <c r="Q1454" i="1" s="1"/>
  <c r="S1454" i="1"/>
  <c r="A1752" i="1"/>
  <c r="C1752" i="1"/>
  <c r="B1752" i="1" s="1"/>
  <c r="F1752" i="1"/>
  <c r="M1752" i="1"/>
  <c r="O1752" i="1"/>
  <c r="P1752" i="1"/>
  <c r="Q1752" i="1" s="1"/>
  <c r="S1752" i="1"/>
  <c r="A1180" i="1"/>
  <c r="C1180" i="1"/>
  <c r="B1180" i="1" s="1"/>
  <c r="F1180" i="1"/>
  <c r="M1180" i="1"/>
  <c r="O1180" i="1"/>
  <c r="P1180" i="1"/>
  <c r="Q1180" i="1" s="1"/>
  <c r="S1180" i="1"/>
  <c r="A1328" i="1"/>
  <c r="C1328" i="1"/>
  <c r="B1328" i="1" s="1"/>
  <c r="F1328" i="1"/>
  <c r="M1328" i="1"/>
  <c r="O1328" i="1"/>
  <c r="P1328" i="1"/>
  <c r="Q1328" i="1" s="1"/>
  <c r="S1328" i="1"/>
  <c r="A1798" i="1"/>
  <c r="C1798" i="1"/>
  <c r="B1798" i="1" s="1"/>
  <c r="F1798" i="1"/>
  <c r="M1798" i="1"/>
  <c r="O1798" i="1"/>
  <c r="P1798" i="1"/>
  <c r="Q1798" i="1" s="1"/>
  <c r="S1798" i="1"/>
  <c r="A1577" i="1"/>
  <c r="C1577" i="1"/>
  <c r="B1577" i="1" s="1"/>
  <c r="D1577" i="1"/>
  <c r="F1577" i="1"/>
  <c r="K1577" i="1"/>
  <c r="S1577" i="1"/>
  <c r="A59" i="1"/>
  <c r="C59" i="1"/>
  <c r="B59" i="1" s="1"/>
  <c r="F59" i="1"/>
  <c r="M59" i="1"/>
  <c r="O59" i="1"/>
  <c r="P59" i="1"/>
  <c r="Q59" i="1" s="1"/>
  <c r="S59" i="1"/>
  <c r="A231" i="1"/>
  <c r="C231" i="1"/>
  <c r="B231" i="1" s="1"/>
  <c r="D231" i="1"/>
  <c r="F231" i="1"/>
  <c r="M231" i="1"/>
  <c r="O231" i="1"/>
  <c r="P231" i="1"/>
  <c r="Q231" i="1" s="1"/>
  <c r="S231" i="1"/>
  <c r="A451" i="1"/>
  <c r="C451" i="1"/>
  <c r="B451" i="1" s="1"/>
  <c r="D451" i="1"/>
  <c r="F451" i="1"/>
  <c r="M451" i="1"/>
  <c r="O451" i="1"/>
  <c r="P451" i="1"/>
  <c r="Q451" i="1" s="1"/>
  <c r="S451" i="1"/>
  <c r="A1533" i="1"/>
  <c r="C1533" i="1"/>
  <c r="B1533" i="1" s="1"/>
  <c r="F1533" i="1"/>
  <c r="M1533" i="1"/>
  <c r="O1533" i="1"/>
  <c r="P1533" i="1"/>
  <c r="Q1533" i="1" s="1"/>
  <c r="S1533" i="1"/>
  <c r="A360" i="1"/>
  <c r="C360" i="1"/>
  <c r="B360" i="1" s="1"/>
  <c r="D360" i="1"/>
  <c r="F360" i="1"/>
  <c r="M360" i="1"/>
  <c r="O360" i="1"/>
  <c r="P360" i="1"/>
  <c r="Q360" i="1" s="1"/>
  <c r="S360" i="1"/>
  <c r="A484" i="1"/>
  <c r="C484" i="1"/>
  <c r="B484" i="1" s="1"/>
  <c r="F484" i="1"/>
  <c r="M484" i="1"/>
  <c r="O484" i="1"/>
  <c r="P484" i="1"/>
  <c r="Q484" i="1" s="1"/>
  <c r="S484" i="1"/>
  <c r="A307" i="1"/>
  <c r="C307" i="1"/>
  <c r="B307" i="1" s="1"/>
  <c r="D307" i="1"/>
  <c r="F307" i="1"/>
  <c r="M307" i="1"/>
  <c r="O307" i="1"/>
  <c r="P307" i="1"/>
  <c r="Q307" i="1" s="1"/>
  <c r="S307" i="1"/>
  <c r="A327" i="1"/>
  <c r="C327" i="1"/>
  <c r="B327" i="1" s="1"/>
  <c r="D327" i="1"/>
  <c r="F327" i="1"/>
  <c r="M327" i="1"/>
  <c r="O327" i="1"/>
  <c r="P327" i="1"/>
  <c r="Q327" i="1" s="1"/>
  <c r="S327" i="1"/>
  <c r="A432" i="1"/>
  <c r="C432" i="1"/>
  <c r="B432" i="1" s="1"/>
  <c r="D432" i="1"/>
  <c r="F432" i="1"/>
  <c r="M432" i="1"/>
  <c r="O432" i="1"/>
  <c r="P432" i="1"/>
  <c r="Q432" i="1" s="1"/>
  <c r="S432" i="1"/>
  <c r="A460" i="1"/>
  <c r="C460" i="1"/>
  <c r="B460" i="1" s="1"/>
  <c r="D460" i="1"/>
  <c r="F460" i="1"/>
  <c r="M460" i="1"/>
  <c r="O460" i="1"/>
  <c r="P460" i="1"/>
  <c r="Q460" i="1" s="1"/>
  <c r="S460" i="1"/>
  <c r="A510" i="1"/>
  <c r="C510" i="1"/>
  <c r="B510" i="1" s="1"/>
  <c r="D510" i="1"/>
  <c r="F510" i="1"/>
  <c r="M510" i="1"/>
  <c r="O510" i="1"/>
  <c r="P510" i="1"/>
  <c r="Q510" i="1" s="1"/>
  <c r="S510" i="1"/>
  <c r="A1008" i="1"/>
  <c r="C1008" i="1"/>
  <c r="B1008" i="1" s="1"/>
  <c r="D1008" i="1"/>
  <c r="F1008" i="1"/>
  <c r="M1008" i="1"/>
  <c r="O1008" i="1"/>
  <c r="P1008" i="1"/>
  <c r="Q1008" i="1" s="1"/>
  <c r="S1008" i="1"/>
  <c r="A948" i="1"/>
  <c r="C948" i="1"/>
  <c r="B948" i="1" s="1"/>
  <c r="F948" i="1"/>
  <c r="M948" i="1"/>
  <c r="O948" i="1"/>
  <c r="P948" i="1"/>
  <c r="Q948" i="1" s="1"/>
  <c r="A947" i="1"/>
  <c r="C947" i="1"/>
  <c r="B947" i="1" s="1"/>
  <c r="F947" i="1"/>
  <c r="M947" i="1"/>
  <c r="O947" i="1"/>
  <c r="P947" i="1"/>
  <c r="Q947" i="1" s="1"/>
  <c r="S947" i="1"/>
  <c r="A949" i="1"/>
  <c r="C949" i="1"/>
  <c r="B949" i="1" s="1"/>
  <c r="F949" i="1"/>
  <c r="M949" i="1"/>
  <c r="O949" i="1"/>
  <c r="P949" i="1"/>
  <c r="Q949" i="1" s="1"/>
  <c r="S949" i="1"/>
  <c r="A969" i="1"/>
  <c r="C969" i="1"/>
  <c r="B969" i="1" s="1"/>
  <c r="F969" i="1"/>
  <c r="M969" i="1"/>
  <c r="P969" i="1"/>
  <c r="Q969" i="1" s="1"/>
  <c r="A1013" i="1"/>
  <c r="C1013" i="1"/>
  <c r="B1013" i="1" s="1"/>
  <c r="F1013" i="1"/>
  <c r="M1013" i="1"/>
  <c r="O1013" i="1"/>
  <c r="P1013" i="1"/>
  <c r="Q1013" i="1" s="1"/>
  <c r="S1013" i="1"/>
  <c r="A976" i="1"/>
  <c r="C976" i="1"/>
  <c r="B976" i="1" s="1"/>
  <c r="D976" i="1"/>
  <c r="F976" i="1"/>
  <c r="M976" i="1"/>
  <c r="P976" i="1"/>
  <c r="Q976" i="1" s="1"/>
  <c r="S976" i="1"/>
  <c r="A989" i="1"/>
  <c r="C989" i="1"/>
  <c r="B989" i="1" s="1"/>
  <c r="D989" i="1"/>
  <c r="F989" i="1"/>
  <c r="M989" i="1"/>
  <c r="P989" i="1"/>
  <c r="Q989" i="1" s="1"/>
  <c r="S989" i="1"/>
  <c r="A1025" i="1"/>
  <c r="C1025" i="1"/>
  <c r="B1025" i="1" s="1"/>
  <c r="D1025" i="1"/>
  <c r="F1025" i="1"/>
  <c r="M1025" i="1"/>
  <c r="O1025" i="1"/>
  <c r="P1025" i="1"/>
  <c r="Q1025" i="1" s="1"/>
  <c r="S1025" i="1"/>
  <c r="A1026" i="1"/>
  <c r="C1026" i="1"/>
  <c r="B1026" i="1" s="1"/>
  <c r="D1026" i="1"/>
  <c r="F1026" i="1"/>
  <c r="M1026" i="1"/>
  <c r="O1026" i="1"/>
  <c r="P1026" i="1"/>
  <c r="Q1026" i="1" s="1"/>
  <c r="S1026" i="1"/>
  <c r="A1045" i="1"/>
  <c r="C1045" i="1"/>
  <c r="B1045" i="1" s="1"/>
  <c r="D1045" i="1"/>
  <c r="F1045" i="1"/>
  <c r="M1045" i="1"/>
  <c r="O1045" i="1"/>
  <c r="P1045" i="1"/>
  <c r="Q1045" i="1" s="1"/>
  <c r="S1045" i="1"/>
  <c r="A1062" i="1"/>
  <c r="C1062" i="1"/>
  <c r="B1062" i="1" s="1"/>
  <c r="D1062" i="1"/>
  <c r="F1062" i="1"/>
  <c r="M1062" i="1"/>
  <c r="O1062" i="1"/>
  <c r="Q1062" i="1"/>
  <c r="S1062" i="1"/>
  <c r="A1080" i="1"/>
  <c r="C1080" i="1"/>
  <c r="B1080" i="1" s="1"/>
  <c r="D1080" i="1"/>
  <c r="F1080" i="1"/>
  <c r="O1080" i="1"/>
  <c r="Q1080" i="1"/>
  <c r="S1080" i="1"/>
  <c r="A1082" i="1"/>
  <c r="B1082" i="1"/>
  <c r="A1096" i="1"/>
  <c r="C1096" i="1"/>
  <c r="B1096" i="1" s="1"/>
  <c r="D1096" i="1"/>
  <c r="F1096" i="1"/>
  <c r="M1096" i="1"/>
  <c r="O1096" i="1"/>
  <c r="P1096" i="1"/>
  <c r="Q1096" i="1" s="1"/>
  <c r="S1096" i="1"/>
  <c r="A1105" i="1"/>
  <c r="C1105" i="1"/>
  <c r="B1105" i="1" s="1"/>
  <c r="D1105" i="1"/>
  <c r="F1105" i="1"/>
  <c r="M1105" i="1"/>
  <c r="O1105" i="1"/>
  <c r="P1105" i="1"/>
  <c r="Q1105" i="1" s="1"/>
  <c r="S1105" i="1"/>
  <c r="A1117" i="1"/>
  <c r="C1117" i="1"/>
  <c r="B1117" i="1" s="1"/>
  <c r="F1117" i="1"/>
  <c r="M1117" i="1"/>
  <c r="O1117" i="1"/>
  <c r="P1117" i="1"/>
  <c r="Q1117" i="1" s="1"/>
  <c r="S1117" i="1"/>
  <c r="A219" i="1"/>
  <c r="C219" i="1"/>
  <c r="B219" i="1" s="1"/>
  <c r="D219" i="1"/>
  <c r="F219" i="1"/>
  <c r="M219" i="1"/>
  <c r="O219" i="1"/>
  <c r="P219" i="1"/>
  <c r="Q219" i="1" s="1"/>
  <c r="S219" i="1"/>
  <c r="A1275" i="1"/>
  <c r="C1275" i="1"/>
  <c r="B1275" i="1" s="1"/>
  <c r="D1275" i="1"/>
  <c r="F1275" i="1"/>
  <c r="O1275" i="1"/>
  <c r="P1275" i="1"/>
  <c r="Q1275" i="1" s="1"/>
  <c r="S1275" i="1"/>
  <c r="A361" i="1"/>
  <c r="C361" i="1"/>
  <c r="B361" i="1" s="1"/>
  <c r="D361" i="1"/>
  <c r="F361" i="1"/>
  <c r="M361" i="1"/>
  <c r="O361" i="1"/>
  <c r="P361" i="1"/>
  <c r="Q361" i="1" s="1"/>
  <c r="S361" i="1"/>
  <c r="A1386" i="1"/>
  <c r="C1386" i="1"/>
  <c r="B1386" i="1" s="1"/>
  <c r="F1386" i="1"/>
  <c r="M1386" i="1"/>
  <c r="O1386" i="1"/>
  <c r="P1386" i="1"/>
  <c r="Q1386" i="1" s="1"/>
  <c r="S1386" i="1"/>
  <c r="A1403" i="1"/>
  <c r="C1403" i="1"/>
  <c r="B1403" i="1" s="1"/>
  <c r="F1403" i="1"/>
  <c r="M1403" i="1"/>
  <c r="O1403" i="1"/>
  <c r="P1403" i="1"/>
  <c r="Q1403" i="1" s="1"/>
  <c r="S1403" i="1"/>
  <c r="A1426" i="1"/>
  <c r="C1426" i="1"/>
  <c r="B1426" i="1" s="1"/>
  <c r="D1426" i="1"/>
  <c r="F1426" i="1"/>
  <c r="K1426" i="1"/>
  <c r="M1426" i="1" s="1"/>
  <c r="S1426" i="1"/>
  <c r="A452" i="1"/>
  <c r="C452" i="1"/>
  <c r="B452" i="1" s="1"/>
  <c r="D452" i="1"/>
  <c r="F452" i="1"/>
  <c r="M452" i="1"/>
  <c r="O452" i="1"/>
  <c r="P452" i="1"/>
  <c r="Q452" i="1" s="1"/>
  <c r="S452" i="1"/>
  <c r="A626" i="1"/>
  <c r="C626" i="1"/>
  <c r="B626" i="1" s="1"/>
  <c r="F626" i="1"/>
  <c r="M626" i="1"/>
  <c r="O626" i="1"/>
  <c r="P626" i="1"/>
  <c r="Q626" i="1" s="1"/>
  <c r="S626" i="1"/>
  <c r="A1181" i="1"/>
  <c r="C1181" i="1"/>
  <c r="B1181" i="1" s="1"/>
  <c r="F1181" i="1"/>
  <c r="M1181" i="1"/>
  <c r="O1181" i="1"/>
  <c r="P1181" i="1"/>
  <c r="Q1181" i="1" s="1"/>
  <c r="S1181" i="1"/>
  <c r="A1427" i="1"/>
  <c r="C1427" i="1"/>
  <c r="B1427" i="1" s="1"/>
  <c r="D1427" i="1"/>
  <c r="F1427" i="1"/>
  <c r="M1427" i="1"/>
  <c r="O1427" i="1"/>
  <c r="P1427" i="1"/>
  <c r="Q1427" i="1" s="1"/>
  <c r="S1427" i="1"/>
  <c r="A1753" i="1"/>
  <c r="C1753" i="1"/>
  <c r="B1753" i="1" s="1"/>
  <c r="F1753" i="1"/>
  <c r="M1753" i="1"/>
  <c r="O1753" i="1"/>
  <c r="P1753" i="1"/>
  <c r="Q1753" i="1" s="1"/>
  <c r="S1753" i="1"/>
  <c r="A413" i="1"/>
  <c r="C413" i="1"/>
  <c r="B413" i="1" s="1"/>
  <c r="F413" i="1"/>
  <c r="M413" i="1"/>
  <c r="O413" i="1"/>
  <c r="P413" i="1"/>
  <c r="Q413" i="1" s="1"/>
  <c r="S413" i="1"/>
  <c r="A1783" i="1"/>
  <c r="C1783" i="1"/>
  <c r="B1783" i="1" s="1"/>
  <c r="D1783" i="1"/>
  <c r="F1783" i="1"/>
  <c r="M1783" i="1"/>
  <c r="O1783" i="1"/>
  <c r="P1783" i="1"/>
  <c r="Q1783" i="1" s="1"/>
  <c r="S1783" i="1"/>
  <c r="A1832" i="1"/>
  <c r="C1832" i="1"/>
  <c r="B1832" i="1" s="1"/>
  <c r="F1832" i="1"/>
  <c r="M1832" i="1"/>
  <c r="O1832" i="1"/>
  <c r="P1832" i="1"/>
  <c r="Q1832" i="1" s="1"/>
  <c r="S1832" i="1"/>
  <c r="A248" i="1"/>
  <c r="C248" i="1"/>
  <c r="B248" i="1" s="1"/>
  <c r="F248" i="1"/>
  <c r="M248" i="1"/>
  <c r="O248" i="1"/>
  <c r="P248" i="1"/>
  <c r="Q248" i="1" s="1"/>
  <c r="S248" i="1"/>
  <c r="A1754" i="1"/>
  <c r="C1754" i="1"/>
  <c r="B1754" i="1" s="1"/>
  <c r="F1754" i="1"/>
  <c r="M1754" i="1"/>
  <c r="O1754" i="1"/>
  <c r="P1754" i="1"/>
  <c r="Q1754" i="1" s="1"/>
  <c r="S1754" i="1"/>
  <c r="A880" i="1"/>
  <c r="C880" i="1"/>
  <c r="B880" i="1" s="1"/>
  <c r="F880" i="1"/>
  <c r="M880" i="1"/>
  <c r="O880" i="1"/>
  <c r="P880" i="1"/>
  <c r="Q880" i="1" s="1"/>
  <c r="S880" i="1"/>
  <c r="A1182" i="1"/>
  <c r="C1182" i="1"/>
  <c r="B1182" i="1" s="1"/>
  <c r="F1182" i="1"/>
  <c r="M1182" i="1"/>
  <c r="O1182" i="1"/>
  <c r="P1182" i="1"/>
  <c r="Q1182" i="1" s="1"/>
  <c r="S1182" i="1"/>
  <c r="A1634" i="1"/>
  <c r="C1634" i="1"/>
  <c r="B1634" i="1" s="1"/>
  <c r="F1634" i="1"/>
  <c r="M1634" i="1"/>
  <c r="O1634" i="1"/>
  <c r="P1634" i="1"/>
  <c r="Q1634" i="1" s="1"/>
  <c r="S1634" i="1"/>
  <c r="A362" i="1"/>
  <c r="C362" i="1"/>
  <c r="B362" i="1" s="1"/>
  <c r="D362" i="1"/>
  <c r="F362" i="1"/>
  <c r="M362" i="1"/>
  <c r="O362" i="1"/>
  <c r="P362" i="1"/>
  <c r="Q362" i="1" s="1"/>
  <c r="S362" i="1"/>
  <c r="A856" i="1"/>
  <c r="C856" i="1"/>
  <c r="B856" i="1" s="1"/>
  <c r="D856" i="1"/>
  <c r="F856" i="1"/>
  <c r="M856" i="1"/>
  <c r="O856" i="1"/>
  <c r="P856" i="1"/>
  <c r="Q856" i="1" s="1"/>
  <c r="S856" i="1"/>
  <c r="A1389" i="1"/>
  <c r="C1389" i="1"/>
  <c r="B1389" i="1" s="1"/>
  <c r="D1389" i="1"/>
  <c r="F1389" i="1"/>
  <c r="O1389" i="1"/>
  <c r="Q1389" i="1"/>
  <c r="S1389" i="1"/>
  <c r="A1368" i="1"/>
  <c r="C1368" i="1"/>
  <c r="B1368" i="1" s="1"/>
  <c r="D1368" i="1"/>
  <c r="F1368" i="1"/>
  <c r="M1368" i="1"/>
  <c r="O1368" i="1"/>
  <c r="P1368" i="1"/>
  <c r="Q1368" i="1" s="1"/>
  <c r="S1368" i="1"/>
  <c r="A799" i="1"/>
  <c r="C799" i="1"/>
  <c r="B799" i="1" s="1"/>
  <c r="F799" i="1"/>
  <c r="M799" i="1"/>
  <c r="O799" i="1"/>
  <c r="P799" i="1"/>
  <c r="Q799" i="1" s="1"/>
  <c r="S799" i="1"/>
  <c r="A1756" i="1"/>
  <c r="C1756" i="1"/>
  <c r="B1756" i="1" s="1"/>
  <c r="F1756" i="1"/>
  <c r="M1756" i="1"/>
  <c r="O1756" i="1"/>
  <c r="P1756" i="1"/>
  <c r="Q1756" i="1" s="1"/>
  <c r="S1756" i="1"/>
  <c r="A1294" i="1"/>
  <c r="C1294" i="1"/>
  <c r="B1294" i="1" s="1"/>
  <c r="F1294" i="1"/>
  <c r="M1294" i="1"/>
  <c r="O1294" i="1"/>
  <c r="P1294" i="1"/>
  <c r="Q1294" i="1" s="1"/>
  <c r="S1294" i="1"/>
  <c r="A1755" i="1"/>
  <c r="C1755" i="1"/>
  <c r="B1755" i="1" s="1"/>
  <c r="F1755" i="1"/>
  <c r="M1755" i="1"/>
  <c r="O1755" i="1"/>
  <c r="P1755" i="1"/>
  <c r="Q1755" i="1" s="1"/>
  <c r="S1755" i="1"/>
  <c r="A38" i="1"/>
  <c r="C38" i="1"/>
  <c r="B38" i="1" s="1"/>
  <c r="D38" i="1"/>
  <c r="F38" i="1"/>
  <c r="M38" i="1"/>
  <c r="O38" i="1"/>
  <c r="P38" i="1"/>
  <c r="Q38" i="1" s="1"/>
  <c r="S38" i="1"/>
  <c r="A822" i="1"/>
  <c r="B822" i="1"/>
  <c r="F822" i="1"/>
  <c r="M822" i="1"/>
  <c r="O822" i="1"/>
  <c r="Q822" i="1"/>
  <c r="S822" i="1"/>
  <c r="A363" i="1"/>
  <c r="C363" i="1"/>
  <c r="B363" i="1" s="1"/>
  <c r="D363" i="1"/>
  <c r="F363" i="1"/>
  <c r="M363" i="1"/>
  <c r="O363" i="1"/>
  <c r="P363" i="1"/>
  <c r="Q363" i="1" s="1"/>
  <c r="S363" i="1"/>
  <c r="A1083" i="1"/>
  <c r="B1083" i="1"/>
  <c r="A249" i="1"/>
  <c r="C249" i="1"/>
  <c r="B249" i="1" s="1"/>
  <c r="F249" i="1"/>
  <c r="M249" i="1"/>
  <c r="O249" i="1"/>
  <c r="P249" i="1"/>
  <c r="Q249" i="1" s="1"/>
  <c r="S249" i="1"/>
  <c r="A1567" i="1"/>
  <c r="C1567" i="1"/>
  <c r="B1567" i="1" s="1"/>
  <c r="D1567" i="1"/>
  <c r="F1567" i="1"/>
  <c r="M1567" i="1"/>
  <c r="O1567" i="1"/>
  <c r="P1567" i="1"/>
  <c r="Q1567" i="1" s="1"/>
  <c r="S1567" i="1"/>
  <c r="A132" i="1"/>
  <c r="C132" i="1"/>
  <c r="B132" i="1" s="1"/>
  <c r="F132" i="1"/>
  <c r="M132" i="1"/>
  <c r="O132" i="1"/>
  <c r="P132" i="1"/>
  <c r="Q132" i="1" s="1"/>
  <c r="S132" i="1"/>
  <c r="A492" i="1"/>
  <c r="C492" i="1"/>
  <c r="B492" i="1" s="1"/>
  <c r="F492" i="1"/>
  <c r="M492" i="1"/>
  <c r="O492" i="1"/>
  <c r="P492" i="1"/>
  <c r="Q492" i="1" s="1"/>
  <c r="S492" i="1"/>
  <c r="A528" i="1"/>
  <c r="C528" i="1"/>
  <c r="B528" i="1" s="1"/>
  <c r="D528" i="1"/>
  <c r="F528" i="1"/>
  <c r="K528" i="1"/>
  <c r="M528" i="1" s="1"/>
  <c r="S528" i="1"/>
  <c r="A627" i="1"/>
  <c r="C627" i="1"/>
  <c r="B627" i="1" s="1"/>
  <c r="F627" i="1"/>
  <c r="M627" i="1"/>
  <c r="O627" i="1"/>
  <c r="P627" i="1"/>
  <c r="Q627" i="1" s="1"/>
  <c r="A554" i="1"/>
  <c r="C554" i="1"/>
  <c r="B554" i="1" s="1"/>
  <c r="F554" i="1"/>
  <c r="M554" i="1"/>
  <c r="O554" i="1"/>
  <c r="P554" i="1"/>
  <c r="Q554" i="1" s="1"/>
  <c r="S554" i="1"/>
  <c r="A610" i="1"/>
  <c r="C610" i="1"/>
  <c r="B610" i="1" s="1"/>
  <c r="D610" i="1"/>
  <c r="F610" i="1"/>
  <c r="M610" i="1"/>
  <c r="O610" i="1"/>
  <c r="P610" i="1"/>
  <c r="Q610" i="1" s="1"/>
  <c r="S610" i="1"/>
  <c r="A678" i="1"/>
  <c r="C678" i="1"/>
  <c r="B678" i="1" s="1"/>
  <c r="D678" i="1"/>
  <c r="F678" i="1"/>
  <c r="M678" i="1"/>
  <c r="O678" i="1"/>
  <c r="P678" i="1"/>
  <c r="Q678" i="1" s="1"/>
  <c r="S678" i="1"/>
  <c r="A478" i="1"/>
  <c r="C478" i="1"/>
  <c r="B478" i="1" s="1"/>
  <c r="F478" i="1"/>
  <c r="M478" i="1"/>
  <c r="O478" i="1"/>
  <c r="P478" i="1"/>
  <c r="Q478" i="1" s="1"/>
  <c r="S478" i="1"/>
  <c r="A1600" i="1"/>
  <c r="C1600" i="1"/>
  <c r="B1600" i="1" s="1"/>
  <c r="F1600" i="1"/>
  <c r="M1600" i="1"/>
  <c r="O1600" i="1"/>
  <c r="P1600" i="1"/>
  <c r="Q1600" i="1" s="1"/>
  <c r="S1600" i="1"/>
  <c r="A1784" i="1"/>
  <c r="C1784" i="1"/>
  <c r="B1784" i="1" s="1"/>
  <c r="D1784" i="1"/>
  <c r="F1784" i="1"/>
  <c r="M1784" i="1"/>
  <c r="O1784" i="1"/>
  <c r="P1784" i="1"/>
  <c r="Q1784" i="1" s="1"/>
  <c r="S1784" i="1"/>
  <c r="A1024" i="1"/>
  <c r="C1024" i="1"/>
  <c r="B1024" i="1" s="1"/>
  <c r="D1024" i="1"/>
  <c r="F1024" i="1"/>
  <c r="M1024" i="1"/>
  <c r="O1024" i="1"/>
  <c r="Q1024" i="1"/>
  <c r="S1024" i="1"/>
  <c r="A1833" i="1"/>
  <c r="C1833" i="1"/>
  <c r="B1833" i="1" s="1"/>
  <c r="F1833" i="1"/>
  <c r="M1833" i="1"/>
  <c r="O1833" i="1"/>
  <c r="P1833" i="1"/>
  <c r="Q1833" i="1" s="1"/>
  <c r="S1833" i="1"/>
  <c r="A745" i="1"/>
  <c r="C745" i="1"/>
  <c r="B745" i="1" s="1"/>
  <c r="F745" i="1"/>
  <c r="M745" i="1"/>
  <c r="O745" i="1"/>
  <c r="P745" i="1"/>
  <c r="Q745" i="1" s="1"/>
  <c r="S745" i="1"/>
  <c r="A1183" i="1"/>
  <c r="C1183" i="1"/>
  <c r="B1183" i="1" s="1"/>
  <c r="F1183" i="1"/>
  <c r="M1183" i="1"/>
  <c r="O1183" i="1"/>
  <c r="P1183" i="1"/>
  <c r="Q1183" i="1" s="1"/>
  <c r="S1183" i="1"/>
  <c r="A364" i="1"/>
  <c r="C364" i="1"/>
  <c r="B364" i="1" s="1"/>
  <c r="D364" i="1"/>
  <c r="F364" i="1"/>
  <c r="M364" i="1"/>
  <c r="O364" i="1"/>
  <c r="P364" i="1"/>
  <c r="Q364" i="1" s="1"/>
  <c r="S364" i="1"/>
  <c r="A820" i="1"/>
  <c r="B820" i="1"/>
  <c r="F820" i="1"/>
  <c r="K820" i="1"/>
  <c r="O820" i="1" s="1"/>
  <c r="S820" i="1"/>
  <c r="A1658" i="1"/>
  <c r="C1658" i="1"/>
  <c r="B1658" i="1" s="1"/>
  <c r="D1658" i="1"/>
  <c r="F1658" i="1"/>
  <c r="M1658" i="1"/>
  <c r="O1658" i="1"/>
  <c r="P1658" i="1"/>
  <c r="Q1658" i="1" s="1"/>
  <c r="S1658" i="1"/>
  <c r="A1276" i="1"/>
  <c r="C1276" i="1"/>
  <c r="B1276" i="1" s="1"/>
  <c r="D1276" i="1"/>
  <c r="F1276" i="1"/>
  <c r="O1276" i="1"/>
  <c r="P1276" i="1"/>
  <c r="Q1276" i="1" s="1"/>
  <c r="S1276" i="1"/>
  <c r="A1046" i="1"/>
  <c r="C1046" i="1"/>
  <c r="B1046" i="1" s="1"/>
  <c r="D1046" i="1"/>
  <c r="F1046" i="1"/>
  <c r="M1046" i="1"/>
  <c r="O1046" i="1"/>
  <c r="P1046" i="1"/>
  <c r="Q1046" i="1" s="1"/>
  <c r="S1046" i="1"/>
  <c r="A17" i="1"/>
  <c r="C17" i="1"/>
  <c r="B17" i="1" s="1"/>
  <c r="F17" i="1"/>
  <c r="M17" i="1"/>
  <c r="O17" i="1"/>
  <c r="P17" i="1"/>
  <c r="Q17" i="1" s="1"/>
  <c r="S17" i="1"/>
  <c r="A291" i="1"/>
  <c r="C291" i="1"/>
  <c r="B291" i="1" s="1"/>
  <c r="F291" i="1"/>
  <c r="M291" i="1"/>
  <c r="O291" i="1"/>
  <c r="P291" i="1"/>
  <c r="Q291" i="1" s="1"/>
  <c r="S291" i="1"/>
  <c r="A746" i="1"/>
  <c r="C746" i="1"/>
  <c r="B746" i="1" s="1"/>
  <c r="F746" i="1"/>
  <c r="M746" i="1"/>
  <c r="O746" i="1"/>
  <c r="P746" i="1"/>
  <c r="Q746" i="1" s="1"/>
  <c r="S746" i="1"/>
  <c r="A1689" i="1"/>
  <c r="C1689" i="1"/>
  <c r="B1689" i="1" s="1"/>
  <c r="D1689" i="1"/>
  <c r="F1689" i="1"/>
  <c r="K1689" i="1"/>
  <c r="M1689" i="1" s="1"/>
  <c r="S1689" i="1"/>
  <c r="A60" i="1"/>
  <c r="C60" i="1"/>
  <c r="B60" i="1" s="1"/>
  <c r="F60" i="1"/>
  <c r="M60" i="1"/>
  <c r="O60" i="1"/>
  <c r="P60" i="1"/>
  <c r="Q60" i="1" s="1"/>
  <c r="S60" i="1"/>
  <c r="A453" i="1"/>
  <c r="C453" i="1"/>
  <c r="B453" i="1" s="1"/>
  <c r="D453" i="1"/>
  <c r="F453" i="1"/>
  <c r="M453" i="1"/>
  <c r="O453" i="1"/>
  <c r="P453" i="1"/>
  <c r="Q453" i="1" s="1"/>
  <c r="S453" i="1"/>
  <c r="A800" i="1"/>
  <c r="C800" i="1"/>
  <c r="B800" i="1" s="1"/>
  <c r="F800" i="1"/>
  <c r="M800" i="1"/>
  <c r="O800" i="1"/>
  <c r="P800" i="1"/>
  <c r="Q800" i="1" s="1"/>
  <c r="S800" i="1"/>
  <c r="A365" i="1"/>
  <c r="C365" i="1"/>
  <c r="B365" i="1" s="1"/>
  <c r="D365" i="1"/>
  <c r="F365" i="1"/>
  <c r="M365" i="1"/>
  <c r="O365" i="1"/>
  <c r="P365" i="1"/>
  <c r="Q365" i="1" s="1"/>
  <c r="S365" i="1"/>
  <c r="A772" i="1"/>
  <c r="C772" i="1"/>
  <c r="B772" i="1" s="1"/>
  <c r="D772" i="1"/>
  <c r="F772" i="1"/>
  <c r="M772" i="1"/>
  <c r="O772" i="1"/>
  <c r="P772" i="1"/>
  <c r="Q772" i="1" s="1"/>
  <c r="S772" i="1"/>
  <c r="A479" i="1"/>
  <c r="C479" i="1"/>
  <c r="B479" i="1" s="1"/>
  <c r="F479" i="1"/>
  <c r="M479" i="1"/>
  <c r="O479" i="1"/>
  <c r="P479" i="1"/>
  <c r="Q479" i="1" s="1"/>
  <c r="S479" i="1"/>
  <c r="A250" i="1"/>
  <c r="C250" i="1"/>
  <c r="B250" i="1" s="1"/>
  <c r="F250" i="1"/>
  <c r="M250" i="1"/>
  <c r="O250" i="1"/>
  <c r="P250" i="1"/>
  <c r="Q250" i="1" s="1"/>
  <c r="S250" i="1"/>
  <c r="A308" i="1"/>
  <c r="C308" i="1"/>
  <c r="B308" i="1" s="1"/>
  <c r="D308" i="1"/>
  <c r="F308" i="1"/>
  <c r="M308" i="1"/>
  <c r="O308" i="1"/>
  <c r="P308" i="1"/>
  <c r="Q308" i="1" s="1"/>
  <c r="S308" i="1"/>
  <c r="A328" i="1"/>
  <c r="C328" i="1"/>
  <c r="B328" i="1" s="1"/>
  <c r="D328" i="1"/>
  <c r="F328" i="1"/>
  <c r="M328" i="1"/>
  <c r="O328" i="1"/>
  <c r="P328" i="1"/>
  <c r="Q328" i="1" s="1"/>
  <c r="S328" i="1"/>
  <c r="A366" i="1"/>
  <c r="C366" i="1"/>
  <c r="B366" i="1" s="1"/>
  <c r="D366" i="1"/>
  <c r="F366" i="1"/>
  <c r="M366" i="1"/>
  <c r="O366" i="1"/>
  <c r="P366" i="1"/>
  <c r="Q366" i="1" s="1"/>
  <c r="S366" i="1"/>
  <c r="A433" i="1"/>
  <c r="C433" i="1"/>
  <c r="B433" i="1" s="1"/>
  <c r="D433" i="1"/>
  <c r="F433" i="1"/>
  <c r="M433" i="1"/>
  <c r="O433" i="1"/>
  <c r="P433" i="1"/>
  <c r="Q433" i="1" s="1"/>
  <c r="S433" i="1"/>
  <c r="A461" i="1"/>
  <c r="C461" i="1"/>
  <c r="B461" i="1" s="1"/>
  <c r="D461" i="1"/>
  <c r="F461" i="1"/>
  <c r="M461" i="1"/>
  <c r="O461" i="1"/>
  <c r="P461" i="1"/>
  <c r="Q461" i="1" s="1"/>
  <c r="S461" i="1"/>
  <c r="A511" i="1"/>
  <c r="C511" i="1"/>
  <c r="B511" i="1" s="1"/>
  <c r="D511" i="1"/>
  <c r="F511" i="1"/>
  <c r="M511" i="1"/>
  <c r="O511" i="1"/>
  <c r="P511" i="1"/>
  <c r="Q511" i="1" s="1"/>
  <c r="S511" i="1"/>
  <c r="A1074" i="1"/>
  <c r="C1074" i="1"/>
  <c r="B1074" i="1" s="1"/>
  <c r="D1074" i="1"/>
  <c r="F1074" i="1"/>
  <c r="M1074" i="1"/>
  <c r="O1074" i="1"/>
  <c r="P1074" i="1"/>
  <c r="Q1074" i="1" s="1"/>
  <c r="S1074" i="1"/>
  <c r="A1578" i="1"/>
  <c r="C1578" i="1"/>
  <c r="B1578" i="1" s="1"/>
  <c r="D1578" i="1"/>
  <c r="F1578" i="1"/>
  <c r="K1578" i="1"/>
  <c r="O1578" i="1" s="1"/>
  <c r="S1578" i="1"/>
  <c r="A1047" i="1"/>
  <c r="C1047" i="1"/>
  <c r="B1047" i="1" s="1"/>
  <c r="D1047" i="1"/>
  <c r="F1047" i="1"/>
  <c r="M1047" i="1"/>
  <c r="O1047" i="1"/>
  <c r="P1047" i="1"/>
  <c r="Q1047" i="1" s="1"/>
  <c r="S1047" i="1"/>
  <c r="A1404" i="1"/>
  <c r="C1404" i="1"/>
  <c r="B1404" i="1" s="1"/>
  <c r="F1404" i="1"/>
  <c r="O1404" i="1"/>
  <c r="P1404" i="1"/>
  <c r="Q1404" i="1" s="1"/>
  <c r="S1404" i="1"/>
  <c r="A203" i="1"/>
  <c r="C203" i="1"/>
  <c r="B203" i="1" s="1"/>
  <c r="D203" i="1"/>
  <c r="F203" i="1"/>
  <c r="M203" i="1"/>
  <c r="O203" i="1"/>
  <c r="P203" i="1"/>
  <c r="Q203" i="1" s="1"/>
  <c r="S203" i="1"/>
  <c r="A212" i="1"/>
  <c r="C212" i="1"/>
  <c r="B212" i="1" s="1"/>
  <c r="F212" i="1"/>
  <c r="M212" i="1"/>
  <c r="O212" i="1"/>
  <c r="P212" i="1"/>
  <c r="Q212" i="1" s="1"/>
  <c r="A1757" i="1"/>
  <c r="C1757" i="1"/>
  <c r="B1757" i="1" s="1"/>
  <c r="F1757" i="1"/>
  <c r="M1757" i="1"/>
  <c r="O1757" i="1"/>
  <c r="P1757" i="1"/>
  <c r="Q1757" i="1" s="1"/>
  <c r="A951" i="1"/>
  <c r="C951" i="1"/>
  <c r="B951" i="1" s="1"/>
  <c r="F951" i="1"/>
  <c r="M951" i="1"/>
  <c r="O951" i="1"/>
  <c r="P951" i="1"/>
  <c r="Q951" i="1" s="1"/>
  <c r="S951" i="1"/>
  <c r="A950" i="1"/>
  <c r="C950" i="1"/>
  <c r="B950" i="1" s="1"/>
  <c r="F950" i="1"/>
  <c r="M950" i="1"/>
  <c r="O950" i="1"/>
  <c r="P950" i="1"/>
  <c r="Q950" i="1" s="1"/>
  <c r="S950" i="1"/>
  <c r="A1014" i="1"/>
  <c r="C1014" i="1"/>
  <c r="B1014" i="1" s="1"/>
  <c r="F1014" i="1"/>
  <c r="M1014" i="1"/>
  <c r="O1014" i="1"/>
  <c r="P1014" i="1"/>
  <c r="Q1014" i="1" s="1"/>
  <c r="S1014" i="1"/>
  <c r="A977" i="1"/>
  <c r="C977" i="1"/>
  <c r="B977" i="1" s="1"/>
  <c r="D977" i="1"/>
  <c r="F977" i="1"/>
  <c r="M977" i="1"/>
  <c r="P977" i="1"/>
  <c r="Q977" i="1" s="1"/>
  <c r="S977" i="1"/>
  <c r="A990" i="1"/>
  <c r="C990" i="1"/>
  <c r="B990" i="1" s="1"/>
  <c r="D990" i="1"/>
  <c r="F990" i="1"/>
  <c r="M990" i="1"/>
  <c r="O990" i="1"/>
  <c r="P990" i="1"/>
  <c r="Q990" i="1" s="1"/>
  <c r="S990" i="1"/>
  <c r="A1002" i="1"/>
  <c r="C1002" i="1"/>
  <c r="B1002" i="1" s="1"/>
  <c r="F1002" i="1"/>
  <c r="M1002" i="1"/>
  <c r="O1002" i="1"/>
  <c r="P1002" i="1"/>
  <c r="Q1002" i="1" s="1"/>
  <c r="S1002" i="1"/>
  <c r="A1027" i="1"/>
  <c r="C1027" i="1"/>
  <c r="B1027" i="1" s="1"/>
  <c r="D1027" i="1"/>
  <c r="F1027" i="1"/>
  <c r="M1027" i="1"/>
  <c r="O1027" i="1"/>
  <c r="P1027" i="1"/>
  <c r="Q1027" i="1" s="1"/>
  <c r="S1027" i="1"/>
  <c r="A1028" i="1"/>
  <c r="C1028" i="1"/>
  <c r="B1028" i="1" s="1"/>
  <c r="D1028" i="1"/>
  <c r="F1028" i="1"/>
  <c r="M1028" i="1"/>
  <c r="O1028" i="1"/>
  <c r="P1028" i="1"/>
  <c r="Q1028" i="1" s="1"/>
  <c r="S1028" i="1"/>
  <c r="A801" i="1"/>
  <c r="C801" i="1"/>
  <c r="B801" i="1" s="1"/>
  <c r="F801" i="1"/>
  <c r="M801" i="1"/>
  <c r="O801" i="1"/>
  <c r="P801" i="1"/>
  <c r="Q801" i="1" s="1"/>
  <c r="S801" i="1"/>
  <c r="A1097" i="1"/>
  <c r="C1097" i="1"/>
  <c r="B1097" i="1" s="1"/>
  <c r="D1097" i="1"/>
  <c r="F1097" i="1"/>
  <c r="K1097" i="1"/>
  <c r="M1097" i="1" s="1"/>
  <c r="S1097" i="1"/>
  <c r="A1106" i="1"/>
  <c r="C1106" i="1"/>
  <c r="B1106" i="1" s="1"/>
  <c r="D1106" i="1"/>
  <c r="F1106" i="1"/>
  <c r="M1106" i="1"/>
  <c r="O1106" i="1"/>
  <c r="P1106" i="1"/>
  <c r="Q1106" i="1" s="1"/>
  <c r="S1106" i="1"/>
  <c r="A1118" i="1"/>
  <c r="C1118" i="1"/>
  <c r="B1118" i="1" s="1"/>
  <c r="F1118" i="1"/>
  <c r="M1118" i="1"/>
  <c r="O1118" i="1"/>
  <c r="P1118" i="1"/>
  <c r="Q1118" i="1" s="1"/>
  <c r="S1118" i="1"/>
  <c r="A1758" i="1"/>
  <c r="C1758" i="1"/>
  <c r="B1758" i="1" s="1"/>
  <c r="F1758" i="1"/>
  <c r="M1758" i="1"/>
  <c r="O1758" i="1"/>
  <c r="P1758" i="1"/>
  <c r="Q1758" i="1" s="1"/>
  <c r="A1759" i="1"/>
  <c r="C1759" i="1"/>
  <c r="B1759" i="1" s="1"/>
  <c r="F1759" i="1"/>
  <c r="M1759" i="1"/>
  <c r="O1759" i="1"/>
  <c r="P1759" i="1"/>
  <c r="Q1759" i="1" s="1"/>
  <c r="A1456" i="1"/>
  <c r="C1456" i="1"/>
  <c r="B1456" i="1" s="1"/>
  <c r="F1456" i="1"/>
  <c r="M1456" i="1"/>
  <c r="O1456" i="1"/>
  <c r="P1456" i="1"/>
  <c r="Q1456" i="1" s="1"/>
  <c r="A1834" i="1"/>
  <c r="C1834" i="1"/>
  <c r="B1834" i="1" s="1"/>
  <c r="F1834" i="1"/>
  <c r="M1834" i="1"/>
  <c r="O1834" i="1"/>
  <c r="P1834" i="1"/>
  <c r="Q1834" i="1" s="1"/>
  <c r="S1834" i="1"/>
  <c r="A93" i="1"/>
  <c r="C93" i="1"/>
  <c r="B93" i="1" s="1"/>
  <c r="D93" i="1"/>
  <c r="F93" i="1"/>
  <c r="M93" i="1"/>
  <c r="O93" i="1"/>
  <c r="P93" i="1"/>
  <c r="Q93" i="1" s="1"/>
  <c r="S93" i="1"/>
  <c r="A1184" i="1"/>
  <c r="C1184" i="1"/>
  <c r="B1184" i="1" s="1"/>
  <c r="F1184" i="1"/>
  <c r="M1184" i="1"/>
  <c r="O1184" i="1"/>
  <c r="P1184" i="1"/>
  <c r="Q1184" i="1" s="1"/>
  <c r="S1184" i="1"/>
  <c r="A1405" i="1"/>
  <c r="C1405" i="1"/>
  <c r="B1405" i="1" s="1"/>
  <c r="F1405" i="1"/>
  <c r="O1405" i="1"/>
  <c r="P1405" i="1"/>
  <c r="Q1405" i="1" s="1"/>
  <c r="S1405" i="1"/>
  <c r="A1760" i="1"/>
  <c r="C1760" i="1"/>
  <c r="B1760" i="1" s="1"/>
  <c r="F1760" i="1"/>
  <c r="M1760" i="1"/>
  <c r="O1760" i="1"/>
  <c r="P1760" i="1"/>
  <c r="Q1760" i="1" s="1"/>
  <c r="A1534" i="1"/>
  <c r="C1534" i="1"/>
  <c r="B1534" i="1" s="1"/>
  <c r="F1534" i="1"/>
  <c r="M1534" i="1"/>
  <c r="O1534" i="1"/>
  <c r="P1534" i="1"/>
  <c r="Q1534" i="1" s="1"/>
  <c r="A367" i="1"/>
  <c r="C367" i="1"/>
  <c r="B367" i="1" s="1"/>
  <c r="D367" i="1"/>
  <c r="F367" i="1"/>
  <c r="M367" i="1"/>
  <c r="O367" i="1"/>
  <c r="P367" i="1"/>
  <c r="Q367" i="1" s="1"/>
  <c r="S367" i="1"/>
  <c r="A1295" i="1"/>
  <c r="C1295" i="1"/>
  <c r="B1295" i="1" s="1"/>
  <c r="F1295" i="1"/>
  <c r="M1295" i="1"/>
  <c r="O1295" i="1"/>
  <c r="P1295" i="1"/>
  <c r="Q1295" i="1" s="1"/>
  <c r="A1296" i="1"/>
  <c r="C1296" i="1"/>
  <c r="B1296" i="1" s="1"/>
  <c r="F1296" i="1"/>
  <c r="M1296" i="1"/>
  <c r="O1296" i="1"/>
  <c r="P1296" i="1"/>
  <c r="Q1296" i="1" s="1"/>
  <c r="A1455" i="1"/>
  <c r="C1455" i="1"/>
  <c r="B1455" i="1" s="1"/>
  <c r="F1455" i="1"/>
  <c r="M1455" i="1"/>
  <c r="O1455" i="1"/>
  <c r="P1455" i="1"/>
  <c r="Q1455" i="1" s="1"/>
  <c r="S1455" i="1"/>
  <c r="A1484" i="1"/>
  <c r="C1484" i="1"/>
  <c r="B1484" i="1" s="1"/>
  <c r="F1484" i="1"/>
  <c r="M1484" i="1"/>
  <c r="O1484" i="1"/>
  <c r="P1484" i="1"/>
  <c r="Q1484" i="1" s="1"/>
  <c r="S1484" i="1"/>
  <c r="A1222" i="1"/>
  <c r="C1222" i="1"/>
  <c r="B1222" i="1" s="1"/>
  <c r="D1222" i="1"/>
  <c r="F1222" i="1"/>
  <c r="K1222" i="1"/>
  <c r="M1222" i="1" s="1"/>
  <c r="S1222" i="1"/>
  <c r="A1336" i="1"/>
  <c r="C1336" i="1"/>
  <c r="B1336" i="1" s="1"/>
  <c r="D1336" i="1"/>
  <c r="F1336" i="1"/>
  <c r="M1336" i="1"/>
  <c r="O1336" i="1"/>
  <c r="P1336" i="1"/>
  <c r="Q1336" i="1" s="1"/>
  <c r="S1336" i="1"/>
  <c r="A1835" i="1"/>
  <c r="C1835" i="1"/>
  <c r="B1835" i="1" s="1"/>
  <c r="F1835" i="1"/>
  <c r="M1835" i="1"/>
  <c r="O1835" i="1"/>
  <c r="P1835" i="1"/>
  <c r="Q1835" i="1" s="1"/>
  <c r="A556" i="1"/>
  <c r="C556" i="1"/>
  <c r="B556" i="1" s="1"/>
  <c r="F556" i="1"/>
  <c r="M556" i="1"/>
  <c r="O556" i="1"/>
  <c r="P556" i="1"/>
  <c r="Q556" i="1" s="1"/>
  <c r="A555" i="1"/>
  <c r="C555" i="1"/>
  <c r="B555" i="1" s="1"/>
  <c r="F555" i="1"/>
  <c r="M555" i="1"/>
  <c r="O555" i="1"/>
  <c r="P555" i="1"/>
  <c r="Q555" i="1" s="1"/>
  <c r="S555" i="1"/>
  <c r="A932" i="1"/>
  <c r="C932" i="1"/>
  <c r="B932" i="1" s="1"/>
  <c r="D932" i="1"/>
  <c r="F932" i="1"/>
  <c r="M932" i="1"/>
  <c r="O932" i="1"/>
  <c r="P932" i="1"/>
  <c r="Q932" i="1" s="1"/>
  <c r="S932" i="1"/>
  <c r="A1576" i="1"/>
  <c r="C1576" i="1"/>
  <c r="B1576" i="1" s="1"/>
  <c r="D1576" i="1"/>
  <c r="F1576" i="1"/>
  <c r="K1576" i="1"/>
  <c r="O1576" i="1" s="1"/>
  <c r="S1576" i="1"/>
  <c r="A454" i="1"/>
  <c r="C454" i="1"/>
  <c r="B454" i="1" s="1"/>
  <c r="D454" i="1"/>
  <c r="F454" i="1"/>
  <c r="M454" i="1"/>
  <c r="O454" i="1"/>
  <c r="P454" i="1"/>
  <c r="Q454" i="1" s="1"/>
  <c r="S454" i="1"/>
  <c r="A773" i="1"/>
  <c r="C773" i="1"/>
  <c r="B773" i="1" s="1"/>
  <c r="D773" i="1"/>
  <c r="F773" i="1"/>
  <c r="M773" i="1"/>
  <c r="O773" i="1"/>
  <c r="P773" i="1"/>
  <c r="Q773" i="1" s="1"/>
  <c r="S773" i="1"/>
  <c r="A748" i="1"/>
  <c r="C748" i="1"/>
  <c r="B748" i="1" s="1"/>
  <c r="F748" i="1"/>
  <c r="M748" i="1"/>
  <c r="O748" i="1"/>
  <c r="P748" i="1"/>
  <c r="Q748" i="1" s="1"/>
  <c r="A780" i="1"/>
  <c r="C780" i="1"/>
  <c r="B780" i="1" s="1"/>
  <c r="D780" i="1"/>
  <c r="F780" i="1"/>
  <c r="M780" i="1"/>
  <c r="O780" i="1"/>
  <c r="P780" i="1"/>
  <c r="Q780" i="1" s="1"/>
  <c r="S780" i="1"/>
  <c r="A251" i="1"/>
  <c r="C251" i="1"/>
  <c r="B251" i="1" s="1"/>
  <c r="F251" i="1"/>
  <c r="M251" i="1"/>
  <c r="O251" i="1"/>
  <c r="P251" i="1"/>
  <c r="Q251" i="1" s="1"/>
  <c r="S251" i="1"/>
  <c r="A1277" i="1"/>
  <c r="C1277" i="1"/>
  <c r="B1277" i="1" s="1"/>
  <c r="D1277" i="1"/>
  <c r="F1277" i="1"/>
  <c r="O1277" i="1"/>
  <c r="P1277" i="1"/>
  <c r="Q1277" i="1" s="1"/>
  <c r="S1277" i="1"/>
  <c r="A368" i="1"/>
  <c r="C368" i="1"/>
  <c r="B368" i="1" s="1"/>
  <c r="D368" i="1"/>
  <c r="F368" i="1"/>
  <c r="M368" i="1"/>
  <c r="O368" i="1"/>
  <c r="P368" i="1"/>
  <c r="Q368" i="1" s="1"/>
  <c r="S368" i="1"/>
  <c r="A628" i="1"/>
  <c r="C628" i="1"/>
  <c r="B628" i="1" s="1"/>
  <c r="F628" i="1"/>
  <c r="M628" i="1"/>
  <c r="O628" i="1"/>
  <c r="P628" i="1"/>
  <c r="Q628" i="1" s="1"/>
  <c r="A629" i="1"/>
  <c r="C629" i="1"/>
  <c r="B629" i="1" s="1"/>
  <c r="F629" i="1"/>
  <c r="M629" i="1"/>
  <c r="O629" i="1"/>
  <c r="P629" i="1"/>
  <c r="Q629" i="1" s="1"/>
  <c r="A1406" i="1"/>
  <c r="C1406" i="1"/>
  <c r="B1406" i="1" s="1"/>
  <c r="F1406" i="1"/>
  <c r="M1406" i="1"/>
  <c r="O1406" i="1"/>
  <c r="P1406" i="1"/>
  <c r="Q1406" i="1" s="1"/>
  <c r="S1406" i="1"/>
  <c r="A1836" i="1"/>
  <c r="C1836" i="1"/>
  <c r="B1836" i="1" s="1"/>
  <c r="F1836" i="1"/>
  <c r="M1836" i="1"/>
  <c r="O1836" i="1"/>
  <c r="P1836" i="1"/>
  <c r="Q1836" i="1" s="1"/>
  <c r="A61" i="1"/>
  <c r="C61" i="1"/>
  <c r="B61" i="1" s="1"/>
  <c r="F61" i="1"/>
  <c r="M61" i="1"/>
  <c r="O61" i="1"/>
  <c r="P61" i="1"/>
  <c r="Q61" i="1" s="1"/>
  <c r="S61" i="1"/>
  <c r="A311" i="1"/>
  <c r="C311" i="1"/>
  <c r="B311" i="1" s="1"/>
  <c r="F311" i="1"/>
  <c r="M311" i="1"/>
  <c r="O311" i="1"/>
  <c r="P311" i="1"/>
  <c r="Q311" i="1" s="1"/>
  <c r="A825" i="1"/>
  <c r="C825" i="1"/>
  <c r="B825" i="1" s="1"/>
  <c r="F825" i="1"/>
  <c r="M825" i="1"/>
  <c r="O825" i="1"/>
  <c r="P825" i="1"/>
  <c r="Q825" i="1" s="1"/>
  <c r="A857" i="1"/>
  <c r="C857" i="1"/>
  <c r="B857" i="1" s="1"/>
  <c r="D857" i="1"/>
  <c r="F857" i="1"/>
  <c r="M857" i="1"/>
  <c r="O857" i="1"/>
  <c r="P857" i="1"/>
  <c r="Q857" i="1" s="1"/>
  <c r="S857" i="1"/>
  <c r="A858" i="1"/>
  <c r="C858" i="1"/>
  <c r="B858" i="1" s="1"/>
  <c r="D858" i="1"/>
  <c r="F858" i="1"/>
  <c r="M858" i="1"/>
  <c r="O858" i="1"/>
  <c r="P858" i="1"/>
  <c r="Q858" i="1" s="1"/>
  <c r="S858" i="1"/>
  <c r="A1762" i="1"/>
  <c r="C1762" i="1"/>
  <c r="B1762" i="1" s="1"/>
  <c r="F1762" i="1"/>
  <c r="M1762" i="1"/>
  <c r="O1762" i="1"/>
  <c r="P1762" i="1"/>
  <c r="Q1762" i="1" s="1"/>
  <c r="A1763" i="1"/>
  <c r="C1763" i="1"/>
  <c r="B1763" i="1" s="1"/>
  <c r="F1763" i="1"/>
  <c r="M1763" i="1"/>
  <c r="O1763" i="1"/>
  <c r="P1763" i="1"/>
  <c r="Q1763" i="1" s="1"/>
  <c r="A1764" i="1"/>
  <c r="C1764" i="1"/>
  <c r="B1764" i="1" s="1"/>
  <c r="F1764" i="1"/>
  <c r="M1764" i="1"/>
  <c r="O1764" i="1"/>
  <c r="P1764" i="1"/>
  <c r="Q1764" i="1" s="1"/>
  <c r="A1765" i="1"/>
  <c r="C1765" i="1"/>
  <c r="B1765" i="1" s="1"/>
  <c r="F1765" i="1"/>
  <c r="M1765" i="1"/>
  <c r="O1765" i="1"/>
  <c r="P1765" i="1"/>
  <c r="Q1765" i="1" s="1"/>
  <c r="A1799" i="1"/>
  <c r="C1799" i="1"/>
  <c r="B1799" i="1" s="1"/>
  <c r="F1799" i="1"/>
  <c r="M1799" i="1"/>
  <c r="O1799" i="1"/>
  <c r="P1799" i="1"/>
  <c r="Q1799" i="1" s="1"/>
  <c r="S1799" i="1"/>
  <c r="A35" i="1"/>
  <c r="C35" i="1"/>
  <c r="B35" i="1" s="1"/>
  <c r="D35" i="1"/>
  <c r="F35" i="1"/>
  <c r="M35" i="1"/>
  <c r="O35" i="1"/>
  <c r="P35" i="1"/>
  <c r="Q35" i="1" s="1"/>
  <c r="S35" i="1"/>
  <c r="A36" i="1"/>
  <c r="C36" i="1"/>
  <c r="B36" i="1" s="1"/>
  <c r="D36" i="1"/>
  <c r="F36" i="1"/>
  <c r="M36" i="1"/>
  <c r="O36" i="1"/>
  <c r="P36" i="1"/>
  <c r="Q36" i="1" s="1"/>
  <c r="S36" i="1"/>
  <c r="A155" i="1"/>
  <c r="C155" i="1"/>
  <c r="B155" i="1" s="1"/>
  <c r="F155" i="1"/>
  <c r="M155" i="1"/>
  <c r="O155" i="1"/>
  <c r="P155" i="1"/>
  <c r="Q155" i="1" s="1"/>
  <c r="S155" i="1"/>
  <c r="A648" i="1"/>
  <c r="C648" i="1"/>
  <c r="B648" i="1" s="1"/>
  <c r="D648" i="1"/>
  <c r="F648" i="1"/>
  <c r="M648" i="1"/>
  <c r="O648" i="1"/>
  <c r="P648" i="1"/>
  <c r="Q648" i="1" s="1"/>
  <c r="S648" i="1"/>
  <c r="A1308" i="1"/>
  <c r="C1308" i="1"/>
  <c r="B1308" i="1" s="1"/>
  <c r="F1308" i="1"/>
  <c r="M1308" i="1"/>
  <c r="P1308" i="1"/>
  <c r="Q1308" i="1" s="1"/>
  <c r="A1371" i="1"/>
  <c r="C1371" i="1"/>
  <c r="B1371" i="1" s="1"/>
  <c r="F1371" i="1"/>
  <c r="M1371" i="1"/>
  <c r="P1371" i="1"/>
  <c r="Q1371" i="1" s="1"/>
  <c r="A749" i="1"/>
  <c r="C749" i="1"/>
  <c r="B749" i="1" s="1"/>
  <c r="F749" i="1"/>
  <c r="M749" i="1"/>
  <c r="O749" i="1"/>
  <c r="P749" i="1"/>
  <c r="Q749" i="1" s="1"/>
  <c r="A1690" i="1"/>
  <c r="C1690" i="1"/>
  <c r="B1690" i="1" s="1"/>
  <c r="D1690" i="1"/>
  <c r="F1690" i="1"/>
  <c r="K1690" i="1"/>
  <c r="M1690" i="1" s="1"/>
  <c r="S1690" i="1"/>
  <c r="A283" i="1"/>
  <c r="C283" i="1"/>
  <c r="B283" i="1" s="1"/>
  <c r="F283" i="1"/>
  <c r="M283" i="1"/>
  <c r="P283" i="1"/>
  <c r="Q283" i="1" s="1"/>
  <c r="A1185" i="1"/>
  <c r="C1185" i="1"/>
  <c r="B1185" i="1" s="1"/>
  <c r="F1185" i="1"/>
  <c r="M1185" i="1"/>
  <c r="O1185" i="1"/>
  <c r="P1185" i="1"/>
  <c r="Q1185" i="1" s="1"/>
  <c r="A1568" i="1"/>
  <c r="C1568" i="1"/>
  <c r="B1568" i="1" s="1"/>
  <c r="D1568" i="1"/>
  <c r="F1568" i="1"/>
  <c r="O1568" i="1"/>
  <c r="S1568" i="1"/>
  <c r="A529" i="1"/>
  <c r="C529" i="1"/>
  <c r="B529" i="1" s="1"/>
  <c r="D529" i="1"/>
  <c r="F529" i="1"/>
  <c r="K529" i="1"/>
  <c r="M529" i="1" s="1"/>
  <c r="S529" i="1"/>
  <c r="A984" i="1"/>
  <c r="C984" i="1"/>
  <c r="B984" i="1" s="1"/>
  <c r="F984" i="1"/>
  <c r="M984" i="1"/>
  <c r="O984" i="1"/>
  <c r="P984" i="1"/>
  <c r="Q984" i="1" s="1"/>
  <c r="A1063" i="1"/>
  <c r="C1063" i="1"/>
  <c r="B1063" i="1" s="1"/>
  <c r="D1063" i="1"/>
  <c r="F1063" i="1"/>
  <c r="M1063" i="1"/>
  <c r="O1063" i="1"/>
  <c r="Q1063" i="1"/>
  <c r="S1063" i="1"/>
  <c r="A1084" i="1"/>
  <c r="B1084" i="1"/>
  <c r="A1085" i="1"/>
  <c r="B1085" i="1"/>
  <c r="A493" i="1"/>
  <c r="C493" i="1"/>
  <c r="B493" i="1" s="1"/>
  <c r="F493" i="1"/>
  <c r="M493" i="1"/>
  <c r="O493" i="1"/>
  <c r="P493" i="1"/>
  <c r="Q493" i="1" s="1"/>
  <c r="S493" i="1"/>
  <c r="A569" i="1"/>
  <c r="C569" i="1"/>
  <c r="B569" i="1" s="1"/>
  <c r="D569" i="1"/>
  <c r="F569" i="1"/>
  <c r="M569" i="1"/>
  <c r="O569" i="1"/>
  <c r="P569" i="1"/>
  <c r="Q569" i="1" s="1"/>
  <c r="S569" i="1"/>
  <c r="A881" i="1"/>
  <c r="C881" i="1"/>
  <c r="B881" i="1" s="1"/>
  <c r="F881" i="1"/>
  <c r="M881" i="1"/>
  <c r="O881" i="1"/>
  <c r="P881" i="1"/>
  <c r="Q881" i="1" s="1"/>
  <c r="A1766" i="1"/>
  <c r="C1766" i="1"/>
  <c r="B1766" i="1" s="1"/>
  <c r="F1766" i="1"/>
  <c r="M1766" i="1"/>
  <c r="O1766" i="1"/>
  <c r="P1766" i="1"/>
  <c r="Q1766" i="1" s="1"/>
  <c r="A24" i="1"/>
  <c r="C24" i="1"/>
  <c r="B24" i="1" s="1"/>
  <c r="F24" i="1"/>
  <c r="M24" i="1"/>
  <c r="O24" i="1"/>
  <c r="P24" i="1"/>
  <c r="Q24" i="1" s="1"/>
  <c r="A292" i="1"/>
  <c r="C292" i="1"/>
  <c r="B292" i="1" s="1"/>
  <c r="F292" i="1"/>
  <c r="M292" i="1"/>
  <c r="O292" i="1"/>
  <c r="P292" i="1"/>
  <c r="Q292" i="1" s="1"/>
  <c r="A396" i="1"/>
  <c r="C396" i="1"/>
  <c r="B396" i="1" s="1"/>
  <c r="D396" i="1"/>
  <c r="F396" i="1"/>
  <c r="M396" i="1"/>
  <c r="O396" i="1"/>
  <c r="P396" i="1"/>
  <c r="Q396" i="1" s="1"/>
  <c r="S396" i="1"/>
  <c r="A397" i="1"/>
  <c r="C397" i="1"/>
  <c r="B397" i="1" s="1"/>
  <c r="D397" i="1"/>
  <c r="F397" i="1"/>
  <c r="K397" i="1"/>
  <c r="M397" i="1" s="1"/>
  <c r="S397" i="1"/>
  <c r="A1635" i="1"/>
  <c r="C1635" i="1"/>
  <c r="B1635" i="1" s="1"/>
  <c r="F1635" i="1"/>
  <c r="M1635" i="1"/>
  <c r="O1635" i="1"/>
  <c r="P1635" i="1"/>
  <c r="Q1635" i="1" s="1"/>
  <c r="A1015" i="1"/>
  <c r="B1015" i="1"/>
  <c r="F1015" i="1"/>
  <c r="M1015" i="1"/>
  <c r="O1015" i="1"/>
  <c r="P1015" i="1"/>
  <c r="Q1015" i="1" s="1"/>
  <c r="A1119" i="1"/>
  <c r="B1119" i="1"/>
  <c r="F1119" i="1"/>
  <c r="O1119" i="1"/>
  <c r="P1119" i="1"/>
  <c r="Q1119" i="1" s="1"/>
  <c r="A133" i="1"/>
  <c r="C133" i="1"/>
  <c r="B133" i="1" s="1"/>
  <c r="F133" i="1"/>
  <c r="M133" i="1"/>
  <c r="O133" i="1"/>
  <c r="P133" i="1"/>
  <c r="Q133" i="1" s="1"/>
  <c r="S133" i="1"/>
  <c r="A369" i="1"/>
  <c r="C369" i="1"/>
  <c r="B369" i="1" s="1"/>
  <c r="D369" i="1"/>
  <c r="F369" i="1"/>
  <c r="M369" i="1"/>
  <c r="O369" i="1"/>
  <c r="P369" i="1"/>
  <c r="Q369" i="1" s="1"/>
  <c r="S369" i="1"/>
  <c r="A1767" i="1"/>
  <c r="C1767" i="1"/>
  <c r="B1767" i="1" s="1"/>
  <c r="F1767" i="1"/>
  <c r="M1767" i="1"/>
  <c r="O1767" i="1"/>
  <c r="P1767" i="1"/>
  <c r="Q1767" i="1" s="1"/>
  <c r="A1800" i="1"/>
  <c r="C1800" i="1"/>
  <c r="B1800" i="1" s="1"/>
  <c r="F1800" i="1"/>
  <c r="M1800" i="1"/>
  <c r="O1800" i="1"/>
  <c r="P1800" i="1"/>
  <c r="Q1800" i="1" s="1"/>
  <c r="S1800" i="1"/>
  <c r="A259" i="1"/>
  <c r="C259" i="1"/>
  <c r="B259" i="1" s="1"/>
  <c r="F259" i="1"/>
  <c r="M259" i="1"/>
  <c r="O259" i="1"/>
  <c r="P259" i="1"/>
  <c r="Q259" i="1" s="1"/>
  <c r="A882" i="1"/>
  <c r="C882" i="1"/>
  <c r="B882" i="1" s="1"/>
  <c r="F882" i="1"/>
  <c r="M882" i="1"/>
  <c r="O882" i="1"/>
  <c r="P882" i="1"/>
  <c r="Q882" i="1" s="1"/>
  <c r="A1337" i="1"/>
  <c r="C1337" i="1"/>
  <c r="B1337" i="1" s="1"/>
  <c r="D1337" i="1"/>
  <c r="F1337" i="1"/>
  <c r="M1337" i="1"/>
  <c r="O1337" i="1"/>
  <c r="P1337" i="1"/>
  <c r="Q1337" i="1" s="1"/>
  <c r="S1337" i="1"/>
  <c r="A1768" i="1"/>
  <c r="C1768" i="1"/>
  <c r="B1768" i="1" s="1"/>
  <c r="F1768" i="1"/>
  <c r="M1768" i="1"/>
  <c r="O1768" i="1"/>
  <c r="P1768" i="1"/>
  <c r="Q1768" i="1" s="1"/>
  <c r="A25" i="1"/>
  <c r="C25" i="1"/>
  <c r="B25" i="1" s="1"/>
  <c r="F25" i="1"/>
  <c r="M25" i="1"/>
  <c r="O25" i="1"/>
  <c r="P25" i="1"/>
  <c r="Q25" i="1" s="1"/>
  <c r="A859" i="1"/>
  <c r="C859" i="1"/>
  <c r="B859" i="1" s="1"/>
  <c r="D859" i="1"/>
  <c r="F859" i="1"/>
  <c r="M859" i="1"/>
  <c r="O859" i="1"/>
  <c r="P859" i="1"/>
  <c r="Q859" i="1" s="1"/>
  <c r="S859" i="1"/>
  <c r="A1048" i="1"/>
  <c r="C1048" i="1"/>
  <c r="B1048" i="1" s="1"/>
  <c r="D1048" i="1"/>
  <c r="F1048" i="1"/>
  <c r="M1048" i="1"/>
  <c r="O1048" i="1"/>
  <c r="P1048" i="1"/>
  <c r="Q1048" i="1" s="1"/>
  <c r="S1048" i="1"/>
  <c r="A1338" i="1"/>
  <c r="C1338" i="1"/>
  <c r="B1338" i="1" s="1"/>
  <c r="D1338" i="1"/>
  <c r="F1338" i="1"/>
  <c r="M1338" i="1"/>
  <c r="O1338" i="1"/>
  <c r="P1338" i="1"/>
  <c r="Q1338" i="1" s="1"/>
  <c r="S1338" i="1"/>
  <c r="A1372" i="1"/>
  <c r="C1372" i="1"/>
  <c r="B1372" i="1" s="1"/>
  <c r="F1372" i="1"/>
  <c r="M1372" i="1"/>
  <c r="O1372" i="1"/>
  <c r="P1372" i="1"/>
  <c r="Q1372" i="1" s="1"/>
  <c r="S1372" i="1"/>
  <c r="A1390" i="1"/>
  <c r="C1390" i="1"/>
  <c r="B1390" i="1" s="1"/>
  <c r="D1390" i="1"/>
  <c r="F1390" i="1"/>
  <c r="O1390" i="1"/>
  <c r="P1390" i="1"/>
  <c r="Q1390" i="1" s="1"/>
  <c r="S1390" i="1"/>
  <c r="A252" i="1"/>
  <c r="C252" i="1"/>
  <c r="B252" i="1" s="1"/>
  <c r="F252" i="1"/>
  <c r="M252" i="1"/>
  <c r="O252" i="1"/>
  <c r="P252" i="1"/>
  <c r="Q252" i="1" s="1"/>
  <c r="S252" i="1"/>
  <c r="A771" i="1"/>
  <c r="C771" i="1"/>
  <c r="B771" i="1" s="1"/>
  <c r="D771" i="1"/>
  <c r="F771" i="1"/>
  <c r="M771" i="1"/>
  <c r="O771" i="1"/>
  <c r="P771" i="1"/>
  <c r="Q771" i="1" s="1"/>
  <c r="S771" i="1"/>
  <c r="A1120" i="1"/>
  <c r="C1120" i="1"/>
  <c r="B1120" i="1" s="1"/>
  <c r="F1120" i="1"/>
  <c r="M1120" i="1"/>
  <c r="O1120" i="1"/>
  <c r="Q1120" i="1"/>
  <c r="S1120" i="1"/>
  <c r="A1601" i="1"/>
  <c r="C1601" i="1"/>
  <c r="B1601" i="1" s="1"/>
  <c r="F1601" i="1"/>
  <c r="M1601" i="1"/>
  <c r="O1601" i="1"/>
  <c r="P1601" i="1"/>
  <c r="Q1601" i="1" s="1"/>
  <c r="A62" i="1"/>
  <c r="C62" i="1"/>
  <c r="B62" i="1" s="1"/>
  <c r="F62" i="1"/>
  <c r="M62" i="1"/>
  <c r="O62" i="1"/>
  <c r="P62" i="1"/>
  <c r="Q62" i="1" s="1"/>
  <c r="A1580" i="1"/>
  <c r="C1580" i="1"/>
  <c r="B1580" i="1" s="1"/>
  <c r="D1580" i="1"/>
  <c r="F1580" i="1"/>
  <c r="O1580" i="1"/>
  <c r="R1580" i="1" s="1"/>
  <c r="S1580" i="1"/>
  <c r="A1186" i="1"/>
  <c r="C1186" i="1"/>
  <c r="B1186" i="1" s="1"/>
  <c r="F1186" i="1"/>
  <c r="M1186" i="1"/>
  <c r="O1186" i="1"/>
  <c r="P1186" i="1"/>
  <c r="Q1186" i="1" s="1"/>
  <c r="A1086" i="1"/>
  <c r="B1086" i="1"/>
  <c r="A1121" i="1"/>
  <c r="C1121" i="1"/>
  <c r="B1121" i="1" s="1"/>
  <c r="F1121" i="1"/>
  <c r="M1121" i="1"/>
  <c r="O1121" i="1"/>
  <c r="P1121" i="1"/>
  <c r="Q1121" i="1" s="1"/>
  <c r="S1121" i="1"/>
  <c r="A1761" i="1"/>
  <c r="C1761" i="1"/>
  <c r="B1761" i="1" s="1"/>
  <c r="F1761" i="1"/>
  <c r="M1761" i="1"/>
  <c r="O1761" i="1"/>
  <c r="P1761" i="1"/>
  <c r="Q1761" i="1" s="1"/>
  <c r="A747" i="1"/>
  <c r="C747" i="1"/>
  <c r="B747" i="1" s="1"/>
  <c r="F747" i="1"/>
  <c r="M747" i="1"/>
  <c r="O747" i="1"/>
  <c r="P747" i="1"/>
  <c r="Q747" i="1" s="1"/>
  <c r="S747" i="1"/>
  <c r="A1064" i="1"/>
  <c r="C1064" i="1"/>
  <c r="B1064" i="1" s="1"/>
  <c r="D1064" i="1"/>
  <c r="F1064" i="1"/>
  <c r="M1064" i="1"/>
  <c r="O1064" i="1"/>
  <c r="Q1064" i="1"/>
  <c r="S1064" i="1"/>
  <c r="A952" i="1"/>
  <c r="C952" i="1"/>
  <c r="B952" i="1" s="1"/>
  <c r="F952" i="1"/>
  <c r="M952" i="1"/>
  <c r="O952" i="1"/>
  <c r="P952" i="1"/>
  <c r="Q952" i="1" s="1"/>
  <c r="S952" i="1"/>
  <c r="A953" i="1"/>
  <c r="C953" i="1"/>
  <c r="B953" i="1" s="1"/>
  <c r="F953" i="1"/>
  <c r="M953" i="1"/>
  <c r="O953" i="1"/>
  <c r="P953" i="1"/>
  <c r="Q953" i="1" s="1"/>
  <c r="S953" i="1"/>
  <c r="A991" i="1"/>
  <c r="C991" i="1"/>
  <c r="B991" i="1" s="1"/>
  <c r="D991" i="1"/>
  <c r="F991" i="1"/>
  <c r="M991" i="1"/>
  <c r="O991" i="1"/>
  <c r="P991" i="1"/>
  <c r="Q991" i="1" s="1"/>
  <c r="S991" i="1"/>
  <c r="A1241" i="1"/>
  <c r="C1241" i="1"/>
  <c r="B1241" i="1" s="1"/>
  <c r="F1241" i="1"/>
  <c r="M1241" i="1"/>
  <c r="O1241" i="1"/>
  <c r="P1241" i="1"/>
  <c r="Q1241" i="1" s="1"/>
  <c r="A1029" i="1"/>
  <c r="C1029" i="1"/>
  <c r="B1029" i="1" s="1"/>
  <c r="D1029" i="1"/>
  <c r="F1029" i="1"/>
  <c r="M1029" i="1"/>
  <c r="O1029" i="1"/>
  <c r="P1029" i="1"/>
  <c r="Q1029" i="1" s="1"/>
  <c r="S1029" i="1"/>
  <c r="A1030" i="1"/>
  <c r="C1030" i="1"/>
  <c r="B1030" i="1" s="1"/>
  <c r="D1030" i="1"/>
  <c r="F1030" i="1"/>
  <c r="M1030" i="1"/>
  <c r="O1030" i="1"/>
  <c r="P1030" i="1"/>
  <c r="Q1030" i="1" s="1"/>
  <c r="S1030" i="1"/>
  <c r="A370" i="1"/>
  <c r="C370" i="1"/>
  <c r="B370" i="1" s="1"/>
  <c r="D370" i="1"/>
  <c r="F370" i="1"/>
  <c r="M370" i="1"/>
  <c r="O370" i="1"/>
  <c r="P370" i="1"/>
  <c r="Q370" i="1" s="1"/>
  <c r="S370" i="1"/>
  <c r="A1339" i="1"/>
  <c r="C1339" i="1"/>
  <c r="B1339" i="1" s="1"/>
  <c r="D1339" i="1"/>
  <c r="F1339" i="1"/>
  <c r="M1339" i="1"/>
  <c r="O1339" i="1"/>
  <c r="P1339" i="1"/>
  <c r="Q1339" i="1" s="1"/>
  <c r="S1339" i="1"/>
  <c r="A1223" i="1"/>
  <c r="C1223" i="1"/>
  <c r="B1223" i="1" s="1"/>
  <c r="D1223" i="1"/>
  <c r="F1223" i="1"/>
  <c r="K1223" i="1"/>
  <c r="O1223" i="1" s="1"/>
  <c r="S1223" i="1"/>
  <c r="A329" i="1"/>
  <c r="C329" i="1"/>
  <c r="B329" i="1" s="1"/>
  <c r="D329" i="1"/>
  <c r="F329" i="1"/>
  <c r="M329" i="1"/>
  <c r="O329" i="1"/>
  <c r="P329" i="1"/>
  <c r="Q329" i="1" s="1"/>
  <c r="S329" i="1"/>
  <c r="A512" i="1"/>
  <c r="C512" i="1"/>
  <c r="B512" i="1" s="1"/>
  <c r="D512" i="1"/>
  <c r="F512" i="1"/>
  <c r="M512" i="1"/>
  <c r="O512" i="1"/>
  <c r="P512" i="1"/>
  <c r="Q512" i="1" s="1"/>
  <c r="S512" i="1"/>
  <c r="A309" i="1"/>
  <c r="C309" i="1"/>
  <c r="B309" i="1" s="1"/>
  <c r="D309" i="1"/>
  <c r="F309" i="1"/>
  <c r="M309" i="1"/>
  <c r="O309" i="1"/>
  <c r="P309" i="1"/>
  <c r="Q309" i="1" s="1"/>
  <c r="S309" i="1"/>
  <c r="A434" i="1"/>
  <c r="C434" i="1"/>
  <c r="B434" i="1" s="1"/>
  <c r="D434" i="1"/>
  <c r="F434" i="1"/>
  <c r="M434" i="1"/>
  <c r="O434" i="1"/>
  <c r="P434" i="1"/>
  <c r="Q434" i="1" s="1"/>
  <c r="S434" i="1"/>
  <c r="A462" i="1"/>
  <c r="C462" i="1"/>
  <c r="B462" i="1" s="1"/>
  <c r="D462" i="1"/>
  <c r="F462" i="1"/>
  <c r="M462" i="1"/>
  <c r="O462" i="1"/>
  <c r="P462" i="1"/>
  <c r="Q462" i="1" s="1"/>
  <c r="S462" i="1"/>
  <c r="A1278" i="1"/>
  <c r="C1278" i="1"/>
  <c r="B1278" i="1" s="1"/>
  <c r="D1278" i="1"/>
  <c r="F1278" i="1"/>
  <c r="O1278" i="1"/>
  <c r="P1278" i="1"/>
  <c r="Q1278" i="1" s="1"/>
  <c r="S1278" i="1"/>
  <c r="A94" i="1"/>
  <c r="C94" i="1"/>
  <c r="B94" i="1" s="1"/>
  <c r="D94" i="1"/>
  <c r="F94" i="1"/>
  <c r="M94" i="1"/>
  <c r="O94" i="1"/>
  <c r="P94" i="1"/>
  <c r="Q94" i="1" s="1"/>
  <c r="S94" i="1"/>
  <c r="A213" i="1"/>
  <c r="C213" i="1"/>
  <c r="B213" i="1" s="1"/>
  <c r="F213" i="1"/>
  <c r="M213" i="1"/>
  <c r="O213" i="1"/>
  <c r="P213" i="1"/>
  <c r="Q213" i="1" s="1"/>
  <c r="A78" i="1"/>
  <c r="C78" i="1"/>
  <c r="B78" i="1" s="1"/>
  <c r="F78" i="1"/>
  <c r="M78" i="1"/>
  <c r="O78" i="1"/>
  <c r="P78" i="1"/>
  <c r="Q78" i="1" s="1"/>
  <c r="A473" i="1"/>
  <c r="C473" i="1"/>
  <c r="B473" i="1" s="1"/>
  <c r="F473" i="1"/>
  <c r="M473" i="1"/>
  <c r="O473" i="1"/>
  <c r="P473" i="1"/>
  <c r="Q473" i="1" s="1"/>
  <c r="A1837" i="1"/>
  <c r="C1837" i="1"/>
  <c r="B1837" i="1" s="1"/>
  <c r="F1837" i="1"/>
  <c r="M1837" i="1"/>
  <c r="O1837" i="1"/>
  <c r="P1837" i="1"/>
  <c r="Q1837" i="1" s="1"/>
  <c r="A1098" i="1"/>
  <c r="C1098" i="1"/>
  <c r="B1098" i="1" s="1"/>
  <c r="D1098" i="1"/>
  <c r="F1098" i="1"/>
  <c r="K1098" i="1"/>
  <c r="O1098" i="1" s="1"/>
  <c r="S1098" i="1"/>
  <c r="A826" i="1"/>
  <c r="C826" i="1"/>
  <c r="B826" i="1" s="1"/>
  <c r="F826" i="1"/>
  <c r="M826" i="1"/>
  <c r="P826" i="1"/>
  <c r="Q826" i="1" s="1"/>
  <c r="A455" i="1"/>
  <c r="C455" i="1"/>
  <c r="B455" i="1" s="1"/>
  <c r="D455" i="1"/>
  <c r="F455" i="1"/>
  <c r="M455" i="1"/>
  <c r="O455" i="1"/>
  <c r="P455" i="1"/>
  <c r="Q455" i="1" s="1"/>
  <c r="S455" i="1"/>
  <c r="A978" i="1"/>
  <c r="C978" i="1"/>
  <c r="B978" i="1" s="1"/>
  <c r="D978" i="1"/>
  <c r="F978" i="1"/>
  <c r="M978" i="1"/>
  <c r="P978" i="1"/>
  <c r="Q978" i="1" s="1"/>
  <c r="S978" i="1"/>
  <c r="A1049" i="1"/>
  <c r="C1049" i="1"/>
  <c r="B1049" i="1" s="1"/>
  <c r="D1049" i="1"/>
  <c r="F1049" i="1"/>
  <c r="M1049" i="1"/>
  <c r="O1049" i="1"/>
  <c r="P1049" i="1"/>
  <c r="Q1049" i="1" s="1"/>
  <c r="S1049" i="1"/>
  <c r="A18" i="1"/>
  <c r="C18" i="1"/>
  <c r="B18" i="1" s="1"/>
  <c r="F18" i="1"/>
  <c r="M18" i="1"/>
  <c r="O18" i="1"/>
  <c r="P18" i="1"/>
  <c r="Q18" i="1" s="1"/>
  <c r="A1016" i="1"/>
  <c r="C1016" i="1"/>
  <c r="B1016" i="1" s="1"/>
  <c r="F1016" i="1"/>
  <c r="M1016" i="1"/>
  <c r="O1016" i="1"/>
  <c r="P1016" i="1"/>
  <c r="Q1016" i="1" s="1"/>
  <c r="S1016" i="1"/>
  <c r="A1318" i="1"/>
  <c r="C1318" i="1"/>
  <c r="B1318" i="1" s="1"/>
  <c r="F1318" i="1"/>
  <c r="P1318" i="1"/>
  <c r="A1329" i="1"/>
  <c r="C1329" i="1"/>
  <c r="B1329" i="1" s="1"/>
  <c r="F1329" i="1"/>
  <c r="M1329" i="1"/>
  <c r="O1329" i="1"/>
  <c r="P1329" i="1"/>
  <c r="Q1329" i="1" s="1"/>
  <c r="S1329" i="1"/>
  <c r="A645" i="1"/>
  <c r="C645" i="1"/>
  <c r="B645" i="1" s="1"/>
  <c r="D645" i="1"/>
  <c r="F645" i="1"/>
  <c r="M645" i="1"/>
  <c r="O645" i="1"/>
  <c r="P645" i="1"/>
  <c r="Q645" i="1" s="1"/>
  <c r="S645" i="1"/>
  <c r="A937" i="1"/>
  <c r="C937" i="1"/>
  <c r="B937" i="1" s="1"/>
  <c r="F937" i="1"/>
  <c r="M937" i="1"/>
  <c r="O937" i="1"/>
  <c r="Y15" i="16" s="1"/>
  <c r="P937" i="1"/>
  <c r="Q937" i="1" s="1"/>
  <c r="A1003" i="1"/>
  <c r="C1003" i="1"/>
  <c r="B1003" i="1" s="1"/>
  <c r="F1003" i="1"/>
  <c r="M1003" i="1"/>
  <c r="O1003" i="1"/>
  <c r="P1003" i="1"/>
  <c r="Q1003" i="1" s="1"/>
  <c r="A1004" i="1"/>
  <c r="C1004" i="1"/>
  <c r="B1004" i="1" s="1"/>
  <c r="F1004" i="1"/>
  <c r="M1004" i="1"/>
  <c r="O1004" i="1"/>
  <c r="P1004" i="1"/>
  <c r="Q1004" i="1" s="1"/>
  <c r="A1232" i="1"/>
  <c r="C1232" i="1"/>
  <c r="B1232" i="1" s="1"/>
  <c r="D1232" i="1"/>
  <c r="F1232" i="1"/>
  <c r="K1232" i="1"/>
  <c r="O1232" i="1" s="1"/>
  <c r="S1232" i="1"/>
  <c r="A931" i="1"/>
  <c r="C931" i="1"/>
  <c r="B931" i="1" s="1"/>
  <c r="D931" i="1"/>
  <c r="F931" i="1"/>
  <c r="M931" i="1"/>
  <c r="O931" i="1"/>
  <c r="P931" i="1"/>
  <c r="Q931" i="1" s="1"/>
  <c r="S931" i="1"/>
  <c r="A371" i="1"/>
  <c r="C371" i="1"/>
  <c r="B371" i="1" s="1"/>
  <c r="D371" i="1"/>
  <c r="F371" i="1"/>
  <c r="M371" i="1"/>
  <c r="O371" i="1"/>
  <c r="P371" i="1"/>
  <c r="Q371" i="1" s="1"/>
  <c r="S371" i="1"/>
  <c r="A1470" i="1"/>
  <c r="C1470" i="1"/>
  <c r="B1470" i="1" s="1"/>
  <c r="F1470" i="1"/>
  <c r="M1470" i="1"/>
  <c r="O1470" i="1"/>
  <c r="P1470" i="1"/>
  <c r="Q1470" i="1" s="1"/>
  <c r="S1470" i="1"/>
  <c r="A1017" i="1"/>
  <c r="B1017" i="1"/>
  <c r="F1017" i="1"/>
  <c r="M1017" i="1"/>
  <c r="O1017" i="1"/>
  <c r="P1017" i="1"/>
  <c r="Q1017" i="1" s="1"/>
  <c r="A1122" i="1"/>
  <c r="B1122" i="1"/>
  <c r="F1122" i="1"/>
  <c r="O1122" i="1"/>
  <c r="P1122" i="1"/>
  <c r="Q1122" i="1" s="1"/>
  <c r="A1123" i="1"/>
  <c r="B1123" i="1"/>
  <c r="F1123" i="1"/>
  <c r="O1123" i="1"/>
  <c r="P1123" i="1"/>
  <c r="Q1123" i="1" s="1"/>
  <c r="D681" i="1" l="1"/>
  <c r="D683" i="1"/>
  <c r="M1387" i="1"/>
  <c r="M156" i="1"/>
  <c r="D679" i="1"/>
  <c r="D682" i="1"/>
  <c r="V15" i="16"/>
  <c r="D655" i="1"/>
  <c r="U15" i="16"/>
  <c r="D88" i="1"/>
  <c r="D87" i="1"/>
  <c r="D89" i="1"/>
  <c r="D86" i="1"/>
  <c r="D680" i="1"/>
  <c r="T13" i="16"/>
  <c r="T12" i="16"/>
  <c r="D781" i="1"/>
  <c r="R1390" i="1"/>
  <c r="R1405" i="1"/>
  <c r="R865" i="1"/>
  <c r="R1378" i="1"/>
  <c r="R1813" i="1"/>
  <c r="R826" i="1"/>
  <c r="R1837" i="1"/>
  <c r="R78" i="1"/>
  <c r="R952" i="1"/>
  <c r="R1121" i="1"/>
  <c r="R1601" i="1"/>
  <c r="R259" i="1"/>
  <c r="D258" i="1" s="1"/>
  <c r="R369" i="1"/>
  <c r="R133" i="1"/>
  <c r="R1382" i="1"/>
  <c r="R603" i="1"/>
  <c r="R52" i="1"/>
  <c r="R620" i="1"/>
  <c r="R1524" i="1"/>
  <c r="R738" i="1"/>
  <c r="R343" i="1"/>
  <c r="R1823" i="1"/>
  <c r="R1735" i="1"/>
  <c r="R1259" i="1"/>
  <c r="R668" i="1"/>
  <c r="R1154" i="1"/>
  <c r="R1365" i="1"/>
  <c r="R406" i="1"/>
  <c r="R1440" i="1"/>
  <c r="R900" i="1"/>
  <c r="R299" i="1"/>
  <c r="R1811" i="1"/>
  <c r="R786" i="1"/>
  <c r="R1549" i="1"/>
  <c r="R1506" i="1"/>
  <c r="R884" i="1"/>
  <c r="R864" i="1"/>
  <c r="R314" i="1"/>
  <c r="R598" i="1"/>
  <c r="R1593" i="1"/>
  <c r="R1228" i="1"/>
  <c r="R290" i="1"/>
  <c r="R1702" i="1"/>
  <c r="R1142" i="1"/>
  <c r="R596" i="1"/>
  <c r="R73" i="1"/>
  <c r="R784" i="1"/>
  <c r="R1139" i="1"/>
  <c r="R987" i="1"/>
  <c r="R1797" i="1"/>
  <c r="R1114" i="1"/>
  <c r="R1042" i="1"/>
  <c r="R92" i="1"/>
  <c r="R1469" i="1"/>
  <c r="R918" i="1"/>
  <c r="R450" i="1"/>
  <c r="R263" i="1"/>
  <c r="R23" i="1"/>
  <c r="R767" i="1"/>
  <c r="R675" i="1"/>
  <c r="R1828" i="1"/>
  <c r="R553" i="1"/>
  <c r="R91" i="1"/>
  <c r="R247" i="1"/>
  <c r="R438" i="1"/>
  <c r="R351" i="1"/>
  <c r="R1744" i="1"/>
  <c r="R972" i="1"/>
  <c r="R1010" i="1"/>
  <c r="R625" i="1"/>
  <c r="R1313" i="1"/>
  <c r="R1439" i="1"/>
  <c r="R1817" i="1"/>
  <c r="R600" i="1"/>
  <c r="R523" i="1"/>
  <c r="R1548" i="1"/>
  <c r="R1514" i="1"/>
  <c r="R441" i="1"/>
  <c r="R1849" i="1"/>
  <c r="R1815" i="1"/>
  <c r="R1149" i="1"/>
  <c r="R1224" i="1"/>
  <c r="R1856" i="1"/>
  <c r="R1715" i="1"/>
  <c r="R1148" i="1"/>
  <c r="R1677" i="1"/>
  <c r="R1622" i="1"/>
  <c r="R1254" i="1"/>
  <c r="R1253" i="1"/>
  <c r="R1710" i="1"/>
  <c r="R1435" i="1"/>
  <c r="R566" i="1"/>
  <c r="R88" i="1"/>
  <c r="R506" i="1"/>
  <c r="R424" i="1"/>
  <c r="R333" i="1"/>
  <c r="R319" i="1"/>
  <c r="R1380" i="1"/>
  <c r="R235" i="1"/>
  <c r="R666" i="1"/>
  <c r="R1719" i="1"/>
  <c r="R883" i="1"/>
  <c r="R616" i="1"/>
  <c r="R118" i="1"/>
  <c r="R1643" i="1"/>
  <c r="R1205" i="1"/>
  <c r="R615" i="1"/>
  <c r="R1430" i="1"/>
  <c r="R1854" i="1"/>
  <c r="R576" i="1"/>
  <c r="R1640" i="1"/>
  <c r="R1806" i="1"/>
  <c r="R575" i="1"/>
  <c r="R116" i="1"/>
  <c r="R222" i="1"/>
  <c r="R591" i="1"/>
  <c r="R1287" i="1"/>
  <c r="R1778" i="1"/>
  <c r="R590" i="1"/>
  <c r="R404" i="1"/>
  <c r="R589" i="1"/>
  <c r="R42" i="1"/>
  <c r="R1674" i="1"/>
  <c r="R2" i="1"/>
  <c r="R1855" i="1"/>
  <c r="R1845" i="1"/>
  <c r="R587" i="1"/>
  <c r="R586" i="1"/>
  <c r="R82" i="1"/>
  <c r="R1137" i="1"/>
  <c r="R1697" i="1"/>
  <c r="R580" i="1"/>
  <c r="R579" i="1"/>
  <c r="R578" i="1"/>
  <c r="R844" i="1"/>
  <c r="R41" i="1"/>
  <c r="R1136" i="1"/>
  <c r="R1428" i="1"/>
  <c r="R1322" i="1"/>
  <c r="R39" i="1"/>
  <c r="R655" i="1"/>
  <c r="R607" i="1"/>
  <c r="R233" i="1"/>
  <c r="R4" i="1"/>
  <c r="R206" i="1"/>
  <c r="R727" i="1"/>
  <c r="R86" i="1"/>
  <c r="R923" i="1"/>
  <c r="R688" i="1"/>
  <c r="R588" i="1"/>
  <c r="R1789" i="1"/>
  <c r="R845" i="1"/>
  <c r="R585" i="1"/>
  <c r="R504" i="1"/>
  <c r="R422" i="1"/>
  <c r="R331" i="1"/>
  <c r="R318" i="1"/>
  <c r="R297" i="1"/>
  <c r="R275" i="1"/>
  <c r="R1807" i="1"/>
  <c r="R581" i="1"/>
  <c r="R1431" i="1"/>
  <c r="R1642" i="1"/>
  <c r="R1641" i="1"/>
  <c r="R1286" i="1"/>
  <c r="R1429" i="1"/>
  <c r="R573" i="1"/>
  <c r="R315" i="1"/>
  <c r="R1805" i="1"/>
  <c r="R922" i="1"/>
  <c r="R921" i="1"/>
  <c r="R920" i="1"/>
  <c r="R571" i="1"/>
  <c r="R403" i="1"/>
  <c r="R1573" i="1"/>
  <c r="R1646" i="1"/>
  <c r="R1141" i="1"/>
  <c r="R863" i="1"/>
  <c r="R289" i="1"/>
  <c r="R1432" i="1"/>
  <c r="R1138" i="1"/>
  <c r="R522" i="1"/>
  <c r="R1610" i="1"/>
  <c r="R1498" i="1"/>
  <c r="R1559" i="1"/>
  <c r="R1672" i="1"/>
  <c r="R862" i="1"/>
  <c r="R608" i="1"/>
  <c r="R577" i="1"/>
  <c r="R1788" i="1"/>
  <c r="R1542" i="1"/>
  <c r="R117" i="1"/>
  <c r="R574" i="1"/>
  <c r="R520" i="1"/>
  <c r="R85" i="1"/>
  <c r="R1620" i="1"/>
  <c r="R1242" i="1"/>
  <c r="R570" i="1"/>
  <c r="R258" i="1"/>
  <c r="R1609" i="1"/>
  <c r="R933" i="1"/>
  <c r="R991" i="1"/>
  <c r="R479" i="1"/>
  <c r="R1046" i="1"/>
  <c r="R1276" i="1"/>
  <c r="R1658" i="1"/>
  <c r="R745" i="1"/>
  <c r="R678" i="1"/>
  <c r="R610" i="1"/>
  <c r="R554" i="1"/>
  <c r="R363" i="1"/>
  <c r="R822" i="1"/>
  <c r="R799" i="1"/>
  <c r="R944" i="1"/>
  <c r="R1012" i="1"/>
  <c r="R1059" i="1"/>
  <c r="R1007" i="1"/>
  <c r="R943" i="1"/>
  <c r="R879" i="1"/>
  <c r="R1212" i="1"/>
  <c r="R1599" i="1"/>
  <c r="R1273" i="1"/>
  <c r="R798" i="1"/>
  <c r="R676" i="1"/>
  <c r="R355" i="1"/>
  <c r="R1829" i="1"/>
  <c r="R1176" i="1"/>
  <c r="R354" i="1"/>
  <c r="R57" i="1"/>
  <c r="R1400" i="1"/>
  <c r="R153" i="1"/>
  <c r="R1211" i="1"/>
  <c r="R1398" i="1"/>
  <c r="R643" i="1"/>
  <c r="R221" i="1"/>
  <c r="R126" i="1"/>
  <c r="R1826" i="1"/>
  <c r="R1447" i="1"/>
  <c r="R111" i="1"/>
  <c r="R1446" i="1"/>
  <c r="R1316" i="1"/>
  <c r="R1396" i="1"/>
  <c r="R1168" i="1"/>
  <c r="R210" i="1"/>
  <c r="R1166" i="1"/>
  <c r="R227" i="1"/>
  <c r="R1161" i="1"/>
  <c r="R1351" i="1"/>
  <c r="R1444" i="1"/>
  <c r="R1159" i="1"/>
  <c r="R48" i="1"/>
  <c r="R1779" i="1"/>
  <c r="R1700" i="1"/>
  <c r="R1467" i="1"/>
  <c r="R584" i="1"/>
  <c r="R583" i="1"/>
  <c r="R582" i="1"/>
  <c r="R21" i="1"/>
  <c r="R843" i="1"/>
  <c r="R572" i="1"/>
  <c r="R40" i="1"/>
  <c r="R6" i="1"/>
  <c r="R1372" i="1"/>
  <c r="R1768" i="1"/>
  <c r="R24" i="1"/>
  <c r="R881" i="1"/>
  <c r="R1185" i="1"/>
  <c r="R35" i="1"/>
  <c r="R1799" i="1"/>
  <c r="R1764" i="1"/>
  <c r="R1762" i="1"/>
  <c r="R311" i="1"/>
  <c r="R1406" i="1"/>
  <c r="R628" i="1"/>
  <c r="R454" i="1"/>
  <c r="R1379" i="1"/>
  <c r="R1207" i="1"/>
  <c r="R868" i="1"/>
  <c r="R1240" i="1"/>
  <c r="R1438" i="1"/>
  <c r="R1392" i="1"/>
  <c r="R120" i="1"/>
  <c r="R901" i="1"/>
  <c r="R763" i="1"/>
  <c r="R1434" i="1"/>
  <c r="R1145" i="1"/>
  <c r="R657" i="1"/>
  <c r="R1245" i="1"/>
  <c r="R1612" i="1"/>
  <c r="R1628" i="1"/>
  <c r="R239" i="1"/>
  <c r="R1305" i="1"/>
  <c r="R1301" i="1"/>
  <c r="R543" i="1"/>
  <c r="R121" i="1"/>
  <c r="R1519" i="1"/>
  <c r="R1551" i="1"/>
  <c r="R1221" i="1"/>
  <c r="R1220" i="1"/>
  <c r="R1616" i="1"/>
  <c r="R899" i="1"/>
  <c r="R10" i="1"/>
  <c r="R1258" i="1"/>
  <c r="R1615" i="1"/>
  <c r="R100" i="1"/>
  <c r="R501" i="1"/>
  <c r="R426" i="1"/>
  <c r="R334" i="1"/>
  <c r="R321" i="1"/>
  <c r="R301" i="1"/>
  <c r="R1653" i="1"/>
  <c r="R853" i="1"/>
  <c r="R1477" i="1"/>
  <c r="R1208" i="1"/>
  <c r="R1623" i="1"/>
  <c r="R1515" i="1"/>
  <c r="R1716" i="1"/>
  <c r="R436" i="1"/>
  <c r="R1781" i="1"/>
  <c r="R1679" i="1"/>
  <c r="R1614" i="1"/>
  <c r="R1547" i="1"/>
  <c r="R665" i="1"/>
  <c r="R470" i="1"/>
  <c r="R207" i="1"/>
  <c r="R1371" i="1"/>
  <c r="D1371" i="1" s="1"/>
  <c r="R36" i="1"/>
  <c r="R773" i="1"/>
  <c r="R556" i="1"/>
  <c r="R1296" i="1"/>
  <c r="R1534" i="1"/>
  <c r="R1123" i="1"/>
  <c r="R1017" i="1"/>
  <c r="R94" i="1"/>
  <c r="R1278" i="1"/>
  <c r="R462" i="1"/>
  <c r="R434" i="1"/>
  <c r="R309" i="1"/>
  <c r="R512" i="1"/>
  <c r="R329" i="1"/>
  <c r="R984" i="1"/>
  <c r="R1568" i="1"/>
  <c r="R648" i="1"/>
  <c r="R155" i="1"/>
  <c r="R1836" i="1"/>
  <c r="R748" i="1"/>
  <c r="R1336" i="1"/>
  <c r="R367" i="1"/>
  <c r="R977" i="1"/>
  <c r="R1014" i="1"/>
  <c r="R1757" i="1"/>
  <c r="R1404" i="1"/>
  <c r="R880" i="1"/>
  <c r="R1783" i="1"/>
  <c r="R413" i="1"/>
  <c r="R452" i="1"/>
  <c r="R361" i="1"/>
  <c r="R1275" i="1"/>
  <c r="R219" i="1"/>
  <c r="R1117" i="1"/>
  <c r="R976" i="1"/>
  <c r="R1013" i="1"/>
  <c r="R947" i="1"/>
  <c r="R360" i="1"/>
  <c r="R1533" i="1"/>
  <c r="R1798" i="1"/>
  <c r="R1454" i="1"/>
  <c r="R677" i="1"/>
  <c r="R131" i="1"/>
  <c r="R644" i="1"/>
  <c r="R988" i="1"/>
  <c r="R973" i="1"/>
  <c r="R237" i="1"/>
  <c r="R1157" i="1"/>
  <c r="R1683" i="1"/>
  <c r="R1682" i="1"/>
  <c r="R1681" i="1"/>
  <c r="R690" i="1"/>
  <c r="R1521" i="1"/>
  <c r="R1625" i="1"/>
  <c r="R445" i="1"/>
  <c r="R104" i="1"/>
  <c r="R1227" i="1"/>
  <c r="R904" i="1"/>
  <c r="R871" i="1"/>
  <c r="R103" i="1"/>
  <c r="R1850" i="1"/>
  <c r="R1819" i="1"/>
  <c r="R1804" i="1"/>
  <c r="R790" i="1"/>
  <c r="R1725" i="1"/>
  <c r="R813" i="1"/>
  <c r="R471" i="1"/>
  <c r="R764" i="1"/>
  <c r="R1858" i="1"/>
  <c r="R731" i="1"/>
  <c r="R770" i="1"/>
  <c r="R15" i="1"/>
  <c r="R1566" i="1"/>
  <c r="R1000" i="1"/>
  <c r="R1631" i="1"/>
  <c r="R1526" i="1"/>
  <c r="R1827" i="1"/>
  <c r="R1397" i="1"/>
  <c r="R1095" i="1"/>
  <c r="R1073" i="1"/>
  <c r="R935" i="1"/>
  <c r="R228" i="1"/>
  <c r="R821" i="1"/>
  <c r="R113" i="1"/>
  <c r="R1356" i="1"/>
  <c r="R1354" i="1"/>
  <c r="R242" i="1"/>
  <c r="R90" i="1"/>
  <c r="R1629" i="1"/>
  <c r="R344" i="1"/>
  <c r="R1589" i="1"/>
  <c r="R317" i="1"/>
  <c r="R1597" i="1"/>
  <c r="R1824" i="1"/>
  <c r="R544" i="1"/>
  <c r="R341" i="1"/>
  <c r="R1794" i="1"/>
  <c r="R1266" i="1"/>
  <c r="R670" i="1"/>
  <c r="R1822" i="1"/>
  <c r="R49" i="1"/>
  <c r="R1315" i="1"/>
  <c r="R1733" i="1"/>
  <c r="R1394" i="1"/>
  <c r="R338" i="1"/>
  <c r="R967" i="1"/>
  <c r="R966" i="1"/>
  <c r="R409" i="1"/>
  <c r="R816" i="1"/>
  <c r="R1522" i="1"/>
  <c r="R146" i="1"/>
  <c r="R11" i="1"/>
  <c r="R1594" i="1"/>
  <c r="R1442" i="1"/>
  <c r="R288" i="1"/>
  <c r="R218" i="1"/>
  <c r="R1209" i="1"/>
  <c r="R1727" i="1"/>
  <c r="R1288" i="1"/>
  <c r="R313" i="1"/>
  <c r="R1478" i="1"/>
  <c r="R814" i="1"/>
  <c r="R525" i="1"/>
  <c r="R1726" i="1"/>
  <c r="R1261" i="1"/>
  <c r="R1260" i="1"/>
  <c r="R602" i="1"/>
  <c r="R1552" i="1"/>
  <c r="R1441" i="1"/>
  <c r="R732" i="1"/>
  <c r="R789" i="1"/>
  <c r="R1639" i="1"/>
  <c r="R276" i="1"/>
  <c r="R1150" i="1"/>
  <c r="R534" i="1"/>
  <c r="R1510" i="1"/>
  <c r="R1509" i="1"/>
  <c r="R1247" i="1"/>
  <c r="R1246" i="1"/>
  <c r="R1475" i="1"/>
  <c r="R1675" i="1"/>
  <c r="R787" i="1"/>
  <c r="R31" i="1"/>
  <c r="R1846" i="1"/>
  <c r="R1810" i="1"/>
  <c r="R695" i="1"/>
  <c r="R7" i="1"/>
  <c r="R1809" i="1"/>
  <c r="R1143" i="1"/>
  <c r="R1243" i="1"/>
  <c r="R1611" i="1"/>
  <c r="R934" i="1"/>
  <c r="R1314" i="1"/>
  <c r="R1500" i="1"/>
  <c r="R1499" i="1"/>
  <c r="R978" i="1"/>
  <c r="R953" i="1"/>
  <c r="R1767" i="1"/>
  <c r="R350" i="1"/>
  <c r="R55" i="1"/>
  <c r="R1528" i="1"/>
  <c r="R795" i="1"/>
  <c r="R1743" i="1"/>
  <c r="R912" i="1"/>
  <c r="R911" i="1"/>
  <c r="R854" i="1"/>
  <c r="R244" i="1"/>
  <c r="R503" i="1"/>
  <c r="R458" i="1"/>
  <c r="R430" i="1"/>
  <c r="R325" i="1"/>
  <c r="R305" i="1"/>
  <c r="R839" i="1"/>
  <c r="R1169" i="1"/>
  <c r="R1230" i="1"/>
  <c r="R672" i="1"/>
  <c r="R1742" i="1"/>
  <c r="R624" i="1"/>
  <c r="R1270" i="1"/>
  <c r="R823" i="1"/>
  <c r="R77" i="1"/>
  <c r="R1269" i="1"/>
  <c r="R348" i="1"/>
  <c r="R1795" i="1"/>
  <c r="R527" i="1"/>
  <c r="R53" i="1"/>
  <c r="R447" i="1"/>
  <c r="R446" i="1"/>
  <c r="R898" i="1"/>
  <c r="R794" i="1"/>
  <c r="R621" i="1"/>
  <c r="R546" i="1"/>
  <c r="R891" i="1"/>
  <c r="R211" i="1"/>
  <c r="R109" i="1"/>
  <c r="R84" i="1"/>
  <c r="R671" i="1"/>
  <c r="R766" i="1"/>
  <c r="R125" i="1"/>
  <c r="R1627" i="1"/>
  <c r="R1736" i="1"/>
  <c r="R1304" i="1"/>
  <c r="R1229" i="1"/>
  <c r="R342" i="1"/>
  <c r="R260" i="1"/>
  <c r="R1782" i="1"/>
  <c r="R1554" i="1"/>
  <c r="R1218" i="1"/>
  <c r="R1163" i="1"/>
  <c r="R1626" i="1"/>
  <c r="R1523" i="1"/>
  <c r="R542" i="1"/>
  <c r="R792" i="1"/>
  <c r="R1326" i="1"/>
  <c r="R1071" i="1"/>
  <c r="R692" i="1"/>
  <c r="R642" i="1"/>
  <c r="R490" i="1"/>
  <c r="R609" i="1"/>
  <c r="R123" i="1"/>
  <c r="R736" i="1"/>
  <c r="R735" i="1"/>
  <c r="R791" i="1"/>
  <c r="R1158" i="1"/>
  <c r="R1562" i="1"/>
  <c r="R1561" i="1"/>
  <c r="R873" i="1"/>
  <c r="R337" i="1"/>
  <c r="R1821" i="1"/>
  <c r="R489" i="1"/>
  <c r="R336" i="1"/>
  <c r="R149" i="1"/>
  <c r="R1728" i="1"/>
  <c r="R1262" i="1"/>
  <c r="R1003" i="1"/>
  <c r="R1016" i="1"/>
  <c r="R455" i="1"/>
  <c r="R1761" i="1"/>
  <c r="R1485" i="1"/>
  <c r="R134" i="1"/>
  <c r="R783" i="1"/>
  <c r="D783" i="1" s="1"/>
  <c r="R414" i="1"/>
  <c r="R1373" i="1"/>
  <c r="R1471" i="1"/>
  <c r="D1472" i="1" s="1"/>
  <c r="R990" i="1"/>
  <c r="R371" i="1"/>
  <c r="R931" i="1"/>
  <c r="R1049" i="1"/>
  <c r="R473" i="1"/>
  <c r="R1241" i="1"/>
  <c r="R1186" i="1"/>
  <c r="R62" i="1"/>
  <c r="R771" i="1"/>
  <c r="R252" i="1"/>
  <c r="R882" i="1"/>
  <c r="R292" i="1"/>
  <c r="R1765" i="1"/>
  <c r="R780" i="1"/>
  <c r="R555" i="1"/>
  <c r="R1835" i="1"/>
  <c r="R1295" i="1"/>
  <c r="R93" i="1"/>
  <c r="R203" i="1"/>
  <c r="R511" i="1"/>
  <c r="R433" i="1"/>
  <c r="R328" i="1"/>
  <c r="R17" i="1"/>
  <c r="R364" i="1"/>
  <c r="R1183" i="1"/>
  <c r="R478" i="1"/>
  <c r="R1567" i="1"/>
  <c r="R249" i="1"/>
  <c r="R1756" i="1"/>
  <c r="R1182" i="1"/>
  <c r="R1832" i="1"/>
  <c r="R626" i="1"/>
  <c r="R1386" i="1"/>
  <c r="R989" i="1"/>
  <c r="R949" i="1"/>
  <c r="R1008" i="1"/>
  <c r="R510" i="1"/>
  <c r="R460" i="1"/>
  <c r="R432" i="1"/>
  <c r="R327" i="1"/>
  <c r="R307" i="1"/>
  <c r="R484" i="1"/>
  <c r="R1752" i="1"/>
  <c r="R1357" i="1"/>
  <c r="R1751" i="1"/>
  <c r="R1001" i="1"/>
  <c r="R1274" i="1"/>
  <c r="R358" i="1"/>
  <c r="R272" i="1"/>
  <c r="R1061" i="1"/>
  <c r="R1060" i="1"/>
  <c r="R1044" i="1"/>
  <c r="R999" i="1"/>
  <c r="R945" i="1"/>
  <c r="R1401" i="1"/>
  <c r="R421" i="1"/>
  <c r="R1452" i="1"/>
  <c r="R1482" i="1"/>
  <c r="R1750" i="1"/>
  <c r="R1293" i="1"/>
  <c r="R824" i="1"/>
  <c r="R1748" i="1"/>
  <c r="R1175" i="1"/>
  <c r="R129" i="1"/>
  <c r="R1058" i="1"/>
  <c r="R1043" i="1"/>
  <c r="R941" i="1"/>
  <c r="R1292" i="1"/>
  <c r="R797" i="1"/>
  <c r="R876" i="1"/>
  <c r="R768" i="1"/>
  <c r="R1530" i="1"/>
  <c r="R1172" i="1"/>
  <c r="R552" i="1"/>
  <c r="R549" i="1"/>
  <c r="R986" i="1"/>
  <c r="R936" i="1"/>
  <c r="R154" i="1"/>
  <c r="R150" i="1"/>
  <c r="R855" i="1"/>
  <c r="R1480" i="1"/>
  <c r="R245" i="1"/>
  <c r="R1171" i="1"/>
  <c r="R54" i="1"/>
  <c r="R1525" i="1"/>
  <c r="R1327" i="1"/>
  <c r="R349" i="1"/>
  <c r="R243" i="1"/>
  <c r="R1657" i="1"/>
  <c r="R437" i="1"/>
  <c r="R112" i="1"/>
  <c r="R1355" i="1"/>
  <c r="R622" i="1"/>
  <c r="R267" i="1"/>
  <c r="R1448" i="1"/>
  <c r="R13" i="1"/>
  <c r="R1374" i="1"/>
  <c r="R910" i="1"/>
  <c r="R875" i="1"/>
  <c r="R740" i="1"/>
  <c r="R1383" i="1"/>
  <c r="R1479" i="1"/>
  <c r="R739" i="1"/>
  <c r="R346" i="1"/>
  <c r="R345" i="1"/>
  <c r="R241" i="1"/>
  <c r="R1367" i="1"/>
  <c r="R1167" i="1"/>
  <c r="R1737" i="1"/>
  <c r="R840" i="1"/>
  <c r="R526" i="1"/>
  <c r="R240" i="1"/>
  <c r="R223" i="1"/>
  <c r="R915" i="1"/>
  <c r="R818" i="1"/>
  <c r="R108" i="1"/>
  <c r="R1268" i="1"/>
  <c r="R1267" i="1"/>
  <c r="R906" i="1"/>
  <c r="R779" i="1"/>
  <c r="R50" i="1"/>
  <c r="R793" i="1"/>
  <c r="R1306" i="1"/>
  <c r="R1302" i="1"/>
  <c r="R645" i="1"/>
  <c r="R1329" i="1"/>
  <c r="R213" i="1"/>
  <c r="R25" i="1"/>
  <c r="R1635" i="1"/>
  <c r="R1766" i="1"/>
  <c r="R1063" i="1"/>
  <c r="R283" i="1"/>
  <c r="R749" i="1"/>
  <c r="R1308" i="1"/>
  <c r="R1763" i="1"/>
  <c r="R825" i="1"/>
  <c r="R629" i="1"/>
  <c r="R932" i="1"/>
  <c r="R1455" i="1"/>
  <c r="R1760" i="1"/>
  <c r="R1834" i="1"/>
  <c r="R1759" i="1"/>
  <c r="R1106" i="1"/>
  <c r="R1074" i="1"/>
  <c r="R461" i="1"/>
  <c r="R366" i="1"/>
  <c r="R308" i="1"/>
  <c r="R250" i="1"/>
  <c r="R1470" i="1"/>
  <c r="R1004" i="1"/>
  <c r="R937" i="1"/>
  <c r="R18" i="1"/>
  <c r="D19" i="1" s="1"/>
  <c r="R1339" i="1"/>
  <c r="R370" i="1"/>
  <c r="R1030" i="1"/>
  <c r="R1029" i="1"/>
  <c r="R1064" i="1"/>
  <c r="R747" i="1"/>
  <c r="R1120" i="1"/>
  <c r="R1338" i="1"/>
  <c r="R1048" i="1"/>
  <c r="R859" i="1"/>
  <c r="R1337" i="1"/>
  <c r="R1800" i="1"/>
  <c r="R1015" i="1"/>
  <c r="R396" i="1"/>
  <c r="R569" i="1"/>
  <c r="R493" i="1"/>
  <c r="R858" i="1"/>
  <c r="R857" i="1"/>
  <c r="R61" i="1"/>
  <c r="R368" i="1"/>
  <c r="R1277" i="1"/>
  <c r="R251" i="1"/>
  <c r="R1484" i="1"/>
  <c r="R1184" i="1"/>
  <c r="R1118" i="1"/>
  <c r="R1028" i="1"/>
  <c r="R1027" i="1"/>
  <c r="R1002" i="1"/>
  <c r="R951" i="1"/>
  <c r="R212" i="1"/>
  <c r="R453" i="1"/>
  <c r="R60" i="1"/>
  <c r="R291" i="1"/>
  <c r="R1024" i="1"/>
  <c r="R1784" i="1"/>
  <c r="R1600" i="1"/>
  <c r="R627" i="1"/>
  <c r="R132" i="1"/>
  <c r="R1294" i="1"/>
  <c r="R1389" i="1"/>
  <c r="R856" i="1"/>
  <c r="R362" i="1"/>
  <c r="R1634" i="1"/>
  <c r="R248" i="1"/>
  <c r="R1427" i="1"/>
  <c r="R1181" i="1"/>
  <c r="R1403" i="1"/>
  <c r="R1080" i="1"/>
  <c r="R1062" i="1"/>
  <c r="R1045" i="1"/>
  <c r="R1026" i="1"/>
  <c r="R1025" i="1"/>
  <c r="R948" i="1"/>
  <c r="R1180" i="1"/>
  <c r="R359" i="1"/>
  <c r="R1607" i="1"/>
  <c r="R58" i="1"/>
  <c r="R974" i="1"/>
  <c r="R946" i="1"/>
  <c r="R1116" i="1"/>
  <c r="R878" i="1"/>
  <c r="R919" i="1"/>
  <c r="R877" i="1"/>
  <c r="R1830" i="1"/>
  <c r="R1532" i="1"/>
  <c r="R1178" i="1"/>
  <c r="R1177" i="1"/>
  <c r="R1481" i="1"/>
  <c r="R1115" i="1"/>
  <c r="R942" i="1"/>
  <c r="R1632" i="1"/>
  <c r="R913" i="1"/>
  <c r="R352" i="1"/>
  <c r="R743" i="1"/>
  <c r="R1399" i="1"/>
  <c r="R1796" i="1"/>
  <c r="R1745" i="1"/>
  <c r="R1291" i="1"/>
  <c r="R796" i="1"/>
  <c r="R550" i="1"/>
  <c r="R1057" i="1"/>
  <c r="R939" i="1"/>
  <c r="R270" i="1"/>
  <c r="R128" i="1"/>
  <c r="R151" i="1"/>
  <c r="R1529" i="1"/>
  <c r="R127" i="1"/>
  <c r="R262" i="1"/>
  <c r="R741" i="1"/>
  <c r="R1271" i="1"/>
  <c r="R916" i="1"/>
  <c r="R673" i="1"/>
  <c r="R465" i="1"/>
  <c r="R464" i="1"/>
  <c r="R448" i="1"/>
  <c r="R269" i="1"/>
  <c r="R548" i="1"/>
  <c r="R1527" i="1"/>
  <c r="R491" i="1"/>
  <c r="R926" i="1"/>
  <c r="R567" i="1"/>
  <c r="R268" i="1"/>
  <c r="R1170" i="1"/>
  <c r="R229" i="1"/>
  <c r="R1072" i="1"/>
  <c r="R547" i="1"/>
  <c r="R412" i="1"/>
  <c r="R1741" i="1"/>
  <c r="R623" i="1"/>
  <c r="R819" i="1"/>
  <c r="R14" i="1"/>
  <c r="R1740" i="1"/>
  <c r="R1825" i="1"/>
  <c r="R1384" i="1"/>
  <c r="R1456" i="1"/>
  <c r="R1758" i="1"/>
  <c r="R801" i="1"/>
  <c r="R950" i="1"/>
  <c r="R1047" i="1"/>
  <c r="R772" i="1"/>
  <c r="R365" i="1"/>
  <c r="R800" i="1"/>
  <c r="R746" i="1"/>
  <c r="R1833" i="1"/>
  <c r="R492" i="1"/>
  <c r="R38" i="1"/>
  <c r="R1755" i="1"/>
  <c r="R1368" i="1"/>
  <c r="R1754" i="1"/>
  <c r="R1753" i="1"/>
  <c r="R1105" i="1"/>
  <c r="R1096" i="1"/>
  <c r="R451" i="1"/>
  <c r="R231" i="1"/>
  <c r="R59" i="1"/>
  <c r="R1328" i="1"/>
  <c r="R1402" i="1"/>
  <c r="R16" i="1"/>
  <c r="R1831" i="1"/>
  <c r="R509" i="1"/>
  <c r="R459" i="1"/>
  <c r="R431" i="1"/>
  <c r="R326" i="1"/>
  <c r="R306" i="1"/>
  <c r="R357" i="1"/>
  <c r="R1558" i="1"/>
  <c r="R1483" i="1"/>
  <c r="R1596" i="1"/>
  <c r="R650" i="1"/>
  <c r="R564" i="1"/>
  <c r="R1453" i="1"/>
  <c r="R769" i="1"/>
  <c r="R130" i="1"/>
  <c r="R1591" i="1"/>
  <c r="R1179" i="1"/>
  <c r="R271" i="1"/>
  <c r="R205" i="1"/>
  <c r="R356" i="1"/>
  <c r="R1749" i="1"/>
  <c r="R1451" i="1"/>
  <c r="R443" i="1"/>
  <c r="R1531" i="1"/>
  <c r="R1747" i="1"/>
  <c r="R1011" i="1"/>
  <c r="R1450" i="1"/>
  <c r="R353" i="1"/>
  <c r="R1590" i="1"/>
  <c r="R744" i="1"/>
  <c r="R1173" i="1"/>
  <c r="R1746" i="1"/>
  <c r="R1449" i="1"/>
  <c r="R551" i="1"/>
  <c r="R842" i="1"/>
  <c r="R674" i="1"/>
  <c r="R114" i="1"/>
  <c r="R1272" i="1"/>
  <c r="R1113" i="1"/>
  <c r="R940" i="1"/>
  <c r="R282" i="1"/>
  <c r="R152" i="1"/>
  <c r="R742" i="1"/>
  <c r="R246" i="1"/>
  <c r="R449" i="1"/>
  <c r="R917" i="1"/>
  <c r="R1598" i="1"/>
  <c r="R1595" i="1"/>
  <c r="R729" i="1"/>
  <c r="R1848" i="1"/>
  <c r="R1255" i="1"/>
  <c r="R850" i="1"/>
  <c r="R483" i="1"/>
  <c r="R1847" i="1"/>
  <c r="R1206" i="1"/>
  <c r="R1713" i="1"/>
  <c r="R1648" i="1"/>
  <c r="R1621" i="1"/>
  <c r="R1711" i="1"/>
  <c r="R115" i="1"/>
  <c r="R1814" i="1"/>
  <c r="R660" i="1"/>
  <c r="R1709" i="1"/>
  <c r="R1707" i="1"/>
  <c r="R1162" i="1"/>
  <c r="R1350" i="1"/>
  <c r="R76" i="1"/>
  <c r="R1265" i="1"/>
  <c r="R861" i="1"/>
  <c r="R1734" i="1"/>
  <c r="R508" i="1"/>
  <c r="R428" i="1"/>
  <c r="R323" i="1"/>
  <c r="R303" i="1"/>
  <c r="R1395" i="1"/>
  <c r="R1352" i="1"/>
  <c r="R541" i="1"/>
  <c r="R519" i="1"/>
  <c r="R238" i="1"/>
  <c r="R691" i="1"/>
  <c r="R316" i="1"/>
  <c r="R107" i="1"/>
  <c r="R106" i="1"/>
  <c r="R1860" i="1"/>
  <c r="R1852" i="1"/>
  <c r="R890" i="1"/>
  <c r="R1732" i="1"/>
  <c r="R22" i="1"/>
  <c r="R539" i="1"/>
  <c r="R1731" i="1"/>
  <c r="R1263" i="1"/>
  <c r="R410" i="1"/>
  <c r="R817" i="1"/>
  <c r="R1618" i="1"/>
  <c r="R1560" i="1"/>
  <c r="R488" i="1"/>
  <c r="R147" i="1"/>
  <c r="R1366" i="1"/>
  <c r="R122" i="1"/>
  <c r="R208" i="1"/>
  <c r="R1792" i="1"/>
  <c r="R1820" i="1"/>
  <c r="R74" i="1"/>
  <c r="R1156" i="1"/>
  <c r="R46" i="1"/>
  <c r="R537" i="1"/>
  <c r="R1680" i="1"/>
  <c r="R1617" i="1"/>
  <c r="R733" i="1"/>
  <c r="R335" i="1"/>
  <c r="R322" i="1"/>
  <c r="R302" i="1"/>
  <c r="R101" i="1"/>
  <c r="R1155" i="1"/>
  <c r="R1520" i="1"/>
  <c r="R1818" i="1"/>
  <c r="R1226" i="1"/>
  <c r="R467" i="1"/>
  <c r="R1723" i="1"/>
  <c r="R1624" i="1"/>
  <c r="R524" i="1"/>
  <c r="R1857" i="1"/>
  <c r="R1518" i="1"/>
  <c r="R1476" i="1"/>
  <c r="R1216" i="1"/>
  <c r="R1215" i="1"/>
  <c r="R903" i="1"/>
  <c r="R902" i="1"/>
  <c r="R852" i="1"/>
  <c r="R667" i="1"/>
  <c r="R1671" i="1"/>
  <c r="R1670" i="1"/>
  <c r="R487" i="1"/>
  <c r="R1517" i="1"/>
  <c r="R869" i="1"/>
  <c r="R1152" i="1"/>
  <c r="R1516" i="1"/>
  <c r="R1717" i="1"/>
  <c r="R619" i="1"/>
  <c r="R535" i="1"/>
  <c r="R851" i="1"/>
  <c r="R788" i="1"/>
  <c r="R1649" i="1"/>
  <c r="R1437" i="1"/>
  <c r="R8" i="1"/>
  <c r="R1546" i="1"/>
  <c r="R1513" i="1"/>
  <c r="R1077" i="1"/>
  <c r="R866" i="1"/>
  <c r="R1712" i="1"/>
  <c r="R1790" i="1"/>
  <c r="R662" i="1"/>
  <c r="R661" i="1"/>
  <c r="R618" i="1"/>
  <c r="R1511" i="1"/>
  <c r="R395" i="1"/>
  <c r="R1708" i="1"/>
  <c r="R761" i="1"/>
  <c r="R1250" i="1"/>
  <c r="R1249" i="1"/>
  <c r="R1248" i="1"/>
  <c r="R394" i="1"/>
  <c r="R201" i="1"/>
  <c r="R1613" i="1"/>
  <c r="R1676" i="1"/>
  <c r="R1706" i="1"/>
  <c r="R1812" i="1"/>
  <c r="R87" i="1"/>
  <c r="R1703" i="1"/>
  <c r="R887" i="1"/>
  <c r="R1507" i="1"/>
  <c r="R1244" i="1"/>
  <c r="R83" i="1"/>
  <c r="R849" i="1"/>
  <c r="R234" i="1"/>
  <c r="R886" i="1"/>
  <c r="R599" i="1"/>
  <c r="R482" i="1"/>
  <c r="R1505" i="1"/>
  <c r="R5" i="1"/>
  <c r="R785" i="1"/>
  <c r="R728" i="1"/>
  <c r="R1391" i="1"/>
  <c r="R759" i="1"/>
  <c r="R595" i="1"/>
  <c r="R1501" i="1"/>
  <c r="R847" i="1"/>
  <c r="R594" i="1"/>
  <c r="R593" i="1"/>
  <c r="R44" i="1"/>
  <c r="R1140" i="1"/>
  <c r="R1644" i="1"/>
  <c r="R885" i="1"/>
  <c r="R1780" i="1"/>
  <c r="R925" i="1"/>
  <c r="R924" i="1"/>
  <c r="R846" i="1"/>
  <c r="R592" i="1"/>
  <c r="R280" i="1"/>
  <c r="R279" i="1"/>
  <c r="R1602" i="1"/>
  <c r="R1769" i="1"/>
  <c r="D1770" i="1" s="1"/>
  <c r="R750" i="1"/>
  <c r="R1407" i="1"/>
  <c r="D1409" i="1" s="1"/>
  <c r="R63" i="1"/>
  <c r="D64" i="1" s="1"/>
  <c r="R1323" i="1"/>
  <c r="R1340" i="1"/>
  <c r="R372" i="1"/>
  <c r="R1838" i="1"/>
  <c r="D1839" i="1" s="1"/>
  <c r="R347" i="1"/>
  <c r="R110" i="1"/>
  <c r="R1630" i="1"/>
  <c r="R1739" i="1"/>
  <c r="R1738" i="1"/>
  <c r="R1381" i="1"/>
  <c r="R51" i="1"/>
  <c r="R502" i="1"/>
  <c r="R457" i="1"/>
  <c r="R442" i="1"/>
  <c r="R440" i="1"/>
  <c r="R429" i="1"/>
  <c r="R324" i="1"/>
  <c r="R304" i="1"/>
  <c r="R411" i="1"/>
  <c r="R874" i="1"/>
  <c r="R1079" i="1"/>
  <c r="R545" i="1"/>
  <c r="R1656" i="1"/>
  <c r="R1556" i="1"/>
  <c r="R1555" i="1"/>
  <c r="R1165" i="1"/>
  <c r="R124" i="1"/>
  <c r="R1164" i="1"/>
  <c r="R1684" i="1"/>
  <c r="R1307" i="1"/>
  <c r="R1303" i="1"/>
  <c r="R711" i="1"/>
  <c r="R12" i="1"/>
  <c r="R1553" i="1"/>
  <c r="R1445" i="1"/>
  <c r="R737" i="1"/>
  <c r="R1290" i="1"/>
  <c r="R1619" i="1"/>
  <c r="R209" i="1"/>
  <c r="R1353" i="1"/>
  <c r="R340" i="1"/>
  <c r="R1853" i="1"/>
  <c r="R1468" i="1"/>
  <c r="R1160" i="1"/>
  <c r="R1289" i="1"/>
  <c r="R339" i="1"/>
  <c r="R1264" i="1"/>
  <c r="R1210" i="1"/>
  <c r="R540" i="1"/>
  <c r="R220" i="1"/>
  <c r="R1793" i="1"/>
  <c r="R1859" i="1"/>
  <c r="R1730" i="1"/>
  <c r="R614" i="1"/>
  <c r="R1729" i="1"/>
  <c r="R1393" i="1"/>
  <c r="R148" i="1"/>
  <c r="R105" i="1"/>
  <c r="R1851" i="1"/>
  <c r="R1443" i="1"/>
  <c r="R914" i="1"/>
  <c r="R905" i="1"/>
  <c r="R889" i="1"/>
  <c r="R872" i="1"/>
  <c r="R669" i="1"/>
  <c r="R75" i="1"/>
  <c r="R734" i="1"/>
  <c r="R408" i="1"/>
  <c r="R815" i="1"/>
  <c r="R1655" i="1"/>
  <c r="R1654" i="1"/>
  <c r="R102" i="1"/>
  <c r="R47" i="1"/>
  <c r="R765" i="1"/>
  <c r="R538" i="1"/>
  <c r="R469" i="1"/>
  <c r="R507" i="1"/>
  <c r="R427" i="1"/>
  <c r="R407" i="1"/>
  <c r="R1724" i="1"/>
  <c r="R45" i="1"/>
  <c r="R1225" i="1"/>
  <c r="R897" i="1"/>
  <c r="R1791" i="1"/>
  <c r="R1722" i="1"/>
  <c r="R1153" i="1"/>
  <c r="R601" i="1"/>
  <c r="R466" i="1"/>
  <c r="R236" i="1"/>
  <c r="R1721" i="1"/>
  <c r="R1257" i="1"/>
  <c r="R1720" i="1"/>
  <c r="R870" i="1"/>
  <c r="R1078" i="1"/>
  <c r="R468" i="1"/>
  <c r="R1816" i="1"/>
  <c r="R1718" i="1"/>
  <c r="R536" i="1"/>
  <c r="R730" i="1"/>
  <c r="R89" i="1"/>
  <c r="R1151" i="1"/>
  <c r="R1256" i="1"/>
  <c r="R500" i="1"/>
  <c r="R425" i="1"/>
  <c r="R320" i="1"/>
  <c r="R300" i="1"/>
  <c r="R1652" i="1"/>
  <c r="R1651" i="1"/>
  <c r="R1650" i="1"/>
  <c r="R486" i="1"/>
  <c r="R1678" i="1"/>
  <c r="R664" i="1"/>
  <c r="R9" i="1"/>
  <c r="R663" i="1"/>
  <c r="R533" i="1"/>
  <c r="R1714" i="1"/>
  <c r="R909" i="1"/>
  <c r="R867" i="1"/>
  <c r="R1512" i="1"/>
  <c r="R1436" i="1"/>
  <c r="R1377" i="1"/>
  <c r="R1147" i="1"/>
  <c r="R1252" i="1"/>
  <c r="R1251" i="1"/>
  <c r="R521" i="1"/>
  <c r="R659" i="1"/>
  <c r="R119" i="1"/>
  <c r="R762" i="1"/>
  <c r="R1146" i="1"/>
  <c r="R658" i="1"/>
  <c r="R1705" i="1"/>
  <c r="R1704" i="1"/>
  <c r="R1545" i="1"/>
  <c r="R1550" i="1"/>
  <c r="R1235" i="1"/>
  <c r="R1508" i="1"/>
  <c r="R1144" i="1"/>
  <c r="R760" i="1"/>
  <c r="R694" i="1"/>
  <c r="R693" i="1"/>
  <c r="R656" i="1"/>
  <c r="R1647" i="1"/>
  <c r="R1433" i="1"/>
  <c r="R405" i="1"/>
  <c r="R848" i="1"/>
  <c r="R597" i="1"/>
  <c r="R1543" i="1"/>
  <c r="R1504" i="1"/>
  <c r="R1503" i="1"/>
  <c r="R641" i="1"/>
  <c r="R1808" i="1"/>
  <c r="R505" i="1"/>
  <c r="R423" i="1"/>
  <c r="R332" i="1"/>
  <c r="R298" i="1"/>
  <c r="R1645" i="1"/>
  <c r="R1544" i="1"/>
  <c r="R1502" i="1"/>
  <c r="R689" i="1"/>
  <c r="R617" i="1"/>
  <c r="R43" i="1"/>
  <c r="R1701" i="1"/>
  <c r="R1698" i="1"/>
  <c r="R1107" i="1"/>
  <c r="R1487" i="1"/>
  <c r="R1486" i="1"/>
  <c r="R1457" i="1"/>
  <c r="D1460" i="1" s="1"/>
  <c r="R803" i="1"/>
  <c r="R802" i="1"/>
  <c r="R494" i="1"/>
  <c r="R312" i="1"/>
  <c r="D312" i="1" s="1"/>
  <c r="R557" i="1"/>
  <c r="D558" i="1" s="1"/>
  <c r="R1699" i="1"/>
  <c r="R253" i="1"/>
  <c r="R1801" i="1"/>
  <c r="D1789" i="1" s="1"/>
  <c r="R828" i="1"/>
  <c r="R1187" i="1"/>
  <c r="R630" i="1"/>
  <c r="D631" i="1" s="1"/>
  <c r="D1574" i="1"/>
  <c r="D1569" i="1"/>
  <c r="D1242" i="1"/>
  <c r="P1387" i="1"/>
  <c r="Q1387" i="1" s="1"/>
  <c r="O156" i="1"/>
  <c r="D117" i="1"/>
  <c r="D120" i="1"/>
  <c r="D123" i="1"/>
  <c r="D126" i="1"/>
  <c r="D128" i="1"/>
  <c r="D118" i="1"/>
  <c r="D132" i="1"/>
  <c r="D133" i="1"/>
  <c r="D116" i="1"/>
  <c r="D121" i="1"/>
  <c r="D124" i="1"/>
  <c r="D125" i="1"/>
  <c r="D127" i="1"/>
  <c r="D129" i="1"/>
  <c r="D130" i="1"/>
  <c r="D134" i="1"/>
  <c r="D119" i="1"/>
  <c r="D122" i="1"/>
  <c r="D131" i="1"/>
  <c r="M1232" i="1"/>
  <c r="P528" i="1"/>
  <c r="Q528" i="1" s="1"/>
  <c r="O888" i="1"/>
  <c r="O1318" i="1"/>
  <c r="W15" i="16" s="1"/>
  <c r="P1098" i="1"/>
  <c r="Q1098" i="1" s="1"/>
  <c r="O908" i="1"/>
  <c r="M1686" i="1"/>
  <c r="D1573" i="1"/>
  <c r="P1232" i="1"/>
  <c r="Q1232" i="1" s="1"/>
  <c r="P1685" i="1"/>
  <c r="Q1685" i="1" s="1"/>
  <c r="P1689" i="1"/>
  <c r="Q1689" i="1" s="1"/>
  <c r="O1690" i="1"/>
  <c r="M1576" i="1"/>
  <c r="R1576" i="1" s="1"/>
  <c r="P1097" i="1"/>
  <c r="Q1097" i="1" s="1"/>
  <c r="O1689" i="1"/>
  <c r="M820" i="1"/>
  <c r="P888" i="1"/>
  <c r="Q888" i="1" s="1"/>
  <c r="O1097" i="1"/>
  <c r="M1578" i="1"/>
  <c r="R1578" i="1" s="1"/>
  <c r="O528" i="1"/>
  <c r="P1426" i="1"/>
  <c r="Q1426" i="1" s="1"/>
  <c r="P1219" i="1"/>
  <c r="Q1219" i="1" s="1"/>
  <c r="O1557" i="1"/>
  <c r="O896" i="1"/>
  <c r="O1687" i="1"/>
  <c r="O893" i="1"/>
  <c r="M1685" i="1"/>
  <c r="O1426" i="1"/>
  <c r="O1231" i="1"/>
  <c r="O1219" i="1"/>
  <c r="P56" i="1"/>
  <c r="Q56" i="1" s="1"/>
  <c r="M1223" i="1"/>
  <c r="P1690" i="1"/>
  <c r="Q1690" i="1" s="1"/>
  <c r="M1231" i="1"/>
  <c r="M1688" i="1"/>
  <c r="O56" i="1"/>
  <c r="P1686" i="1"/>
  <c r="Q1686" i="1" s="1"/>
  <c r="O892" i="1"/>
  <c r="D233" i="1"/>
  <c r="D236" i="1"/>
  <c r="D242" i="1"/>
  <c r="D243" i="1"/>
  <c r="D244" i="1"/>
  <c r="D248" i="1"/>
  <c r="D250" i="1"/>
  <c r="D251" i="1"/>
  <c r="D234" i="1"/>
  <c r="D239" i="1"/>
  <c r="D240" i="1"/>
  <c r="D245" i="1"/>
  <c r="D238" i="1"/>
  <c r="D241" i="1"/>
  <c r="D246" i="1"/>
  <c r="D247" i="1"/>
  <c r="D253" i="1"/>
  <c r="D235" i="1"/>
  <c r="D237" i="1"/>
  <c r="D249" i="1"/>
  <c r="D252" i="1"/>
  <c r="D1240" i="1"/>
  <c r="D984" i="1"/>
  <c r="D7" i="1"/>
  <c r="D73" i="1"/>
  <c r="D1635" i="1"/>
  <c r="D1499" i="1"/>
  <c r="M1318" i="1"/>
  <c r="M1098" i="1"/>
  <c r="Q1318" i="1"/>
  <c r="P397" i="1"/>
  <c r="Q397" i="1" s="1"/>
  <c r="P529" i="1"/>
  <c r="Q529" i="1" s="1"/>
  <c r="P1222" i="1"/>
  <c r="Q1222" i="1" s="1"/>
  <c r="P1223" i="1"/>
  <c r="Q1223" i="1" s="1"/>
  <c r="O397" i="1"/>
  <c r="O529" i="1"/>
  <c r="O1222" i="1"/>
  <c r="P820" i="1"/>
  <c r="Q820" i="1" s="1"/>
  <c r="O1577" i="1"/>
  <c r="Q1577" i="1"/>
  <c r="M1577" i="1"/>
  <c r="O1688" i="1"/>
  <c r="M1317" i="1"/>
  <c r="Q1557" i="1"/>
  <c r="P908" i="1"/>
  <c r="Q908" i="1" s="1"/>
  <c r="P896" i="1"/>
  <c r="Q896" i="1" s="1"/>
  <c r="P1687" i="1"/>
  <c r="Q1687" i="1" s="1"/>
  <c r="P1633" i="1"/>
  <c r="Q1633" i="1" s="1"/>
  <c r="P1563" i="1"/>
  <c r="Q1563" i="1" s="1"/>
  <c r="P895" i="1"/>
  <c r="Q895" i="1" s="1"/>
  <c r="P1174" i="1"/>
  <c r="Q1174" i="1" s="1"/>
  <c r="P907" i="1"/>
  <c r="Q907" i="1" s="1"/>
  <c r="M907" i="1"/>
  <c r="P894" i="1"/>
  <c r="Q894" i="1" s="1"/>
  <c r="M894" i="1"/>
  <c r="O894" i="1"/>
  <c r="O1633" i="1"/>
  <c r="O1563" i="1"/>
  <c r="O895" i="1"/>
  <c r="O1174" i="1"/>
  <c r="P1385" i="1"/>
  <c r="Q1385" i="1" s="1"/>
  <c r="P1608" i="1"/>
  <c r="Q1608" i="1" s="1"/>
  <c r="M1608" i="1"/>
  <c r="P1317" i="1"/>
  <c r="Q1317" i="1" s="1"/>
  <c r="O1385" i="1"/>
  <c r="P893" i="1"/>
  <c r="Q893" i="1" s="1"/>
  <c r="P892" i="1"/>
  <c r="Q892" i="1" s="1"/>
  <c r="E1121" i="6"/>
  <c r="E1068" i="6"/>
  <c r="F1121" i="6"/>
  <c r="F1068" i="6"/>
  <c r="I1121" i="6"/>
  <c r="I1068" i="6"/>
  <c r="J1121" i="6"/>
  <c r="J1068" i="6"/>
  <c r="E1092" i="6"/>
  <c r="F1092" i="6"/>
  <c r="I1092" i="6"/>
  <c r="J1092" i="6"/>
  <c r="D230" i="1" l="1"/>
  <c r="D933" i="1"/>
  <c r="D938" i="1"/>
  <c r="Y10" i="16"/>
  <c r="X10" i="16"/>
  <c r="W10" i="16"/>
  <c r="D827" i="1"/>
  <c r="D829" i="1"/>
  <c r="D831" i="1"/>
  <c r="R156" i="1"/>
  <c r="R1387" i="1"/>
  <c r="D1127" i="1"/>
  <c r="D1128" i="1"/>
  <c r="D836" i="1"/>
  <c r="D835" i="1"/>
  <c r="D1126" i="1"/>
  <c r="D957" i="1"/>
  <c r="D956" i="1"/>
  <c r="D834" i="1"/>
  <c r="D806" i="1"/>
  <c r="D833" i="1"/>
  <c r="D832" i="1"/>
  <c r="D752" i="1"/>
  <c r="D1458" i="1"/>
  <c r="D1459" i="1"/>
  <c r="D1125" i="1"/>
  <c r="D1019" i="1"/>
  <c r="D66" i="1"/>
  <c r="D284" i="1"/>
  <c r="D285" i="1"/>
  <c r="D830" i="1"/>
  <c r="D1489" i="1"/>
  <c r="D805" i="1"/>
  <c r="D1364" i="1"/>
  <c r="D1358" i="1"/>
  <c r="D486" i="1"/>
  <c r="D495" i="1"/>
  <c r="D1188" i="1"/>
  <c r="D1189" i="1"/>
  <c r="D751" i="1"/>
  <c r="D1488" i="1"/>
  <c r="D955" i="1"/>
  <c r="D954" i="1"/>
  <c r="D1391" i="1"/>
  <c r="D1408" i="1"/>
  <c r="D1018" i="1"/>
  <c r="R1219" i="1"/>
  <c r="D1602" i="1"/>
  <c r="R1097" i="1"/>
  <c r="T15" i="16"/>
  <c r="R1689" i="1"/>
  <c r="R528" i="1"/>
  <c r="R895" i="1"/>
  <c r="R1098" i="1"/>
  <c r="R1685" i="1"/>
  <c r="R1174" i="1"/>
  <c r="R56" i="1"/>
  <c r="R397" i="1"/>
  <c r="R1222" i="1"/>
  <c r="R529" i="1"/>
  <c r="R888" i="1"/>
  <c r="R1385" i="1"/>
  <c r="R1426" i="1"/>
  <c r="R1690" i="1"/>
  <c r="R1633" i="1"/>
  <c r="R907" i="1"/>
  <c r="R1577" i="1"/>
  <c r="R1687" i="1"/>
  <c r="R896" i="1"/>
  <c r="R1608" i="1"/>
  <c r="R1557" i="1"/>
  <c r="R1563" i="1"/>
  <c r="R892" i="1"/>
  <c r="R893" i="1"/>
  <c r="R908" i="1"/>
  <c r="R1232" i="1"/>
  <c r="R1223" i="1"/>
  <c r="R820" i="1"/>
  <c r="R1688" i="1"/>
  <c r="R1686" i="1"/>
  <c r="R894" i="1"/>
  <c r="R1317" i="1"/>
  <c r="R1318" i="1"/>
  <c r="T10" i="16" s="1"/>
  <c r="R1231" i="1"/>
  <c r="D804" i="1"/>
  <c r="D1308" i="1"/>
  <c r="D1309" i="1"/>
  <c r="D1206" i="1"/>
  <c r="D1213" i="1"/>
  <c r="D1124" i="1"/>
  <c r="D26" i="1"/>
  <c r="D536" i="1"/>
  <c r="D557" i="1"/>
  <c r="D311" i="1"/>
  <c r="D1467" i="1"/>
  <c r="D1470" i="1"/>
  <c r="D1469" i="1"/>
  <c r="D1471" i="1"/>
  <c r="D1468" i="1"/>
  <c r="D494" i="1"/>
  <c r="D491" i="1"/>
  <c r="D969" i="1"/>
  <c r="D1838" i="1"/>
  <c r="D1377" i="1"/>
  <c r="D1378" i="1"/>
  <c r="D1383" i="1"/>
  <c r="D1384" i="1"/>
  <c r="D1385" i="1"/>
  <c r="D1386" i="1"/>
  <c r="D1379" i="1"/>
  <c r="D1380" i="1"/>
  <c r="D1381" i="1"/>
  <c r="D1382" i="1"/>
  <c r="D1387" i="1"/>
  <c r="D1211" i="1"/>
  <c r="D1429" i="1"/>
  <c r="D1209" i="1"/>
  <c r="D1210" i="1"/>
  <c r="D490" i="1"/>
  <c r="D489" i="1"/>
  <c r="D1208" i="1"/>
  <c r="D1212" i="1"/>
  <c r="D488" i="1"/>
  <c r="D487" i="1"/>
  <c r="D1207" i="1"/>
  <c r="D1205" i="1"/>
  <c r="D492" i="1"/>
  <c r="D493" i="1"/>
  <c r="D1373" i="1"/>
  <c r="D1372" i="1"/>
  <c r="D802" i="1"/>
  <c r="D406" i="1"/>
  <c r="D409" i="1"/>
  <c r="D410" i="1"/>
  <c r="D404" i="1"/>
  <c r="D403" i="1"/>
  <c r="D405" i="1"/>
  <c r="D407" i="1"/>
  <c r="D411" i="1"/>
  <c r="D413" i="1"/>
  <c r="D414" i="1"/>
  <c r="D408" i="1"/>
  <c r="D412" i="1"/>
  <c r="D1481" i="1"/>
  <c r="D803" i="1"/>
  <c r="D791" i="1"/>
  <c r="D792" i="1"/>
  <c r="D788" i="1"/>
  <c r="D790" i="1"/>
  <c r="D796" i="1"/>
  <c r="D797" i="1"/>
  <c r="D801" i="1"/>
  <c r="D785" i="1"/>
  <c r="D786" i="1"/>
  <c r="D787" i="1"/>
  <c r="D789" i="1"/>
  <c r="D795" i="1"/>
  <c r="D800" i="1"/>
  <c r="D799" i="1"/>
  <c r="D784" i="1"/>
  <c r="D793" i="1"/>
  <c r="D794" i="1"/>
  <c r="D798" i="1"/>
  <c r="D1476" i="1"/>
  <c r="D1477" i="1"/>
  <c r="D1457" i="1"/>
  <c r="D1482" i="1"/>
  <c r="D1475" i="1"/>
  <c r="D1480" i="1"/>
  <c r="D1484" i="1"/>
  <c r="D1487" i="1"/>
  <c r="D1479" i="1"/>
  <c r="D1486" i="1"/>
  <c r="D1478" i="1"/>
  <c r="D1483" i="1"/>
  <c r="D1485" i="1"/>
  <c r="D818" i="1"/>
  <c r="D825" i="1"/>
  <c r="D1634" i="1"/>
  <c r="D819" i="1"/>
  <c r="D1184" i="1"/>
  <c r="D1183" i="1"/>
  <c r="D815" i="1"/>
  <c r="D820" i="1"/>
  <c r="D1115" i="1"/>
  <c r="D823" i="1"/>
  <c r="D839" i="1"/>
  <c r="D814" i="1"/>
  <c r="D63" i="1"/>
  <c r="D229" i="1"/>
  <c r="D824" i="1"/>
  <c r="D821" i="1"/>
  <c r="D817" i="1"/>
  <c r="D1620" i="1"/>
  <c r="D1295" i="1"/>
  <c r="D1165" i="1"/>
  <c r="D1114" i="1"/>
  <c r="D941" i="1"/>
  <c r="D1116" i="1"/>
  <c r="D228" i="1"/>
  <c r="D227" i="1"/>
  <c r="D1633" i="1"/>
  <c r="D1629" i="1"/>
  <c r="D1010" i="1"/>
  <c r="D1301" i="1"/>
  <c r="D1626" i="1"/>
  <c r="D1287" i="1"/>
  <c r="D1142" i="1"/>
  <c r="D1624" i="1"/>
  <c r="D1627" i="1"/>
  <c r="D1625" i="1"/>
  <c r="D1340" i="1"/>
  <c r="D1327" i="1"/>
  <c r="D1328" i="1"/>
  <c r="D1329" i="1"/>
  <c r="D1013" i="1"/>
  <c r="D1397" i="1"/>
  <c r="D1304" i="1"/>
  <c r="D1632" i="1"/>
  <c r="D1628" i="1"/>
  <c r="D1621" i="1"/>
  <c r="D1721" i="1"/>
  <c r="D1152" i="1"/>
  <c r="D280" i="1"/>
  <c r="D1291" i="1"/>
  <c r="D1180" i="1"/>
  <c r="D1832" i="1"/>
  <c r="D870" i="1"/>
  <c r="D1012" i="1"/>
  <c r="D1157" i="1"/>
  <c r="D1726" i="1"/>
  <c r="D1292" i="1"/>
  <c r="D1306" i="1"/>
  <c r="D1303" i="1"/>
  <c r="D1174" i="1"/>
  <c r="D1154" i="1"/>
  <c r="D1351" i="1"/>
  <c r="D1399" i="1"/>
  <c r="D281" i="1"/>
  <c r="D1748" i="1"/>
  <c r="D1307" i="1"/>
  <c r="D279" i="1"/>
  <c r="D1288" i="1"/>
  <c r="D1302" i="1"/>
  <c r="D1305" i="1"/>
  <c r="D1170" i="1"/>
  <c r="D1631" i="1"/>
  <c r="D1630" i="1"/>
  <c r="D1622" i="1"/>
  <c r="D943" i="1"/>
  <c r="D1709" i="1"/>
  <c r="D1532" i="1"/>
  <c r="D1393" i="1"/>
  <c r="D1403" i="1"/>
  <c r="D1352" i="1"/>
  <c r="D1531" i="1"/>
  <c r="D1698" i="1"/>
  <c r="D1623" i="1"/>
  <c r="D1357" i="1"/>
  <c r="D1435" i="1"/>
  <c r="D1354" i="1"/>
  <c r="D950" i="1"/>
  <c r="D1011" i="1"/>
  <c r="D1746" i="1"/>
  <c r="D1356" i="1"/>
  <c r="D1350" i="1"/>
  <c r="D944" i="1"/>
  <c r="D1509" i="1"/>
  <c r="D1707" i="1"/>
  <c r="D1735" i="1"/>
  <c r="D1355" i="1"/>
  <c r="D1353" i="1"/>
  <c r="D945" i="1"/>
  <c r="D1392" i="1"/>
  <c r="D1396" i="1"/>
  <c r="D1406" i="1"/>
  <c r="D1402" i="1"/>
  <c r="D212" i="1"/>
  <c r="D1407" i="1"/>
  <c r="D1395" i="1"/>
  <c r="D1404" i="1"/>
  <c r="D1401" i="1"/>
  <c r="D1400" i="1"/>
  <c r="D1405" i="1"/>
  <c r="D1394" i="1"/>
  <c r="D1398" i="1"/>
  <c r="D949" i="1"/>
  <c r="D942" i="1"/>
  <c r="D747" i="1"/>
  <c r="D1514" i="1"/>
  <c r="D1430" i="1"/>
  <c r="D1526" i="1"/>
  <c r="D551" i="1"/>
  <c r="D12" i="1"/>
  <c r="D952" i="1"/>
  <c r="D948" i="1"/>
  <c r="D946" i="1"/>
  <c r="D1529" i="1"/>
  <c r="D939" i="1"/>
  <c r="D1534" i="1"/>
  <c r="D1530" i="1"/>
  <c r="D1524" i="1"/>
  <c r="D1521" i="1"/>
  <c r="D1511" i="1"/>
  <c r="D1498" i="1"/>
  <c r="D1440" i="1"/>
  <c r="D630" i="1"/>
  <c r="D1527" i="1"/>
  <c r="D1519" i="1"/>
  <c r="D1513" i="1"/>
  <c r="D1512" i="1"/>
  <c r="D951" i="1"/>
  <c r="D947" i="1"/>
  <c r="D940" i="1"/>
  <c r="D1533" i="1"/>
  <c r="D1525" i="1"/>
  <c r="D1523" i="1"/>
  <c r="D1517" i="1"/>
  <c r="D1504" i="1"/>
  <c r="D1455" i="1"/>
  <c r="D209" i="1"/>
  <c r="D1001" i="1"/>
  <c r="D1528" i="1"/>
  <c r="D1522" i="1"/>
  <c r="D1516" i="1"/>
  <c r="D1501" i="1"/>
  <c r="D535" i="1"/>
  <c r="D1449" i="1"/>
  <c r="D1322" i="1"/>
  <c r="D1323" i="1"/>
  <c r="D1520" i="1"/>
  <c r="D1515" i="1"/>
  <c r="D1507" i="1"/>
  <c r="D1502" i="1"/>
  <c r="D1186" i="1"/>
  <c r="D1446" i="1"/>
  <c r="D1518" i="1"/>
  <c r="D1508" i="1"/>
  <c r="D1503" i="1"/>
  <c r="D78" i="1"/>
  <c r="D1445" i="1"/>
  <c r="D1187" i="1"/>
  <c r="D1510" i="1"/>
  <c r="D1505" i="1"/>
  <c r="D1500" i="1"/>
  <c r="D618" i="1"/>
  <c r="D1452" i="1"/>
  <c r="D1442" i="1"/>
  <c r="D1723" i="1"/>
  <c r="D1742" i="1"/>
  <c r="D1290" i="1"/>
  <c r="D1286" i="1"/>
  <c r="D840" i="1"/>
  <c r="D816" i="1"/>
  <c r="D813" i="1"/>
  <c r="D1506" i="1"/>
  <c r="D546" i="1"/>
  <c r="D1601" i="1"/>
  <c r="D1456" i="1"/>
  <c r="D1453" i="1"/>
  <c r="D1438" i="1"/>
  <c r="D1428" i="1"/>
  <c r="D6" i="1"/>
  <c r="D1293" i="1"/>
  <c r="D1289" i="1"/>
  <c r="D545" i="1"/>
  <c r="D1015" i="1"/>
  <c r="D1815" i="1"/>
  <c r="D864" i="1"/>
  <c r="D1797" i="1"/>
  <c r="D554" i="1"/>
  <c r="D539" i="1"/>
  <c r="D16" i="1"/>
  <c r="D1699" i="1"/>
  <c r="D1751" i="1"/>
  <c r="D1014" i="1"/>
  <c r="D1443" i="1"/>
  <c r="D1434" i="1"/>
  <c r="D1137" i="1"/>
  <c r="D207" i="1"/>
  <c r="D1753" i="1"/>
  <c r="D1744" i="1"/>
  <c r="D1749" i="1"/>
  <c r="D1741" i="1"/>
  <c r="D1728" i="1"/>
  <c r="D1730" i="1"/>
  <c r="D1733" i="1"/>
  <c r="D1716" i="1"/>
  <c r="D1703" i="1"/>
  <c r="D1710" i="1"/>
  <c r="D1704" i="1"/>
  <c r="D1697" i="1"/>
  <c r="D1175" i="1"/>
  <c r="D1162" i="1"/>
  <c r="D1166" i="1"/>
  <c r="D1161" i="1"/>
  <c r="D1156" i="1"/>
  <c r="D1150" i="1"/>
  <c r="D1146" i="1"/>
  <c r="D1136" i="1"/>
  <c r="D211" i="1"/>
  <c r="D206" i="1"/>
  <c r="D1833" i="1"/>
  <c r="D1814" i="1"/>
  <c r="D1747" i="1"/>
  <c r="D1740" i="1"/>
  <c r="D1739" i="1"/>
  <c r="D1734" i="1"/>
  <c r="D1724" i="1"/>
  <c r="D1718" i="1"/>
  <c r="D1722" i="1"/>
  <c r="D1713" i="1"/>
  <c r="D1706" i="1"/>
  <c r="D1702" i="1"/>
  <c r="D1178" i="1"/>
  <c r="D1173" i="1"/>
  <c r="D1168" i="1"/>
  <c r="D1167" i="1"/>
  <c r="D1155" i="1"/>
  <c r="D1151" i="1"/>
  <c r="D1144" i="1"/>
  <c r="D1141" i="1"/>
  <c r="D1016" i="1"/>
  <c r="D1241" i="1"/>
  <c r="D213" i="1"/>
  <c r="D208" i="1"/>
  <c r="D1827" i="1"/>
  <c r="D1806" i="1"/>
  <c r="D863" i="1"/>
  <c r="D1800" i="1"/>
  <c r="D1745" i="1"/>
  <c r="D1743" i="1"/>
  <c r="D1737" i="1"/>
  <c r="D1732" i="1"/>
  <c r="D1727" i="1"/>
  <c r="D1715" i="1"/>
  <c r="D1720" i="1"/>
  <c r="D1711" i="1"/>
  <c r="D1705" i="1"/>
  <c r="D1176" i="1"/>
  <c r="D1177" i="1"/>
  <c r="D1169" i="1"/>
  <c r="D1164" i="1"/>
  <c r="D1159" i="1"/>
  <c r="D1153" i="1"/>
  <c r="D1148" i="1"/>
  <c r="D210" i="1"/>
  <c r="D282" i="1"/>
  <c r="D1790" i="1"/>
  <c r="D828" i="1"/>
  <c r="D1822" i="1"/>
  <c r="D1831" i="1"/>
  <c r="D1825" i="1"/>
  <c r="D1810" i="1"/>
  <c r="D77" i="1"/>
  <c r="D1834" i="1"/>
  <c r="D1830" i="1"/>
  <c r="D1820" i="1"/>
  <c r="D872" i="1"/>
  <c r="D826" i="1"/>
  <c r="D1817" i="1"/>
  <c r="D881" i="1"/>
  <c r="D1819" i="1"/>
  <c r="D1812" i="1"/>
  <c r="D877" i="1"/>
  <c r="D23" i="1"/>
  <c r="D1117" i="1"/>
  <c r="D1172" i="1"/>
  <c r="D1179" i="1"/>
  <c r="D1163" i="1"/>
  <c r="D1171" i="1"/>
  <c r="D1158" i="1"/>
  <c r="D1160" i="1"/>
  <c r="D1149" i="1"/>
  <c r="D1147" i="1"/>
  <c r="D1145" i="1"/>
  <c r="D1139" i="1"/>
  <c r="D1138" i="1"/>
  <c r="D1118" i="1"/>
  <c r="D1121" i="1"/>
  <c r="D1113" i="1"/>
  <c r="D556" i="1"/>
  <c r="D553" i="1"/>
  <c r="D547" i="1"/>
  <c r="D543" i="1"/>
  <c r="D540" i="1"/>
  <c r="D534" i="1"/>
  <c r="D1600" i="1"/>
  <c r="D283" i="1"/>
  <c r="D15" i="1"/>
  <c r="D11" i="1"/>
  <c r="D1002" i="1"/>
  <c r="D1796" i="1"/>
  <c r="D1798" i="1"/>
  <c r="D1799" i="1"/>
  <c r="D1140" i="1"/>
  <c r="D1143" i="1"/>
  <c r="D1185" i="1"/>
  <c r="D552" i="1"/>
  <c r="D549" i="1"/>
  <c r="D544" i="1"/>
  <c r="D538" i="1"/>
  <c r="D537" i="1"/>
  <c r="D533" i="1"/>
  <c r="D1599" i="1"/>
  <c r="D13" i="1"/>
  <c r="D10" i="1"/>
  <c r="D1792" i="1"/>
  <c r="D1791" i="1"/>
  <c r="D1795" i="1"/>
  <c r="D1794" i="1"/>
  <c r="D1181" i="1"/>
  <c r="D822" i="1"/>
  <c r="D1119" i="1"/>
  <c r="D555" i="1"/>
  <c r="D550" i="1"/>
  <c r="D548" i="1"/>
  <c r="D542" i="1"/>
  <c r="D541" i="1"/>
  <c r="D1598" i="1"/>
  <c r="D21" i="1"/>
  <c r="D18" i="1"/>
  <c r="D17" i="1"/>
  <c r="D14" i="1"/>
  <c r="D9" i="1"/>
  <c r="D292" i="1"/>
  <c r="D1801" i="1"/>
  <c r="D1788" i="1"/>
  <c r="D1793" i="1"/>
  <c r="D1700" i="1"/>
  <c r="D24" i="1"/>
  <c r="D1809" i="1"/>
  <c r="D880" i="1"/>
  <c r="D876" i="1"/>
  <c r="D871" i="1"/>
  <c r="D868" i="1"/>
  <c r="D866" i="1"/>
  <c r="D75" i="1"/>
  <c r="D1004" i="1"/>
  <c r="D1756" i="1"/>
  <c r="D1750" i="1"/>
  <c r="D1752" i="1"/>
  <c r="D1736" i="1"/>
  <c r="D1738" i="1"/>
  <c r="D1725" i="1"/>
  <c r="D1731" i="1"/>
  <c r="D1729" i="1"/>
  <c r="D1719" i="1"/>
  <c r="D1714" i="1"/>
  <c r="D1717" i="1"/>
  <c r="D1712" i="1"/>
  <c r="D1708" i="1"/>
  <c r="D1701" i="1"/>
  <c r="D1294" i="1"/>
  <c r="D22" i="1"/>
  <c r="D882" i="1"/>
  <c r="D1450" i="1"/>
  <c r="D1451" i="1"/>
  <c r="D1448" i="1"/>
  <c r="D1441" i="1"/>
  <c r="D1439" i="1"/>
  <c r="D1433" i="1"/>
  <c r="D1431" i="1"/>
  <c r="D1836" i="1"/>
  <c r="D1829" i="1"/>
  <c r="D1826" i="1"/>
  <c r="D1823" i="1"/>
  <c r="D1818" i="1"/>
  <c r="D1811" i="1"/>
  <c r="D1808" i="1"/>
  <c r="D1805" i="1"/>
  <c r="D878" i="1"/>
  <c r="D875" i="1"/>
  <c r="D873" i="1"/>
  <c r="D867" i="1"/>
  <c r="D862" i="1"/>
  <c r="D74" i="1"/>
  <c r="D1296" i="1"/>
  <c r="D1454" i="1"/>
  <c r="D1447" i="1"/>
  <c r="D1444" i="1"/>
  <c r="D1437" i="1"/>
  <c r="D1436" i="1"/>
  <c r="D1432" i="1"/>
  <c r="D1835" i="1"/>
  <c r="D1828" i="1"/>
  <c r="D1824" i="1"/>
  <c r="D1821" i="1"/>
  <c r="D1816" i="1"/>
  <c r="D1813" i="1"/>
  <c r="D1807" i="1"/>
  <c r="D879" i="1"/>
  <c r="D874" i="1"/>
  <c r="D869" i="1"/>
  <c r="D865" i="1"/>
  <c r="D76" i="1"/>
  <c r="D1003" i="1"/>
  <c r="D1000" i="1"/>
  <c r="D1120" i="1"/>
  <c r="D999" i="1"/>
  <c r="D291" i="1"/>
  <c r="D1760" i="1"/>
  <c r="D25" i="1"/>
  <c r="D289" i="1"/>
  <c r="D1757" i="1"/>
  <c r="D1755" i="1"/>
  <c r="D1763" i="1"/>
  <c r="D750" i="1"/>
  <c r="D290" i="1"/>
  <c r="D8" i="1"/>
  <c r="D259" i="1"/>
  <c r="D150" i="1"/>
  <c r="D151" i="1"/>
  <c r="D152" i="1"/>
  <c r="D153" i="1"/>
  <c r="D154" i="1"/>
  <c r="D155" i="1"/>
  <c r="D146" i="1"/>
  <c r="D147" i="1"/>
  <c r="D148" i="1"/>
  <c r="D149" i="1"/>
  <c r="D156" i="1"/>
  <c r="D1769" i="1"/>
  <c r="D936" i="1"/>
  <c r="D1122" i="1"/>
  <c r="D935" i="1"/>
  <c r="D1123" i="1"/>
  <c r="D937" i="1"/>
  <c r="D1754" i="1"/>
  <c r="D1597" i="1"/>
  <c r="D934" i="1"/>
  <c r="D1837" i="1"/>
  <c r="D1017" i="1"/>
  <c r="D953" i="1"/>
  <c r="D629" i="1"/>
  <c r="D625" i="1"/>
  <c r="D621" i="1"/>
  <c r="D617" i="1"/>
  <c r="D748" i="1"/>
  <c r="D744" i="1"/>
  <c r="D740" i="1"/>
  <c r="D734" i="1"/>
  <c r="D731" i="1"/>
  <c r="D728" i="1"/>
  <c r="D1759" i="1"/>
  <c r="D1765" i="1"/>
  <c r="D1764" i="1"/>
  <c r="D1761" i="1"/>
  <c r="D1766" i="1"/>
  <c r="D1768" i="1"/>
  <c r="D1762" i="1"/>
  <c r="D1767" i="1"/>
  <c r="D482" i="1"/>
  <c r="D483" i="1"/>
  <c r="D470" i="1"/>
  <c r="D469" i="1"/>
  <c r="D471" i="1"/>
  <c r="D479" i="1"/>
  <c r="D484" i="1"/>
  <c r="D478" i="1"/>
  <c r="D473" i="1"/>
  <c r="D627" i="1"/>
  <c r="D620" i="1"/>
  <c r="D624" i="1"/>
  <c r="D616" i="1"/>
  <c r="D745" i="1"/>
  <c r="D743" i="1"/>
  <c r="D738" i="1"/>
  <c r="D733" i="1"/>
  <c r="D730" i="1"/>
  <c r="D727" i="1"/>
  <c r="D626" i="1"/>
  <c r="D622" i="1"/>
  <c r="D619" i="1"/>
  <c r="D615" i="1"/>
  <c r="D1758" i="1"/>
  <c r="D749" i="1"/>
  <c r="D742" i="1"/>
  <c r="D739" i="1"/>
  <c r="D736" i="1"/>
  <c r="D729" i="1"/>
  <c r="D1182" i="1"/>
  <c r="D39" i="1"/>
  <c r="D41" i="1"/>
  <c r="D42" i="1"/>
  <c r="D40" i="1"/>
  <c r="D43" i="1"/>
  <c r="D44" i="1"/>
  <c r="D45" i="1"/>
  <c r="D47" i="1"/>
  <c r="D48" i="1"/>
  <c r="D49" i="1"/>
  <c r="D46" i="1"/>
  <c r="D52" i="1"/>
  <c r="D54" i="1"/>
  <c r="D50" i="1"/>
  <c r="D51" i="1"/>
  <c r="D53" i="1"/>
  <c r="D55" i="1"/>
  <c r="D56" i="1"/>
  <c r="D57" i="1"/>
  <c r="D58" i="1"/>
  <c r="D59" i="1"/>
  <c r="D61" i="1"/>
  <c r="D62" i="1"/>
  <c r="D60" i="1"/>
  <c r="D628" i="1"/>
  <c r="D623" i="1"/>
  <c r="D746" i="1"/>
  <c r="D741" i="1"/>
  <c r="D737" i="1"/>
  <c r="D735" i="1"/>
  <c r="D732" i="1"/>
  <c r="E215" i="6"/>
  <c r="F215" i="6"/>
  <c r="I215" i="6"/>
  <c r="J215" i="6"/>
  <c r="E11" i="6"/>
  <c r="F11" i="6"/>
  <c r="I11" i="6"/>
  <c r="J11" i="6"/>
  <c r="E1067" i="6"/>
  <c r="F1067" i="6"/>
  <c r="I1067" i="6"/>
  <c r="J1067" i="6"/>
  <c r="E1120" i="6"/>
  <c r="F1120" i="6"/>
  <c r="I1120" i="6"/>
  <c r="J1120" i="6"/>
  <c r="E1091" i="6"/>
  <c r="F1091" i="6"/>
  <c r="I1091" i="6"/>
  <c r="J1091" i="6"/>
  <c r="E151" i="6"/>
  <c r="I151" i="6"/>
  <c r="J151" i="6"/>
  <c r="S2" i="15"/>
  <c r="S3" i="15"/>
  <c r="S4" i="15"/>
  <c r="S5" i="15"/>
  <c r="S8" i="15"/>
  <c r="S10" i="15"/>
  <c r="S13" i="15"/>
  <c r="S14" i="15"/>
  <c r="S15" i="15"/>
  <c r="S16" i="15"/>
  <c r="S17" i="15"/>
  <c r="S18" i="15"/>
  <c r="S19" i="15"/>
  <c r="S20" i="15"/>
  <c r="S21" i="15"/>
  <c r="S23" i="15"/>
  <c r="S24" i="15"/>
  <c r="S26" i="15"/>
  <c r="S27" i="15"/>
  <c r="S31" i="15"/>
  <c r="S32" i="15"/>
  <c r="S35" i="15"/>
  <c r="S36" i="15"/>
  <c r="S37" i="15"/>
  <c r="S38" i="15"/>
  <c r="S39" i="15"/>
  <c r="S43" i="15"/>
  <c r="S44" i="15"/>
  <c r="S45" i="15"/>
  <c r="E1088" i="6"/>
  <c r="I1088" i="6"/>
  <c r="J1088" i="6"/>
  <c r="E1083" i="6"/>
  <c r="F1083" i="6"/>
  <c r="E1059" i="6"/>
  <c r="I1059" i="6"/>
  <c r="J1059" i="6"/>
  <c r="E1058" i="6"/>
  <c r="I1058" i="6"/>
  <c r="J1058" i="6"/>
  <c r="E1056" i="6"/>
  <c r="I1056" i="6"/>
  <c r="J1056" i="6"/>
  <c r="E1055" i="6"/>
  <c r="I1055" i="6"/>
  <c r="J1055" i="6"/>
  <c r="E1054" i="6"/>
  <c r="I1054" i="6"/>
  <c r="J1054" i="6"/>
  <c r="E1053" i="6"/>
  <c r="I1053" i="6"/>
  <c r="J1053" i="6"/>
  <c r="E214" i="6"/>
  <c r="F214" i="6"/>
  <c r="I214" i="6"/>
  <c r="J214" i="6"/>
  <c r="E213" i="6"/>
  <c r="F213" i="6"/>
  <c r="I213" i="6"/>
  <c r="J213" i="6"/>
  <c r="E176" i="6"/>
  <c r="F176" i="6"/>
  <c r="I176" i="6"/>
  <c r="J176" i="6"/>
  <c r="C110" i="6"/>
  <c r="C52" i="6"/>
  <c r="E9" i="6"/>
  <c r="F9" i="6"/>
  <c r="I9" i="6"/>
  <c r="J9" i="6"/>
  <c r="E8" i="6"/>
  <c r="F8" i="6"/>
  <c r="I8" i="6"/>
  <c r="J8" i="6"/>
  <c r="E7" i="6"/>
  <c r="F7" i="6"/>
  <c r="I7" i="6"/>
  <c r="J7" i="6"/>
  <c r="Y7" i="16" l="1"/>
  <c r="Y6" i="16"/>
  <c r="X6" i="16"/>
  <c r="X7" i="16"/>
  <c r="W7" i="15"/>
  <c r="X7" i="15"/>
  <c r="W7" i="16"/>
  <c r="W6" i="16"/>
  <c r="U7" i="15"/>
  <c r="V7" i="16"/>
  <c r="V6" i="16"/>
  <c r="V10" i="16"/>
  <c r="U7" i="16"/>
  <c r="U10" i="16"/>
  <c r="U6" i="16"/>
  <c r="F54" i="6"/>
  <c r="T6" i="16"/>
  <c r="T7" i="16"/>
  <c r="E52" i="6"/>
  <c r="T7" i="15"/>
  <c r="E110" i="6"/>
  <c r="D1314" i="1"/>
  <c r="D1315" i="1"/>
  <c r="D1316" i="1"/>
  <c r="D1317" i="1"/>
  <c r="D1318" i="1"/>
  <c r="F110" i="6"/>
  <c r="C111" i="6" s="1"/>
  <c r="J111" i="6" s="1"/>
  <c r="S7" i="15"/>
  <c r="J1083" i="6"/>
  <c r="I1083" i="6"/>
  <c r="F52" i="6"/>
  <c r="J110" i="6"/>
  <c r="I110" i="6"/>
  <c r="J52" i="6"/>
  <c r="I52" i="6"/>
  <c r="Y8" i="16" l="1"/>
  <c r="X8" i="16"/>
  <c r="W11" i="15"/>
  <c r="W8" i="16"/>
  <c r="J55" i="6"/>
  <c r="E55" i="6"/>
  <c r="I55" i="6"/>
  <c r="F55" i="6"/>
  <c r="V7" i="15"/>
  <c r="V8" i="16"/>
  <c r="U11" i="15"/>
  <c r="U8" i="16"/>
  <c r="T8" i="16"/>
  <c r="T11" i="15"/>
  <c r="F111" i="6"/>
  <c r="E111" i="6"/>
  <c r="I111" i="6"/>
  <c r="S11" i="15"/>
  <c r="E1084" i="6"/>
  <c r="F1084" i="6"/>
  <c r="I1084" i="6"/>
  <c r="J1084" i="6"/>
  <c r="E527" i="6"/>
  <c r="I527" i="6"/>
  <c r="J527" i="6"/>
  <c r="E1066" i="6"/>
  <c r="E1119" i="6"/>
  <c r="F1066" i="6"/>
  <c r="F1119" i="6"/>
  <c r="I1066" i="6"/>
  <c r="I1119" i="6"/>
  <c r="J1066" i="6"/>
  <c r="J1119" i="6"/>
  <c r="E578" i="6"/>
  <c r="E907" i="6"/>
  <c r="E929" i="6"/>
  <c r="E953" i="6"/>
  <c r="E978" i="6"/>
  <c r="E1003" i="6"/>
  <c r="E1026" i="6"/>
  <c r="F929" i="6"/>
  <c r="F953" i="6"/>
  <c r="F978" i="6"/>
  <c r="F1003" i="6"/>
  <c r="F1026" i="6"/>
  <c r="I578" i="6"/>
  <c r="I907" i="6"/>
  <c r="I929" i="6"/>
  <c r="I953" i="6"/>
  <c r="I978" i="6"/>
  <c r="I1003" i="6"/>
  <c r="I1026" i="6"/>
  <c r="J578" i="6"/>
  <c r="J907" i="6"/>
  <c r="J929" i="6"/>
  <c r="J953" i="6"/>
  <c r="J978" i="6"/>
  <c r="J1003" i="6"/>
  <c r="J1026" i="6"/>
  <c r="E526" i="6"/>
  <c r="I526" i="6"/>
  <c r="J526" i="6"/>
  <c r="E462" i="6"/>
  <c r="F462" i="6"/>
  <c r="I462" i="6"/>
  <c r="J462" i="6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C463" i="6"/>
  <c r="E268" i="6"/>
  <c r="E302" i="6"/>
  <c r="F268" i="6"/>
  <c r="F302" i="6"/>
  <c r="I268" i="6"/>
  <c r="I302" i="6"/>
  <c r="J268" i="6"/>
  <c r="J302" i="6"/>
  <c r="E425" i="6"/>
  <c r="F425" i="6"/>
  <c r="I425" i="6"/>
  <c r="J425" i="6"/>
  <c r="E424" i="6"/>
  <c r="F424" i="6"/>
  <c r="I424" i="6"/>
  <c r="J424" i="6"/>
  <c r="E267" i="6"/>
  <c r="E301" i="6"/>
  <c r="F267" i="6"/>
  <c r="F301" i="6"/>
  <c r="I267" i="6"/>
  <c r="I301" i="6"/>
  <c r="J267" i="6"/>
  <c r="J301" i="6"/>
  <c r="E423" i="6"/>
  <c r="F423" i="6"/>
  <c r="I423" i="6"/>
  <c r="J423" i="6"/>
  <c r="E422" i="6"/>
  <c r="F422" i="6"/>
  <c r="I422" i="6"/>
  <c r="J422" i="6"/>
  <c r="E421" i="6"/>
  <c r="F421" i="6"/>
  <c r="I421" i="6"/>
  <c r="J421" i="6"/>
  <c r="R45" i="15"/>
  <c r="R43" i="15"/>
  <c r="S22" i="16"/>
  <c r="E921" i="6"/>
  <c r="E930" i="6"/>
  <c r="E954" i="6"/>
  <c r="E979" i="6"/>
  <c r="E1004" i="6"/>
  <c r="E1027" i="6"/>
  <c r="E579" i="6"/>
  <c r="F930" i="6"/>
  <c r="F954" i="6"/>
  <c r="F979" i="6"/>
  <c r="F1004" i="6"/>
  <c r="F1027" i="6"/>
  <c r="I921" i="6"/>
  <c r="I930" i="6"/>
  <c r="I954" i="6"/>
  <c r="I979" i="6"/>
  <c r="I1004" i="6"/>
  <c r="I1027" i="6"/>
  <c r="I579" i="6"/>
  <c r="J921" i="6"/>
  <c r="J930" i="6"/>
  <c r="J954" i="6"/>
  <c r="J979" i="6"/>
  <c r="J1004" i="6"/>
  <c r="J1027" i="6"/>
  <c r="J579" i="6"/>
  <c r="X25" i="15" l="1"/>
  <c r="Y25" i="15"/>
  <c r="F465" i="6"/>
  <c r="W25" i="15"/>
  <c r="U25" i="15"/>
  <c r="V25" i="15"/>
  <c r="U28" i="15"/>
  <c r="V28" i="15"/>
  <c r="F464" i="6"/>
  <c r="T25" i="15"/>
  <c r="T28" i="15"/>
  <c r="F487" i="6"/>
  <c r="E112" i="6"/>
  <c r="I112" i="6"/>
  <c r="J112" i="6"/>
  <c r="F112" i="6"/>
  <c r="I53" i="6"/>
  <c r="E53" i="6"/>
  <c r="F53" i="6"/>
  <c r="J53" i="6"/>
  <c r="I463" i="6"/>
  <c r="S25" i="15"/>
  <c r="E486" i="6"/>
  <c r="S28" i="15"/>
  <c r="J1085" i="6"/>
  <c r="I1085" i="6"/>
  <c r="F1085" i="6"/>
  <c r="E1085" i="6"/>
  <c r="E463" i="6"/>
  <c r="F486" i="6"/>
  <c r="J486" i="6"/>
  <c r="I486" i="6"/>
  <c r="J463" i="6"/>
  <c r="F463" i="6"/>
  <c r="F56" i="6" l="1"/>
  <c r="I56" i="6"/>
  <c r="E56" i="6"/>
  <c r="J56" i="6"/>
  <c r="I113" i="6"/>
  <c r="F113" i="6"/>
  <c r="J113" i="6"/>
  <c r="E113" i="6"/>
  <c r="E1086" i="6"/>
  <c r="I1086" i="6"/>
  <c r="J1086" i="6"/>
  <c r="F1086" i="6"/>
  <c r="R44" i="15" s="1"/>
  <c r="S13" i="16"/>
  <c r="S12" i="16"/>
  <c r="I57" i="6" l="1"/>
  <c r="J57" i="6"/>
  <c r="E57" i="6"/>
  <c r="F57" i="6"/>
  <c r="F1088" i="6"/>
  <c r="F1087" i="6"/>
  <c r="J1087" i="6"/>
  <c r="E1087" i="6"/>
  <c r="I1087" i="6"/>
  <c r="I1089" i="6"/>
  <c r="J1089" i="6"/>
  <c r="E1089" i="6"/>
  <c r="D10" i="6"/>
  <c r="E10" i="6" s="1"/>
  <c r="F10" i="6"/>
  <c r="I10" i="6"/>
  <c r="E1118" i="6"/>
  <c r="F1118" i="6"/>
  <c r="I1118" i="6"/>
  <c r="J1118" i="6"/>
  <c r="E150" i="6"/>
  <c r="I150" i="6"/>
  <c r="J150" i="6"/>
  <c r="E1117" i="6"/>
  <c r="F1117" i="6"/>
  <c r="I1117" i="6"/>
  <c r="J1117" i="6"/>
  <c r="E1024" i="6"/>
  <c r="F1024" i="6"/>
  <c r="I1024" i="6"/>
  <c r="J1024" i="6"/>
  <c r="E904" i="6"/>
  <c r="E905" i="6"/>
  <c r="E906" i="6"/>
  <c r="I904" i="6"/>
  <c r="I905" i="6"/>
  <c r="I906" i="6"/>
  <c r="J904" i="6"/>
  <c r="J905" i="6"/>
  <c r="J906" i="6"/>
  <c r="E901" i="6"/>
  <c r="E902" i="6"/>
  <c r="E903" i="6"/>
  <c r="I901" i="6"/>
  <c r="I902" i="6"/>
  <c r="I903" i="6"/>
  <c r="J901" i="6"/>
  <c r="J902" i="6"/>
  <c r="J903" i="6"/>
  <c r="C920" i="6"/>
  <c r="E919" i="6"/>
  <c r="I919" i="6"/>
  <c r="J919" i="6"/>
  <c r="C918" i="6"/>
  <c r="E917" i="6"/>
  <c r="I917" i="6"/>
  <c r="J917" i="6"/>
  <c r="E916" i="6"/>
  <c r="I916" i="6"/>
  <c r="J916" i="6"/>
  <c r="C915" i="6"/>
  <c r="E911" i="6"/>
  <c r="I911" i="6"/>
  <c r="J911" i="6"/>
  <c r="D914" i="6"/>
  <c r="I914" i="6"/>
  <c r="F58" i="6" l="1"/>
  <c r="I58" i="6"/>
  <c r="Y7" i="15"/>
  <c r="J58" i="6"/>
  <c r="E58" i="6"/>
  <c r="E114" i="6"/>
  <c r="F114" i="6"/>
  <c r="I114" i="6"/>
  <c r="V11" i="15"/>
  <c r="J114" i="6"/>
  <c r="J10" i="6"/>
  <c r="E914" i="6"/>
  <c r="J914" i="6"/>
  <c r="J115" i="6" l="1"/>
  <c r="E115" i="6"/>
  <c r="I115" i="6"/>
  <c r="F115" i="6"/>
  <c r="E913" i="6"/>
  <c r="I913" i="6"/>
  <c r="J913" i="6"/>
  <c r="E912" i="6"/>
  <c r="I912" i="6"/>
  <c r="J912" i="6"/>
  <c r="D910" i="6"/>
  <c r="E910" i="6" s="1"/>
  <c r="I910" i="6"/>
  <c r="E908" i="6"/>
  <c r="E909" i="6"/>
  <c r="I908" i="6"/>
  <c r="I909" i="6"/>
  <c r="J908" i="6"/>
  <c r="J909" i="6"/>
  <c r="R22" i="16"/>
  <c r="R13" i="16" s="1"/>
  <c r="E899" i="6"/>
  <c r="I899" i="6"/>
  <c r="J899" i="6"/>
  <c r="J910" i="6" l="1"/>
  <c r="R12" i="16"/>
  <c r="D898" i="6" l="1"/>
  <c r="C898" i="6" s="1"/>
  <c r="E897" i="6"/>
  <c r="I897" i="6"/>
  <c r="J897" i="6"/>
  <c r="E896" i="6"/>
  <c r="I896" i="6"/>
  <c r="J896" i="6"/>
  <c r="C894" i="6"/>
  <c r="I894" i="6" s="1"/>
  <c r="C525" i="6"/>
  <c r="F534" i="6" s="1"/>
  <c r="E208" i="6"/>
  <c r="F208" i="6"/>
  <c r="I208" i="6"/>
  <c r="J208" i="6"/>
  <c r="E890" i="6"/>
  <c r="I890" i="6"/>
  <c r="J890" i="6"/>
  <c r="C888" i="6"/>
  <c r="I888" i="6" s="1"/>
  <c r="C889" i="6"/>
  <c r="E889" i="6" s="1"/>
  <c r="E892" i="6"/>
  <c r="I892" i="6"/>
  <c r="J892" i="6"/>
  <c r="E577" i="6"/>
  <c r="I577" i="6"/>
  <c r="J577" i="6"/>
  <c r="R32" i="15"/>
  <c r="R31" i="15"/>
  <c r="R27" i="15"/>
  <c r="R26" i="15"/>
  <c r="R25" i="15"/>
  <c r="R24" i="15"/>
  <c r="R23" i="15"/>
  <c r="R21" i="15"/>
  <c r="R20" i="15"/>
  <c r="R19" i="15"/>
  <c r="R18" i="15"/>
  <c r="R17" i="15"/>
  <c r="R16" i="15"/>
  <c r="R15" i="15"/>
  <c r="R14" i="15"/>
  <c r="R13" i="15"/>
  <c r="R10" i="15"/>
  <c r="R8" i="15"/>
  <c r="R7" i="15"/>
  <c r="R5" i="15"/>
  <c r="R4" i="15"/>
  <c r="R3" i="15"/>
  <c r="R2" i="15"/>
  <c r="E891" i="6"/>
  <c r="I891" i="6"/>
  <c r="J891" i="6"/>
  <c r="F532" i="6" l="1"/>
  <c r="F533" i="6"/>
  <c r="I117" i="6"/>
  <c r="J117" i="6"/>
  <c r="E117" i="6"/>
  <c r="X30" i="15"/>
  <c r="Y30" i="15"/>
  <c r="W30" i="15"/>
  <c r="F531" i="6"/>
  <c r="V30" i="15"/>
  <c r="F530" i="6"/>
  <c r="U30" i="15"/>
  <c r="F529" i="6"/>
  <c r="T30" i="15"/>
  <c r="F528" i="6"/>
  <c r="F527" i="6"/>
  <c r="S30" i="15"/>
  <c r="F526" i="6"/>
  <c r="E525" i="6"/>
  <c r="R30" i="15"/>
  <c r="J898" i="6"/>
  <c r="I898" i="6"/>
  <c r="E898" i="6"/>
  <c r="E977" i="6"/>
  <c r="J893" i="6"/>
  <c r="R37" i="15"/>
  <c r="J895" i="6"/>
  <c r="J1025" i="6"/>
  <c r="E893" i="6"/>
  <c r="J894" i="6"/>
  <c r="E894" i="6"/>
  <c r="F525" i="6"/>
  <c r="J888" i="6"/>
  <c r="J525" i="6"/>
  <c r="I525" i="6"/>
  <c r="E888" i="6"/>
  <c r="I889" i="6"/>
  <c r="J889" i="6"/>
  <c r="J915" i="6" l="1"/>
  <c r="E915" i="6"/>
  <c r="I915" i="6"/>
  <c r="I893" i="6"/>
  <c r="R35" i="15"/>
  <c r="E1025" i="6"/>
  <c r="F1025" i="6"/>
  <c r="I1025" i="6"/>
  <c r="R39" i="15"/>
  <c r="E895" i="6"/>
  <c r="I895" i="6"/>
  <c r="E1002" i="6"/>
  <c r="I1002" i="6"/>
  <c r="J1002" i="6"/>
  <c r="R38" i="15"/>
  <c r="F1002" i="6"/>
  <c r="E952" i="6"/>
  <c r="F952" i="6"/>
  <c r="J952" i="6"/>
  <c r="I952" i="6"/>
  <c r="R36" i="15"/>
  <c r="I977" i="6"/>
  <c r="F977" i="6"/>
  <c r="J977" i="6"/>
  <c r="E207" i="6" l="1"/>
  <c r="F207" i="6"/>
  <c r="I207" i="6"/>
  <c r="J207" i="6"/>
  <c r="E175" i="6"/>
  <c r="F175" i="6"/>
  <c r="I175" i="6"/>
  <c r="J175" i="6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E212" i="6"/>
  <c r="F212" i="6"/>
  <c r="I212" i="6"/>
  <c r="J212" i="6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E63" i="6"/>
  <c r="F63" i="6"/>
  <c r="I63" i="6"/>
  <c r="J63" i="6"/>
  <c r="D886" i="6" l="1"/>
  <c r="I886" i="6"/>
  <c r="E887" i="6"/>
  <c r="E1001" i="6"/>
  <c r="E576" i="6"/>
  <c r="F1001" i="6"/>
  <c r="I887" i="6"/>
  <c r="I1001" i="6"/>
  <c r="I576" i="6"/>
  <c r="J887" i="6"/>
  <c r="J1001" i="6"/>
  <c r="J576" i="6"/>
  <c r="E882" i="6"/>
  <c r="E1000" i="6"/>
  <c r="E1023" i="6"/>
  <c r="E951" i="6"/>
  <c r="E976" i="6"/>
  <c r="E575" i="6"/>
  <c r="E885" i="6"/>
  <c r="F1000" i="6"/>
  <c r="F1023" i="6"/>
  <c r="F951" i="6"/>
  <c r="F976" i="6"/>
  <c r="I882" i="6"/>
  <c r="I1000" i="6"/>
  <c r="I1023" i="6"/>
  <c r="I951" i="6"/>
  <c r="I976" i="6"/>
  <c r="I575" i="6"/>
  <c r="I885" i="6"/>
  <c r="J882" i="6"/>
  <c r="J1000" i="6"/>
  <c r="J1023" i="6"/>
  <c r="J951" i="6"/>
  <c r="J976" i="6"/>
  <c r="J575" i="6"/>
  <c r="J885" i="6"/>
  <c r="E266" i="6"/>
  <c r="E300" i="6"/>
  <c r="E461" i="6"/>
  <c r="E468" i="6"/>
  <c r="E480" i="6"/>
  <c r="E883" i="6"/>
  <c r="E884" i="6"/>
  <c r="F266" i="6"/>
  <c r="F300" i="6"/>
  <c r="F461" i="6"/>
  <c r="F468" i="6"/>
  <c r="F480" i="6"/>
  <c r="I266" i="6"/>
  <c r="I300" i="6"/>
  <c r="I461" i="6"/>
  <c r="I468" i="6"/>
  <c r="I480" i="6"/>
  <c r="I883" i="6"/>
  <c r="I884" i="6"/>
  <c r="J266" i="6"/>
  <c r="J300" i="6"/>
  <c r="J461" i="6"/>
  <c r="J468" i="6"/>
  <c r="J480" i="6"/>
  <c r="J883" i="6"/>
  <c r="J884" i="6"/>
  <c r="Q45" i="15"/>
  <c r="Q43" i="15"/>
  <c r="Q37" i="15"/>
  <c r="Q36" i="15"/>
  <c r="Q39" i="15"/>
  <c r="Q32" i="15"/>
  <c r="Q38" i="15"/>
  <c r="Q31" i="15"/>
  <c r="Q35" i="15"/>
  <c r="Q30" i="15"/>
  <c r="Q27" i="15"/>
  <c r="Q26" i="15"/>
  <c r="Q25" i="15"/>
  <c r="Q24" i="15"/>
  <c r="Q23" i="15"/>
  <c r="Q21" i="15"/>
  <c r="Q20" i="15"/>
  <c r="Q19" i="15"/>
  <c r="Q18" i="15"/>
  <c r="Q16" i="15"/>
  <c r="Q15" i="15"/>
  <c r="Q13" i="15"/>
  <c r="Q12" i="15"/>
  <c r="Q11" i="15"/>
  <c r="Q10" i="15"/>
  <c r="Q8" i="15"/>
  <c r="Q7" i="15"/>
  <c r="Q5" i="15"/>
  <c r="Q4" i="15"/>
  <c r="Q3" i="15"/>
  <c r="Q2" i="15"/>
  <c r="E880" i="6"/>
  <c r="I880" i="6"/>
  <c r="J880" i="6"/>
  <c r="C881" i="6"/>
  <c r="I881" i="6" s="1"/>
  <c r="A41" i="13"/>
  <c r="C41" i="13"/>
  <c r="J41" i="13"/>
  <c r="L41" i="13"/>
  <c r="M41" i="13"/>
  <c r="N41" i="13" s="1"/>
  <c r="A40" i="13"/>
  <c r="C40" i="13"/>
  <c r="J40" i="13"/>
  <c r="L40" i="13"/>
  <c r="M40" i="13"/>
  <c r="N40" i="13" s="1"/>
  <c r="A38" i="13"/>
  <c r="C38" i="13"/>
  <c r="J38" i="13"/>
  <c r="L38" i="13"/>
  <c r="N38" i="13"/>
  <c r="L25" i="13"/>
  <c r="A25" i="13"/>
  <c r="C25" i="13"/>
  <c r="J25" i="13"/>
  <c r="M25" i="13"/>
  <c r="N25" i="13" s="1"/>
  <c r="A46" i="13"/>
  <c r="C46" i="13"/>
  <c r="J46" i="13"/>
  <c r="L46" i="13"/>
  <c r="M46" i="13"/>
  <c r="N46" i="13" s="1"/>
  <c r="A47" i="13"/>
  <c r="C47" i="13"/>
  <c r="J47" i="13"/>
  <c r="L47" i="13"/>
  <c r="M47" i="13"/>
  <c r="N47" i="13" s="1"/>
  <c r="A8" i="13"/>
  <c r="C8" i="13"/>
  <c r="J8" i="13"/>
  <c r="L8" i="13"/>
  <c r="M8" i="13"/>
  <c r="N8" i="13" s="1"/>
  <c r="A21" i="13"/>
  <c r="C21" i="13"/>
  <c r="J21" i="13"/>
  <c r="L21" i="13"/>
  <c r="M21" i="13"/>
  <c r="N21" i="13" s="1"/>
  <c r="A20" i="13"/>
  <c r="C20" i="13"/>
  <c r="J20" i="13"/>
  <c r="L20" i="13"/>
  <c r="M20" i="13"/>
  <c r="N20" i="13" s="1"/>
  <c r="A19" i="13"/>
  <c r="C19" i="13"/>
  <c r="J19" i="13"/>
  <c r="L19" i="13"/>
  <c r="M19" i="13"/>
  <c r="N19" i="13" s="1"/>
  <c r="A18" i="13"/>
  <c r="C18" i="13"/>
  <c r="J18" i="13"/>
  <c r="L18" i="13"/>
  <c r="M18" i="13"/>
  <c r="N18" i="13" s="1"/>
  <c r="A28" i="13"/>
  <c r="C28" i="13"/>
  <c r="J28" i="13"/>
  <c r="L28" i="13"/>
  <c r="M28" i="13"/>
  <c r="N28" i="13" s="1"/>
  <c r="A27" i="13"/>
  <c r="C27" i="13"/>
  <c r="J27" i="13"/>
  <c r="L27" i="13"/>
  <c r="M27" i="13"/>
  <c r="N27" i="13" s="1"/>
  <c r="A26" i="13"/>
  <c r="C26" i="13"/>
  <c r="J26" i="13"/>
  <c r="L26" i="13"/>
  <c r="M26" i="13"/>
  <c r="N26" i="13" s="1"/>
  <c r="E886" i="6" l="1"/>
  <c r="J886" i="6"/>
  <c r="J881" i="6"/>
  <c r="E881" i="6"/>
  <c r="O41" i="13"/>
  <c r="O40" i="13"/>
  <c r="O38" i="13"/>
  <c r="O25" i="13"/>
  <c r="O46" i="13"/>
  <c r="O47" i="13"/>
  <c r="O20" i="13"/>
  <c r="O21" i="13"/>
  <c r="O8" i="13"/>
  <c r="O18" i="13"/>
  <c r="O19" i="13"/>
  <c r="O26" i="13"/>
  <c r="O28" i="13"/>
  <c r="O27" i="13"/>
  <c r="D877" i="6" l="1"/>
  <c r="E877" i="6" s="1"/>
  <c r="I877" i="6"/>
  <c r="E452" i="6"/>
  <c r="E453" i="6"/>
  <c r="E460" i="6"/>
  <c r="E265" i="6"/>
  <c r="E299" i="6"/>
  <c r="F460" i="6"/>
  <c r="F265" i="6"/>
  <c r="F299" i="6"/>
  <c r="I452" i="6"/>
  <c r="I453" i="6"/>
  <c r="I460" i="6"/>
  <c r="I265" i="6"/>
  <c r="I299" i="6"/>
  <c r="J452" i="6"/>
  <c r="J453" i="6"/>
  <c r="J460" i="6"/>
  <c r="J265" i="6"/>
  <c r="J299" i="6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L33" i="15"/>
  <c r="K33" i="15"/>
  <c r="J33" i="15"/>
  <c r="I33" i="15"/>
  <c r="H33" i="15"/>
  <c r="G33" i="15"/>
  <c r="F33" i="15"/>
  <c r="E33" i="15"/>
  <c r="D33" i="15"/>
  <c r="C33" i="15"/>
  <c r="B33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Q22" i="16"/>
  <c r="A17" i="13"/>
  <c r="C17" i="13"/>
  <c r="J17" i="13"/>
  <c r="L17" i="13"/>
  <c r="M17" i="13"/>
  <c r="N17" i="13" s="1"/>
  <c r="L37" i="13"/>
  <c r="A37" i="13"/>
  <c r="C37" i="13"/>
  <c r="J37" i="13"/>
  <c r="N37" i="13"/>
  <c r="J877" i="6" l="1"/>
  <c r="O17" i="13"/>
  <c r="O37" i="13"/>
  <c r="Q19" i="16" l="1"/>
  <c r="Q13" i="16"/>
  <c r="Q12" i="16"/>
  <c r="E879" i="6"/>
  <c r="I879" i="6"/>
  <c r="J879" i="6"/>
  <c r="L11" i="13"/>
  <c r="A11" i="13"/>
  <c r="C11" i="13"/>
  <c r="J11" i="13"/>
  <c r="M11" i="13"/>
  <c r="N11" i="13" s="1"/>
  <c r="O11" i="13" l="1"/>
  <c r="A32" i="13"/>
  <c r="C32" i="13"/>
  <c r="J32" i="13"/>
  <c r="L32" i="13"/>
  <c r="M32" i="13"/>
  <c r="N32" i="13" s="1"/>
  <c r="E524" i="6"/>
  <c r="F524" i="6"/>
  <c r="I524" i="6"/>
  <c r="J524" i="6"/>
  <c r="E878" i="6"/>
  <c r="I878" i="6"/>
  <c r="J878" i="6"/>
  <c r="O32" i="13" l="1"/>
  <c r="P19" i="16"/>
  <c r="L24" i="13"/>
  <c r="H36" i="13"/>
  <c r="J36" i="13" s="1"/>
  <c r="A36" i="13"/>
  <c r="C36" i="13"/>
  <c r="N35" i="13"/>
  <c r="M24" i="13"/>
  <c r="N24" i="13" s="1"/>
  <c r="J7" i="13"/>
  <c r="A24" i="13"/>
  <c r="C24" i="13"/>
  <c r="A35" i="13"/>
  <c r="C35" i="13"/>
  <c r="J35" i="13"/>
  <c r="L35" i="13"/>
  <c r="H16" i="13"/>
  <c r="M16" i="13" s="1"/>
  <c r="N16" i="13" s="1"/>
  <c r="A16" i="13"/>
  <c r="C16" i="13"/>
  <c r="F417" i="6"/>
  <c r="F418" i="6"/>
  <c r="F419" i="6"/>
  <c r="F420" i="6"/>
  <c r="F263" i="6"/>
  <c r="F297" i="6"/>
  <c r="E263" i="6"/>
  <c r="E297" i="6"/>
  <c r="E298" i="6"/>
  <c r="E264" i="6"/>
  <c r="F298" i="6"/>
  <c r="F264" i="6"/>
  <c r="I263" i="6"/>
  <c r="I297" i="6"/>
  <c r="I298" i="6"/>
  <c r="I264" i="6"/>
  <c r="J263" i="6"/>
  <c r="J297" i="6"/>
  <c r="J298" i="6"/>
  <c r="J264" i="6"/>
  <c r="E417" i="6"/>
  <c r="E418" i="6"/>
  <c r="E419" i="6"/>
  <c r="E420" i="6"/>
  <c r="I417" i="6"/>
  <c r="I418" i="6"/>
  <c r="I419" i="6"/>
  <c r="I420" i="6"/>
  <c r="J417" i="6"/>
  <c r="J418" i="6"/>
  <c r="J419" i="6"/>
  <c r="J420" i="6"/>
  <c r="E975" i="6"/>
  <c r="E1022" i="6"/>
  <c r="E873" i="6"/>
  <c r="E874" i="6"/>
  <c r="E875" i="6"/>
  <c r="I873" i="6"/>
  <c r="I874" i="6"/>
  <c r="I875" i="6"/>
  <c r="J873" i="6"/>
  <c r="J874" i="6"/>
  <c r="J875" i="6"/>
  <c r="P22" i="16"/>
  <c r="P13" i="16" s="1"/>
  <c r="E574" i="6"/>
  <c r="E876" i="6"/>
  <c r="E872" i="6"/>
  <c r="E950" i="6"/>
  <c r="E999" i="6"/>
  <c r="F950" i="6"/>
  <c r="F975" i="6"/>
  <c r="F999" i="6"/>
  <c r="F1022" i="6"/>
  <c r="I574" i="6"/>
  <c r="I876" i="6"/>
  <c r="I872" i="6"/>
  <c r="I950" i="6"/>
  <c r="I975" i="6"/>
  <c r="I999" i="6"/>
  <c r="I1022" i="6"/>
  <c r="J574" i="6"/>
  <c r="J876" i="6"/>
  <c r="J872" i="6"/>
  <c r="J950" i="6"/>
  <c r="J975" i="6"/>
  <c r="J999" i="6"/>
  <c r="J1022" i="6"/>
  <c r="E865" i="6"/>
  <c r="I865" i="6"/>
  <c r="J865" i="6"/>
  <c r="E479" i="6"/>
  <c r="F479" i="6"/>
  <c r="I479" i="6"/>
  <c r="J479" i="6"/>
  <c r="M29" i="13"/>
  <c r="N29" i="13" s="1"/>
  <c r="M15" i="13"/>
  <c r="N15" i="13" s="1"/>
  <c r="A29" i="13"/>
  <c r="C29" i="13"/>
  <c r="J29" i="13"/>
  <c r="L29" i="13"/>
  <c r="E871" i="6"/>
  <c r="E869" i="6"/>
  <c r="E949" i="6"/>
  <c r="E974" i="6"/>
  <c r="E998" i="6"/>
  <c r="E1021" i="6"/>
  <c r="E573" i="6"/>
  <c r="F949" i="6"/>
  <c r="F974" i="6"/>
  <c r="F998" i="6"/>
  <c r="F1021" i="6"/>
  <c r="I871" i="6"/>
  <c r="I869" i="6"/>
  <c r="I949" i="6"/>
  <c r="I974" i="6"/>
  <c r="I998" i="6"/>
  <c r="I1021" i="6"/>
  <c r="I573" i="6"/>
  <c r="J871" i="6"/>
  <c r="J869" i="6"/>
  <c r="J949" i="6"/>
  <c r="J974" i="6"/>
  <c r="J998" i="6"/>
  <c r="J1021" i="6"/>
  <c r="J573" i="6"/>
  <c r="E870" i="6"/>
  <c r="I870" i="6"/>
  <c r="J870" i="6"/>
  <c r="A34" i="13"/>
  <c r="C34" i="13"/>
  <c r="J34" i="13"/>
  <c r="L34" i="13"/>
  <c r="M34" i="13"/>
  <c r="N34" i="13" s="1"/>
  <c r="A7" i="13"/>
  <c r="C7" i="13"/>
  <c r="L7" i="13"/>
  <c r="M7" i="13"/>
  <c r="N7" i="13" s="1"/>
  <c r="A15" i="13"/>
  <c r="C15" i="13"/>
  <c r="J15" i="13"/>
  <c r="L15" i="13"/>
  <c r="A14" i="13"/>
  <c r="C14" i="13"/>
  <c r="J14" i="13"/>
  <c r="L14" i="13"/>
  <c r="M14" i="13"/>
  <c r="N14" i="13" s="1"/>
  <c r="L16" i="13" l="1"/>
  <c r="M36" i="13"/>
  <c r="N36" i="13" s="1"/>
  <c r="L36" i="13"/>
  <c r="P12" i="16"/>
  <c r="J24" i="13"/>
  <c r="O24" i="13" s="1"/>
  <c r="J16" i="13"/>
  <c r="O35" i="13"/>
  <c r="O29" i="13"/>
  <c r="O34" i="13"/>
  <c r="O7" i="13"/>
  <c r="O15" i="13"/>
  <c r="O14" i="13"/>
  <c r="E451" i="6"/>
  <c r="I451" i="6"/>
  <c r="J451" i="6"/>
  <c r="E459" i="6"/>
  <c r="F459" i="6"/>
  <c r="I459" i="6"/>
  <c r="J459" i="6"/>
  <c r="E868" i="6"/>
  <c r="I868" i="6"/>
  <c r="J868" i="6"/>
  <c r="O16" i="13" l="1"/>
  <c r="O36" i="13"/>
  <c r="E523" i="6"/>
  <c r="F523" i="6"/>
  <c r="I523" i="6"/>
  <c r="J523" i="6"/>
  <c r="C866" i="6"/>
  <c r="I866" i="6" s="1"/>
  <c r="E867" i="6"/>
  <c r="I867" i="6"/>
  <c r="J867" i="6"/>
  <c r="E50" i="6"/>
  <c r="F50" i="6"/>
  <c r="I50" i="6"/>
  <c r="J50" i="6"/>
  <c r="I51" i="6" l="1"/>
  <c r="F51" i="6"/>
  <c r="E51" i="6"/>
  <c r="J51" i="6"/>
  <c r="E866" i="6"/>
  <c r="J866" i="6"/>
  <c r="E143" i="6"/>
  <c r="F143" i="6"/>
  <c r="I143" i="6"/>
  <c r="J143" i="6"/>
  <c r="J920" i="6" l="1"/>
  <c r="E920" i="6"/>
  <c r="I920" i="6"/>
  <c r="E146" i="6"/>
  <c r="F146" i="6"/>
  <c r="I146" i="6"/>
  <c r="J146" i="6"/>
  <c r="D5" i="6"/>
  <c r="E5" i="6" s="1"/>
  <c r="F5" i="6"/>
  <c r="I5" i="6"/>
  <c r="E262" i="6"/>
  <c r="F262" i="6"/>
  <c r="I262" i="6"/>
  <c r="J262" i="6"/>
  <c r="E416" i="6"/>
  <c r="F416" i="6"/>
  <c r="I416" i="6"/>
  <c r="J416" i="6"/>
  <c r="E415" i="6"/>
  <c r="F415" i="6"/>
  <c r="I415" i="6"/>
  <c r="J415" i="6"/>
  <c r="E414" i="6"/>
  <c r="F414" i="6"/>
  <c r="I414" i="6"/>
  <c r="J414" i="6"/>
  <c r="A45" i="13"/>
  <c r="C45" i="13"/>
  <c r="J45" i="13"/>
  <c r="M45" i="13"/>
  <c r="N45" i="13" s="1"/>
  <c r="A23" i="13"/>
  <c r="C23" i="13"/>
  <c r="J23" i="13"/>
  <c r="M23" i="13"/>
  <c r="N23" i="13" s="1"/>
  <c r="A10" i="13"/>
  <c r="C10" i="13"/>
  <c r="J10" i="13"/>
  <c r="M10" i="13"/>
  <c r="N10" i="13" s="1"/>
  <c r="A31" i="13"/>
  <c r="C31" i="13"/>
  <c r="J31" i="13"/>
  <c r="L31" i="13"/>
  <c r="M31" i="13"/>
  <c r="N31" i="13" s="1"/>
  <c r="C862" i="6"/>
  <c r="E864" i="6"/>
  <c r="I864" i="6"/>
  <c r="J864" i="6"/>
  <c r="E863" i="6"/>
  <c r="I863" i="6"/>
  <c r="J863" i="6"/>
  <c r="C450" i="6"/>
  <c r="Y22" i="15" s="1"/>
  <c r="E296" i="6"/>
  <c r="E467" i="6"/>
  <c r="F296" i="6"/>
  <c r="F467" i="6"/>
  <c r="I296" i="6"/>
  <c r="I467" i="6"/>
  <c r="J296" i="6"/>
  <c r="J467" i="6"/>
  <c r="E850" i="6"/>
  <c r="E858" i="6"/>
  <c r="E859" i="6"/>
  <c r="E860" i="6"/>
  <c r="F850" i="6"/>
  <c r="F858" i="6"/>
  <c r="F859" i="6"/>
  <c r="F860" i="6"/>
  <c r="I850" i="6"/>
  <c r="I858" i="6"/>
  <c r="I859" i="6"/>
  <c r="I860" i="6"/>
  <c r="J850" i="6"/>
  <c r="J858" i="6"/>
  <c r="J859" i="6"/>
  <c r="J860" i="6"/>
  <c r="E572" i="6"/>
  <c r="E861" i="6"/>
  <c r="E857" i="6"/>
  <c r="E948" i="6"/>
  <c r="E973" i="6"/>
  <c r="E997" i="6"/>
  <c r="E1020" i="6"/>
  <c r="F861" i="6"/>
  <c r="F857" i="6"/>
  <c r="F948" i="6"/>
  <c r="F973" i="6"/>
  <c r="F997" i="6"/>
  <c r="F1020" i="6"/>
  <c r="I572" i="6"/>
  <c r="I861" i="6"/>
  <c r="I857" i="6"/>
  <c r="I948" i="6"/>
  <c r="I973" i="6"/>
  <c r="I997" i="6"/>
  <c r="I1020" i="6"/>
  <c r="J572" i="6"/>
  <c r="J861" i="6"/>
  <c r="J857" i="6"/>
  <c r="J948" i="6"/>
  <c r="J973" i="6"/>
  <c r="J997" i="6"/>
  <c r="J1020" i="6"/>
  <c r="O22" i="16"/>
  <c r="N44" i="13"/>
  <c r="A44" i="13"/>
  <c r="C44" i="13"/>
  <c r="J44" i="13"/>
  <c r="L44" i="13"/>
  <c r="W22" i="15" l="1"/>
  <c r="X22" i="15"/>
  <c r="U22" i="15"/>
  <c r="V22" i="15"/>
  <c r="S22" i="15"/>
  <c r="T22" i="15"/>
  <c r="F864" i="6"/>
  <c r="F863" i="6"/>
  <c r="F891" i="6"/>
  <c r="F897" i="6"/>
  <c r="F896" i="6"/>
  <c r="F890" i="6"/>
  <c r="F892" i="6"/>
  <c r="F899" i="6"/>
  <c r="F898" i="6"/>
  <c r="F893" i="6"/>
  <c r="F895" i="6"/>
  <c r="F885" i="6"/>
  <c r="F886" i="6"/>
  <c r="Q34" i="15"/>
  <c r="F887" i="6"/>
  <c r="F882" i="6"/>
  <c r="F884" i="6"/>
  <c r="F880" i="6"/>
  <c r="P34" i="15"/>
  <c r="F877" i="6"/>
  <c r="F879" i="6"/>
  <c r="F876" i="6"/>
  <c r="F871" i="6"/>
  <c r="F873" i="6"/>
  <c r="F872" i="6"/>
  <c r="F865" i="6"/>
  <c r="F875" i="6"/>
  <c r="F869" i="6"/>
  <c r="F867" i="6"/>
  <c r="F1089" i="6"/>
  <c r="F894" i="6"/>
  <c r="F889" i="6"/>
  <c r="F888" i="6"/>
  <c r="Q22" i="15"/>
  <c r="R22" i="15"/>
  <c r="F881" i="6"/>
  <c r="F883" i="6"/>
  <c r="Q44" i="15"/>
  <c r="P22" i="15"/>
  <c r="F452" i="6"/>
  <c r="F453" i="6"/>
  <c r="F878" i="6"/>
  <c r="P44" i="15"/>
  <c r="F451" i="6"/>
  <c r="F870" i="6"/>
  <c r="F874" i="6"/>
  <c r="F868" i="6"/>
  <c r="E147" i="6"/>
  <c r="E450" i="6"/>
  <c r="E862" i="6"/>
  <c r="F866" i="6"/>
  <c r="F862" i="6"/>
  <c r="J862" i="6"/>
  <c r="J5" i="6"/>
  <c r="F450" i="6"/>
  <c r="O23" i="13"/>
  <c r="O31" i="13"/>
  <c r="O10" i="13"/>
  <c r="I862" i="6"/>
  <c r="J450" i="6"/>
  <c r="I450" i="6"/>
  <c r="O44" i="13"/>
  <c r="A30" i="13"/>
  <c r="C30" i="13"/>
  <c r="J30" i="13"/>
  <c r="L30" i="13"/>
  <c r="M30" i="13"/>
  <c r="N30" i="13" s="1"/>
  <c r="E1090" i="6" l="1"/>
  <c r="J1090" i="6"/>
  <c r="I1090" i="6"/>
  <c r="F1090" i="6"/>
  <c r="I147" i="6"/>
  <c r="F147" i="6"/>
  <c r="C148" i="6" s="1"/>
  <c r="J147" i="6"/>
  <c r="O30" i="13"/>
  <c r="A33" i="13"/>
  <c r="C33" i="13"/>
  <c r="J33" i="13"/>
  <c r="M33" i="13"/>
  <c r="N33" i="13" s="1"/>
  <c r="A13" i="13"/>
  <c r="C13" i="13"/>
  <c r="J13" i="13"/>
  <c r="L13" i="13"/>
  <c r="M13" i="13"/>
  <c r="N13" i="13" s="1"/>
  <c r="A12" i="13"/>
  <c r="C12" i="13"/>
  <c r="J12" i="13"/>
  <c r="L12" i="13"/>
  <c r="M12" i="13"/>
  <c r="N12" i="13" s="1"/>
  <c r="A43" i="13"/>
  <c r="C43" i="13"/>
  <c r="J43" i="13"/>
  <c r="L43" i="13"/>
  <c r="M43" i="13"/>
  <c r="N43" i="13" s="1"/>
  <c r="E106" i="6"/>
  <c r="F106" i="6"/>
  <c r="I106" i="6"/>
  <c r="J106" i="6"/>
  <c r="E206" i="6"/>
  <c r="F206" i="6"/>
  <c r="I206" i="6"/>
  <c r="J206" i="6"/>
  <c r="E856" i="6"/>
  <c r="E855" i="6"/>
  <c r="E947" i="6"/>
  <c r="E972" i="6"/>
  <c r="E570" i="6"/>
  <c r="E996" i="6"/>
  <c r="E1019" i="6"/>
  <c r="E571" i="6"/>
  <c r="F856" i="6"/>
  <c r="F855" i="6"/>
  <c r="F947" i="6"/>
  <c r="F972" i="6"/>
  <c r="F996" i="6"/>
  <c r="F1019" i="6"/>
  <c r="I856" i="6"/>
  <c r="I855" i="6"/>
  <c r="I947" i="6"/>
  <c r="I972" i="6"/>
  <c r="I570" i="6"/>
  <c r="I996" i="6"/>
  <c r="I1019" i="6"/>
  <c r="I571" i="6"/>
  <c r="J856" i="6"/>
  <c r="J855" i="6"/>
  <c r="J947" i="6"/>
  <c r="J972" i="6"/>
  <c r="J570" i="6"/>
  <c r="J996" i="6"/>
  <c r="J1019" i="6"/>
  <c r="J571" i="6"/>
  <c r="O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F3" i="6"/>
  <c r="F2" i="6"/>
  <c r="F4" i="6"/>
  <c r="F804" i="6"/>
  <c r="F810" i="6"/>
  <c r="F823" i="6"/>
  <c r="F824" i="6"/>
  <c r="F825" i="6"/>
  <c r="F830" i="6"/>
  <c r="F844" i="6"/>
  <c r="F851" i="6"/>
  <c r="F16" i="6"/>
  <c r="F17" i="6"/>
  <c r="F18" i="6"/>
  <c r="F19" i="6"/>
  <c r="F20" i="6"/>
  <c r="F21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9" i="6"/>
  <c r="F48" i="6"/>
  <c r="F59" i="6"/>
  <c r="F60" i="6"/>
  <c r="F61" i="6"/>
  <c r="F62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5" i="6"/>
  <c r="F104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4" i="6"/>
  <c r="F145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10" i="6"/>
  <c r="F211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74" i="6"/>
  <c r="F241" i="6"/>
  <c r="F275" i="6"/>
  <c r="F242" i="6"/>
  <c r="F276" i="6"/>
  <c r="F243" i="6"/>
  <c r="F277" i="6"/>
  <c r="F244" i="6"/>
  <c r="F245" i="6"/>
  <c r="F278" i="6"/>
  <c r="F246" i="6"/>
  <c r="F279" i="6"/>
  <c r="F247" i="6"/>
  <c r="F280" i="6"/>
  <c r="F248" i="6"/>
  <c r="F281" i="6"/>
  <c r="F249" i="6"/>
  <c r="F282" i="6"/>
  <c r="F250" i="6"/>
  <c r="F283" i="6"/>
  <c r="F251" i="6"/>
  <c r="F284" i="6"/>
  <c r="F252" i="6"/>
  <c r="F285" i="6"/>
  <c r="F286" i="6"/>
  <c r="F253" i="6"/>
  <c r="F254" i="6"/>
  <c r="F287" i="6"/>
  <c r="F255" i="6"/>
  <c r="F288" i="6"/>
  <c r="F256" i="6"/>
  <c r="F289" i="6"/>
  <c r="F257" i="6"/>
  <c r="F290" i="6"/>
  <c r="F258" i="6"/>
  <c r="F291" i="6"/>
  <c r="F259" i="6"/>
  <c r="F292" i="6"/>
  <c r="F260" i="6"/>
  <c r="F293" i="6"/>
  <c r="F294" i="6"/>
  <c r="F261" i="6"/>
  <c r="F295" i="6"/>
  <c r="F466" i="6"/>
  <c r="F449" i="6"/>
  <c r="F454" i="6"/>
  <c r="F455" i="6"/>
  <c r="F456" i="6"/>
  <c r="F457" i="6"/>
  <c r="F458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704" i="6"/>
  <c r="F705" i="6"/>
  <c r="F719" i="6"/>
  <c r="F720" i="6"/>
  <c r="F938" i="6"/>
  <c r="F962" i="6"/>
  <c r="F939" i="6"/>
  <c r="F730" i="6"/>
  <c r="F963" i="6"/>
  <c r="F731" i="6"/>
  <c r="F940" i="6"/>
  <c r="F749" i="6"/>
  <c r="F964" i="6"/>
  <c r="F558" i="6"/>
  <c r="F559" i="6"/>
  <c r="F750" i="6"/>
  <c r="F987" i="6"/>
  <c r="F988" i="6"/>
  <c r="F941" i="6"/>
  <c r="F761" i="6"/>
  <c r="F989" i="6"/>
  <c r="F965" i="6"/>
  <c r="F762" i="6"/>
  <c r="F1012" i="6"/>
  <c r="F560" i="6"/>
  <c r="F942" i="6"/>
  <c r="F781" i="6"/>
  <c r="F990" i="6"/>
  <c r="F1013" i="6"/>
  <c r="F966" i="6"/>
  <c r="F561" i="6"/>
  <c r="F782" i="6"/>
  <c r="F562" i="6"/>
  <c r="F563" i="6"/>
  <c r="F943" i="6"/>
  <c r="F795" i="6"/>
  <c r="F991" i="6"/>
  <c r="F1014" i="6"/>
  <c r="F967" i="6"/>
  <c r="F564" i="6"/>
  <c r="F796" i="6"/>
  <c r="F944" i="6"/>
  <c r="F807" i="6"/>
  <c r="F535" i="6"/>
  <c r="F992" i="6"/>
  <c r="F1015" i="6"/>
  <c r="F968" i="6"/>
  <c r="F565" i="6"/>
  <c r="F808" i="6"/>
  <c r="F945" i="6"/>
  <c r="F811" i="6"/>
  <c r="F536" i="6"/>
  <c r="F993" i="6"/>
  <c r="F538" i="6"/>
  <c r="F1016" i="6"/>
  <c r="F969" i="6"/>
  <c r="F566" i="6"/>
  <c r="F812" i="6"/>
  <c r="F537" i="6"/>
  <c r="F994" i="6"/>
  <c r="F539" i="6"/>
  <c r="F1017" i="6"/>
  <c r="F970" i="6"/>
  <c r="F567" i="6"/>
  <c r="F826" i="6"/>
  <c r="F946" i="6"/>
  <c r="F995" i="6"/>
  <c r="F1018" i="6"/>
  <c r="F971" i="6"/>
  <c r="F839" i="6"/>
  <c r="F1042" i="6"/>
  <c r="F1043" i="6"/>
  <c r="F1044" i="6"/>
  <c r="F1045" i="6"/>
  <c r="F1046" i="6"/>
  <c r="F1047" i="6"/>
  <c r="F1048" i="6"/>
  <c r="F1049" i="6"/>
  <c r="F1050" i="6"/>
  <c r="F607" i="6"/>
  <c r="F621" i="6"/>
  <c r="F632" i="6"/>
  <c r="F651" i="6"/>
  <c r="F655" i="6"/>
  <c r="F677" i="6"/>
  <c r="F695" i="6"/>
  <c r="F699" i="6"/>
  <c r="F737" i="6"/>
  <c r="F751" i="6"/>
  <c r="F767" i="6"/>
  <c r="F783" i="6"/>
  <c r="F788" i="6"/>
  <c r="F800" i="6"/>
  <c r="F817" i="6"/>
  <c r="F843" i="6"/>
  <c r="F586" i="6"/>
  <c r="F588" i="6"/>
  <c r="F592" i="6"/>
  <c r="F594" i="6"/>
  <c r="F596" i="6"/>
  <c r="F598" i="6"/>
  <c r="F603" i="6"/>
  <c r="F605" i="6"/>
  <c r="F606" i="6"/>
  <c r="F609" i="6"/>
  <c r="F613" i="6"/>
  <c r="F614" i="6"/>
  <c r="F617" i="6"/>
  <c r="F623" i="6"/>
  <c r="F624" i="6"/>
  <c r="F625" i="6"/>
  <c r="F626" i="6"/>
  <c r="F627" i="6"/>
  <c r="F628" i="6"/>
  <c r="F630" i="6"/>
  <c r="F636" i="6"/>
  <c r="F637" i="6"/>
  <c r="F638" i="6"/>
  <c r="F639" i="6"/>
  <c r="F640" i="6"/>
  <c r="F645" i="6"/>
  <c r="F649" i="6"/>
  <c r="F652" i="6"/>
  <c r="F656" i="6"/>
  <c r="F658" i="6"/>
  <c r="F659" i="6"/>
  <c r="F660" i="6"/>
  <c r="F661" i="6"/>
  <c r="F662" i="6"/>
  <c r="F664" i="6"/>
  <c r="F665" i="6"/>
  <c r="F666" i="6"/>
  <c r="F667" i="6"/>
  <c r="F668" i="6"/>
  <c r="F670" i="6"/>
  <c r="F671" i="6"/>
  <c r="F672" i="6"/>
  <c r="F673" i="6"/>
  <c r="F675" i="6"/>
  <c r="F676" i="6"/>
  <c r="F678" i="6"/>
  <c r="F679" i="6"/>
  <c r="F683" i="6"/>
  <c r="F684" i="6"/>
  <c r="F688" i="6"/>
  <c r="F691" i="6"/>
  <c r="F692" i="6"/>
  <c r="F693" i="6"/>
  <c r="F697" i="6"/>
  <c r="F702" i="6"/>
  <c r="F706" i="6"/>
  <c r="F712" i="6"/>
  <c r="F716" i="6"/>
  <c r="F721" i="6"/>
  <c r="F722" i="6"/>
  <c r="F725" i="6"/>
  <c r="F732" i="6"/>
  <c r="F739" i="6"/>
  <c r="F752" i="6"/>
  <c r="F758" i="6"/>
  <c r="F763" i="6"/>
  <c r="F773" i="6"/>
  <c r="F784" i="6"/>
  <c r="F801" i="6"/>
  <c r="F809" i="6"/>
  <c r="F813" i="6"/>
  <c r="F819" i="6"/>
  <c r="F820" i="6"/>
  <c r="F821" i="6"/>
  <c r="F827" i="6"/>
  <c r="F831" i="6"/>
  <c r="F837" i="6"/>
  <c r="F840" i="6"/>
  <c r="F847" i="6"/>
  <c r="F700" i="6"/>
  <c r="F709" i="6"/>
  <c r="F710" i="6"/>
  <c r="F711" i="6"/>
  <c r="F713" i="6"/>
  <c r="F714" i="6"/>
  <c r="F715" i="6"/>
  <c r="F717" i="6"/>
  <c r="F723" i="6"/>
  <c r="F726" i="6"/>
  <c r="F733" i="6"/>
  <c r="F735" i="6"/>
  <c r="F738" i="6"/>
  <c r="F740" i="6"/>
  <c r="F741" i="6"/>
  <c r="F742" i="6"/>
  <c r="F743" i="6"/>
  <c r="F745" i="6"/>
  <c r="F746" i="6"/>
  <c r="F747" i="6"/>
  <c r="F748" i="6"/>
  <c r="F753" i="6"/>
  <c r="F754" i="6"/>
  <c r="F756" i="6"/>
  <c r="F757" i="6"/>
  <c r="F760" i="6"/>
  <c r="F764" i="6"/>
  <c r="F766" i="6"/>
  <c r="F768" i="6"/>
  <c r="F771" i="6"/>
  <c r="F774" i="6"/>
  <c r="F776" i="6"/>
  <c r="F777" i="6"/>
  <c r="F779" i="6"/>
  <c r="F785" i="6"/>
  <c r="F786" i="6"/>
  <c r="F789" i="6"/>
  <c r="F791" i="6"/>
  <c r="F793" i="6"/>
  <c r="F798" i="6"/>
  <c r="F802" i="6"/>
  <c r="F805" i="6"/>
  <c r="F814" i="6"/>
  <c r="F816" i="6"/>
  <c r="F822" i="6"/>
  <c r="F828" i="6"/>
  <c r="F832" i="6"/>
  <c r="F834" i="6"/>
  <c r="F836" i="6"/>
  <c r="F838" i="6"/>
  <c r="F841" i="6"/>
  <c r="F845" i="6"/>
  <c r="F848" i="6"/>
  <c r="F852" i="6"/>
  <c r="F853" i="6"/>
  <c r="F587" i="6"/>
  <c r="F589" i="6"/>
  <c r="F590" i="6"/>
  <c r="F591" i="6"/>
  <c r="F593" i="6"/>
  <c r="F595" i="6"/>
  <c r="F597" i="6"/>
  <c r="F599" i="6"/>
  <c r="F600" i="6"/>
  <c r="F601" i="6"/>
  <c r="F602" i="6"/>
  <c r="F604" i="6"/>
  <c r="F608" i="6"/>
  <c r="F610" i="6"/>
  <c r="F611" i="6"/>
  <c r="F612" i="6"/>
  <c r="F615" i="6"/>
  <c r="F616" i="6"/>
  <c r="F618" i="6"/>
  <c r="F619" i="6"/>
  <c r="F620" i="6"/>
  <c r="F622" i="6"/>
  <c r="F629" i="6"/>
  <c r="F631" i="6"/>
  <c r="F633" i="6"/>
  <c r="F634" i="6"/>
  <c r="F635" i="6"/>
  <c r="F641" i="6"/>
  <c r="F642" i="6"/>
  <c r="F643" i="6"/>
  <c r="F644" i="6"/>
  <c r="F646" i="6"/>
  <c r="F647" i="6"/>
  <c r="F648" i="6"/>
  <c r="F650" i="6"/>
  <c r="F653" i="6"/>
  <c r="F654" i="6"/>
  <c r="F657" i="6"/>
  <c r="F663" i="6"/>
  <c r="F669" i="6"/>
  <c r="F674" i="6"/>
  <c r="F680" i="6"/>
  <c r="F681" i="6"/>
  <c r="F682" i="6"/>
  <c r="F685" i="6"/>
  <c r="F686" i="6"/>
  <c r="F687" i="6"/>
  <c r="F689" i="6"/>
  <c r="F690" i="6"/>
  <c r="F694" i="6"/>
  <c r="F696" i="6"/>
  <c r="F698" i="6"/>
  <c r="F701" i="6"/>
  <c r="F703" i="6"/>
  <c r="F707" i="6"/>
  <c r="F708" i="6"/>
  <c r="F718" i="6"/>
  <c r="F724" i="6"/>
  <c r="F727" i="6"/>
  <c r="F728" i="6"/>
  <c r="F729" i="6"/>
  <c r="F734" i="6"/>
  <c r="F736" i="6"/>
  <c r="F744" i="6"/>
  <c r="F755" i="6"/>
  <c r="F759" i="6"/>
  <c r="F765" i="6"/>
  <c r="F769" i="6"/>
  <c r="F770" i="6"/>
  <c r="F772" i="6"/>
  <c r="F775" i="6"/>
  <c r="F778" i="6"/>
  <c r="F780" i="6"/>
  <c r="F787" i="6"/>
  <c r="F790" i="6"/>
  <c r="F792" i="6"/>
  <c r="F794" i="6"/>
  <c r="F797" i="6"/>
  <c r="F799" i="6"/>
  <c r="F803" i="6"/>
  <c r="F806" i="6"/>
  <c r="F815" i="6"/>
  <c r="F818" i="6"/>
  <c r="F829" i="6"/>
  <c r="F833" i="6"/>
  <c r="F835" i="6"/>
  <c r="F842" i="6"/>
  <c r="F846" i="6"/>
  <c r="F849" i="6"/>
  <c r="F854" i="6"/>
  <c r="O12" i="16"/>
  <c r="O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N22" i="16"/>
  <c r="N13" i="16" s="1"/>
  <c r="L11" i="16"/>
  <c r="K11" i="16"/>
  <c r="J11" i="16"/>
  <c r="I11" i="16"/>
  <c r="H11" i="16"/>
  <c r="G11" i="16"/>
  <c r="F11" i="16"/>
  <c r="E11" i="16"/>
  <c r="D11" i="16"/>
  <c r="C11" i="16"/>
  <c r="B11" i="16"/>
  <c r="E854" i="6"/>
  <c r="I854" i="6"/>
  <c r="J854" i="6"/>
  <c r="E853" i="6"/>
  <c r="I853" i="6"/>
  <c r="J853" i="6"/>
  <c r="E852" i="6"/>
  <c r="I852" i="6"/>
  <c r="J852" i="6"/>
  <c r="E205" i="6"/>
  <c r="I205" i="6"/>
  <c r="J205" i="6"/>
  <c r="E105" i="6"/>
  <c r="I145" i="6"/>
  <c r="J145" i="6"/>
  <c r="I105" i="6"/>
  <c r="J105" i="6"/>
  <c r="E851" i="6"/>
  <c r="I851" i="6"/>
  <c r="J851" i="6"/>
  <c r="J9" i="13"/>
  <c r="A3" i="13"/>
  <c r="C3" i="13"/>
  <c r="J3" i="13"/>
  <c r="L3" i="13"/>
  <c r="N3" i="13"/>
  <c r="A9" i="13"/>
  <c r="C9" i="13"/>
  <c r="M9" i="13"/>
  <c r="N9" i="13" s="1"/>
  <c r="E61" i="6"/>
  <c r="I61" i="6"/>
  <c r="J61" i="6"/>
  <c r="E522" i="6"/>
  <c r="I522" i="6"/>
  <c r="J522" i="6"/>
  <c r="E62" i="6"/>
  <c r="I62" i="6"/>
  <c r="J62" i="6"/>
  <c r="A6" i="13"/>
  <c r="C6" i="13"/>
  <c r="J6" i="13"/>
  <c r="L6" i="13"/>
  <c r="M6" i="13"/>
  <c r="N6" i="13" s="1"/>
  <c r="L4" i="13"/>
  <c r="L5" i="13"/>
  <c r="L42" i="13"/>
  <c r="L39" i="13"/>
  <c r="L2" i="13"/>
  <c r="L22" i="13"/>
  <c r="A22" i="13"/>
  <c r="C22" i="13"/>
  <c r="J22" i="13"/>
  <c r="M22" i="13"/>
  <c r="N22" i="13" s="1"/>
  <c r="A2" i="13"/>
  <c r="C2" i="13"/>
  <c r="J2" i="13"/>
  <c r="N2" i="13"/>
  <c r="D843" i="6"/>
  <c r="E843" i="6" s="1"/>
  <c r="I843" i="6"/>
  <c r="E413" i="6"/>
  <c r="I413" i="6"/>
  <c r="J413" i="6"/>
  <c r="E412" i="6"/>
  <c r="I412" i="6"/>
  <c r="J412" i="6"/>
  <c r="E411" i="6"/>
  <c r="I411" i="6"/>
  <c r="J411" i="6"/>
  <c r="A39" i="13"/>
  <c r="C39" i="13"/>
  <c r="J39" i="13"/>
  <c r="M39" i="13"/>
  <c r="N39" i="13" s="1"/>
  <c r="F1055" i="6" l="1"/>
  <c r="F1056" i="6"/>
  <c r="F1057" i="6" s="1"/>
  <c r="F1053" i="6"/>
  <c r="F1054" i="6"/>
  <c r="J1052" i="6"/>
  <c r="E1052" i="6"/>
  <c r="F1052" i="6"/>
  <c r="I1052" i="6"/>
  <c r="Q42" i="15"/>
  <c r="N42" i="15"/>
  <c r="P42" i="15"/>
  <c r="O42" i="15"/>
  <c r="I148" i="6"/>
  <c r="E148" i="6"/>
  <c r="F148" i="6"/>
  <c r="J148" i="6"/>
  <c r="R12" i="15"/>
  <c r="O33" i="13"/>
  <c r="O12" i="13"/>
  <c r="O13" i="13"/>
  <c r="O43" i="13"/>
  <c r="N19" i="16"/>
  <c r="N12" i="16"/>
  <c r="E145" i="6"/>
  <c r="O3" i="13"/>
  <c r="O9" i="13"/>
  <c r="O6" i="13"/>
  <c r="O22" i="13"/>
  <c r="J843" i="6"/>
  <c r="O2" i="13"/>
  <c r="O39" i="13"/>
  <c r="T42" i="15" l="1"/>
  <c r="F1060" i="6"/>
  <c r="S42" i="15"/>
  <c r="R42" i="15"/>
  <c r="F1059" i="6"/>
  <c r="F1058" i="6"/>
  <c r="J1057" i="6"/>
  <c r="E1057" i="6"/>
  <c r="I1057" i="6"/>
  <c r="C149" i="6"/>
  <c r="S19" i="16"/>
  <c r="F107" i="6"/>
  <c r="F108" i="6" s="1"/>
  <c r="E107" i="6"/>
  <c r="J107" i="6"/>
  <c r="I107" i="6"/>
  <c r="W12" i="15" l="1"/>
  <c r="U12" i="15"/>
  <c r="T12" i="15"/>
  <c r="S12" i="15"/>
  <c r="F151" i="6"/>
  <c r="I152" i="6" s="1"/>
  <c r="J149" i="6"/>
  <c r="E149" i="6"/>
  <c r="I149" i="6"/>
  <c r="F149" i="6"/>
  <c r="F150" i="6"/>
  <c r="E109" i="6"/>
  <c r="F109" i="6"/>
  <c r="D900" i="6" s="1"/>
  <c r="I109" i="6"/>
  <c r="J109" i="6"/>
  <c r="J108" i="6"/>
  <c r="I108" i="6"/>
  <c r="E108" i="6"/>
  <c r="C4" i="13"/>
  <c r="C5" i="13"/>
  <c r="C42" i="13"/>
  <c r="M42" i="13"/>
  <c r="N42" i="13" s="1"/>
  <c r="A42" i="13"/>
  <c r="J42" i="13"/>
  <c r="M5" i="13"/>
  <c r="N5" i="13" s="1"/>
  <c r="J5" i="13"/>
  <c r="A5" i="13"/>
  <c r="M4" i="13"/>
  <c r="N4" i="13" s="1"/>
  <c r="J4" i="13"/>
  <c r="A4" i="13"/>
  <c r="E804" i="6"/>
  <c r="E810" i="6"/>
  <c r="E823" i="6"/>
  <c r="E824" i="6"/>
  <c r="E825" i="6"/>
  <c r="E830" i="6"/>
  <c r="E844" i="6"/>
  <c r="E16" i="6"/>
  <c r="E17" i="6"/>
  <c r="E18" i="6"/>
  <c r="E19" i="6"/>
  <c r="E20" i="6"/>
  <c r="E21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59" i="6"/>
  <c r="E60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4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10" i="6"/>
  <c r="E211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49" i="6"/>
  <c r="E454" i="6"/>
  <c r="E455" i="6"/>
  <c r="E456" i="6"/>
  <c r="E457" i="6"/>
  <c r="E458" i="6"/>
  <c r="E466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48" i="6"/>
  <c r="E938" i="6"/>
  <c r="E939" i="6"/>
  <c r="E940" i="6"/>
  <c r="E941" i="6"/>
  <c r="E942" i="6"/>
  <c r="E943" i="6"/>
  <c r="E944" i="6"/>
  <c r="E945" i="6"/>
  <c r="E946" i="6"/>
  <c r="E719" i="6"/>
  <c r="E720" i="6"/>
  <c r="E730" i="6"/>
  <c r="E749" i="6"/>
  <c r="E761" i="6"/>
  <c r="E781" i="6"/>
  <c r="E795" i="6"/>
  <c r="E807" i="6"/>
  <c r="E811" i="6"/>
  <c r="E535" i="6"/>
  <c r="E536" i="6"/>
  <c r="E537" i="6"/>
  <c r="E987" i="6"/>
  <c r="E988" i="6"/>
  <c r="E989" i="6"/>
  <c r="E990" i="6"/>
  <c r="E991" i="6"/>
  <c r="E992" i="6"/>
  <c r="E993" i="6"/>
  <c r="E994" i="6"/>
  <c r="E995" i="6"/>
  <c r="E538" i="6"/>
  <c r="E539" i="6"/>
  <c r="E1012" i="6"/>
  <c r="E1013" i="6"/>
  <c r="E1014" i="6"/>
  <c r="E1015" i="6"/>
  <c r="E1016" i="6"/>
  <c r="E1017" i="6"/>
  <c r="E1018" i="6"/>
  <c r="E962" i="6"/>
  <c r="E963" i="6"/>
  <c r="E964" i="6"/>
  <c r="E965" i="6"/>
  <c r="E966" i="6"/>
  <c r="E967" i="6"/>
  <c r="E968" i="6"/>
  <c r="E969" i="6"/>
  <c r="E970" i="6"/>
  <c r="E971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704" i="6"/>
  <c r="E705" i="6"/>
  <c r="E731" i="6"/>
  <c r="E750" i="6"/>
  <c r="E762" i="6"/>
  <c r="E782" i="6"/>
  <c r="E796" i="6"/>
  <c r="E808" i="6"/>
  <c r="E812" i="6"/>
  <c r="E826" i="6"/>
  <c r="E839" i="6"/>
  <c r="E104" i="6"/>
  <c r="E1042" i="6"/>
  <c r="E1043" i="6"/>
  <c r="E1044" i="6"/>
  <c r="E1045" i="6"/>
  <c r="E1046" i="6"/>
  <c r="E1047" i="6"/>
  <c r="E1048" i="6"/>
  <c r="E1049" i="6"/>
  <c r="E1050" i="6"/>
  <c r="E607" i="6"/>
  <c r="E621" i="6"/>
  <c r="E632" i="6"/>
  <c r="E651" i="6"/>
  <c r="E655" i="6"/>
  <c r="E677" i="6"/>
  <c r="E695" i="6"/>
  <c r="E699" i="6"/>
  <c r="E737" i="6"/>
  <c r="E751" i="6"/>
  <c r="E767" i="6"/>
  <c r="E783" i="6"/>
  <c r="E788" i="6"/>
  <c r="E800" i="6"/>
  <c r="E817" i="6"/>
  <c r="E586" i="6"/>
  <c r="E588" i="6"/>
  <c r="E592" i="6"/>
  <c r="E594" i="6"/>
  <c r="E596" i="6"/>
  <c r="E598" i="6"/>
  <c r="E603" i="6"/>
  <c r="E605" i="6"/>
  <c r="E606" i="6"/>
  <c r="E609" i="6"/>
  <c r="E613" i="6"/>
  <c r="E614" i="6"/>
  <c r="E617" i="6"/>
  <c r="E623" i="6"/>
  <c r="E624" i="6"/>
  <c r="E625" i="6"/>
  <c r="E626" i="6"/>
  <c r="E627" i="6"/>
  <c r="E628" i="6"/>
  <c r="E630" i="6"/>
  <c r="E636" i="6"/>
  <c r="E637" i="6"/>
  <c r="E638" i="6"/>
  <c r="E639" i="6"/>
  <c r="E640" i="6"/>
  <c r="E645" i="6"/>
  <c r="E649" i="6"/>
  <c r="E652" i="6"/>
  <c r="E656" i="6"/>
  <c r="E658" i="6"/>
  <c r="E659" i="6"/>
  <c r="E660" i="6"/>
  <c r="E661" i="6"/>
  <c r="E662" i="6"/>
  <c r="E664" i="6"/>
  <c r="E665" i="6"/>
  <c r="E666" i="6"/>
  <c r="E667" i="6"/>
  <c r="E668" i="6"/>
  <c r="E670" i="6"/>
  <c r="E671" i="6"/>
  <c r="E672" i="6"/>
  <c r="E673" i="6"/>
  <c r="E675" i="6"/>
  <c r="E676" i="6"/>
  <c r="E678" i="6"/>
  <c r="E679" i="6"/>
  <c r="E683" i="6"/>
  <c r="E684" i="6"/>
  <c r="E688" i="6"/>
  <c r="E691" i="6"/>
  <c r="E692" i="6"/>
  <c r="E693" i="6"/>
  <c r="E697" i="6"/>
  <c r="E702" i="6"/>
  <c r="E706" i="6"/>
  <c r="E712" i="6"/>
  <c r="E716" i="6"/>
  <c r="E721" i="6"/>
  <c r="E722" i="6"/>
  <c r="E725" i="6"/>
  <c r="E732" i="6"/>
  <c r="E739" i="6"/>
  <c r="E752" i="6"/>
  <c r="E758" i="6"/>
  <c r="E763" i="6"/>
  <c r="E773" i="6"/>
  <c r="E784" i="6"/>
  <c r="E801" i="6"/>
  <c r="E809" i="6"/>
  <c r="E813" i="6"/>
  <c r="E819" i="6"/>
  <c r="E820" i="6"/>
  <c r="E821" i="6"/>
  <c r="E827" i="6"/>
  <c r="E831" i="6"/>
  <c r="E837" i="6"/>
  <c r="E840" i="6"/>
  <c r="E847" i="6"/>
  <c r="E845" i="6"/>
  <c r="E848" i="6"/>
  <c r="E700" i="6"/>
  <c r="E709" i="6"/>
  <c r="E710" i="6"/>
  <c r="E711" i="6"/>
  <c r="E713" i="6"/>
  <c r="E714" i="6"/>
  <c r="E715" i="6"/>
  <c r="E717" i="6"/>
  <c r="E723" i="6"/>
  <c r="E726" i="6"/>
  <c r="E733" i="6"/>
  <c r="E735" i="6"/>
  <c r="E738" i="6"/>
  <c r="E740" i="6"/>
  <c r="E741" i="6"/>
  <c r="E742" i="6"/>
  <c r="E743" i="6"/>
  <c r="E745" i="6"/>
  <c r="E746" i="6"/>
  <c r="E747" i="6"/>
  <c r="E748" i="6"/>
  <c r="E753" i="6"/>
  <c r="E754" i="6"/>
  <c r="E756" i="6"/>
  <c r="E757" i="6"/>
  <c r="E760" i="6"/>
  <c r="E764" i="6"/>
  <c r="E766" i="6"/>
  <c r="E768" i="6"/>
  <c r="E771" i="6"/>
  <c r="E774" i="6"/>
  <c r="E776" i="6"/>
  <c r="E777" i="6"/>
  <c r="E779" i="6"/>
  <c r="E785" i="6"/>
  <c r="E786" i="6"/>
  <c r="E789" i="6"/>
  <c r="E791" i="6"/>
  <c r="E793" i="6"/>
  <c r="E798" i="6"/>
  <c r="E802" i="6"/>
  <c r="E805" i="6"/>
  <c r="E814" i="6"/>
  <c r="E816" i="6"/>
  <c r="E822" i="6"/>
  <c r="E828" i="6"/>
  <c r="E832" i="6"/>
  <c r="E834" i="6"/>
  <c r="E836" i="6"/>
  <c r="E838" i="6"/>
  <c r="E841" i="6"/>
  <c r="E846" i="6"/>
  <c r="E849" i="6"/>
  <c r="E587" i="6"/>
  <c r="E589" i="6"/>
  <c r="E590" i="6"/>
  <c r="E591" i="6"/>
  <c r="E593" i="6"/>
  <c r="E595" i="6"/>
  <c r="E597" i="6"/>
  <c r="E599" i="6"/>
  <c r="E600" i="6"/>
  <c r="E601" i="6"/>
  <c r="E602" i="6"/>
  <c r="E604" i="6"/>
  <c r="E608" i="6"/>
  <c r="E610" i="6"/>
  <c r="E611" i="6"/>
  <c r="E612" i="6"/>
  <c r="E615" i="6"/>
  <c r="E616" i="6"/>
  <c r="E618" i="6"/>
  <c r="E619" i="6"/>
  <c r="E620" i="6"/>
  <c r="E622" i="6"/>
  <c r="E629" i="6"/>
  <c r="E631" i="6"/>
  <c r="E633" i="6"/>
  <c r="E634" i="6"/>
  <c r="E635" i="6"/>
  <c r="E641" i="6"/>
  <c r="E642" i="6"/>
  <c r="E643" i="6"/>
  <c r="E644" i="6"/>
  <c r="E646" i="6"/>
  <c r="E647" i="6"/>
  <c r="E648" i="6"/>
  <c r="E650" i="6"/>
  <c r="E653" i="6"/>
  <c r="E654" i="6"/>
  <c r="E657" i="6"/>
  <c r="E663" i="6"/>
  <c r="E669" i="6"/>
  <c r="E674" i="6"/>
  <c r="E680" i="6"/>
  <c r="E681" i="6"/>
  <c r="E682" i="6"/>
  <c r="E685" i="6"/>
  <c r="E686" i="6"/>
  <c r="E687" i="6"/>
  <c r="E689" i="6"/>
  <c r="E690" i="6"/>
  <c r="E694" i="6"/>
  <c r="E696" i="6"/>
  <c r="E698" i="6"/>
  <c r="E701" i="6"/>
  <c r="E703" i="6"/>
  <c r="E707" i="6"/>
  <c r="E708" i="6"/>
  <c r="E718" i="6"/>
  <c r="E724" i="6"/>
  <c r="E727" i="6"/>
  <c r="E728" i="6"/>
  <c r="E729" i="6"/>
  <c r="E734" i="6"/>
  <c r="E736" i="6"/>
  <c r="E744" i="6"/>
  <c r="E755" i="6"/>
  <c r="E759" i="6"/>
  <c r="E765" i="6"/>
  <c r="E769" i="6"/>
  <c r="E770" i="6"/>
  <c r="E772" i="6"/>
  <c r="E775" i="6"/>
  <c r="E778" i="6"/>
  <c r="E780" i="6"/>
  <c r="E787" i="6"/>
  <c r="E790" i="6"/>
  <c r="E792" i="6"/>
  <c r="E794" i="6"/>
  <c r="E797" i="6"/>
  <c r="E799" i="6"/>
  <c r="E803" i="6"/>
  <c r="E806" i="6"/>
  <c r="E815" i="6"/>
  <c r="E818" i="6"/>
  <c r="E829" i="6"/>
  <c r="E833" i="6"/>
  <c r="E835" i="6"/>
  <c r="E842" i="6"/>
  <c r="I804" i="6"/>
  <c r="I810" i="6"/>
  <c r="I823" i="6"/>
  <c r="I824" i="6"/>
  <c r="I825" i="6"/>
  <c r="I830" i="6"/>
  <c r="I844" i="6"/>
  <c r="I16" i="6"/>
  <c r="I17" i="6"/>
  <c r="I18" i="6"/>
  <c r="I19" i="6"/>
  <c r="I20" i="6"/>
  <c r="I21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59" i="6"/>
  <c r="I60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4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10" i="6"/>
  <c r="I211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49" i="6"/>
  <c r="I454" i="6"/>
  <c r="I455" i="6"/>
  <c r="I456" i="6"/>
  <c r="I457" i="6"/>
  <c r="I458" i="6"/>
  <c r="I466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48" i="6"/>
  <c r="I938" i="6"/>
  <c r="I939" i="6"/>
  <c r="I940" i="6"/>
  <c r="I941" i="6"/>
  <c r="I942" i="6"/>
  <c r="I943" i="6"/>
  <c r="I944" i="6"/>
  <c r="I945" i="6"/>
  <c r="I946" i="6"/>
  <c r="I719" i="6"/>
  <c r="I720" i="6"/>
  <c r="I730" i="6"/>
  <c r="I749" i="6"/>
  <c r="I761" i="6"/>
  <c r="I781" i="6"/>
  <c r="I795" i="6"/>
  <c r="I807" i="6"/>
  <c r="I811" i="6"/>
  <c r="I535" i="6"/>
  <c r="I536" i="6"/>
  <c r="I537" i="6"/>
  <c r="I987" i="6"/>
  <c r="I988" i="6"/>
  <c r="I989" i="6"/>
  <c r="I990" i="6"/>
  <c r="I991" i="6"/>
  <c r="I992" i="6"/>
  <c r="I993" i="6"/>
  <c r="I994" i="6"/>
  <c r="I995" i="6"/>
  <c r="I538" i="6"/>
  <c r="I539" i="6"/>
  <c r="I1012" i="6"/>
  <c r="I1013" i="6"/>
  <c r="I1014" i="6"/>
  <c r="I1015" i="6"/>
  <c r="I1016" i="6"/>
  <c r="I1017" i="6"/>
  <c r="I1018" i="6"/>
  <c r="I962" i="6"/>
  <c r="I963" i="6"/>
  <c r="I964" i="6"/>
  <c r="I965" i="6"/>
  <c r="I966" i="6"/>
  <c r="I967" i="6"/>
  <c r="I968" i="6"/>
  <c r="I969" i="6"/>
  <c r="I970" i="6"/>
  <c r="I971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704" i="6"/>
  <c r="I705" i="6"/>
  <c r="I731" i="6"/>
  <c r="I750" i="6"/>
  <c r="I762" i="6"/>
  <c r="I782" i="6"/>
  <c r="I796" i="6"/>
  <c r="I808" i="6"/>
  <c r="I812" i="6"/>
  <c r="I826" i="6"/>
  <c r="I839" i="6"/>
  <c r="I104" i="6"/>
  <c r="I1042" i="6"/>
  <c r="I1043" i="6"/>
  <c r="I1044" i="6"/>
  <c r="I1045" i="6"/>
  <c r="I1046" i="6"/>
  <c r="I1047" i="6"/>
  <c r="I1048" i="6"/>
  <c r="I1049" i="6"/>
  <c r="I1050" i="6"/>
  <c r="I607" i="6"/>
  <c r="I621" i="6"/>
  <c r="I632" i="6"/>
  <c r="I651" i="6"/>
  <c r="I655" i="6"/>
  <c r="I677" i="6"/>
  <c r="I695" i="6"/>
  <c r="I699" i="6"/>
  <c r="I737" i="6"/>
  <c r="I751" i="6"/>
  <c r="I767" i="6"/>
  <c r="I783" i="6"/>
  <c r="I788" i="6"/>
  <c r="I800" i="6"/>
  <c r="I817" i="6"/>
  <c r="I586" i="6"/>
  <c r="I588" i="6"/>
  <c r="I592" i="6"/>
  <c r="I594" i="6"/>
  <c r="I596" i="6"/>
  <c r="I598" i="6"/>
  <c r="I603" i="6"/>
  <c r="I605" i="6"/>
  <c r="I606" i="6"/>
  <c r="I609" i="6"/>
  <c r="I613" i="6"/>
  <c r="I614" i="6"/>
  <c r="I617" i="6"/>
  <c r="I623" i="6"/>
  <c r="I624" i="6"/>
  <c r="I625" i="6"/>
  <c r="I626" i="6"/>
  <c r="I627" i="6"/>
  <c r="I628" i="6"/>
  <c r="I630" i="6"/>
  <c r="I636" i="6"/>
  <c r="I637" i="6"/>
  <c r="I638" i="6"/>
  <c r="I639" i="6"/>
  <c r="I640" i="6"/>
  <c r="I645" i="6"/>
  <c r="I649" i="6"/>
  <c r="I652" i="6"/>
  <c r="I656" i="6"/>
  <c r="I658" i="6"/>
  <c r="I659" i="6"/>
  <c r="I660" i="6"/>
  <c r="I661" i="6"/>
  <c r="I662" i="6"/>
  <c r="I664" i="6"/>
  <c r="I665" i="6"/>
  <c r="I666" i="6"/>
  <c r="I667" i="6"/>
  <c r="I668" i="6"/>
  <c r="I670" i="6"/>
  <c r="I671" i="6"/>
  <c r="I672" i="6"/>
  <c r="I673" i="6"/>
  <c r="I675" i="6"/>
  <c r="I676" i="6"/>
  <c r="I678" i="6"/>
  <c r="I679" i="6"/>
  <c r="I683" i="6"/>
  <c r="I684" i="6"/>
  <c r="I688" i="6"/>
  <c r="I691" i="6"/>
  <c r="I692" i="6"/>
  <c r="I693" i="6"/>
  <c r="I697" i="6"/>
  <c r="I702" i="6"/>
  <c r="I706" i="6"/>
  <c r="I712" i="6"/>
  <c r="I716" i="6"/>
  <c r="I721" i="6"/>
  <c r="I722" i="6"/>
  <c r="I725" i="6"/>
  <c r="I732" i="6"/>
  <c r="I739" i="6"/>
  <c r="I752" i="6"/>
  <c r="I758" i="6"/>
  <c r="I763" i="6"/>
  <c r="I773" i="6"/>
  <c r="I784" i="6"/>
  <c r="I801" i="6"/>
  <c r="I809" i="6"/>
  <c r="I813" i="6"/>
  <c r="I819" i="6"/>
  <c r="I820" i="6"/>
  <c r="I821" i="6"/>
  <c r="I827" i="6"/>
  <c r="I831" i="6"/>
  <c r="I837" i="6"/>
  <c r="I840" i="6"/>
  <c r="I847" i="6"/>
  <c r="I845" i="6"/>
  <c r="I848" i="6"/>
  <c r="I700" i="6"/>
  <c r="I709" i="6"/>
  <c r="I710" i="6"/>
  <c r="I711" i="6"/>
  <c r="I713" i="6"/>
  <c r="I714" i="6"/>
  <c r="I715" i="6"/>
  <c r="I717" i="6"/>
  <c r="I723" i="6"/>
  <c r="I726" i="6"/>
  <c r="I733" i="6"/>
  <c r="I735" i="6"/>
  <c r="I738" i="6"/>
  <c r="I740" i="6"/>
  <c r="I741" i="6"/>
  <c r="I742" i="6"/>
  <c r="I743" i="6"/>
  <c r="I745" i="6"/>
  <c r="I746" i="6"/>
  <c r="I747" i="6"/>
  <c r="I748" i="6"/>
  <c r="I753" i="6"/>
  <c r="I754" i="6"/>
  <c r="I756" i="6"/>
  <c r="I757" i="6"/>
  <c r="I760" i="6"/>
  <c r="I764" i="6"/>
  <c r="I766" i="6"/>
  <c r="I768" i="6"/>
  <c r="I771" i="6"/>
  <c r="I774" i="6"/>
  <c r="I776" i="6"/>
  <c r="I777" i="6"/>
  <c r="I779" i="6"/>
  <c r="I785" i="6"/>
  <c r="I786" i="6"/>
  <c r="I789" i="6"/>
  <c r="I791" i="6"/>
  <c r="I793" i="6"/>
  <c r="I798" i="6"/>
  <c r="I802" i="6"/>
  <c r="I805" i="6"/>
  <c r="I814" i="6"/>
  <c r="I816" i="6"/>
  <c r="I822" i="6"/>
  <c r="I828" i="6"/>
  <c r="I832" i="6"/>
  <c r="I834" i="6"/>
  <c r="I836" i="6"/>
  <c r="I838" i="6"/>
  <c r="I841" i="6"/>
  <c r="I846" i="6"/>
  <c r="I849" i="6"/>
  <c r="I587" i="6"/>
  <c r="I589" i="6"/>
  <c r="I590" i="6"/>
  <c r="I591" i="6"/>
  <c r="I593" i="6"/>
  <c r="I595" i="6"/>
  <c r="I597" i="6"/>
  <c r="I599" i="6"/>
  <c r="I600" i="6"/>
  <c r="I601" i="6"/>
  <c r="I602" i="6"/>
  <c r="I604" i="6"/>
  <c r="I608" i="6"/>
  <c r="I610" i="6"/>
  <c r="I611" i="6"/>
  <c r="I612" i="6"/>
  <c r="I615" i="6"/>
  <c r="I616" i="6"/>
  <c r="I618" i="6"/>
  <c r="I619" i="6"/>
  <c r="I620" i="6"/>
  <c r="I622" i="6"/>
  <c r="I629" i="6"/>
  <c r="I631" i="6"/>
  <c r="I633" i="6"/>
  <c r="I634" i="6"/>
  <c r="I635" i="6"/>
  <c r="I641" i="6"/>
  <c r="I642" i="6"/>
  <c r="I643" i="6"/>
  <c r="I644" i="6"/>
  <c r="I646" i="6"/>
  <c r="I647" i="6"/>
  <c r="I648" i="6"/>
  <c r="I650" i="6"/>
  <c r="I653" i="6"/>
  <c r="I654" i="6"/>
  <c r="I657" i="6"/>
  <c r="I663" i="6"/>
  <c r="I669" i="6"/>
  <c r="I674" i="6"/>
  <c r="I680" i="6"/>
  <c r="I681" i="6"/>
  <c r="I682" i="6"/>
  <c r="I685" i="6"/>
  <c r="I686" i="6"/>
  <c r="I687" i="6"/>
  <c r="I689" i="6"/>
  <c r="I690" i="6"/>
  <c r="I694" i="6"/>
  <c r="I696" i="6"/>
  <c r="I698" i="6"/>
  <c r="I701" i="6"/>
  <c r="I703" i="6"/>
  <c r="I707" i="6"/>
  <c r="I708" i="6"/>
  <c r="I718" i="6"/>
  <c r="I724" i="6"/>
  <c r="I727" i="6"/>
  <c r="I728" i="6"/>
  <c r="I729" i="6"/>
  <c r="I734" i="6"/>
  <c r="I736" i="6"/>
  <c r="I744" i="6"/>
  <c r="I755" i="6"/>
  <c r="I759" i="6"/>
  <c r="I765" i="6"/>
  <c r="I769" i="6"/>
  <c r="I770" i="6"/>
  <c r="I772" i="6"/>
  <c r="I775" i="6"/>
  <c r="I778" i="6"/>
  <c r="I780" i="6"/>
  <c r="I787" i="6"/>
  <c r="I790" i="6"/>
  <c r="I792" i="6"/>
  <c r="I794" i="6"/>
  <c r="I797" i="6"/>
  <c r="I799" i="6"/>
  <c r="I803" i="6"/>
  <c r="I806" i="6"/>
  <c r="I815" i="6"/>
  <c r="I818" i="6"/>
  <c r="I829" i="6"/>
  <c r="I833" i="6"/>
  <c r="I835" i="6"/>
  <c r="I842" i="6"/>
  <c r="J804" i="6"/>
  <c r="J810" i="6"/>
  <c r="J823" i="6"/>
  <c r="J824" i="6"/>
  <c r="J825" i="6"/>
  <c r="J830" i="6"/>
  <c r="J844" i="6"/>
  <c r="J16" i="6"/>
  <c r="J17" i="6"/>
  <c r="J18" i="6"/>
  <c r="J19" i="6"/>
  <c r="J20" i="6"/>
  <c r="J21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59" i="6"/>
  <c r="J60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4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10" i="6"/>
  <c r="J211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49" i="6"/>
  <c r="J454" i="6"/>
  <c r="J455" i="6"/>
  <c r="J456" i="6"/>
  <c r="J457" i="6"/>
  <c r="J458" i="6"/>
  <c r="J466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48" i="6"/>
  <c r="J938" i="6"/>
  <c r="J939" i="6"/>
  <c r="J940" i="6"/>
  <c r="J941" i="6"/>
  <c r="J942" i="6"/>
  <c r="J943" i="6"/>
  <c r="J944" i="6"/>
  <c r="J945" i="6"/>
  <c r="J946" i="6"/>
  <c r="J719" i="6"/>
  <c r="J720" i="6"/>
  <c r="J730" i="6"/>
  <c r="J749" i="6"/>
  <c r="J761" i="6"/>
  <c r="J781" i="6"/>
  <c r="J795" i="6"/>
  <c r="J807" i="6"/>
  <c r="J811" i="6"/>
  <c r="J535" i="6"/>
  <c r="J536" i="6"/>
  <c r="J537" i="6"/>
  <c r="J987" i="6"/>
  <c r="J988" i="6"/>
  <c r="J989" i="6"/>
  <c r="J990" i="6"/>
  <c r="J991" i="6"/>
  <c r="J992" i="6"/>
  <c r="J993" i="6"/>
  <c r="J994" i="6"/>
  <c r="J995" i="6"/>
  <c r="J538" i="6"/>
  <c r="J539" i="6"/>
  <c r="J1012" i="6"/>
  <c r="J1013" i="6"/>
  <c r="J1014" i="6"/>
  <c r="J1015" i="6"/>
  <c r="J1016" i="6"/>
  <c r="J1017" i="6"/>
  <c r="J1018" i="6"/>
  <c r="J962" i="6"/>
  <c r="J963" i="6"/>
  <c r="J964" i="6"/>
  <c r="J965" i="6"/>
  <c r="J966" i="6"/>
  <c r="J967" i="6"/>
  <c r="J968" i="6"/>
  <c r="J969" i="6"/>
  <c r="J970" i="6"/>
  <c r="J971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704" i="6"/>
  <c r="J705" i="6"/>
  <c r="J731" i="6"/>
  <c r="J750" i="6"/>
  <c r="J762" i="6"/>
  <c r="J782" i="6"/>
  <c r="J796" i="6"/>
  <c r="J808" i="6"/>
  <c r="J812" i="6"/>
  <c r="J826" i="6"/>
  <c r="J839" i="6"/>
  <c r="J104" i="6"/>
  <c r="J1042" i="6"/>
  <c r="J1043" i="6"/>
  <c r="J1044" i="6"/>
  <c r="J1045" i="6"/>
  <c r="J1046" i="6"/>
  <c r="J1047" i="6"/>
  <c r="J1048" i="6"/>
  <c r="J1049" i="6"/>
  <c r="J1050" i="6"/>
  <c r="J607" i="6"/>
  <c r="J621" i="6"/>
  <c r="J632" i="6"/>
  <c r="J651" i="6"/>
  <c r="J655" i="6"/>
  <c r="J677" i="6"/>
  <c r="J695" i="6"/>
  <c r="J699" i="6"/>
  <c r="J737" i="6"/>
  <c r="J751" i="6"/>
  <c r="J767" i="6"/>
  <c r="J783" i="6"/>
  <c r="J788" i="6"/>
  <c r="J800" i="6"/>
  <c r="J817" i="6"/>
  <c r="J586" i="6"/>
  <c r="J588" i="6"/>
  <c r="J592" i="6"/>
  <c r="J594" i="6"/>
  <c r="J596" i="6"/>
  <c r="J598" i="6"/>
  <c r="J603" i="6"/>
  <c r="J605" i="6"/>
  <c r="J606" i="6"/>
  <c r="J609" i="6"/>
  <c r="J613" i="6"/>
  <c r="J614" i="6"/>
  <c r="J617" i="6"/>
  <c r="J623" i="6"/>
  <c r="J624" i="6"/>
  <c r="J625" i="6"/>
  <c r="J626" i="6"/>
  <c r="J627" i="6"/>
  <c r="J628" i="6"/>
  <c r="J630" i="6"/>
  <c r="J636" i="6"/>
  <c r="J637" i="6"/>
  <c r="J638" i="6"/>
  <c r="J639" i="6"/>
  <c r="J640" i="6"/>
  <c r="J645" i="6"/>
  <c r="J649" i="6"/>
  <c r="J652" i="6"/>
  <c r="J656" i="6"/>
  <c r="J658" i="6"/>
  <c r="J659" i="6"/>
  <c r="J660" i="6"/>
  <c r="J661" i="6"/>
  <c r="J662" i="6"/>
  <c r="J664" i="6"/>
  <c r="J665" i="6"/>
  <c r="J666" i="6"/>
  <c r="J667" i="6"/>
  <c r="J668" i="6"/>
  <c r="J670" i="6"/>
  <c r="J671" i="6"/>
  <c r="J672" i="6"/>
  <c r="J673" i="6"/>
  <c r="J675" i="6"/>
  <c r="J676" i="6"/>
  <c r="J678" i="6"/>
  <c r="J679" i="6"/>
  <c r="J683" i="6"/>
  <c r="J684" i="6"/>
  <c r="J688" i="6"/>
  <c r="J691" i="6"/>
  <c r="J692" i="6"/>
  <c r="J693" i="6"/>
  <c r="J697" i="6"/>
  <c r="J702" i="6"/>
  <c r="J706" i="6"/>
  <c r="J712" i="6"/>
  <c r="J716" i="6"/>
  <c r="J721" i="6"/>
  <c r="J722" i="6"/>
  <c r="J725" i="6"/>
  <c r="J732" i="6"/>
  <c r="J739" i="6"/>
  <c r="J752" i="6"/>
  <c r="J758" i="6"/>
  <c r="J763" i="6"/>
  <c r="J773" i="6"/>
  <c r="J784" i="6"/>
  <c r="J801" i="6"/>
  <c r="J809" i="6"/>
  <c r="J813" i="6"/>
  <c r="J819" i="6"/>
  <c r="J820" i="6"/>
  <c r="J821" i="6"/>
  <c r="J827" i="6"/>
  <c r="J831" i="6"/>
  <c r="J837" i="6"/>
  <c r="J840" i="6"/>
  <c r="J847" i="6"/>
  <c r="J845" i="6"/>
  <c r="J848" i="6"/>
  <c r="J700" i="6"/>
  <c r="J709" i="6"/>
  <c r="J710" i="6"/>
  <c r="J711" i="6"/>
  <c r="J713" i="6"/>
  <c r="J714" i="6"/>
  <c r="J715" i="6"/>
  <c r="J717" i="6"/>
  <c r="J723" i="6"/>
  <c r="J726" i="6"/>
  <c r="J733" i="6"/>
  <c r="J735" i="6"/>
  <c r="J738" i="6"/>
  <c r="J740" i="6"/>
  <c r="J741" i="6"/>
  <c r="J742" i="6"/>
  <c r="J743" i="6"/>
  <c r="J745" i="6"/>
  <c r="J746" i="6"/>
  <c r="J747" i="6"/>
  <c r="J748" i="6"/>
  <c r="J753" i="6"/>
  <c r="J754" i="6"/>
  <c r="J756" i="6"/>
  <c r="J757" i="6"/>
  <c r="J760" i="6"/>
  <c r="J764" i="6"/>
  <c r="J766" i="6"/>
  <c r="J768" i="6"/>
  <c r="J771" i="6"/>
  <c r="J774" i="6"/>
  <c r="J776" i="6"/>
  <c r="J777" i="6"/>
  <c r="J779" i="6"/>
  <c r="J785" i="6"/>
  <c r="J786" i="6"/>
  <c r="J789" i="6"/>
  <c r="J791" i="6"/>
  <c r="J793" i="6"/>
  <c r="J798" i="6"/>
  <c r="J802" i="6"/>
  <c r="J805" i="6"/>
  <c r="J814" i="6"/>
  <c r="J816" i="6"/>
  <c r="J822" i="6"/>
  <c r="J828" i="6"/>
  <c r="J832" i="6"/>
  <c r="J834" i="6"/>
  <c r="J836" i="6"/>
  <c r="J838" i="6"/>
  <c r="J841" i="6"/>
  <c r="J846" i="6"/>
  <c r="J849" i="6"/>
  <c r="J587" i="6"/>
  <c r="J589" i="6"/>
  <c r="J590" i="6"/>
  <c r="J591" i="6"/>
  <c r="J593" i="6"/>
  <c r="J595" i="6"/>
  <c r="J597" i="6"/>
  <c r="J599" i="6"/>
  <c r="J600" i="6"/>
  <c r="J601" i="6"/>
  <c r="J602" i="6"/>
  <c r="J604" i="6"/>
  <c r="J608" i="6"/>
  <c r="J610" i="6"/>
  <c r="J611" i="6"/>
  <c r="J612" i="6"/>
  <c r="J615" i="6"/>
  <c r="J616" i="6"/>
  <c r="J618" i="6"/>
  <c r="J619" i="6"/>
  <c r="J620" i="6"/>
  <c r="J622" i="6"/>
  <c r="J629" i="6"/>
  <c r="J631" i="6"/>
  <c r="J633" i="6"/>
  <c r="J634" i="6"/>
  <c r="J635" i="6"/>
  <c r="J641" i="6"/>
  <c r="J642" i="6"/>
  <c r="J643" i="6"/>
  <c r="J644" i="6"/>
  <c r="J646" i="6"/>
  <c r="J647" i="6"/>
  <c r="J648" i="6"/>
  <c r="J650" i="6"/>
  <c r="J653" i="6"/>
  <c r="J654" i="6"/>
  <c r="J657" i="6"/>
  <c r="J663" i="6"/>
  <c r="J669" i="6"/>
  <c r="J674" i="6"/>
  <c r="J680" i="6"/>
  <c r="J681" i="6"/>
  <c r="J682" i="6"/>
  <c r="J685" i="6"/>
  <c r="J686" i="6"/>
  <c r="J687" i="6"/>
  <c r="J689" i="6"/>
  <c r="J690" i="6"/>
  <c r="J694" i="6"/>
  <c r="J696" i="6"/>
  <c r="J698" i="6"/>
  <c r="J701" i="6"/>
  <c r="J703" i="6"/>
  <c r="J707" i="6"/>
  <c r="J708" i="6"/>
  <c r="J718" i="6"/>
  <c r="J724" i="6"/>
  <c r="J727" i="6"/>
  <c r="J728" i="6"/>
  <c r="J729" i="6"/>
  <c r="J734" i="6"/>
  <c r="J736" i="6"/>
  <c r="J744" i="6"/>
  <c r="J755" i="6"/>
  <c r="J759" i="6"/>
  <c r="J765" i="6"/>
  <c r="J769" i="6"/>
  <c r="J770" i="6"/>
  <c r="J772" i="6"/>
  <c r="J775" i="6"/>
  <c r="J778" i="6"/>
  <c r="J780" i="6"/>
  <c r="J787" i="6"/>
  <c r="J790" i="6"/>
  <c r="J792" i="6"/>
  <c r="J794" i="6"/>
  <c r="J797" i="6"/>
  <c r="J799" i="6"/>
  <c r="J803" i="6"/>
  <c r="J806" i="6"/>
  <c r="J815" i="6"/>
  <c r="J818" i="6"/>
  <c r="J829" i="6"/>
  <c r="J833" i="6"/>
  <c r="J835" i="6"/>
  <c r="J842" i="6"/>
  <c r="F116" i="6" l="1"/>
  <c r="F117" i="6"/>
  <c r="J116" i="6"/>
  <c r="X11" i="15"/>
  <c r="I116" i="6"/>
  <c r="Y11" i="15"/>
  <c r="E116" i="6"/>
  <c r="F152" i="6"/>
  <c r="J152" i="6"/>
  <c r="E152" i="6"/>
  <c r="T5" i="16" s="1"/>
  <c r="C900" i="6"/>
  <c r="R19" i="16"/>
  <c r="O42" i="13"/>
  <c r="O4" i="13"/>
  <c r="O5" i="13"/>
  <c r="Y34" i="15" l="1"/>
  <c r="F928" i="6"/>
  <c r="F927" i="6"/>
  <c r="X34" i="15"/>
  <c r="F926" i="6"/>
  <c r="W34" i="15"/>
  <c r="F925" i="6"/>
  <c r="W11" i="16"/>
  <c r="W9" i="16" s="1"/>
  <c r="V34" i="15"/>
  <c r="U11" i="16"/>
  <c r="U9" i="16" s="1"/>
  <c r="U34" i="15"/>
  <c r="F924" i="6"/>
  <c r="I153" i="6"/>
  <c r="J153" i="6"/>
  <c r="E153" i="6"/>
  <c r="U5" i="16" s="1"/>
  <c r="F153" i="6"/>
  <c r="T34" i="15"/>
  <c r="F923" i="6"/>
  <c r="S34" i="15"/>
  <c r="F922" i="6"/>
  <c r="F907" i="6"/>
  <c r="F921" i="6"/>
  <c r="F906" i="6"/>
  <c r="F919" i="6"/>
  <c r="F917" i="6"/>
  <c r="F916" i="6"/>
  <c r="F911" i="6"/>
  <c r="F903" i="6"/>
  <c r="F904" i="6"/>
  <c r="F901" i="6"/>
  <c r="F905" i="6"/>
  <c r="F920" i="6"/>
  <c r="F908" i="6"/>
  <c r="F909" i="6"/>
  <c r="F910" i="6"/>
  <c r="F912" i="6"/>
  <c r="F915" i="6"/>
  <c r="F914" i="6"/>
  <c r="R34" i="15"/>
  <c r="F902" i="6"/>
  <c r="F913" i="6"/>
  <c r="F918" i="6"/>
  <c r="R11" i="15"/>
  <c r="F900" i="6"/>
  <c r="E900" i="6"/>
  <c r="I900" i="6"/>
  <c r="J900" i="6"/>
  <c r="V19" i="16" l="1"/>
  <c r="S15" i="16"/>
  <c r="J918" i="6"/>
  <c r="E918" i="6"/>
  <c r="I918" i="6"/>
  <c r="R15" i="16"/>
  <c r="Q15" i="16"/>
  <c r="P15" i="16"/>
  <c r="L15" i="16"/>
  <c r="C15" i="16"/>
  <c r="K15" i="16"/>
  <c r="F15" i="16"/>
  <c r="J15" i="16"/>
  <c r="I15" i="16"/>
  <c r="N15" i="16"/>
  <c r="B15" i="16"/>
  <c r="O15" i="16"/>
  <c r="E15" i="16"/>
  <c r="M15" i="16"/>
  <c r="G15" i="16"/>
  <c r="Q5" i="16"/>
  <c r="B1" i="12"/>
  <c r="S1867" i="1" s="1"/>
  <c r="H15" i="16"/>
  <c r="S1865" i="1" l="1"/>
  <c r="S1866" i="1"/>
  <c r="S1863" i="1"/>
  <c r="S1864" i="1"/>
  <c r="S1861" i="1"/>
  <c r="S1862" i="1"/>
  <c r="S1285" i="1"/>
  <c r="S1041" i="1"/>
  <c r="S1588" i="1"/>
  <c r="S274" i="1"/>
  <c r="S707" i="1"/>
  <c r="S705" i="1"/>
  <c r="S965" i="1"/>
  <c r="S704" i="1"/>
  <c r="S1132" i="1"/>
  <c r="S964" i="1"/>
  <c r="S1104" i="1"/>
  <c r="S1056" i="1"/>
  <c r="S1565" i="1"/>
  <c r="S1094" i="1"/>
  <c r="S1070" i="1"/>
  <c r="S1564" i="1"/>
  <c r="S230" i="1"/>
  <c r="S838" i="1"/>
  <c r="S860" i="1"/>
  <c r="S485" i="1"/>
  <c r="S1541" i="1"/>
  <c r="S812" i="1"/>
  <c r="S563" i="1"/>
  <c r="S143" i="1"/>
  <c r="S475" i="1"/>
  <c r="S562" i="1"/>
  <c r="S261" i="1"/>
  <c r="S1069" i="1"/>
  <c r="S481" i="1"/>
  <c r="S287" i="1"/>
  <c r="S286" i="1"/>
  <c r="S518" i="1"/>
  <c r="S144" i="1"/>
  <c r="S145" i="1"/>
  <c r="S703" i="1"/>
  <c r="S296" i="1"/>
  <c r="S72" i="1"/>
  <c r="S1474" i="1"/>
  <c r="S1466" i="1"/>
  <c r="S71" i="1"/>
  <c r="S639" i="1"/>
  <c r="S257" i="1"/>
  <c r="S1333" i="1"/>
  <c r="S1606" i="1"/>
  <c r="S687" i="1"/>
  <c r="S392" i="1"/>
  <c r="S701" i="1"/>
  <c r="S700" i="1"/>
  <c r="S710" i="1"/>
  <c r="S702" i="1"/>
  <c r="S810" i="1"/>
  <c r="S811" i="1"/>
  <c r="S1204" i="1"/>
  <c r="S1310" i="1"/>
  <c r="S1777" i="1"/>
  <c r="S1425" i="1"/>
  <c r="S1664" i="1"/>
  <c r="S1300" i="1"/>
  <c r="S532" i="1"/>
  <c r="S142" i="1"/>
  <c r="S1349" i="1"/>
  <c r="S1239" i="1"/>
  <c r="S647" i="1"/>
  <c r="S1696" i="1"/>
  <c r="S232" i="1"/>
  <c r="S1321" i="1"/>
  <c r="S809" i="1"/>
  <c r="S938" i="1"/>
  <c r="S1787" i="1"/>
  <c r="S1023" i="1"/>
  <c r="S930" i="1"/>
  <c r="S1844" i="1"/>
  <c r="S1283" i="1"/>
  <c r="S983" i="1"/>
  <c r="S1202" i="1"/>
  <c r="S1203" i="1"/>
  <c r="S640" i="1"/>
  <c r="S402" i="1"/>
  <c r="S1776" i="1"/>
  <c r="S193" i="1"/>
  <c r="S1201" i="1"/>
  <c r="S1040" i="1"/>
  <c r="S1055" i="1"/>
  <c r="S1039" i="1"/>
  <c r="S1362" i="1"/>
  <c r="S1663" i="1"/>
  <c r="S808" i="1"/>
  <c r="S715" i="1"/>
  <c r="S1131" i="1"/>
  <c r="S962" i="1"/>
  <c r="S963" i="1"/>
  <c r="S635" i="1"/>
  <c r="S997" i="1"/>
  <c r="S1605" i="1"/>
  <c r="S499" i="1"/>
  <c r="S3" i="1"/>
  <c r="S1424" i="1"/>
  <c r="S439" i="1"/>
  <c r="S265" i="1"/>
  <c r="S477" i="1"/>
  <c r="S480" i="1"/>
  <c r="S295" i="1"/>
  <c r="S30" i="1"/>
  <c r="S1200" i="1"/>
  <c r="S698" i="1"/>
  <c r="S1465" i="1"/>
  <c r="S1325" i="1"/>
  <c r="S1422" i="1"/>
  <c r="S1423" i="1"/>
  <c r="S1299" i="1"/>
  <c r="S1843" i="1"/>
  <c r="S1638" i="1"/>
  <c r="S929" i="1"/>
  <c r="S1348" i="1"/>
  <c r="S1361" i="1"/>
  <c r="S1662" i="1"/>
  <c r="S388" i="1"/>
  <c r="S517" i="1"/>
  <c r="S474" i="1"/>
  <c r="S216" i="1"/>
  <c r="S778" i="1"/>
  <c r="S516" i="1"/>
  <c r="S726" i="1"/>
  <c r="S725" i="1"/>
  <c r="S1497" i="1"/>
  <c r="S1199" i="1"/>
  <c r="S1363" i="1"/>
  <c r="S1312" i="1"/>
  <c r="S1421" i="1"/>
  <c r="S686" i="1"/>
  <c r="S98" i="1"/>
  <c r="S1464" i="1"/>
  <c r="S1669" i="1"/>
  <c r="S654" i="1"/>
  <c r="S1803" i="1"/>
  <c r="S1775" i="1"/>
  <c r="S1419" i="1"/>
  <c r="S1420" i="1"/>
  <c r="S387" i="1"/>
  <c r="S1661" i="1"/>
  <c r="S1370" i="1"/>
  <c r="S1360" i="1"/>
  <c r="S807" i="1"/>
  <c r="S706" i="1"/>
  <c r="S1496" i="1"/>
  <c r="S699" i="1"/>
  <c r="S634" i="1"/>
  <c r="S1111" i="1"/>
  <c r="S515" i="1"/>
  <c r="S1102" i="1"/>
  <c r="S756" i="1"/>
  <c r="S1495" i="1"/>
  <c r="S1773" i="1"/>
  <c r="S1774" i="1"/>
  <c r="S1587" i="1"/>
  <c r="S1022" i="1"/>
  <c r="S184" i="1"/>
  <c r="S498" i="1"/>
  <c r="S1359" i="1"/>
  <c r="S1376" i="1"/>
  <c r="S982" i="1"/>
  <c r="S1347" i="1"/>
  <c r="S777" i="1"/>
  <c r="S1282" i="1"/>
  <c r="S1842" i="1"/>
  <c r="S1388" i="1"/>
  <c r="S996" i="1"/>
  <c r="S1037" i="1"/>
  <c r="S1038" i="1"/>
  <c r="S1130" i="1"/>
  <c r="S1054" i="1"/>
  <c r="S961" i="1"/>
  <c r="S1068" i="1"/>
  <c r="S697" i="1"/>
  <c r="S960" i="1"/>
  <c r="S28" i="1"/>
  <c r="S29" i="1"/>
  <c r="S20" i="1"/>
  <c r="S33" i="1"/>
  <c r="S34" i="1"/>
  <c r="S81" i="1"/>
  <c r="S32" i="1"/>
  <c r="S561" i="1"/>
  <c r="S70" i="1"/>
  <c r="S1331" i="1"/>
  <c r="S560" i="1"/>
  <c r="S1195" i="1"/>
  <c r="S1233" i="1"/>
  <c r="S776" i="1"/>
  <c r="S385" i="1"/>
  <c r="S1473" i="1"/>
  <c r="S837" i="1"/>
  <c r="S724" i="1"/>
  <c r="S1198" i="1"/>
  <c r="S755" i="1"/>
  <c r="S1586" i="1"/>
  <c r="S1668" i="1"/>
  <c r="S1604" i="1"/>
  <c r="S975" i="1"/>
  <c r="S714" i="1"/>
  <c r="S80" i="1"/>
  <c r="S970" i="1"/>
  <c r="S1319" i="1"/>
  <c r="S646" i="1"/>
  <c r="S1067" i="1"/>
  <c r="S709" i="1"/>
  <c r="S1346" i="1"/>
  <c r="S1129" i="1"/>
  <c r="S1463" i="1"/>
  <c r="S1238" i="1"/>
  <c r="S1694" i="1"/>
  <c r="S1667" i="1"/>
  <c r="S708" i="1"/>
  <c r="S1786" i="1"/>
  <c r="S985" i="1"/>
  <c r="S1197" i="1"/>
  <c r="S1785" i="1"/>
  <c r="S1494" i="1"/>
  <c r="S420" i="1"/>
  <c r="S401" i="1"/>
  <c r="S651" i="1"/>
  <c r="S696" i="1"/>
  <c r="S1281" i="1"/>
  <c r="S1081" i="1"/>
  <c r="S1345" i="1"/>
  <c r="S1418" i="1"/>
  <c r="S1772" i="1"/>
  <c r="S1237" i="1"/>
  <c r="S827" i="1"/>
  <c r="S829" i="1"/>
  <c r="S831" i="1"/>
  <c r="S637" i="1"/>
  <c r="S565" i="1"/>
  <c r="S636" i="1"/>
  <c r="S1462" i="1"/>
  <c r="S1540" i="1"/>
  <c r="S1110" i="1"/>
  <c r="S685" i="1"/>
  <c r="S1695" i="1"/>
  <c r="S1637" i="1"/>
  <c r="S226" i="1"/>
  <c r="S684" i="1"/>
  <c r="S1101" i="1"/>
  <c r="S224" i="1"/>
  <c r="S998" i="1"/>
  <c r="S1052" i="1"/>
  <c r="S1005" i="1"/>
  <c r="S1006" i="1"/>
  <c r="S775" i="1"/>
  <c r="S928" i="1"/>
  <c r="S713" i="1"/>
  <c r="S723" i="1"/>
  <c r="S1298" i="1"/>
  <c r="S1585" i="1"/>
  <c r="S1841" i="1"/>
  <c r="S1493" i="1"/>
  <c r="S1416" i="1"/>
  <c r="S1415" i="1"/>
  <c r="S1461" i="1"/>
  <c r="S1417" i="1"/>
  <c r="S382" i="1"/>
  <c r="S1492" i="1"/>
  <c r="S1128" i="1"/>
  <c r="S841" i="1"/>
  <c r="S381" i="1"/>
  <c r="S981" i="1"/>
  <c r="S959" i="1"/>
  <c r="S754" i="1"/>
  <c r="S958" i="1"/>
  <c r="S994" i="1"/>
  <c r="S995" i="1"/>
  <c r="S1021" i="1"/>
  <c r="S683" i="1"/>
  <c r="S1035" i="1"/>
  <c r="S1036" i="1"/>
  <c r="S1539" i="1"/>
  <c r="S1343" i="1"/>
  <c r="S1344" i="1"/>
  <c r="S37" i="1"/>
  <c r="S1341" i="1"/>
  <c r="S69" i="1"/>
  <c r="S138" i="1"/>
  <c r="S836" i="1"/>
  <c r="S1196" i="1"/>
  <c r="S835" i="1"/>
  <c r="S497" i="1"/>
  <c r="S169" i="1"/>
  <c r="S400" i="1"/>
  <c r="S1414" i="1"/>
  <c r="S1538" i="1"/>
  <c r="S1194" i="1"/>
  <c r="S753" i="1"/>
  <c r="S264" i="1"/>
  <c r="S559" i="1"/>
  <c r="S1127" i="1"/>
  <c r="S419" i="1"/>
  <c r="S380" i="1"/>
  <c r="S1236" i="1"/>
  <c r="S1342" i="1"/>
  <c r="S1413" i="1"/>
  <c r="S68" i="1"/>
  <c r="S1840" i="1"/>
  <c r="S1582" i="1"/>
  <c r="S293" i="1"/>
  <c r="S496" i="1"/>
  <c r="S971" i="1"/>
  <c r="S294" i="1"/>
  <c r="S633" i="1"/>
  <c r="S137" i="1"/>
  <c r="S399" i="1"/>
  <c r="S632" i="1"/>
  <c r="S1280" i="1"/>
  <c r="S444" i="1"/>
  <c r="S1592" i="1"/>
  <c r="S1109" i="1"/>
  <c r="S1100" i="1"/>
  <c r="S278" i="1"/>
  <c r="E154" i="6"/>
  <c r="V5" i="16" s="1"/>
  <c r="I154" i="6"/>
  <c r="J154" i="6"/>
  <c r="F154" i="6"/>
  <c r="V12" i="15"/>
  <c r="V11" i="16"/>
  <c r="V9" i="16" s="1"/>
  <c r="S418" i="1"/>
  <c r="S1771" i="1"/>
  <c r="S27" i="1"/>
  <c r="S65" i="1"/>
  <c r="S682" i="1"/>
  <c r="S681" i="1"/>
  <c r="S1491" i="1"/>
  <c r="S774" i="1"/>
  <c r="S96" i="1"/>
  <c r="S1324" i="1"/>
  <c r="S165" i="1"/>
  <c r="S164" i="1"/>
  <c r="S166" i="1"/>
  <c r="S167" i="1"/>
  <c r="S398" i="1"/>
  <c r="S163" i="1"/>
  <c r="S980" i="1"/>
  <c r="S67" i="1"/>
  <c r="S1193" i="1"/>
  <c r="S1126" i="1"/>
  <c r="S722" i="1"/>
  <c r="S1020" i="1"/>
  <c r="S1603" i="1"/>
  <c r="S1537" i="1"/>
  <c r="S1311" i="1"/>
  <c r="S1536" i="1"/>
  <c r="S1636" i="1"/>
  <c r="S1051" i="1"/>
  <c r="S1693" i="1"/>
  <c r="S956" i="1"/>
  <c r="S1075" i="1"/>
  <c r="S378" i="1"/>
  <c r="S957" i="1"/>
  <c r="S1135" i="1"/>
  <c r="S1134" i="1"/>
  <c r="S1133" i="1"/>
  <c r="S1066" i="1"/>
  <c r="S993" i="1"/>
  <c r="S215" i="1"/>
  <c r="S1033" i="1"/>
  <c r="S1034" i="1"/>
  <c r="S514" i="1"/>
  <c r="S417" i="1"/>
  <c r="S472" i="1"/>
  <c r="S225" i="1"/>
  <c r="S806" i="1"/>
  <c r="S834" i="1"/>
  <c r="S1535" i="1"/>
  <c r="S1192" i="1"/>
  <c r="S277" i="1"/>
  <c r="S1460" i="1"/>
  <c r="S1575" i="1"/>
  <c r="S1692" i="1"/>
  <c r="S1770" i="1"/>
  <c r="S558" i="1"/>
  <c r="S1659" i="1"/>
  <c r="S1660" i="1"/>
  <c r="S1191" i="1"/>
  <c r="S168" i="1"/>
  <c r="S757" i="1"/>
  <c r="S1369" i="1"/>
  <c r="S1472" i="1"/>
  <c r="S1335" i="1"/>
  <c r="S719" i="1"/>
  <c r="S712" i="1"/>
  <c r="S718" i="1"/>
  <c r="S717" i="1"/>
  <c r="S1802" i="1"/>
  <c r="S716" i="1"/>
  <c r="S832" i="1"/>
  <c r="S833" i="1"/>
  <c r="S1412" i="1"/>
  <c r="S1190" i="1"/>
  <c r="S752" i="1"/>
  <c r="S254" i="1"/>
  <c r="S1214" i="1"/>
  <c r="S612" i="1"/>
  <c r="S136" i="1"/>
  <c r="S1459" i="1"/>
  <c r="S613" i="1"/>
  <c r="S1571" i="1"/>
  <c r="S1570" i="1"/>
  <c r="S1572" i="1"/>
  <c r="S1009" i="1"/>
  <c r="S1375" i="1"/>
  <c r="S1490" i="1"/>
  <c r="S1410" i="1"/>
  <c r="S1411" i="1"/>
  <c r="S1839" i="1"/>
  <c r="S1458" i="1"/>
  <c r="S1125" i="1"/>
  <c r="S1019" i="1"/>
  <c r="S1665" i="1"/>
  <c r="S19" i="1"/>
  <c r="S66" i="1"/>
  <c r="S782" i="1"/>
  <c r="S285" i="1"/>
  <c r="S830" i="1"/>
  <c r="S1691" i="1"/>
  <c r="S1666" i="1"/>
  <c r="S1108" i="1"/>
  <c r="S649" i="1"/>
  <c r="S679" i="1"/>
  <c r="S1330" i="1"/>
  <c r="S1489" i="1"/>
  <c r="S214" i="1"/>
  <c r="S611" i="1"/>
  <c r="S721" i="1"/>
  <c r="S720" i="1"/>
  <c r="S805" i="1"/>
  <c r="S1297" i="1"/>
  <c r="S1409" i="1"/>
  <c r="S631" i="1"/>
  <c r="S1358" i="1"/>
  <c r="S1364" i="1"/>
  <c r="S1217" i="1"/>
  <c r="S375" i="1"/>
  <c r="S1334" i="1"/>
  <c r="S1579" i="1"/>
  <c r="S495" i="1"/>
  <c r="S530" i="1"/>
  <c r="S161" i="1"/>
  <c r="S1189" i="1"/>
  <c r="S751" i="1"/>
  <c r="S1188" i="1"/>
  <c r="S979" i="1"/>
  <c r="S266" i="1"/>
  <c r="S1488" i="1"/>
  <c r="S284" i="1"/>
  <c r="S954" i="1"/>
  <c r="S955" i="1"/>
  <c r="S1018" i="1"/>
  <c r="S1408" i="1"/>
  <c r="S160" i="1"/>
  <c r="S1031" i="1"/>
  <c r="S1032" i="1"/>
  <c r="S1065" i="1"/>
  <c r="S1099" i="1"/>
  <c r="S1050" i="1"/>
  <c r="S415" i="1"/>
  <c r="S416" i="1"/>
  <c r="S781" i="1"/>
  <c r="S64" i="1"/>
  <c r="S95" i="1"/>
  <c r="S1574" i="1"/>
  <c r="S1569" i="1"/>
  <c r="S1213" i="1"/>
  <c r="S1309" i="1"/>
  <c r="S804" i="1"/>
  <c r="S680" i="1"/>
  <c r="S992" i="1"/>
  <c r="S158" i="1"/>
  <c r="S26" i="1"/>
  <c r="S1124" i="1"/>
  <c r="S557" i="1"/>
  <c r="S1279" i="1"/>
  <c r="S1471" i="1"/>
  <c r="S1387" i="1"/>
  <c r="S1838" i="1"/>
  <c r="S1373" i="1"/>
  <c r="S312" i="1"/>
  <c r="S414" i="1"/>
  <c r="S494" i="1"/>
  <c r="S802" i="1"/>
  <c r="S783" i="1"/>
  <c r="S803" i="1"/>
  <c r="S134" i="1"/>
  <c r="S1457" i="1"/>
  <c r="S1485" i="1"/>
  <c r="S1486" i="1"/>
  <c r="S1573" i="1"/>
  <c r="S1487" i="1"/>
  <c r="S630" i="1"/>
  <c r="S1340" i="1"/>
  <c r="S1187" i="1"/>
  <c r="S1323" i="1"/>
  <c r="S828" i="1"/>
  <c r="S63" i="1"/>
  <c r="S1801" i="1"/>
  <c r="S1407" i="1"/>
  <c r="S1769" i="1"/>
  <c r="S750" i="1"/>
  <c r="S1602" i="1"/>
  <c r="S253" i="1"/>
  <c r="S227" i="1"/>
  <c r="S281" i="1"/>
  <c r="S229" i="1"/>
  <c r="S228" i="1"/>
  <c r="S1012" i="1"/>
  <c r="S1116" i="1"/>
  <c r="S1357" i="1"/>
  <c r="S969" i="1"/>
  <c r="S948" i="1"/>
  <c r="S1758" i="1"/>
  <c r="S1760" i="1"/>
  <c r="S1296" i="1"/>
  <c r="S1835" i="1"/>
  <c r="S748" i="1"/>
  <c r="S1836" i="1"/>
  <c r="S1764" i="1"/>
  <c r="S1371" i="1"/>
  <c r="S24" i="1"/>
  <c r="S1015" i="1"/>
  <c r="S1757" i="1"/>
  <c r="S1295" i="1"/>
  <c r="S825" i="1"/>
  <c r="S1763" i="1"/>
  <c r="S1308" i="1"/>
  <c r="S1185" i="1"/>
  <c r="S984" i="1"/>
  <c r="S1766" i="1"/>
  <c r="S1635" i="1"/>
  <c r="S1119" i="1"/>
  <c r="S1768" i="1"/>
  <c r="S1601" i="1"/>
  <c r="S1241" i="1"/>
  <c r="S213" i="1"/>
  <c r="S627" i="1"/>
  <c r="S212" i="1"/>
  <c r="S1456" i="1"/>
  <c r="S629" i="1"/>
  <c r="S311" i="1"/>
  <c r="S1762" i="1"/>
  <c r="S283" i="1"/>
  <c r="S881" i="1"/>
  <c r="S1767" i="1"/>
  <c r="S1837" i="1"/>
  <c r="S937" i="1"/>
  <c r="S1759" i="1"/>
  <c r="S1534" i="1"/>
  <c r="S556" i="1"/>
  <c r="S628" i="1"/>
  <c r="S1765" i="1"/>
  <c r="S749" i="1"/>
  <c r="S292" i="1"/>
  <c r="S882" i="1"/>
  <c r="S1186" i="1"/>
  <c r="S25" i="1"/>
  <c r="S62" i="1"/>
  <c r="S78" i="1"/>
  <c r="S826" i="1"/>
  <c r="S18" i="1"/>
  <c r="S1003" i="1"/>
  <c r="S1123" i="1"/>
  <c r="S1017" i="1"/>
  <c r="S1761" i="1"/>
  <c r="S473" i="1"/>
  <c r="S1318" i="1"/>
  <c r="S259" i="1"/>
  <c r="S1004" i="1"/>
  <c r="S1122" i="1"/>
  <c r="S5" i="16"/>
  <c r="S10" i="16"/>
  <c r="R5" i="16"/>
  <c r="R10" i="16"/>
  <c r="Q10" i="16"/>
  <c r="P10" i="16"/>
  <c r="P5" i="16"/>
  <c r="D15" i="16"/>
  <c r="E10" i="16"/>
  <c r="D10" i="16"/>
  <c r="G5" i="16"/>
  <c r="F10" i="16"/>
  <c r="E5" i="16"/>
  <c r="I10" i="16"/>
  <c r="K5" i="16"/>
  <c r="L5" i="16"/>
  <c r="K10" i="16"/>
  <c r="J10" i="16"/>
  <c r="I5" i="16"/>
  <c r="H10" i="16"/>
  <c r="G10" i="16"/>
  <c r="F5" i="16"/>
  <c r="B10" i="16"/>
  <c r="C5" i="16"/>
  <c r="B5" i="16"/>
  <c r="O10" i="16"/>
  <c r="M10" i="16"/>
  <c r="L10" i="16"/>
  <c r="N10" i="16"/>
  <c r="N5" i="16"/>
  <c r="Y16" i="16" l="1"/>
  <c r="Y17" i="16" s="1"/>
  <c r="X16" i="16"/>
  <c r="X17" i="16" s="1"/>
  <c r="W16" i="16"/>
  <c r="W17" i="16" s="1"/>
  <c r="I155" i="6"/>
  <c r="J155" i="6"/>
  <c r="E155" i="6"/>
  <c r="W5" i="16" s="1"/>
  <c r="F155" i="6"/>
  <c r="D156" i="6" s="1"/>
  <c r="X19" i="16" s="1"/>
  <c r="V16" i="16"/>
  <c r="V17" i="16" s="1"/>
  <c r="U16" i="16"/>
  <c r="U17" i="16" s="1"/>
  <c r="T16" i="16"/>
  <c r="T17" i="16" s="1"/>
  <c r="S16" i="16"/>
  <c r="S17" i="16" s="1"/>
  <c r="R16" i="16"/>
  <c r="R17" i="16" s="1"/>
  <c r="Q16" i="16"/>
  <c r="Q17" i="16" s="1"/>
  <c r="P16" i="16"/>
  <c r="P17" i="16" s="1"/>
  <c r="F16" i="16"/>
  <c r="F17" i="16" s="1"/>
  <c r="L9" i="16"/>
  <c r="H9" i="16"/>
  <c r="D9" i="16"/>
  <c r="K9" i="16"/>
  <c r="G9" i="16"/>
  <c r="J9" i="16"/>
  <c r="F9" i="16"/>
  <c r="C9" i="16"/>
  <c r="I9" i="16"/>
  <c r="E9" i="16"/>
  <c r="B9" i="16"/>
  <c r="D16" i="16"/>
  <c r="D17" i="16" s="1"/>
  <c r="H5" i="16"/>
  <c r="B16" i="16"/>
  <c r="B17" i="16" s="1"/>
  <c r="G16" i="16"/>
  <c r="G17" i="16" s="1"/>
  <c r="H16" i="16"/>
  <c r="H17" i="16" s="1"/>
  <c r="J16" i="16"/>
  <c r="J17" i="16" s="1"/>
  <c r="K16" i="16"/>
  <c r="K17" i="16" s="1"/>
  <c r="E16" i="16"/>
  <c r="E17" i="16" s="1"/>
  <c r="O16" i="16"/>
  <c r="O17" i="16" s="1"/>
  <c r="I16" i="16"/>
  <c r="I17" i="16" s="1"/>
  <c r="M16" i="16"/>
  <c r="M17" i="16" s="1"/>
  <c r="L16" i="16"/>
  <c r="L17" i="16" s="1"/>
  <c r="N16" i="16"/>
  <c r="N17" i="16" s="1"/>
  <c r="C156" i="6" l="1"/>
  <c r="S7" i="16"/>
  <c r="S6" i="16"/>
  <c r="R7" i="16"/>
  <c r="R6" i="16"/>
  <c r="Q7" i="16"/>
  <c r="Q6" i="16"/>
  <c r="P7" i="16"/>
  <c r="P6" i="16"/>
  <c r="L7" i="16"/>
  <c r="K7" i="16"/>
  <c r="B6" i="16"/>
  <c r="E7" i="16"/>
  <c r="M7" i="16"/>
  <c r="K6" i="16"/>
  <c r="O7" i="16"/>
  <c r="N6" i="16"/>
  <c r="I7" i="16"/>
  <c r="D7" i="16"/>
  <c r="F6" i="16"/>
  <c r="D6" i="16"/>
  <c r="J6" i="16"/>
  <c r="G7" i="16"/>
  <c r="G6" i="16"/>
  <c r="L6" i="16"/>
  <c r="C10" i="16"/>
  <c r="N7" i="16"/>
  <c r="J7" i="16"/>
  <c r="F7" i="16"/>
  <c r="M6" i="16"/>
  <c r="I6" i="16"/>
  <c r="E6" i="16"/>
  <c r="D5" i="16"/>
  <c r="B7" i="16"/>
  <c r="O6" i="16"/>
  <c r="C16" i="16"/>
  <c r="X11" i="16" l="1"/>
  <c r="X9" i="16" s="1"/>
  <c r="I156" i="6"/>
  <c r="X12" i="15"/>
  <c r="F156" i="6"/>
  <c r="E156" i="6"/>
  <c r="X5" i="16" s="1"/>
  <c r="J156" i="6"/>
  <c r="S8" i="16"/>
  <c r="R8" i="16"/>
  <c r="Q8" i="16"/>
  <c r="K8" i="16"/>
  <c r="P8" i="16"/>
  <c r="M8" i="16"/>
  <c r="B8" i="16"/>
  <c r="I8" i="16"/>
  <c r="L8" i="16"/>
  <c r="J8" i="16"/>
  <c r="O8" i="16"/>
  <c r="E8" i="16"/>
  <c r="F8" i="16"/>
  <c r="D8" i="16"/>
  <c r="N8" i="16"/>
  <c r="G8" i="16"/>
  <c r="C17" i="16"/>
  <c r="E2" i="6"/>
  <c r="E4" i="6"/>
  <c r="E3" i="6"/>
  <c r="Y19" i="16" l="1"/>
  <c r="J5" i="16"/>
  <c r="I157" i="6" l="1"/>
  <c r="E157" i="6"/>
  <c r="Y5" i="16" s="1"/>
  <c r="F157" i="6"/>
  <c r="Y12" i="15"/>
  <c r="Y11" i="16"/>
  <c r="Y9" i="16" s="1"/>
  <c r="J157" i="6"/>
  <c r="I3" i="6"/>
  <c r="J3" i="6" l="1"/>
  <c r="J4" i="6" l="1"/>
  <c r="I4" i="6"/>
  <c r="J2" i="6" l="1"/>
  <c r="H7" i="16" l="1"/>
  <c r="H6" i="16"/>
  <c r="H8" i="16" l="1"/>
  <c r="I2" i="6" l="1"/>
  <c r="C7" i="16" l="1"/>
  <c r="C6" i="16"/>
  <c r="C8" i="16" l="1"/>
  <c r="E49" i="6"/>
  <c r="J49" i="6"/>
  <c r="I49" i="6"/>
  <c r="O5" i="16" l="1"/>
  <c r="O45" i="13"/>
  <c r="S11" i="16"/>
  <c r="S9" i="16" s="1"/>
  <c r="R11" i="16"/>
  <c r="R9" i="16" s="1"/>
  <c r="P11" i="16"/>
  <c r="P9" i="16" s="1"/>
  <c r="M11" i="16"/>
  <c r="M9" i="16" s="1"/>
  <c r="N11" i="16"/>
  <c r="N9" i="16" s="1"/>
  <c r="Q11" i="16"/>
  <c r="Q9" i="16" s="1"/>
  <c r="O11" i="16"/>
  <c r="O9" i="16" s="1"/>
  <c r="T11" i="16"/>
  <c r="T9" i="16" s="1"/>
  <c r="F570" i="6"/>
  <c r="F571" i="6"/>
  <c r="F572" i="6"/>
  <c r="F574" i="6"/>
  <c r="F573" i="6"/>
  <c r="O33" i="15"/>
  <c r="P33" i="15"/>
  <c r="M33" i="15"/>
  <c r="N33" i="15"/>
  <c r="Q33" i="15"/>
  <c r="F576" i="6"/>
  <c r="F575" i="6"/>
  <c r="F577" i="6"/>
  <c r="R33" i="15"/>
  <c r="F579" i="6"/>
  <c r="F578" i="6"/>
  <c r="S33" i="15"/>
  <c r="T33" i="15"/>
  <c r="F568" i="6"/>
  <c r="F580" i="6"/>
  <c r="I568" i="6" l="1"/>
  <c r="J568" i="6"/>
  <c r="E568" i="6"/>
  <c r="M5" i="16" s="1"/>
</calcChain>
</file>

<file path=xl/sharedStrings.xml><?xml version="1.0" encoding="utf-8"?>
<sst xmlns="http://schemas.openxmlformats.org/spreadsheetml/2006/main" count="4823" uniqueCount="1377">
  <si>
    <t>Fecha de hoy</t>
  </si>
  <si>
    <t>FECHA DE FACTURACIÓN</t>
  </si>
  <si>
    <t># DE FACTURA</t>
  </si>
  <si>
    <t>PROVEEDOR</t>
  </si>
  <si>
    <t>PLAZO Días</t>
  </si>
  <si>
    <t>NOTAS</t>
  </si>
  <si>
    <t>FECHA DE PAGO</t>
  </si>
  <si>
    <t>Estado de la factura</t>
  </si>
  <si>
    <t>Crédito / Contado</t>
  </si>
  <si>
    <t>STATUR</t>
  </si>
  <si>
    <t>TRONEX</t>
  </si>
  <si>
    <t>WIDEX</t>
  </si>
  <si>
    <t>DW</t>
  </si>
  <si>
    <t>YERMIN</t>
  </si>
  <si>
    <t>UNITEC</t>
  </si>
  <si>
    <t>SP PULSOS</t>
  </si>
  <si>
    <t>RAGO</t>
  </si>
  <si>
    <t>MPS</t>
  </si>
  <si>
    <t>HYR</t>
  </si>
  <si>
    <t>NICOMAR</t>
  </si>
  <si>
    <t>AMG</t>
  </si>
  <si>
    <t>APC</t>
  </si>
  <si>
    <t>NACIONAL DE PILAS</t>
  </si>
  <si>
    <t>FLASH INTERNATIONAL</t>
  </si>
  <si>
    <t>TNR</t>
  </si>
  <si>
    <t>TC</t>
  </si>
  <si>
    <t>DUNCAN</t>
  </si>
  <si>
    <t>OPELSA</t>
  </si>
  <si>
    <t>PYG</t>
  </si>
  <si>
    <t>MONTBLANC</t>
  </si>
  <si>
    <t>TENERGY</t>
  </si>
  <si>
    <t>IVA</t>
  </si>
  <si>
    <t>SISTECREDITO</t>
  </si>
  <si>
    <t>KENEX</t>
  </si>
  <si>
    <t>MAKING BUSINESS</t>
  </si>
  <si>
    <t>KINO COMPANY</t>
  </si>
  <si>
    <t>IMPORTACIONES UNIFER</t>
  </si>
  <si>
    <t>NEWLINE</t>
  </si>
  <si>
    <t>ABONOS</t>
  </si>
  <si>
    <t>$ INTERESES</t>
  </si>
  <si>
    <t>ELECTRONICAS I+D</t>
  </si>
  <si>
    <t>POWERSONIC</t>
  </si>
  <si>
    <t>SOLUENERGIA</t>
  </si>
  <si>
    <t>VALOR EN DOLARES</t>
  </si>
  <si>
    <t>Pagos del mes</t>
  </si>
  <si>
    <t>BTN</t>
  </si>
  <si>
    <t>TUS PILAS.CO</t>
  </si>
  <si>
    <t>AJUSTE</t>
  </si>
  <si>
    <t>OPELSA POWERSONIC</t>
  </si>
  <si>
    <t>OPELSA KENEX</t>
  </si>
  <si>
    <t>TERMOPAK</t>
  </si>
  <si>
    <t>ENERGIZER BRANDS</t>
  </si>
  <si>
    <t>ISMART ELECTRONICS</t>
  </si>
  <si>
    <t>EN EFECTIVO</t>
  </si>
  <si>
    <t>ÉXITO</t>
  </si>
  <si>
    <t>COSOSTENIBLE</t>
  </si>
  <si>
    <t>ESTUCHES DE CELULAR</t>
  </si>
  <si>
    <t>BIGTRONICA</t>
  </si>
  <si>
    <t>FALABELLA</t>
  </si>
  <si>
    <t xml:space="preserve">IMPUESTOS TNR </t>
  </si>
  <si>
    <t>OPELSA TNR</t>
  </si>
  <si>
    <t>IMPUESTOS KENEX</t>
  </si>
  <si>
    <t>AEROSAN KENEX</t>
  </si>
  <si>
    <t>FLASH  - TNR</t>
  </si>
  <si>
    <t>FABRIRROLLOS</t>
  </si>
  <si>
    <t>FLASH - TNR</t>
  </si>
  <si>
    <t>2032 - 273362</t>
  </si>
  <si>
    <t>ME463214</t>
  </si>
  <si>
    <t>ME462803</t>
  </si>
  <si>
    <t>FE12683</t>
  </si>
  <si>
    <t>ME463482</t>
  </si>
  <si>
    <t>ME463724</t>
  </si>
  <si>
    <t>ME464003</t>
  </si>
  <si>
    <t>ME464161</t>
  </si>
  <si>
    <t>95 - 229607</t>
  </si>
  <si>
    <t>FLASH - TNR - MONTBLANC</t>
  </si>
  <si>
    <t>9242 - 273979 - 126391 126393</t>
  </si>
  <si>
    <t>OPELSA - TNR - MONTBLANC</t>
  </si>
  <si>
    <t>FE13663</t>
  </si>
  <si>
    <t>ME464695</t>
  </si>
  <si>
    <t>ME464698</t>
  </si>
  <si>
    <t>NOTA CREDITO</t>
  </si>
  <si>
    <t>273979 - 126391 126393</t>
  </si>
  <si>
    <t>IMPUESTOS - TNR - MONTBLANC</t>
  </si>
  <si>
    <t>ROLDAN Y COMPAÑÍA - TNR - MONTBLANC</t>
  </si>
  <si>
    <t>MS2</t>
  </si>
  <si>
    <t>FE14445</t>
  </si>
  <si>
    <t>2546 - 273979 - 126391 126393</t>
  </si>
  <si>
    <t>21 GRADOS</t>
  </si>
  <si>
    <t>9283 - 274512</t>
  </si>
  <si>
    <t>INNOVATECH</t>
  </si>
  <si>
    <t>94 - 232165</t>
  </si>
  <si>
    <t>ME466433</t>
  </si>
  <si>
    <t>ME466307</t>
  </si>
  <si>
    <t>ME466236</t>
  </si>
  <si>
    <t>ME466656</t>
  </si>
  <si>
    <t>MS150</t>
  </si>
  <si>
    <t>FETU300</t>
  </si>
  <si>
    <t>FE14954</t>
  </si>
  <si>
    <t>FE14925</t>
  </si>
  <si>
    <t>ME466861</t>
  </si>
  <si>
    <t>REMISION</t>
  </si>
  <si>
    <t>FE15330</t>
  </si>
  <si>
    <t>ME467431</t>
  </si>
  <si>
    <t>MS212</t>
  </si>
  <si>
    <t>2071 - 274512</t>
  </si>
  <si>
    <t>2070 - 274667</t>
  </si>
  <si>
    <t>9317 - 274667</t>
  </si>
  <si>
    <t>2072 - 274667</t>
  </si>
  <si>
    <t>IMPUESTOS  - FLASH - TNR</t>
  </si>
  <si>
    <t>nc3017</t>
  </si>
  <si>
    <t>abono</t>
  </si>
  <si>
    <t>FE16293</t>
  </si>
  <si>
    <t>FLASH - MONTBLANC</t>
  </si>
  <si>
    <t>IMPUESTOS - TENERGY</t>
  </si>
  <si>
    <t>IMP - 983818</t>
  </si>
  <si>
    <t>IMP - 983819</t>
  </si>
  <si>
    <t>OPELSA - TENERGY</t>
  </si>
  <si>
    <t xml:space="preserve">9347 -  983818 983819 </t>
  </si>
  <si>
    <t>FLASH - TENERGY</t>
  </si>
  <si>
    <t>ME468642</t>
  </si>
  <si>
    <t>ME468686</t>
  </si>
  <si>
    <t>2087 - 126678 126679</t>
  </si>
  <si>
    <t>IMPUESTOS FLASH - MONTBLANC</t>
  </si>
  <si>
    <t>IMPUESTOS FLASH  - AMAZON</t>
  </si>
  <si>
    <t>9373  - 126678 126679</t>
  </si>
  <si>
    <t>pe1581</t>
  </si>
  <si>
    <t>ms410</t>
  </si>
  <si>
    <t>MDIS5.040.328</t>
  </si>
  <si>
    <t>ME469864</t>
  </si>
  <si>
    <t>FE17619</t>
  </si>
  <si>
    <t xml:space="preserve">2637 - tenergy 983818 983819 </t>
  </si>
  <si>
    <t>FVX2476</t>
  </si>
  <si>
    <t>FVX2625</t>
  </si>
  <si>
    <t>ME470348</t>
  </si>
  <si>
    <t>ME470257</t>
  </si>
  <si>
    <t>MDIS5.040.342</t>
  </si>
  <si>
    <t>MS655</t>
  </si>
  <si>
    <t>FVX2749</t>
  </si>
  <si>
    <t>9431 - 276166</t>
  </si>
  <si>
    <t>2101 - 276166</t>
  </si>
  <si>
    <t>ME471105</t>
  </si>
  <si>
    <t>MS715</t>
  </si>
  <si>
    <t>vmm11</t>
  </si>
  <si>
    <t>URIEL GALLEGO</t>
  </si>
  <si>
    <t>FE18636</t>
  </si>
  <si>
    <t>muñecos</t>
  </si>
  <si>
    <t>nc 170106588</t>
  </si>
  <si>
    <t>9448 - 276833</t>
  </si>
  <si>
    <t>2106 - 276833</t>
  </si>
  <si>
    <t>ME472233</t>
  </si>
  <si>
    <t>FE19594</t>
  </si>
  <si>
    <t>molinos</t>
  </si>
  <si>
    <t>FVX3227</t>
  </si>
  <si>
    <t>FVX3228</t>
  </si>
  <si>
    <t>ME473038</t>
  </si>
  <si>
    <t>ME472751</t>
  </si>
  <si>
    <t>MS962</t>
  </si>
  <si>
    <t>MDIS5.040.404</t>
  </si>
  <si>
    <t>ME473201</t>
  </si>
  <si>
    <t>FE16724</t>
  </si>
  <si>
    <t>FV-1681909</t>
  </si>
  <si>
    <t>ME473691</t>
  </si>
  <si>
    <t>SI032764</t>
  </si>
  <si>
    <t>SI033271</t>
  </si>
  <si>
    <t>SI033158</t>
  </si>
  <si>
    <t>EMT</t>
  </si>
  <si>
    <t>ME473989</t>
  </si>
  <si>
    <t>11085 - 52880</t>
  </si>
  <si>
    <t>MDIS5.040.440</t>
  </si>
  <si>
    <t>SG175</t>
  </si>
  <si>
    <t>LOIX</t>
  </si>
  <si>
    <t>SG174</t>
  </si>
  <si>
    <t>SG173</t>
  </si>
  <si>
    <t>FV-1686147</t>
  </si>
  <si>
    <t>MS1282</t>
  </si>
  <si>
    <t>ME474865</t>
  </si>
  <si>
    <t>ME474674</t>
  </si>
  <si>
    <t>FE21664</t>
  </si>
  <si>
    <t>SI032764 SI033158 SI033271</t>
  </si>
  <si>
    <t>FETU822</t>
  </si>
  <si>
    <t>ME475523</t>
  </si>
  <si>
    <t>9573 -278259</t>
  </si>
  <si>
    <t>9576 -278259</t>
  </si>
  <si>
    <t>nc 000058</t>
  </si>
  <si>
    <t>DISUIZA</t>
  </si>
  <si>
    <t>MS1385</t>
  </si>
  <si>
    <t>MDIS5.040.467</t>
  </si>
  <si>
    <t>MS1397</t>
  </si>
  <si>
    <t>FE22859</t>
  </si>
  <si>
    <t>FVX3989</t>
  </si>
  <si>
    <t>fe359</t>
  </si>
  <si>
    <t>nc 2NV-00001299</t>
  </si>
  <si>
    <t>CASIO TIENDAS OFICIALES</t>
  </si>
  <si>
    <t>TP334</t>
  </si>
  <si>
    <t>FEF4021</t>
  </si>
  <si>
    <t>18 -  SI032764 SI033158 SI033271</t>
  </si>
  <si>
    <t>46 - 52880</t>
  </si>
  <si>
    <t>ME477383</t>
  </si>
  <si>
    <t>ME477413</t>
  </si>
  <si>
    <t>MDIS5.040.544</t>
  </si>
  <si>
    <t>ME473250</t>
  </si>
  <si>
    <t>MS1525</t>
  </si>
  <si>
    <t xml:space="preserve">9641 - 127620 </t>
  </si>
  <si>
    <t xml:space="preserve">2145-127620 </t>
  </si>
  <si>
    <t>11126 - 53263</t>
  </si>
  <si>
    <t>MS1546</t>
  </si>
  <si>
    <t>FEN1872</t>
  </si>
  <si>
    <t>ME478870</t>
  </si>
  <si>
    <t>ME478484</t>
  </si>
  <si>
    <t>ME478863</t>
  </si>
  <si>
    <t>SG365</t>
  </si>
  <si>
    <t>SG368</t>
  </si>
  <si>
    <t>SG364</t>
  </si>
  <si>
    <t>FVX4580</t>
  </si>
  <si>
    <t>FVX4581</t>
  </si>
  <si>
    <t>24791 MUÑECOS</t>
  </si>
  <si>
    <t>25 - 53263</t>
  </si>
  <si>
    <t>$ CAPITAL</t>
  </si>
  <si>
    <t>SALDO</t>
  </si>
  <si>
    <t>DETALLE</t>
  </si>
  <si>
    <t>PAGO</t>
  </si>
  <si>
    <t>MS1646</t>
  </si>
  <si>
    <t>FE24969</t>
  </si>
  <si>
    <t xml:space="preserve">2160-127620 </t>
  </si>
  <si>
    <t>ME479977</t>
  </si>
  <si>
    <t>GABRIEL JAIME BOTERO ARANGO</t>
  </si>
  <si>
    <t>SUBTOTAL</t>
  </si>
  <si>
    <t>IVA 19%</t>
  </si>
  <si>
    <t>Total</t>
  </si>
  <si>
    <t>Descuento sobre subtotal %</t>
  </si>
  <si>
    <t>Descuento sobre subtotal $</t>
  </si>
  <si>
    <t>Rete Fuente $</t>
  </si>
  <si>
    <t>Rete Fuente %</t>
  </si>
  <si>
    <t>FLASH IMPUESTOS - MONTBLANC</t>
  </si>
  <si>
    <t>FLASH IMPUESTOS - TNR</t>
  </si>
  <si>
    <t>IMPUESTOS - POWERSONIC</t>
  </si>
  <si>
    <t>IMPUESTOS FLASH - TNR</t>
  </si>
  <si>
    <t>LAURA HOYOS</t>
  </si>
  <si>
    <t>LOGIMEX KENEX</t>
  </si>
  <si>
    <t>MEGA</t>
  </si>
  <si>
    <t>NEW TIME BRIDGE</t>
  </si>
  <si>
    <t>OPELSA - KENEX</t>
  </si>
  <si>
    <t>OPELSA - POWERSONIC</t>
  </si>
  <si>
    <t>SOMOS TECNOLOGIA</t>
  </si>
  <si>
    <t>DIAS DE PLAZO</t>
  </si>
  <si>
    <t>RETENCIÓN FUENTE</t>
  </si>
  <si>
    <t>CORREO</t>
  </si>
  <si>
    <t>Abajo ACCESORIOS PARA CELULAR</t>
  </si>
  <si>
    <t>Abajo ADRIANA ARISTIZABAL</t>
  </si>
  <si>
    <t>Abajo ALEX DAVAL</t>
  </si>
  <si>
    <t>Abajo AURELIO PILAS</t>
  </si>
  <si>
    <t>Abajo AVELINA</t>
  </si>
  <si>
    <t>Abajo BILLEN</t>
  </si>
  <si>
    <t>Abajo CAJONES DE RELOJ</t>
  </si>
  <si>
    <t>Abajo CAJONES GIRLESA</t>
  </si>
  <si>
    <t>Abajo CARETAS</t>
  </si>
  <si>
    <t>Abajo CONTADO</t>
  </si>
  <si>
    <t>Abajo COSOSTENIBLE</t>
  </si>
  <si>
    <t>Abajo EFREN</t>
  </si>
  <si>
    <t>Abajo EL PALACIO NAVIDEÑO</t>
  </si>
  <si>
    <t>Abajo ELITE</t>
  </si>
  <si>
    <t>Abajo EN EFECTIVO</t>
  </si>
  <si>
    <t>Abajo ESTANTERIA BELLO</t>
  </si>
  <si>
    <t>Abajo ESTUCHES DE RELOJ</t>
  </si>
  <si>
    <t>Abajo GLORIA BELLO</t>
  </si>
  <si>
    <t>Abajo GUSTAVO PULSOS</t>
  </si>
  <si>
    <t>Abajo HERMANO DE KAIROS</t>
  </si>
  <si>
    <t>Abajo HUMBERTO ALVAREZ</t>
  </si>
  <si>
    <t>Abajo JORGE DIAMANTE</t>
  </si>
  <si>
    <t>Abajo KAIROS</t>
  </si>
  <si>
    <t>Abajo LA CENTRAL</t>
  </si>
  <si>
    <t>Abajo LAS GORDAS</t>
  </si>
  <si>
    <t>Abajo MAKING BUSINESS</t>
  </si>
  <si>
    <t>Abajo MARTA PUNTAZO</t>
  </si>
  <si>
    <t>Abajo MAYORCA</t>
  </si>
  <si>
    <t>Abajo MEGARED</t>
  </si>
  <si>
    <t>Abajo MERCADOLIBRE</t>
  </si>
  <si>
    <t>Abajo MERCEDES PILAS</t>
  </si>
  <si>
    <t>Abajo MOLINOS</t>
  </si>
  <si>
    <t>Abajo NALPI</t>
  </si>
  <si>
    <t>Abajo OFICINA</t>
  </si>
  <si>
    <t>Abajo OLGA CARDONA</t>
  </si>
  <si>
    <t>Abajo PATRICIA SUCERQUIA</t>
  </si>
  <si>
    <t>Abajo PILAS</t>
  </si>
  <si>
    <t>Abajo PUERTA DEL NORTE</t>
  </si>
  <si>
    <t>Abajo PULSOS ESPECIALES</t>
  </si>
  <si>
    <t>Abajo PULSOS G SHOCK</t>
  </si>
  <si>
    <t>Abajo PYG</t>
  </si>
  <si>
    <t>Abajo RACKLO</t>
  </si>
  <si>
    <t>Abajo REPUESTOS CALI</t>
  </si>
  <si>
    <t>Abajo SAN DIEGO</t>
  </si>
  <si>
    <t>Abajo SANDIEGO</t>
  </si>
  <si>
    <t>Abajo SOUND TECHNOLOGY</t>
  </si>
  <si>
    <t>Abajo SP PULSOS</t>
  </si>
  <si>
    <t>Abajo STARTIME</t>
  </si>
  <si>
    <t>Abajo SWIZZER REPUESTOS</t>
  </si>
  <si>
    <t>Abajo TARJETAS DE REGALO</t>
  </si>
  <si>
    <t>Abajo TECNO MANHATAN</t>
  </si>
  <si>
    <t>Abajo UNIVERSAL TIME</t>
  </si>
  <si>
    <t>Abajo URIEL GALLEGO</t>
  </si>
  <si>
    <t>Abajo URIEL GOMEZ</t>
  </si>
  <si>
    <t>Abajo YERMIN</t>
  </si>
  <si>
    <t>FLASH - Abajo</t>
  </si>
  <si>
    <t>descuento antes de IVA</t>
  </si>
  <si>
    <t>RETENCIONES</t>
  </si>
  <si>
    <t>BASE DE RETENCIÓN</t>
  </si>
  <si>
    <t>CUENTA BANCARIA</t>
  </si>
  <si>
    <t>Abajo billen</t>
  </si>
  <si>
    <t>Abajo cajones girlesa</t>
  </si>
  <si>
    <t>Abajo contado</t>
  </si>
  <si>
    <t>Abajo el palacio navideño</t>
  </si>
  <si>
    <t>Abajo elite</t>
  </si>
  <si>
    <t>Abajo estanteria bello</t>
  </si>
  <si>
    <t>Abajo gloria bello</t>
  </si>
  <si>
    <t>Abajo jorge diamante</t>
  </si>
  <si>
    <t>Abajo las gordas</t>
  </si>
  <si>
    <t>Abajo patricia sucerquia</t>
  </si>
  <si>
    <t>Abajo pilas</t>
  </si>
  <si>
    <t>Abajo puerTA DEL NORTE</t>
  </si>
  <si>
    <t>Abajo sound technology</t>
  </si>
  <si>
    <t>Abajo tecno manhatan</t>
  </si>
  <si>
    <t>flash - Abajo</t>
  </si>
  <si>
    <t>flash - tnr</t>
  </si>
  <si>
    <t>FLASH impuestos - MONTBLANC</t>
  </si>
  <si>
    <t>flash impuestos - tnr</t>
  </si>
  <si>
    <t>impuestos - powersonic</t>
  </si>
  <si>
    <t>impuestos flash - tnr</t>
  </si>
  <si>
    <t>laura hoyos</t>
  </si>
  <si>
    <t>mega</t>
  </si>
  <si>
    <t>new time BRIDGE</t>
  </si>
  <si>
    <t>opelsa - kenex</t>
  </si>
  <si>
    <t>opelsa - powersonic</t>
  </si>
  <si>
    <t>somos tecnologia</t>
  </si>
  <si>
    <t>PAGADO TC6015</t>
  </si>
  <si>
    <t>SI</t>
  </si>
  <si>
    <t>PAGADO EN OFICINA</t>
  </si>
  <si>
    <t>ESCRITORIO DUCON</t>
  </si>
  <si>
    <t>POR COMPRA DE UN HORNO</t>
  </si>
  <si>
    <t>abonado marzo 9 de 2020</t>
  </si>
  <si>
    <t>POR IVA NO PAGADO FACT 14492</t>
  </si>
  <si>
    <t>pagada por don jorge</t>
  </si>
  <si>
    <t>PAGADO EN MAYORCA</t>
  </si>
  <si>
    <t>PAGADO EN LA CENTRAL</t>
  </si>
  <si>
    <t>FLASH 9072 - TC6015</t>
  </si>
  <si>
    <t>c</t>
  </si>
  <si>
    <t>SEÑALIZACIÓN BIOSEGURIDAD</t>
  </si>
  <si>
    <t>FLASH - TC6015</t>
  </si>
  <si>
    <t>pagado 7003</t>
  </si>
  <si>
    <t>papelería</t>
  </si>
  <si>
    <t>sellos</t>
  </si>
  <si>
    <t>PAGO TC8338</t>
  </si>
  <si>
    <t>PAGADA TCDANIEL MICROONDAS</t>
  </si>
  <si>
    <t>TNR 272368 - PAGO TC7003</t>
  </si>
  <si>
    <t>PAGO TC7003</t>
  </si>
  <si>
    <t>PAGADA DAVIVIENDA</t>
  </si>
  <si>
    <t>pagado tc 8338</t>
  </si>
  <si>
    <t>TNR 269640 269641 269642</t>
  </si>
  <si>
    <t>AMAZON EBAY</t>
  </si>
  <si>
    <t>TNR 270948</t>
  </si>
  <si>
    <t>TNR 270948- PAGO EN DAVIVIENDA</t>
  </si>
  <si>
    <t>davivienda</t>
  </si>
  <si>
    <t>FLASH 9165</t>
  </si>
  <si>
    <t>BRIGHTSIDE</t>
  </si>
  <si>
    <t>por pago mayor de la ultima factura</t>
  </si>
  <si>
    <t>retefuente no descontado de la 15010</t>
  </si>
  <si>
    <t>POWESONIC INVOICE 889</t>
  </si>
  <si>
    <t>POWERSONIC INVOICE 889</t>
  </si>
  <si>
    <t>por flete no pago de la fact 889</t>
  </si>
  <si>
    <t>POR DEVOLUCIÓN DE UN SMARTWATCH</t>
  </si>
  <si>
    <t>RENOVACIÓN ANUAL</t>
  </si>
  <si>
    <t>COMPRA DE 2 USUAROS EXTRA</t>
  </si>
  <si>
    <t>POR MATERIALES</t>
  </si>
  <si>
    <t>TC 8338 - FLASH 9072</t>
  </si>
  <si>
    <t>PAGADA TC8338</t>
  </si>
  <si>
    <t>por valor pagado extra en la fact 4025</t>
  </si>
  <si>
    <t>resta por pagar</t>
  </si>
  <si>
    <t>POR RETENCIÓN NO EFECTUTADA DE LA FAC 4733</t>
  </si>
  <si>
    <t>valor extra pagado por las fact 5278 y 5261</t>
  </si>
  <si>
    <t>MDIS5.040.592</t>
  </si>
  <si>
    <t>FE25516</t>
  </si>
  <si>
    <t>FE25515</t>
  </si>
  <si>
    <t>Abajo INV ARCILA</t>
  </si>
  <si>
    <t>INV ARCILA</t>
  </si>
  <si>
    <t>Abajo pulsos</t>
  </si>
  <si>
    <t>Abajo CASILLERO</t>
  </si>
  <si>
    <t>flash - CASILLERO</t>
  </si>
  <si>
    <t>IMPUESTOS FLASH  - CASILLERO</t>
  </si>
  <si>
    <t/>
  </si>
  <si>
    <t>FECHA DE pago</t>
  </si>
  <si>
    <t>AHORROS BANCOLOMBIA N° 27200000468</t>
  </si>
  <si>
    <t>PSE</t>
  </si>
  <si>
    <t>ABAJO SANDIEGO</t>
  </si>
  <si>
    <t>COMPRAS DE CONTADO</t>
  </si>
  <si>
    <t>FLASH - casillero</t>
  </si>
  <si>
    <t>nc</t>
  </si>
  <si>
    <t>COMPRAS A CRÉDITO</t>
  </si>
  <si>
    <t>COMPRAS</t>
  </si>
  <si>
    <t>DEUDAS PROVEEDORES</t>
  </si>
  <si>
    <t>DEUDAS A BANCOS Y NATURALES</t>
  </si>
  <si>
    <t>SALDO BANCOS</t>
  </si>
  <si>
    <t>SALDO BANCOS Y EFECTIVO</t>
  </si>
  <si>
    <t>CARTERA</t>
  </si>
  <si>
    <t>DESCUENTO</t>
  </si>
  <si>
    <t>PROVEEDORES VENCIDOS</t>
  </si>
  <si>
    <t>PROVEEDORES NO VENCIDAS</t>
  </si>
  <si>
    <t>mes</t>
  </si>
  <si>
    <t>Sinoming china</t>
  </si>
  <si>
    <t>jack@sinomingproducts.com;info@servipilas.com</t>
  </si>
  <si>
    <t>KBH metering</t>
  </si>
  <si>
    <t>fiducuenta</t>
  </si>
  <si>
    <t>fidurenta</t>
  </si>
  <si>
    <t>payu</t>
  </si>
  <si>
    <t>efectivos</t>
  </si>
  <si>
    <r>
      <t xml:space="preserve">PAGOS DEL MES
</t>
    </r>
    <r>
      <rPr>
        <sz val="9"/>
        <rFont val="Calibri"/>
        <family val="2"/>
      </rPr>
      <t>(PROV + CREDT)</t>
    </r>
  </si>
  <si>
    <t>davivienda corriente</t>
  </si>
  <si>
    <t>itau corriente</t>
  </si>
  <si>
    <t>abajo innovatech</t>
  </si>
  <si>
    <t>Abajo INNOVATECH</t>
  </si>
  <si>
    <t>CORRIENTE BANCOLOMBIA No. 227-000104-25</t>
  </si>
  <si>
    <t>FE26183</t>
  </si>
  <si>
    <t>kbh metering</t>
  </si>
  <si>
    <t>bancolombia ah 91215970731</t>
  </si>
  <si>
    <t>2169-279400</t>
  </si>
  <si>
    <t>contabilidad@amgimportadora.com;mcastellanos@amgimportadora.com;girlesa.ruiz@servipilas.com;joriescobar64@gmail.com</t>
  </si>
  <si>
    <t>contabilidad@comercialweb.com.co;info@servipilas.com</t>
  </si>
  <si>
    <r>
      <t xml:space="preserve">DEUDAS
</t>
    </r>
    <r>
      <rPr>
        <sz val="9"/>
        <rFont val="Calibri"/>
        <family val="2"/>
      </rPr>
      <t>PROVEEDORES + BANCOS Y NATURALES</t>
    </r>
  </si>
  <si>
    <t>bancolombia ah 237-068 558-31</t>
  </si>
  <si>
    <t>pn</t>
  </si>
  <si>
    <t>SALDO PROVEEDOR</t>
  </si>
  <si>
    <t>Electronicas canare</t>
  </si>
  <si>
    <t>BANCOLOMBIA AHORROS 10352314124</t>
  </si>
  <si>
    <t>pse</t>
  </si>
  <si>
    <t>POR ERROR SE PAGO DOBLE LA 2160</t>
  </si>
  <si>
    <t>nc 493</t>
  </si>
  <si>
    <t>nc 1001691</t>
  </si>
  <si>
    <t>ME481958</t>
  </si>
  <si>
    <t>ME481967</t>
  </si>
  <si>
    <t>MS1819</t>
  </si>
  <si>
    <t>MDIS5.040.654</t>
  </si>
  <si>
    <t>PV</t>
  </si>
  <si>
    <t>pago doble me475523</t>
  </si>
  <si>
    <t xml:space="preserve">Abajo CATALINA SANCHEZ </t>
  </si>
  <si>
    <t xml:space="preserve">Abajo DANIEL ESCOBAR </t>
  </si>
  <si>
    <t xml:space="preserve">Abajo DON LUCIANO </t>
  </si>
  <si>
    <t xml:space="preserve">Abajo FAMILIA SANCHEZ </t>
  </si>
  <si>
    <t xml:space="preserve">Abajo FERNANDO JIMENEZ </t>
  </si>
  <si>
    <t xml:space="preserve">Abajo FONDO </t>
  </si>
  <si>
    <t xml:space="preserve">Abajo GILBERTO </t>
  </si>
  <si>
    <t xml:space="preserve">Abajo HERNAN MARIN </t>
  </si>
  <si>
    <t xml:space="preserve">Abajo MARIANA </t>
  </si>
  <si>
    <t>BANCO AGRARIO 6030</t>
  </si>
  <si>
    <t>BANCOLOMBIA 2478</t>
  </si>
  <si>
    <t>BANCOLOMBIA 3103</t>
  </si>
  <si>
    <t xml:space="preserve">BANCOLOMBIA USD$ </t>
  </si>
  <si>
    <t>BANCOLOMBIA USD$ 2555152482</t>
  </si>
  <si>
    <t xml:space="preserve">CAJA SOCIAL </t>
  </si>
  <si>
    <t>DAVIVIENDA *************2613</t>
  </si>
  <si>
    <t>DAVIVIENDA *************5400</t>
  </si>
  <si>
    <t>DAVIVIENDA *************6881</t>
  </si>
  <si>
    <t xml:space="preserve">ITAU </t>
  </si>
  <si>
    <t xml:space="preserve">TC6015 </t>
  </si>
  <si>
    <t xml:space="preserve">TC7003 </t>
  </si>
  <si>
    <t xml:space="preserve">TC8338 </t>
  </si>
  <si>
    <t>Bancolombia cc 01058821343
Convenio 38847</t>
  </si>
  <si>
    <t xml:space="preserve">INVENTARIOS </t>
  </si>
  <si>
    <t>DINERO EN CAJA</t>
  </si>
  <si>
    <t>GASTOS</t>
  </si>
  <si>
    <t>VENTAS</t>
  </si>
  <si>
    <t>Coste financiero</t>
  </si>
  <si>
    <t>bcs corriente + corresponsal</t>
  </si>
  <si>
    <t>BANCOLOMBIA USD$ 2555073332</t>
  </si>
  <si>
    <t>BANCOLOMBIA USD$ 2555098242</t>
  </si>
  <si>
    <t>BANCOLOMBIA USD$ 2555115992</t>
  </si>
  <si>
    <t>BANCOLOMBIA USD$ 2555143692</t>
  </si>
  <si>
    <t xml:space="preserve">Abajo ALBA  </t>
  </si>
  <si>
    <t xml:space="preserve">Abajo ANIBAL  </t>
  </si>
  <si>
    <t>PRESTAMO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</si>
  <si>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</si>
  <si>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</si>
  <si>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</si>
  <si>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</si>
  <si>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</si>
  <si>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</si>
  <si>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</si>
  <si>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</si>
  <si>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</si>
  <si>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</si>
  <si>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nov-20</t>
  </si>
  <si>
    <t>dic-20</t>
  </si>
  <si>
    <t>ene-21</t>
  </si>
  <si>
    <t>feb-21</t>
  </si>
  <si>
    <t>nc 170108571</t>
  </si>
  <si>
    <t>liq. Jul 2020</t>
  </si>
  <si>
    <t>Abajo 11 TECHNOLOGIES</t>
  </si>
  <si>
    <t>2179 - 128121</t>
  </si>
  <si>
    <t>9785 - 280191</t>
  </si>
  <si>
    <t>Abajo WILFER GOMEZ - YERMN</t>
  </si>
  <si>
    <t>SAYER - YERMIN</t>
  </si>
  <si>
    <t>WILFER GOMEZ - YERMIN</t>
  </si>
  <si>
    <t>Abajo JORGE ARREDONDO - JARLY SAS</t>
  </si>
  <si>
    <t>JARLY SAS - JORGE ARREDONDO</t>
  </si>
  <si>
    <t>por descuento extra no aplicado de facturas pagadas en dic 2020</t>
  </si>
  <si>
    <t xml:space="preserve">2182 - 280191 </t>
  </si>
  <si>
    <t>FE26806</t>
  </si>
  <si>
    <t>nc 2NBV293</t>
  </si>
  <si>
    <t>FE29</t>
  </si>
  <si>
    <t>abajo pilas</t>
  </si>
  <si>
    <t>ABAJO ALEKO</t>
  </si>
  <si>
    <t>Abajo ALEKO</t>
  </si>
  <si>
    <t>FESJ159080</t>
  </si>
  <si>
    <t>nc 2021020062</t>
  </si>
  <si>
    <t>AJUSTE FIN DE MES</t>
  </si>
  <si>
    <t>KENEX 52053 feb 2020</t>
  </si>
  <si>
    <t>KENEX POWERSONIC oct 2020</t>
  </si>
  <si>
    <t>KENEX 50773 jul 2019</t>
  </si>
  <si>
    <t xml:space="preserve">Número Documento Aduanero		
902019000152887	8.03				
902019000152888	4,991.97								</t>
  </si>
  <si>
    <t>por pago extra en Fac#216</t>
  </si>
  <si>
    <t>MDIS5.040.687</t>
  </si>
  <si>
    <t>FESJ160063</t>
  </si>
  <si>
    <t>ME483894</t>
  </si>
  <si>
    <t>FE28416</t>
  </si>
  <si>
    <t>ME483753</t>
  </si>
  <si>
    <t>fe25362</t>
  </si>
  <si>
    <t>mar-21</t>
  </si>
  <si>
    <t>MS1997</t>
  </si>
  <si>
    <t>intereses no pagados en 2020</t>
  </si>
  <si>
    <t>ajuste de cuentas con fernando</t>
  </si>
  <si>
    <t>FEN5119</t>
  </si>
  <si>
    <t>compra de jaime, ya la pago</t>
  </si>
  <si>
    <t>compra jaime, paga con comisopnes del 31 de marzo</t>
  </si>
  <si>
    <t>nc 119714</t>
  </si>
  <si>
    <t xml:space="preserve">Bancolombia AH 102-125 283-78 </t>
  </si>
  <si>
    <t>nc 20440</t>
  </si>
  <si>
    <t>FE1033</t>
  </si>
  <si>
    <t>ME484730</t>
  </si>
  <si>
    <t>ME485080</t>
  </si>
  <si>
    <t>MS2062</t>
  </si>
  <si>
    <t>FE28984</t>
  </si>
  <si>
    <t>FVX6131</t>
  </si>
  <si>
    <t>MDIS5.040.739</t>
  </si>
  <si>
    <t>2198 - 280663</t>
  </si>
  <si>
    <t>Abajo DUBAN Q&amp;Q</t>
  </si>
  <si>
    <t>juan.suarez@cosostenible.com;girlesa.ruiz@servipilas.com;joriescobar64@gmail.com</t>
  </si>
  <si>
    <t>Abajo ELIZABETH LOAIZA</t>
  </si>
  <si>
    <t>CARLOSARCILAMENSAJERIA@gmail.com;girlesa.ruiz@servipilas.com;joriescobar64@gmail.com</t>
  </si>
  <si>
    <t>yermingg@hotmail.com;girlesa.ruiz@servipilas.com;joriescobar64@gmail.com</t>
  </si>
  <si>
    <t>comercial4@apcmayorista.com;girlesa.ruiz@servipilas.com;joriescobar64@gmail.com</t>
  </si>
  <si>
    <t>inspecciones@bomberossabaneta.com;girlesa.ruiz@servipilas.com;joriescobar64@gmail.com</t>
  </si>
  <si>
    <t>javiergomez_72@hotmail.com ;girlesa.ruiz@servipilas.com;joriescobar64@gmail.com</t>
  </si>
  <si>
    <t>Fernando.Carmona@energizer.com;girlesa.ruiz@servipilas.com;joriescobar64@gmail.com</t>
  </si>
  <si>
    <t>vromero@flashinternational.us;girlesa.ruiz@servipilas.com;joriescobar64@gmail.com</t>
  </si>
  <si>
    <t>bienesymercadeo@hotmail.com;girlesa.ruiz@servipilas.com;joriescobar64@gmail.com</t>
  </si>
  <si>
    <t>angela.navas@hyrdistribuciones.com;girlesa.ruiz@servipilas.com;joriescobar64@gmail.com</t>
  </si>
  <si>
    <t>cartera@jeway.com.co;girlesa.ruiz@servipilas.com;joriescobar64@gmail.com</t>
  </si>
  <si>
    <t>BRIGHTSIDELED2019@gmail.com;girlesa.ruiz@servipilas.com;joriescobar64@gmail.com</t>
  </si>
  <si>
    <t>tesoreria@lacentral.com.co;girlesa.ruiz@servipilas.com;joriescobar64@gmail.com</t>
  </si>
  <si>
    <t>oswaldo.alvarez@logimexsas.com;girlesa.ruiz@servipilas.com;joriescobar64@gmail.com</t>
  </si>
  <si>
    <t>criszapata1234@gmail.com;girlesa.ruiz@servipilas.com;joriescobar64@gmail.com</t>
  </si>
  <si>
    <t>tesoreria@makingbusiness.com.co;girlesa.ruiz@servipilas.com;joriescobar64@gmail.com</t>
  </si>
  <si>
    <t>carlan@mayorcainversiones.com;girlesa.ruiz@servipilas.com;joriescobar64@gmail.com</t>
  </si>
  <si>
    <t>ventasmegamundo@yahoo.es;girlesa.ruiz@servipilas.com;joriescobar64@gmail.com</t>
  </si>
  <si>
    <t>MVALENCIA@mps.com.co;girlesa.ruiz@servipilas.com;joriescobar64@gmail.com</t>
  </si>
  <si>
    <t>financiera@nalpicentral.com;girlesa.ruiz@servipilas.com;joriescobar64@gmail.com</t>
  </si>
  <si>
    <t>cartera@ienewline.com;andres.arroyave@ienewline.com;girlesa.ruiz@servipilas.com;joriescobar64@gmail.com</t>
  </si>
  <si>
    <t>zully.florez@powest.com;girlesa.ruiz@servipilas.com;joriescobar64@gmail.com</t>
  </si>
  <si>
    <t>Info.patex@gmail.com;girlesa.ruiz@servipilas.com;joriescobar64@gmail.com</t>
  </si>
  <si>
    <t>ragomedellin@gmail.com;girlesa.ruiz@servipilas.com;joriescobar64@gmail.com</t>
  </si>
  <si>
    <t>administracion@sapian.com.co;girlesa.ruiz@servipilas.com;joriescobar64@gmail.com</t>
  </si>
  <si>
    <t>senalizacionyavisos@gmail.com;girlesa.ruiz@servipilas.com;joriescobar64@gmail.com</t>
  </si>
  <si>
    <t>pagos@sistecredito.com;girlesa.ruiz@servipilas.com;joriescobar64@gmail.com</t>
  </si>
  <si>
    <t>soluenergiacentro@une.net.co;girlesa.ruiz@servipilas.com;joriescobar64@gmail.com</t>
  </si>
  <si>
    <t>cartera1@grupostatur.com;girlesa.ruiz@servipilas.com;joriescobar64@gmail.com</t>
  </si>
  <si>
    <t>libardopineda@tronex.com;girlesa.ruiz@servipilas.com;joriescobar64@gmail.com</t>
  </si>
  <si>
    <t>Tuspilas.co@gmail.com;girlesa.ruiz@servipilas.com;joriescobar64@gmail.com</t>
  </si>
  <si>
    <t>cxc11@unitecusa.com.co;jefecartera@unitecusa.com.co;girlesa.ruiz@servipilas.com;joriescobar64@gmail.com</t>
  </si>
  <si>
    <t>CBastidas@vyp.com.co;girlesa.ruiz@servipilas.com;joriescobar64@gmail.com</t>
  </si>
  <si>
    <t>apresupuesto@widexcolombia.com;girlesa.ruiz@servipilas.com;joriescobar64@gmail.com</t>
  </si>
  <si>
    <t>Número Documento Aduanero		
902020000042082 $2.00
902020000040695 $2.00
902020000040694 $54.00
902020000040697 $283.50</t>
  </si>
  <si>
    <t>CANCELA TODO EL CRÉDITO</t>
  </si>
  <si>
    <t>BANCO DE BOGOTÁ cc 071-189-245</t>
  </si>
  <si>
    <t>supervisorventasbridge@gmail.com;newtimewatches1@gmail.com;girlesa.ruiz@servipilas.com;joriescobar64@gmail.com</t>
  </si>
  <si>
    <t>1/28/2021 FE26183 $11,854,200 $2,252,298 0.0% $0 $14,106,498
3/9/2021 abono -$2,521,008 -$478,992 0.0% $0 -$3,000,000
3/16/2021 abono -$1,680,672 -$319,328 0.0% $0 -$2,000,000
3/29/2021 abono -$7,652,519 -$1,453,979 0.0% $0 -$9,106,498</t>
  </si>
  <si>
    <t>girlesa.ruiz@servipilas.com;joriescobar64@gmail.com</t>
  </si>
  <si>
    <t>ALEKO</t>
  </si>
  <si>
    <t>Abajo MODULOS</t>
  </si>
  <si>
    <t>nc 1343</t>
  </si>
  <si>
    <t>256 - SO032015</t>
  </si>
  <si>
    <t>SO032015</t>
  </si>
  <si>
    <t>BANCOLOMBIA USD$ 2555170162</t>
  </si>
  <si>
    <t xml:space="preserve"> 5.278.113,67</t>
  </si>
  <si>
    <t>2.397.084,22</t>
  </si>
  <si>
    <t>2.743.726,97</t>
  </si>
  <si>
    <t>SIMH</t>
  </si>
  <si>
    <t>electronicascanaresas@gmail.com;girlesa.ruiz@servipilas.com;joriescobar64@gmail.com</t>
  </si>
  <si>
    <t>facturasimh@simh.com.co;girlesa.ruiz@servipilas.com;joriescobar64@gmail.com</t>
  </si>
  <si>
    <t>por pago extra de la administración de marzo</t>
  </si>
  <si>
    <t>1/4/221</t>
  </si>
  <si>
    <t>SP1764</t>
  </si>
  <si>
    <t>por retención no aplicada en marzo</t>
  </si>
  <si>
    <t>ventas@ismartsas.com;girlesa.ruiz@servipilas.com;joriescobar64@gmail.com</t>
  </si>
  <si>
    <t>Pygimportadora@gmail.com;girlesa.ruiz@servipilas.com;joriescobar64@gmail.com</t>
  </si>
  <si>
    <t>FESJ160887</t>
  </si>
  <si>
    <t>MS2124</t>
  </si>
  <si>
    <t>davivienda cc 456369996909</t>
  </si>
  <si>
    <t xml:space="preserve">11234 - 53922 </t>
  </si>
  <si>
    <t>Abajo Tapabocas Juan Diego</t>
  </si>
  <si>
    <t>ME487318</t>
  </si>
  <si>
    <t>ME486747</t>
  </si>
  <si>
    <t>SG531</t>
  </si>
  <si>
    <t>FEN10709</t>
  </si>
  <si>
    <t>Abajo Gloria Estrada</t>
  </si>
  <si>
    <t>ZIONE - Andres Dario Ramirez Aristizabal</t>
  </si>
  <si>
    <t>FEV31350</t>
  </si>
  <si>
    <t>92 - 53922</t>
  </si>
  <si>
    <t>MSL - Somonsing China</t>
  </si>
  <si>
    <t>asistente@mslcorporate.com.co;girlesa.ruiz@servipilas.com;joriescobar64@gmail.com</t>
  </si>
  <si>
    <t>IND Y COMERCIO</t>
  </si>
  <si>
    <t>PREDIAL 2293 TRIMESTRAL</t>
  </si>
  <si>
    <t>PREDIAL 1003 TRIMESTRAL</t>
  </si>
  <si>
    <t>ADM 255</t>
  </si>
  <si>
    <t>ARR 041</t>
  </si>
  <si>
    <t>ARR 821</t>
  </si>
  <si>
    <t>ARR 821 NC</t>
  </si>
  <si>
    <t>ARR 3956</t>
  </si>
  <si>
    <t>ARR 39048</t>
  </si>
  <si>
    <t>ARR 38743</t>
  </si>
  <si>
    <t>AMD 781</t>
  </si>
  <si>
    <t>Gasto SURA</t>
  </si>
  <si>
    <t>plan vive girlesa semestre</t>
  </si>
  <si>
    <t>seguro colectivo</t>
  </si>
  <si>
    <t>Gasto COMERCIAL WEB</t>
  </si>
  <si>
    <t>Gasto CONVERTIDORA DE PAPEL</t>
  </si>
  <si>
    <t>Gasto GB BIENES</t>
  </si>
  <si>
    <t>Gasto LA CENTRAL admistración</t>
  </si>
  <si>
    <t>Gasto MOLINOS administración</t>
  </si>
  <si>
    <t>Gasto MUNICIPIO DE MEDELLIN</t>
  </si>
  <si>
    <t>Gasto PATEX</t>
  </si>
  <si>
    <t>Gasto SANTA JUANA (jorge escobar)</t>
  </si>
  <si>
    <t>Gasto SAPIAN</t>
  </si>
  <si>
    <t>Gasto SEÑALIZACIÓN Y AVISOS</t>
  </si>
  <si>
    <t>Gasto syco y acimpro</t>
  </si>
  <si>
    <t>Gasto VYP</t>
  </si>
  <si>
    <t>Gasto comercial web</t>
  </si>
  <si>
    <t>Gasto gb bienes</t>
  </si>
  <si>
    <t>Gasto molinos administración</t>
  </si>
  <si>
    <t>Gasto sapian</t>
  </si>
  <si>
    <t>Gasto vyp</t>
  </si>
  <si>
    <t>Gasto CONSTRUCCIONES Y BIENES</t>
  </si>
  <si>
    <t>bog.fa1@pressex.co;bog.fm1@pressex.co;kbaumgartner@pressex.co;girlesa.ruiz@servipilas.com;joriescobar64@gmail.com</t>
  </si>
  <si>
    <t>68 - 9</t>
  </si>
  <si>
    <t>abr-21</t>
  </si>
  <si>
    <t>769 - nc 29</t>
  </si>
  <si>
    <t>Gasto SANDIEGO</t>
  </si>
  <si>
    <t>L2293</t>
  </si>
  <si>
    <t>O1003</t>
  </si>
  <si>
    <t>MUNDITONNER</t>
  </si>
  <si>
    <t>comercial@munditonner.com.co;girlesa.ruiz@servipilas.com;joriescobar64@gmail.com</t>
  </si>
  <si>
    <t>FE4366</t>
  </si>
  <si>
    <t>Abajo PIEDAD ESCOBAR</t>
  </si>
  <si>
    <t>Abajo GIRLESA</t>
  </si>
  <si>
    <t>Abajo AGRARIO JORGE</t>
  </si>
  <si>
    <t>20403 NC 247</t>
  </si>
  <si>
    <t>HyR</t>
  </si>
  <si>
    <t>FE 510</t>
  </si>
  <si>
    <t>ME488303</t>
  </si>
  <si>
    <t>ME488470</t>
  </si>
  <si>
    <t>FETU1524</t>
  </si>
  <si>
    <t>MS2273</t>
  </si>
  <si>
    <t>128666 128668</t>
  </si>
  <si>
    <t>Movecargo - Sinoming china</t>
  </si>
  <si>
    <t>judy.torres@movecargo.co;girlesa.ruiz@servipilas.com;joriescobar64@gmail.com</t>
  </si>
  <si>
    <t>FVX4580 - nc 2NV-00001344</t>
  </si>
  <si>
    <t>FVX4580 - nc</t>
  </si>
  <si>
    <t>Gasto DIAN</t>
  </si>
  <si>
    <t>Gasto SIIGO</t>
  </si>
  <si>
    <t>GASTO TIGO MOVIL</t>
  </si>
  <si>
    <t>GASTO TIGO FIJO</t>
  </si>
  <si>
    <t>ME488838</t>
  </si>
  <si>
    <t>MDIS5.040.848</t>
  </si>
  <si>
    <t>Abajo audifonos</t>
  </si>
  <si>
    <t>Pressex Logistics - tnr</t>
  </si>
  <si>
    <t>Gasto REMARCA</t>
  </si>
  <si>
    <t>GASTO COMERCIAL WEB</t>
  </si>
  <si>
    <t>ME488303 - NC31889</t>
  </si>
  <si>
    <t xml:space="preserve">asistente@remarcalimitada.com;girlesa.ruiz@servipilas.com;joriescobar64@gmail.com
</t>
  </si>
  <si>
    <t>GASTO Liberty seguros</t>
  </si>
  <si>
    <t>SP2196</t>
  </si>
  <si>
    <t>MS2348</t>
  </si>
  <si>
    <t>FETU1606</t>
  </si>
  <si>
    <t>abajo uriel gomez</t>
  </si>
  <si>
    <t>MDIS5.040.880</t>
  </si>
  <si>
    <t>MS2396</t>
  </si>
  <si>
    <t>ME490111</t>
  </si>
  <si>
    <t>ME490408</t>
  </si>
  <si>
    <t>ME490110</t>
  </si>
  <si>
    <t>ME490109</t>
  </si>
  <si>
    <t>FEV32778</t>
  </si>
  <si>
    <t>MDIS5.040.901</t>
  </si>
  <si>
    <t>Abajo DIEGO RAMIREZ</t>
  </si>
  <si>
    <t>LOGIMEX TNR</t>
  </si>
  <si>
    <t>IMPUESTOS - TNR</t>
  </si>
  <si>
    <t>Pressex Logistics - casillero</t>
  </si>
  <si>
    <t>MS2435</t>
  </si>
  <si>
    <t>ME490748</t>
  </si>
  <si>
    <t>FEF4252</t>
  </si>
  <si>
    <t>GASTO CESDE</t>
  </si>
  <si>
    <t>Pressex Logistics - montblanc</t>
  </si>
  <si>
    <t>Abajo ALIEXPRESS</t>
  </si>
  <si>
    <t>Abajo LA ESQUINA DEL MACHETE</t>
  </si>
  <si>
    <t>aguadulce - sinming china</t>
  </si>
  <si>
    <t>ME491228</t>
  </si>
  <si>
    <t>ME491231</t>
  </si>
  <si>
    <t>ME491165</t>
  </si>
  <si>
    <t>ME491257</t>
  </si>
  <si>
    <t>FEN15306</t>
  </si>
  <si>
    <t>ME491565</t>
  </si>
  <si>
    <t>ME491944</t>
  </si>
  <si>
    <t>Abajo HAROLD BRIGHTSIDE</t>
  </si>
  <si>
    <t>ABAJO CASILLERO</t>
  </si>
  <si>
    <t>aliexpress baterias lipo</t>
  </si>
  <si>
    <t>cargadores con protección</t>
  </si>
  <si>
    <t>DAVIVIENDA 7103030100340950</t>
  </si>
  <si>
    <t>DAVIVIENDA 7103030100337020</t>
  </si>
  <si>
    <t>DAVIVIENDA 7103030100346690</t>
  </si>
  <si>
    <t>DAVIVIENDA 7103030100346720</t>
  </si>
  <si>
    <t>DAVIVIENDA 7103030100353170</t>
  </si>
  <si>
    <t>DAVIVIENDA 7103030100355870</t>
  </si>
  <si>
    <t>ME491907</t>
  </si>
  <si>
    <t>FEID5127</t>
  </si>
  <si>
    <t>90437 - 114001</t>
  </si>
  <si>
    <t xml:space="preserve">28795 - NC20668 </t>
  </si>
  <si>
    <t>134 - 281564</t>
  </si>
  <si>
    <t>135 - 282538</t>
  </si>
  <si>
    <t>MAXIPILAS</t>
  </si>
  <si>
    <t>MP1131</t>
  </si>
  <si>
    <t>mcastillo@kenextrading.com;agarcia@kenextrading.com;girlesa.ruiz@servipilas.com;joriescobar64@gmail.com</t>
  </si>
  <si>
    <t>may-21</t>
  </si>
  <si>
    <t>jun-21</t>
  </si>
  <si>
    <t>FE357 - 283198</t>
  </si>
  <si>
    <t>BANCOLOMBIA USD$ 2555187392</t>
  </si>
  <si>
    <t>Abajo Termopack</t>
  </si>
  <si>
    <t>KENEX 53922 abr 21</t>
  </si>
  <si>
    <t>SP2420</t>
  </si>
  <si>
    <t>IMPUESTOS - 283198</t>
  </si>
  <si>
    <t>3391 - 1768</t>
  </si>
  <si>
    <t>MS2638</t>
  </si>
  <si>
    <t>FVX7905</t>
  </si>
  <si>
    <t>para pagar fossil</t>
  </si>
  <si>
    <t>cartera@aerosan.com;girlesa.ruiz@servipilas.com;joriescobar64@gmail.com</t>
  </si>
  <si>
    <t>11368 - 54504</t>
  </si>
  <si>
    <t>GASTO BOMBEROS SABANETA</t>
  </si>
  <si>
    <t>mdedcnvi@bateriasduncan.com.co;guillermo.bateriasduncan@gmail.com;girlesa.ruiz@servipilas.com;joriescobar64@gmail.com</t>
  </si>
  <si>
    <t>por retención no aplicada a la nota crédito 007</t>
  </si>
  <si>
    <t xml:space="preserve">bancolombia cc 388-991169-88 </t>
  </si>
  <si>
    <t>ME493265</t>
  </si>
  <si>
    <t>FEN17319</t>
  </si>
  <si>
    <t>FVX8036</t>
  </si>
  <si>
    <t>FE8031 - 545054</t>
  </si>
  <si>
    <t>DMARIO</t>
  </si>
  <si>
    <t>FE892</t>
  </si>
  <si>
    <t>MDIS5.040.992</t>
  </si>
  <si>
    <t>MDIS5.040.987</t>
  </si>
  <si>
    <t>MS2757</t>
  </si>
  <si>
    <t>DIAN IVA</t>
  </si>
  <si>
    <t>MDIS5.040.999</t>
  </si>
  <si>
    <t>FE8439 - 129398</t>
  </si>
  <si>
    <t>jul-21</t>
  </si>
  <si>
    <t>1158 NC</t>
  </si>
  <si>
    <t>por pago extra en fac#1081</t>
  </si>
  <si>
    <t>Pressex courier - casillero</t>
  </si>
  <si>
    <t>Pressex courier - Kenex</t>
  </si>
  <si>
    <t>Pressex courier - montblanc</t>
  </si>
  <si>
    <t>FE283 - 281564</t>
  </si>
  <si>
    <t>wruiz@tsqsa.com;venta1@disuiza.com;girlesa.ruiz@servipilas.com;joriescobar64@gmail.com</t>
  </si>
  <si>
    <t>SP2638</t>
  </si>
  <si>
    <t>Abajo INSTITUCIONALES</t>
  </si>
  <si>
    <t>swizzeraux2@gmail.com;girlesa.ruiz@servipilas.com;joriescobar64@gmail.com</t>
  </si>
  <si>
    <t>IMPUESTOS - MONTBLANC</t>
  </si>
  <si>
    <t>LOGIMEX MONTBLANC</t>
  </si>
  <si>
    <t>impuestos - 129398</t>
  </si>
  <si>
    <t>FE2311</t>
  </si>
  <si>
    <t>JORGE ARREDONDO - JARLY SAS</t>
  </si>
  <si>
    <t>-714.500 del pago en febero 2021</t>
  </si>
  <si>
    <t>PROVECOL</t>
  </si>
  <si>
    <t>Abajo CLAUDIA RUIZ</t>
  </si>
  <si>
    <t>SG657</t>
  </si>
  <si>
    <t>SG658</t>
  </si>
  <si>
    <t>MP1281</t>
  </si>
  <si>
    <t>MDIS5.041.013</t>
  </si>
  <si>
    <t>13E215673</t>
  </si>
  <si>
    <t>13E215568</t>
  </si>
  <si>
    <t>Abajo W CUERO</t>
  </si>
  <si>
    <t>149 - 54504</t>
  </si>
  <si>
    <t>142 - 283198</t>
  </si>
  <si>
    <t>22 para pagar a don luciano,
8 para la cuenta corriente bancolombia,
10 para cuenta corriente davivienda</t>
  </si>
  <si>
    <t>Fecha</t>
  </si>
  <si>
    <t>carterabogota@aintercarga.com;girlesa.ruiz@servipilas.com;joriescobar64@gmail.com</t>
  </si>
  <si>
    <t>AINTERCARGA MONTBLANC</t>
  </si>
  <si>
    <t xml:space="preserve">10174 - 129398 </t>
  </si>
  <si>
    <t>TB PLUS</t>
  </si>
  <si>
    <t>??;girlesa.ruiz@servipilas.com;joriescobar64@gmail.com</t>
  </si>
  <si>
    <t>13E216791</t>
  </si>
  <si>
    <t>FVX8556</t>
  </si>
  <si>
    <t>FEF4320</t>
  </si>
  <si>
    <t>18/8/21 AJUSTE FIN DE MES</t>
  </si>
  <si>
    <t>STEREN</t>
  </si>
  <si>
    <t>MS2902</t>
  </si>
  <si>
    <t>MERCEDES PILAS</t>
  </si>
  <si>
    <t>globalpowerc2018@gmail.com;girlesa.ruiz@servipilas.com;joriescobar64@gmail.com</t>
  </si>
  <si>
    <t>se le resta el valor con IVA de la factura oficial FE-8</t>
  </si>
  <si>
    <t>admin@kinocompanysas.com.co;girlesa.ruiz@servipilas.com;joriescobar64@gmail.com</t>
  </si>
  <si>
    <t>propertymarketingsas@hotmail.com;girlesa.ruiz@servipilas.com;joriescobar64@gmail.com</t>
  </si>
  <si>
    <t>Gasto PROPERTY MARKETING</t>
  </si>
  <si>
    <t>Abajo DAVID HOYOS</t>
  </si>
  <si>
    <t>2174 NC</t>
  </si>
  <si>
    <t>POR PAGO EXTRA EN FACTURA 2174</t>
  </si>
  <si>
    <t>FVX8709</t>
  </si>
  <si>
    <t>FVX8751</t>
  </si>
  <si>
    <t>FEN20269</t>
  </si>
  <si>
    <t>13E210254</t>
  </si>
  <si>
    <t>13E208377</t>
  </si>
  <si>
    <t>13E211147</t>
  </si>
  <si>
    <t>13E211287</t>
  </si>
  <si>
    <t>pendiente pago</t>
  </si>
  <si>
    <t>163 - 129398</t>
  </si>
  <si>
    <t>FE332 - 128666 128668</t>
  </si>
  <si>
    <t>FE328 - 282538</t>
  </si>
  <si>
    <t>descuento por pronto pago</t>
  </si>
  <si>
    <t>COMSISTEL</t>
  </si>
  <si>
    <t>FE3716</t>
  </si>
  <si>
    <t>BANCOLOMBIA corriente + ahorros</t>
  </si>
  <si>
    <t>ago-21</t>
  </si>
  <si>
    <t>ME496997</t>
  </si>
  <si>
    <t>FE8957 - 128666 128668</t>
  </si>
  <si>
    <t>Abajo IVA</t>
  </si>
  <si>
    <t>1416 NC 82</t>
  </si>
  <si>
    <t>FEF4320 NC7110</t>
  </si>
  <si>
    <t>FEV37229</t>
  </si>
  <si>
    <t>MDIS5.041.043</t>
  </si>
  <si>
    <t>FVX8860</t>
  </si>
  <si>
    <t>Abajo GERMAN PALACIOS</t>
  </si>
  <si>
    <t>SP2878</t>
  </si>
  <si>
    <t>GRUPOINTER TERCERO</t>
  </si>
  <si>
    <t>FEI100040642</t>
  </si>
  <si>
    <t>FEI100040501</t>
  </si>
  <si>
    <t>FEI100040643</t>
  </si>
  <si>
    <t>COEXITO TERCERO</t>
  </si>
  <si>
    <t>MARIA MARTHA RAMIREZ ZULUAGA - JORGE ARREDONDO</t>
  </si>
  <si>
    <t>por devoculción de radio defectuoso</t>
  </si>
  <si>
    <t>Pressex courier - tnr</t>
  </si>
  <si>
    <t>FEV37505</t>
  </si>
  <si>
    <t>FEV37517</t>
  </si>
  <si>
    <t>FE12509</t>
  </si>
  <si>
    <t>13E217999</t>
  </si>
  <si>
    <t>ALKOMPRAR</t>
  </si>
  <si>
    <t>sep-21</t>
  </si>
  <si>
    <t>ME497815</t>
  </si>
  <si>
    <t>129428 retención</t>
  </si>
  <si>
    <t>la retención no se debía realizar porque son autorretenedores</t>
  </si>
  <si>
    <t>FE429 - 284593 284796</t>
  </si>
  <si>
    <t>consignado en la cuenta de daniel escobar</t>
  </si>
  <si>
    <t>FE1632</t>
  </si>
  <si>
    <t>Gasto DUCON</t>
  </si>
  <si>
    <t>juanzuluaga@ducon.com.co;girlesa.ruiz@servipilas.com;joriescobar64@gmail.com</t>
  </si>
  <si>
    <t>MS3064</t>
  </si>
  <si>
    <t>FE447 - 284978</t>
  </si>
  <si>
    <t>jarlysas@gmail.com;o.clockinternational@gmail.com;girlesa.ruiz@servipilas.com;joriescobar64@gmail.com</t>
  </si>
  <si>
    <t>FEV38500</t>
  </si>
  <si>
    <t xml:space="preserve">Número Documento Aduanero
902020000040697 $1,937.5	
902020000040698 $145.8
902020000040696 $3,916.7
</t>
  </si>
  <si>
    <t xml:space="preserve">Número Documento Aduanero
902020000147352 $698.85
</t>
  </si>
  <si>
    <t xml:space="preserve">Número Documento Aduanero
902020000040696 $4489.49
902020000040697 $0.02
</t>
  </si>
  <si>
    <t>FVX9289</t>
  </si>
  <si>
    <t>FVX9290</t>
  </si>
  <si>
    <t>Abajo ANDREA RAMIREZ</t>
  </si>
  <si>
    <t>193 - 284593 284796</t>
  </si>
  <si>
    <t>194 - 284978</t>
  </si>
  <si>
    <t>FEV39104</t>
  </si>
  <si>
    <t>1759 NC 96</t>
  </si>
  <si>
    <t>Gasto Allianz Seguros</t>
  </si>
  <si>
    <t>FE001427</t>
  </si>
  <si>
    <t>BANCOLOMBIA USD$ 2555212532</t>
  </si>
  <si>
    <t>Gasto Liberty seguros</t>
  </si>
  <si>
    <t>Gasto Abajo contado</t>
  </si>
  <si>
    <t>MS3223</t>
  </si>
  <si>
    <t>13E221646</t>
  </si>
  <si>
    <t>13E221255</t>
  </si>
  <si>
    <t>No. E-4345</t>
  </si>
  <si>
    <t>Gasto Movistar movil</t>
  </si>
  <si>
    <t>por pago extra de fact 5005</t>
  </si>
  <si>
    <t>gerencia@som-tec.com</t>
  </si>
  <si>
    <t>FEV39650</t>
  </si>
  <si>
    <t>Abajo YOLANDA</t>
  </si>
  <si>
    <t>FVX7555</t>
  </si>
  <si>
    <t>FVX7905 nc 599</t>
  </si>
  <si>
    <t>FVX8036 nc 599</t>
  </si>
  <si>
    <t>FVX8556 nc 599</t>
  </si>
  <si>
    <t>ME500431</t>
  </si>
  <si>
    <t>ALEX MARINO ENRIQUEZ</t>
  </si>
  <si>
    <t>alexenriquez73.ae@gmail.com;girlesa.ruiz@servipilas.com;joriescobar64@gmail.com;info@servipilas.com</t>
  </si>
  <si>
    <t>CB 102021 - ESE QUIBDO</t>
  </si>
  <si>
    <t>FETU2282</t>
  </si>
  <si>
    <t>FETU2276</t>
  </si>
  <si>
    <t>Gasto MARIANA PELAEZ</t>
  </si>
  <si>
    <t xml:space="preserve">1234 - 285759 </t>
  </si>
  <si>
    <t>financiero@dmariocolombia.com;cartera@dmariocolombia.com.co;girlesa.ruiz@servipilas.com;joriescobar64@gmail.com</t>
  </si>
  <si>
    <t>SP3120</t>
  </si>
  <si>
    <t>aleja-1305agudelo@hotmail.com;provecol@une.net.co;girlesa.ruiz@servipilas.com;joriescobar64@gmail.com</t>
  </si>
  <si>
    <t xml:space="preserve">1236 - 285851 </t>
  </si>
  <si>
    <t>11540 - 55161</t>
  </si>
  <si>
    <t>Gasto DISANTIOQUIA</t>
  </si>
  <si>
    <t>JYN TECHNOLOGY</t>
  </si>
  <si>
    <t>ventasonline@disantioquia.com.co;girlesa.ruiz@servipilas.com;joriescobar64@gmail.com</t>
  </si>
  <si>
    <t>COEXITO servipilas</t>
  </si>
  <si>
    <t>13E223704</t>
  </si>
  <si>
    <t>COMERCIALIZADORA DEL ESTE</t>
  </si>
  <si>
    <t>13E223209</t>
  </si>
  <si>
    <t>FVX9821</t>
  </si>
  <si>
    <t>1240 -CASILLERO</t>
  </si>
  <si>
    <t>1214 - CASILLERO</t>
  </si>
  <si>
    <t>ARR 041 - nc306</t>
  </si>
  <si>
    <t>ADM 754</t>
  </si>
  <si>
    <t>ARR 999</t>
  </si>
  <si>
    <t>ADM - 180</t>
  </si>
  <si>
    <t>ARR - 481</t>
  </si>
  <si>
    <t>ADM 645</t>
  </si>
  <si>
    <t>ARR 915</t>
  </si>
  <si>
    <t>ADM 617</t>
  </si>
  <si>
    <t>ARR 880</t>
  </si>
  <si>
    <t>ADM 395</t>
  </si>
  <si>
    <t>ARR 662</t>
  </si>
  <si>
    <t>ARR 481</t>
  </si>
  <si>
    <t>ADM 211</t>
  </si>
  <si>
    <t>SP3354</t>
  </si>
  <si>
    <t>jessica.barrios@carpainternacional;girlesa.ruiz@servipilas.com;joriescobar64@gmail.com</t>
  </si>
  <si>
    <t>MS3364</t>
  </si>
  <si>
    <t>oct-21</t>
  </si>
  <si>
    <t>130239 130242</t>
  </si>
  <si>
    <t>jmacias@nanicastation.com.co;facturas@nanicastation.com.co;girlesa.ruiz@servipilas.com;joriescobar64@gmail.com</t>
  </si>
  <si>
    <t>216 - 285851</t>
  </si>
  <si>
    <t>858 859 860 861 866 867 869</t>
  </si>
  <si>
    <t>ANTICIPO - 285851</t>
  </si>
  <si>
    <t>SG657 - ABONO</t>
  </si>
  <si>
    <t>ARR 1313</t>
  </si>
  <si>
    <t>ME501626</t>
  </si>
  <si>
    <t>ME501626 - NC33887</t>
  </si>
  <si>
    <t>1249 - A2013</t>
  </si>
  <si>
    <t>MDIS5.041.165</t>
  </si>
  <si>
    <t>A2013</t>
  </si>
  <si>
    <t>CARPA - CASILLERO</t>
  </si>
  <si>
    <t>CARPA - MONTBLANC</t>
  </si>
  <si>
    <t>CARPA - TNR</t>
  </si>
  <si>
    <t>CIC304 - 130239 130242</t>
  </si>
  <si>
    <t>FE015570</t>
  </si>
  <si>
    <t>1043661 NC 122099</t>
  </si>
  <si>
    <t>94500992 ASTROSELLING</t>
  </si>
  <si>
    <t>pagado</t>
  </si>
  <si>
    <t>k inicial</t>
  </si>
  <si>
    <t>k final</t>
  </si>
  <si>
    <t>FEN30568</t>
  </si>
  <si>
    <t>ME502310</t>
  </si>
  <si>
    <t>ALPHA</t>
  </si>
  <si>
    <t>2355 - A2020</t>
  </si>
  <si>
    <t>RELOJES BIYCLOCK</t>
  </si>
  <si>
    <t>SG831</t>
  </si>
  <si>
    <t>FE14570</t>
  </si>
  <si>
    <t>13E226510</t>
  </si>
  <si>
    <t>13E225854</t>
  </si>
  <si>
    <t>6426 - A2021</t>
  </si>
  <si>
    <t>3562 - A2019</t>
  </si>
  <si>
    <t>4366 - A2023</t>
  </si>
  <si>
    <t>SANTA BARBARA DISTRONIK</t>
  </si>
  <si>
    <t>Abajo SANTA BARBARA DISTRONIK</t>
  </si>
  <si>
    <t>6426 - A2021 nc258</t>
  </si>
  <si>
    <t>para pagar andres kairos</t>
  </si>
  <si>
    <t>anobono capital</t>
  </si>
  <si>
    <t>intereses</t>
  </si>
  <si>
    <t>Gasto ARCOSISTEMAS</t>
  </si>
  <si>
    <t>228 - 285759</t>
  </si>
  <si>
    <t>nov-21</t>
  </si>
  <si>
    <t>DAVIVIENDA 7103030100415090</t>
  </si>
  <si>
    <t>DESEMBOLSO POR 75,700,687.87  Y COBRARON SEGURO POR 1,478,400</t>
  </si>
  <si>
    <t xml:space="preserve"> bateriasindustrialesbogota2@coexito.com.co;girlesa.ruiz@servipilas.com;joriescobar64@gmail.com</t>
  </si>
  <si>
    <t>MS3505</t>
  </si>
  <si>
    <t>ABAJO DIY CLOCK</t>
  </si>
  <si>
    <t>A2024</t>
  </si>
  <si>
    <t>Abajo A TU MANO</t>
  </si>
  <si>
    <t>625 - A2039</t>
  </si>
  <si>
    <t>consumo propio empresa</t>
  </si>
  <si>
    <t>ADM 004</t>
  </si>
  <si>
    <t>ARR 276</t>
  </si>
  <si>
    <t>13E227420</t>
  </si>
  <si>
    <t>MDIS5.041.192</t>
  </si>
  <si>
    <t>SP3612</t>
  </si>
  <si>
    <t>gastos por swift</t>
  </si>
  <si>
    <t>trm 3973.4</t>
  </si>
  <si>
    <t>ME503622</t>
  </si>
  <si>
    <t>Abajo ZUMA</t>
  </si>
  <si>
    <t>dic-21</t>
  </si>
  <si>
    <t>lpena@tbplusenergy.com;girlesa.ruiz@servipilas.com;joriescobar64@gmail.com</t>
  </si>
  <si>
    <t>Gasto BOMBEROS BELLOS</t>
  </si>
  <si>
    <t>FE3231</t>
  </si>
  <si>
    <t>MS3560</t>
  </si>
  <si>
    <t>FETU2562</t>
  </si>
  <si>
    <t>ARR 1577</t>
  </si>
  <si>
    <t>MDIS5.041.202</t>
  </si>
  <si>
    <t>804 - nc 071</t>
  </si>
  <si>
    <t>Abajo GLORIA SOTO</t>
  </si>
  <si>
    <t>11640 - 55546</t>
  </si>
  <si>
    <t>643360 - A2062</t>
  </si>
  <si>
    <t>ME504135</t>
  </si>
  <si>
    <t>FE4129</t>
  </si>
  <si>
    <t>FVX10571</t>
  </si>
  <si>
    <t>FVX10572</t>
  </si>
  <si>
    <t>1272 - 286942</t>
  </si>
  <si>
    <t>245 - 55546</t>
  </si>
  <si>
    <t>Abajo COMERCIALIZADORA BYJ</t>
  </si>
  <si>
    <t>9417 - A2070</t>
  </si>
  <si>
    <t>9602 - A2077</t>
  </si>
  <si>
    <t>4911 - A2067</t>
  </si>
  <si>
    <t>6952 - A2074</t>
  </si>
  <si>
    <t>A2085</t>
  </si>
  <si>
    <t>DEBAJO</t>
  </si>
  <si>
    <t>DEBAJO 613</t>
  </si>
  <si>
    <t>DEBAJO 565</t>
  </si>
  <si>
    <t>10% IVA</t>
  </si>
  <si>
    <t>DEBAJO 247</t>
  </si>
  <si>
    <t>DEBAJO 670</t>
  </si>
  <si>
    <t>notA crédito</t>
  </si>
  <si>
    <t>ANTICIPO</t>
  </si>
  <si>
    <t>ADELANTO</t>
  </si>
  <si>
    <t>notA débito</t>
  </si>
  <si>
    <t>JORGE ANDRES</t>
  </si>
  <si>
    <t>DE CONTADO</t>
  </si>
  <si>
    <t>RECARGAS</t>
  </si>
  <si>
    <t>DEBAJO 687</t>
  </si>
  <si>
    <t>COTIZACION 3836</t>
  </si>
  <si>
    <t>DEBAJO TC</t>
  </si>
  <si>
    <t>DEBAJO 527733</t>
  </si>
  <si>
    <t>DEBAJO 691</t>
  </si>
  <si>
    <t>DEBAJO 692</t>
  </si>
  <si>
    <t>DEBAJO 693</t>
  </si>
  <si>
    <t>notA credito 17861</t>
  </si>
  <si>
    <t>DEBAJO 695</t>
  </si>
  <si>
    <t>DEBAJO 625</t>
  </si>
  <si>
    <t>DEBAJO 698</t>
  </si>
  <si>
    <t>DEBAJO 47757</t>
  </si>
  <si>
    <t>DEBAJO 6898</t>
  </si>
  <si>
    <t>DEBAJO 316453</t>
  </si>
  <si>
    <t>DEBAJO 700</t>
  </si>
  <si>
    <t>DEBAJO 4923</t>
  </si>
  <si>
    <t>DEBAJO 701</t>
  </si>
  <si>
    <t>DEBAJO 702</t>
  </si>
  <si>
    <t>DEBAJO 703</t>
  </si>
  <si>
    <t>COTIZACION 4143</t>
  </si>
  <si>
    <t>DEBAJO 316570</t>
  </si>
  <si>
    <t>DEBAJO 705</t>
  </si>
  <si>
    <t>DEBAJO 21663</t>
  </si>
  <si>
    <t>DEBAJO 710</t>
  </si>
  <si>
    <t>notA crédito 407</t>
  </si>
  <si>
    <t>DEBAJO 6946</t>
  </si>
  <si>
    <t>notA crédito 338</t>
  </si>
  <si>
    <t>NOTA DEBITO</t>
  </si>
  <si>
    <t>debAjo</t>
  </si>
  <si>
    <t>DEBAJO, DIA DE LA MADRE</t>
  </si>
  <si>
    <t>NOTA CREDITO 41</t>
  </si>
  <si>
    <t>ANTICIPO - 273979 - 126391 126393</t>
  </si>
  <si>
    <t>DEBAJO 1481</t>
  </si>
  <si>
    <t>DEBAJO 2176</t>
  </si>
  <si>
    <t>BODEGAJE - 273979 - 126391 126393</t>
  </si>
  <si>
    <t>cAjones</t>
  </si>
  <si>
    <t>DEBAJO 1507</t>
  </si>
  <si>
    <t>DEBAJO 1517</t>
  </si>
  <si>
    <t>cAjones 285</t>
  </si>
  <si>
    <t>DANIEL</t>
  </si>
  <si>
    <t>DEBAJO 1535</t>
  </si>
  <si>
    <t>CONTADO</t>
  </si>
  <si>
    <t>A-1030</t>
  </si>
  <si>
    <t xml:space="preserve">ANTICIPO - tenergy 983818 983819 </t>
  </si>
  <si>
    <t>AmAzon</t>
  </si>
  <si>
    <t>A-1058</t>
  </si>
  <si>
    <t>lA centrAl</t>
  </si>
  <si>
    <t>mAyorcA</t>
  </si>
  <si>
    <t>sAndiego</t>
  </si>
  <si>
    <t>A1153</t>
  </si>
  <si>
    <t>estAdo de cuentAs</t>
  </si>
  <si>
    <t>A-1175</t>
  </si>
  <si>
    <t>Anticipo SI032764 SI033158 SI033271</t>
  </si>
  <si>
    <t>Anticipo - 52880</t>
  </si>
  <si>
    <t>cuentA de cobro</t>
  </si>
  <si>
    <t>terminAl mAyorcA 2</t>
  </si>
  <si>
    <t>9620 - AmAzon</t>
  </si>
  <si>
    <t>A1256</t>
  </si>
  <si>
    <t>A1271 320278</t>
  </si>
  <si>
    <t>A1271 532207</t>
  </si>
  <si>
    <t>4209 - A1739 nc</t>
  </si>
  <si>
    <t>AdelAnto</t>
  </si>
  <si>
    <t>MONTBLANC 127718</t>
  </si>
  <si>
    <t>A1400</t>
  </si>
  <si>
    <t>A1450</t>
  </si>
  <si>
    <t>A1437 532664</t>
  </si>
  <si>
    <t>oficinA Arr - 330</t>
  </si>
  <si>
    <t>A1444</t>
  </si>
  <si>
    <t>35957 - A1566</t>
  </si>
  <si>
    <t>A-1455</t>
  </si>
  <si>
    <t>9800 - A1479</t>
  </si>
  <si>
    <t>A-1479</t>
  </si>
  <si>
    <t>A1491</t>
  </si>
  <si>
    <t>A1517</t>
  </si>
  <si>
    <t>A1536</t>
  </si>
  <si>
    <t>Anticipo - SO032015</t>
  </si>
  <si>
    <t>A1560</t>
  </si>
  <si>
    <t>FE6300 - cAsillero</t>
  </si>
  <si>
    <t>A1578 - 1115</t>
  </si>
  <si>
    <t>A1593</t>
  </si>
  <si>
    <t>A1590</t>
  </si>
  <si>
    <t>A1595</t>
  </si>
  <si>
    <t>A1597</t>
  </si>
  <si>
    <t>A1596</t>
  </si>
  <si>
    <t>7921 sAldo pendiente</t>
  </si>
  <si>
    <t>FE1166 IVA</t>
  </si>
  <si>
    <t>oficinA Arr - 4413</t>
  </si>
  <si>
    <t>398219 renovAción</t>
  </si>
  <si>
    <t>A1697-2704</t>
  </si>
  <si>
    <t>A1611</t>
  </si>
  <si>
    <t>A1612 - 321317</t>
  </si>
  <si>
    <t>1042 - A1616</t>
  </si>
  <si>
    <t>Anticipo - 114001</t>
  </si>
  <si>
    <t>A1632 - 3320</t>
  </si>
  <si>
    <t>A1635</t>
  </si>
  <si>
    <t>FE7050 - cAsillero</t>
  </si>
  <si>
    <t>A1634</t>
  </si>
  <si>
    <t>A1671 - 2049</t>
  </si>
  <si>
    <t>540243 - A1639</t>
  </si>
  <si>
    <t>A1641</t>
  </si>
  <si>
    <t>A1643 - 2777</t>
  </si>
  <si>
    <t>A1640</t>
  </si>
  <si>
    <t>89 registro importAdores</t>
  </si>
  <si>
    <t>FVX4580 - Abono</t>
  </si>
  <si>
    <t>A1670 - 1378</t>
  </si>
  <si>
    <t>A1660 - 7697</t>
  </si>
  <si>
    <t>A1662</t>
  </si>
  <si>
    <t>A1659 - 1190</t>
  </si>
  <si>
    <t>A1672</t>
  </si>
  <si>
    <t>A1675</t>
  </si>
  <si>
    <t>A1677 - 2881</t>
  </si>
  <si>
    <t>A1678 - 3347</t>
  </si>
  <si>
    <t>oficinA Arr - 4670</t>
  </si>
  <si>
    <t>A1679 - 2252</t>
  </si>
  <si>
    <t>2812 - A1722</t>
  </si>
  <si>
    <t>hijo AsdruAl</t>
  </si>
  <si>
    <t>A1718</t>
  </si>
  <si>
    <t>A1723</t>
  </si>
  <si>
    <t>321659 - A1725</t>
  </si>
  <si>
    <t>540494 - A1724</t>
  </si>
  <si>
    <t>A1720</t>
  </si>
  <si>
    <t>A1727</t>
  </si>
  <si>
    <t>FE357 - A fAvor por pAgo extrA en 332</t>
  </si>
  <si>
    <t>pilAs</t>
  </si>
  <si>
    <t>bodegAje - 114001</t>
  </si>
  <si>
    <t>4209 - A1739</t>
  </si>
  <si>
    <t>FE7643 - cAsillero</t>
  </si>
  <si>
    <t>A1741 - 628478</t>
  </si>
  <si>
    <t>seguir cArro nissAn</t>
  </si>
  <si>
    <t>seguro vidA jorge girlesA</t>
  </si>
  <si>
    <t>2272 - A1773</t>
  </si>
  <si>
    <t>A1738 - 2095</t>
  </si>
  <si>
    <t>38472 - A1744</t>
  </si>
  <si>
    <t>7766 - A1737</t>
  </si>
  <si>
    <t>ARR 3956 Abono</t>
  </si>
  <si>
    <t>A1743</t>
  </si>
  <si>
    <t>A1745</t>
  </si>
  <si>
    <t>38568 - A1746</t>
  </si>
  <si>
    <t>A1755</t>
  </si>
  <si>
    <t>A1757</t>
  </si>
  <si>
    <t>ARR 118</t>
  </si>
  <si>
    <t>ANTICIPO - 283198</t>
  </si>
  <si>
    <t>26770 - A1774</t>
  </si>
  <si>
    <t xml:space="preserve">1081 - A1769 </t>
  </si>
  <si>
    <t>26767 - A1770</t>
  </si>
  <si>
    <t>A1780 - 1623</t>
  </si>
  <si>
    <t>A1781</t>
  </si>
  <si>
    <t>A1793</t>
  </si>
  <si>
    <t>A1789</t>
  </si>
  <si>
    <t>540758 - A1791</t>
  </si>
  <si>
    <t>ANTICIPO  - 54504</t>
  </si>
  <si>
    <t>A1772</t>
  </si>
  <si>
    <t>A1800</t>
  </si>
  <si>
    <t>A1801</t>
  </si>
  <si>
    <t>A1788</t>
  </si>
  <si>
    <t>2897 - A1812</t>
  </si>
  <si>
    <t>39617 - A1825</t>
  </si>
  <si>
    <t>363 - A1815</t>
  </si>
  <si>
    <t>5035 - A1817</t>
  </si>
  <si>
    <t>A1818</t>
  </si>
  <si>
    <t>1158 - A1816</t>
  </si>
  <si>
    <t>2284 - A1829</t>
  </si>
  <si>
    <t>ARR 330</t>
  </si>
  <si>
    <t>A1827</t>
  </si>
  <si>
    <t>2159 - A1836</t>
  </si>
  <si>
    <t>ANTICIPO - 129398</t>
  </si>
  <si>
    <t>FE8440 - cAsillero</t>
  </si>
  <si>
    <t>4365 - A1831</t>
  </si>
  <si>
    <t>915 - A1835</t>
  </si>
  <si>
    <t>10821 - A1832</t>
  </si>
  <si>
    <t>3438 - A1843</t>
  </si>
  <si>
    <t>A1834</t>
  </si>
  <si>
    <t>motor tool DAniel mercAdo libre</t>
  </si>
  <si>
    <t>916 - A1863</t>
  </si>
  <si>
    <t>1802 - A1856</t>
  </si>
  <si>
    <t>540758 - A1791 - NC</t>
  </si>
  <si>
    <t>unificAdA</t>
  </si>
  <si>
    <t>A1859</t>
  </si>
  <si>
    <t>pilAs centro</t>
  </si>
  <si>
    <t>4414 - A1860</t>
  </si>
  <si>
    <t>1213 - A1880</t>
  </si>
  <si>
    <t>FE8766 - cAsillero A1869</t>
  </si>
  <si>
    <t>FE8767 - cAsillero A1869</t>
  </si>
  <si>
    <t>FE8770 - cAsillero A1869</t>
  </si>
  <si>
    <t>A1862</t>
  </si>
  <si>
    <t>915 - A1835 ND</t>
  </si>
  <si>
    <t>A1869</t>
  </si>
  <si>
    <t>OSSA 171</t>
  </si>
  <si>
    <t>Abono</t>
  </si>
  <si>
    <t>5336 - A1871</t>
  </si>
  <si>
    <t>2948 - A1874</t>
  </si>
  <si>
    <t>13023 - A1870</t>
  </si>
  <si>
    <t>comprA mAyorcA</t>
  </si>
  <si>
    <t>1566 IVA</t>
  </si>
  <si>
    <t>institucionAles</t>
  </si>
  <si>
    <t>3668 - A1882</t>
  </si>
  <si>
    <t>pilAs centro A1881</t>
  </si>
  <si>
    <t>ARREGLO CAMARAS MAYORCA</t>
  </si>
  <si>
    <t>FernAndo Jimenez  medio ivA pisos y pisos 379</t>
  </si>
  <si>
    <t>ARR 626</t>
  </si>
  <si>
    <t>A1890</t>
  </si>
  <si>
    <t>541242 - A1892</t>
  </si>
  <si>
    <t>322319 - A1893</t>
  </si>
  <si>
    <t>40933 - A1894</t>
  </si>
  <si>
    <t>2310 - A1896</t>
  </si>
  <si>
    <t>4408 - A1891</t>
  </si>
  <si>
    <t>dAniel ultrAsonido</t>
  </si>
  <si>
    <t>1253 - A1895</t>
  </si>
  <si>
    <t>2269 - A1911</t>
  </si>
  <si>
    <t>8546 - A1909</t>
  </si>
  <si>
    <t>dAniel linio office</t>
  </si>
  <si>
    <t xml:space="preserve">ANTICIPO - 284593 284796 </t>
  </si>
  <si>
    <t>A1907</t>
  </si>
  <si>
    <t>8546 - A1910</t>
  </si>
  <si>
    <t>A1912</t>
  </si>
  <si>
    <t>2295 - A1919</t>
  </si>
  <si>
    <t>MANILLAS</t>
  </si>
  <si>
    <t>4783 - A1925</t>
  </si>
  <si>
    <t>1272 - A1920</t>
  </si>
  <si>
    <t>ANTICIPO - 284978</t>
  </si>
  <si>
    <t>pilAs AlmAcen sotis</t>
  </si>
  <si>
    <t>2299 - A1928</t>
  </si>
  <si>
    <t>J Andres dhl impuestos reloj</t>
  </si>
  <si>
    <t>A1937</t>
  </si>
  <si>
    <t>A1936</t>
  </si>
  <si>
    <t>puertA del norte</t>
  </si>
  <si>
    <t>A1942</t>
  </si>
  <si>
    <t>217 - A1953</t>
  </si>
  <si>
    <t>AguinAldo metro</t>
  </si>
  <si>
    <t>21666 fibrA opticA</t>
  </si>
  <si>
    <t>clAusulA de permAnenciA</t>
  </si>
  <si>
    <t>ARR 889</t>
  </si>
  <si>
    <t>Arreglos mAyorcA</t>
  </si>
  <si>
    <t>cArro gloriA restrepo</t>
  </si>
  <si>
    <t>1823523 - dAyAnA pc pAgAdo por ellA</t>
  </si>
  <si>
    <t>sAldo A fAvor</t>
  </si>
  <si>
    <t>218 - A1960</t>
  </si>
  <si>
    <t>2336 - A1962</t>
  </si>
  <si>
    <t>A1959</t>
  </si>
  <si>
    <t>1316 - A1968</t>
  </si>
  <si>
    <t>1827072 PC BODEGA</t>
  </si>
  <si>
    <t xml:space="preserve">ANTICIPO -  285759 </t>
  </si>
  <si>
    <t>PC THINKPAD</t>
  </si>
  <si>
    <t>3052 - A1980</t>
  </si>
  <si>
    <t>3053 - A1979</t>
  </si>
  <si>
    <t>638783 - A1998</t>
  </si>
  <si>
    <t>3099 - A1985</t>
  </si>
  <si>
    <t>3101 - A1983</t>
  </si>
  <si>
    <t>3105 - A1984</t>
  </si>
  <si>
    <t>28234 - A1978</t>
  </si>
  <si>
    <t>2075 - A1986</t>
  </si>
  <si>
    <t>A1982</t>
  </si>
  <si>
    <t>A1997</t>
  </si>
  <si>
    <t>42762 - A1987</t>
  </si>
  <si>
    <t>A1981</t>
  </si>
  <si>
    <t>42761 - A1995</t>
  </si>
  <si>
    <t>28302 - A1994</t>
  </si>
  <si>
    <t>A1996</t>
  </si>
  <si>
    <t>71593 Abono</t>
  </si>
  <si>
    <t>1263 - A2044</t>
  </si>
  <si>
    <t>Anticipo - 55161</t>
  </si>
  <si>
    <t>2136 - A2006</t>
  </si>
  <si>
    <t>1342 - A2004</t>
  </si>
  <si>
    <t>A2005 pilAs centro</t>
  </si>
  <si>
    <t>6373 - A2010</t>
  </si>
  <si>
    <t>542117 - A2012</t>
  </si>
  <si>
    <t>4947 - A2026</t>
  </si>
  <si>
    <t>43579 - A2030</t>
  </si>
  <si>
    <t>pilAs centro - A2031</t>
  </si>
  <si>
    <t>As4424</t>
  </si>
  <si>
    <t>A2044</t>
  </si>
  <si>
    <t>3587 - A2040</t>
  </si>
  <si>
    <t>2183 - A2049</t>
  </si>
  <si>
    <t>A2046</t>
  </si>
  <si>
    <t>323017 - A2047</t>
  </si>
  <si>
    <t>institucinAles</t>
  </si>
  <si>
    <t>A2057 A2058</t>
  </si>
  <si>
    <t>pilAs centro - A2052</t>
  </si>
  <si>
    <t>A2056</t>
  </si>
  <si>
    <t>1277 - A2063</t>
  </si>
  <si>
    <t>1276 - A2063</t>
  </si>
  <si>
    <t>Anticipo - 286942</t>
  </si>
  <si>
    <t>dAniel linio office x2</t>
  </si>
  <si>
    <t>1278 - A2063</t>
  </si>
  <si>
    <t>A2063</t>
  </si>
  <si>
    <t>235 - A2065</t>
  </si>
  <si>
    <t>Anticipo - 55546</t>
  </si>
  <si>
    <t>A2029</t>
  </si>
  <si>
    <t>4729 - A2027</t>
  </si>
  <si>
    <t>pilAs centro - A2079</t>
  </si>
  <si>
    <t>239 - A2087</t>
  </si>
  <si>
    <t>A2084</t>
  </si>
  <si>
    <t>A2066</t>
  </si>
  <si>
    <t>A2086</t>
  </si>
  <si>
    <t>A2078</t>
  </si>
  <si>
    <t>4955 - A2076</t>
  </si>
  <si>
    <t>A2068</t>
  </si>
  <si>
    <t>3562 - A2019 abono</t>
  </si>
  <si>
    <t>3165 - a2089</t>
  </si>
  <si>
    <t>3164 - a2088</t>
  </si>
  <si>
    <t>A2095</t>
  </si>
  <si>
    <t>FEV43134</t>
  </si>
  <si>
    <t>FVX10882</t>
  </si>
  <si>
    <t>FEID12854</t>
  </si>
  <si>
    <t>1282 - A2095</t>
  </si>
  <si>
    <t>nunca entregaron el trabajo, se robaron el adelanto</t>
  </si>
  <si>
    <t>FVX9821 NC734</t>
  </si>
  <si>
    <t>2364 - A2105</t>
  </si>
  <si>
    <t>873+875+878</t>
  </si>
  <si>
    <t>SP3862</t>
  </si>
  <si>
    <t>SI056191</t>
  </si>
  <si>
    <t>SI054623</t>
  </si>
  <si>
    <t>seguro vida jorge girlesa</t>
  </si>
  <si>
    <t>salud prepagada jorge girlesa</t>
  </si>
  <si>
    <t>FESJ171529</t>
  </si>
  <si>
    <t>FESJ161946</t>
  </si>
  <si>
    <t>NC10354</t>
  </si>
  <si>
    <t>FESJ163560</t>
  </si>
  <si>
    <t>NC10724</t>
  </si>
  <si>
    <t>FESJ164747</t>
  </si>
  <si>
    <t>FESJ166091</t>
  </si>
  <si>
    <t>FESJ166648</t>
  </si>
  <si>
    <t>FESJ168686</t>
  </si>
  <si>
    <t>FESJ168687 Ajuste retroActivo</t>
  </si>
  <si>
    <t>FESJ169123</t>
  </si>
  <si>
    <t>FESJ170348</t>
  </si>
  <si>
    <t>38743 - Abono</t>
  </si>
  <si>
    <t>NC2021060073</t>
  </si>
  <si>
    <t>NC2021060073 reteF</t>
  </si>
  <si>
    <t>ARR FV05121</t>
  </si>
  <si>
    <t>ADM FV04843</t>
  </si>
  <si>
    <t>4366 - A2023 NC</t>
  </si>
  <si>
    <t>sd</t>
  </si>
  <si>
    <t>lc</t>
  </si>
  <si>
    <t>ml</t>
  </si>
  <si>
    <t>my</t>
  </si>
  <si>
    <t>CARPA - POWERSONIC</t>
  </si>
  <si>
    <t>1295 - SI054623 SI056191</t>
  </si>
  <si>
    <t>NC</t>
  </si>
  <si>
    <t>A2115</t>
  </si>
  <si>
    <t>ARR 1835</t>
  </si>
  <si>
    <t>192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</si>
</sst>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$&quot;\ #,##0;[Red]\-&quot;$&quot;\ #,##0"/>
    <numFmt numFmtId="8" formatCode="&quot;$&quot;\ #,##0.00;[Red]\-&quot;$&quot;\ #,##0.00"/>
    <numFmt numFmtId="164" formatCode="&quot;$&quot;#,##0_);[Red]\(&quot;$&quot;#,##0\)"/>
    <numFmt numFmtId="165" formatCode="&quot;$&quot;#,##0.00_);[Red]\(&quot;$&quot;#,##0.00\)"/>
    <numFmt numFmtId="166" formatCode="&quot;$&quot;\ #,##0_);[Red]\(&quot;$&quot;\ #,##0\)"/>
    <numFmt numFmtId="167" formatCode="&quot;$&quot;#,##0;[Red]\-&quot;$&quot;#,##0"/>
    <numFmt numFmtId="168" formatCode="m/d/yyyy"/>
    <numFmt numFmtId="169" formatCode="0.0%"/>
  </numFmts>
  <fonts count="7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Bell MT"/>
      <family val="1"/>
    </font>
    <font>
      <sz val="12"/>
      <name val="Bell MT"/>
      <family val="1"/>
    </font>
    <font>
      <b/>
      <sz val="12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name val="Bell MT"/>
      <family val="1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2"/>
    </font>
    <font>
      <sz val="11"/>
      <name val="Bell MT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b/>
      <sz val="12"/>
      <name val="Arial"/>
      <family val="2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color theme="1" tint="0.499984740745262"/>
      <name val="Calibri"/>
      <family val="2"/>
      <scheme val="minor"/>
    </font>
    <font>
      <sz val="11"/>
      <name val="Bell MT"/>
      <family val="1"/>
    </font>
    <font>
      <sz val="11"/>
      <name val="Bell MT"/>
      <family val="1"/>
    </font>
    <font>
      <b/>
      <sz val="11"/>
      <color theme="1"/>
      <name val="Arial"/>
      <family val="2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u/>
      <sz val="11"/>
      <color theme="10"/>
      <name val="Calibri"/>
      <family val="2"/>
      <scheme val="minor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0" fillId="0" borderId="0" applyNumberFormat="0" applyFill="0" applyBorder="0" applyAlignment="0" applyProtection="0"/>
  </cellStyleXfs>
  <cellXfs count="178">
    <xf numFmtId="0" fontId="0" fillId="0" borderId="0" xfId="0"/>
    <xf numFmtId="169" fontId="0" fillId="0" borderId="0" xfId="0" applyNumberFormat="1" applyFont="1"/>
    <xf numFmtId="6" fontId="0" fillId="0" borderId="0" xfId="0" applyNumberFormat="1" applyFont="1"/>
    <xf numFmtId="14" fontId="4" fillId="0" borderId="1" xfId="0" applyNumberFormat="1" applyFont="1" applyFill="1" applyBorder="1" applyAlignment="1" applyProtection="1">
      <alignment horizontal="center" vertical="center"/>
    </xf>
    <xf numFmtId="15" fontId="4" fillId="0" borderId="3" xfId="0" applyNumberFormat="1" applyFont="1" applyFill="1" applyBorder="1" applyAlignment="1" applyProtection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66" fontId="12" fillId="0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168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164" fontId="12" fillId="4" borderId="0" xfId="0" applyNumberFormat="1" applyFont="1" applyFill="1" applyAlignment="1">
      <alignment vertical="center"/>
    </xf>
    <xf numFmtId="165" fontId="12" fillId="0" borderId="0" xfId="0" applyNumberFormat="1" applyFont="1" applyFill="1" applyAlignment="1">
      <alignment vertical="center"/>
    </xf>
    <xf numFmtId="165" fontId="12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ont="1" applyFill="1" applyAlignment="1">
      <alignment vertical="center"/>
    </xf>
    <xf numFmtId="1" fontId="5" fillId="2" borderId="0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169" fontId="1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6" fontId="5" fillId="0" borderId="0" xfId="0" applyNumberFormat="1" applyFont="1" applyFill="1" applyBorder="1" applyAlignment="1" applyProtection="1">
      <alignment vertical="center"/>
    </xf>
    <xf numFmtId="168" fontId="6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left" vertical="center"/>
    </xf>
    <xf numFmtId="167" fontId="7" fillId="0" borderId="0" xfId="0" applyNumberFormat="1" applyFont="1" applyFill="1" applyBorder="1" applyAlignment="1" applyProtection="1">
      <alignment vertical="center"/>
    </xf>
    <xf numFmtId="167" fontId="1" fillId="0" borderId="0" xfId="0" applyNumberFormat="1" applyFont="1" applyFill="1" applyBorder="1" applyAlignment="1" applyProtection="1">
      <alignment vertical="center"/>
    </xf>
    <xf numFmtId="169" fontId="1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>
      <alignment vertical="center"/>
    </xf>
    <xf numFmtId="8" fontId="5" fillId="0" borderId="0" xfId="0" applyNumberFormat="1" applyFont="1" applyFill="1" applyBorder="1" applyAlignment="1" applyProtection="1">
      <alignment vertical="center"/>
    </xf>
    <xf numFmtId="168" fontId="7" fillId="0" borderId="0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" fillId="4" borderId="0" xfId="0" applyFont="1" applyFill="1" applyBorder="1"/>
    <xf numFmtId="8" fontId="1" fillId="4" borderId="0" xfId="0" applyNumberFormat="1" applyFont="1" applyFill="1" applyBorder="1" applyAlignment="1" applyProtection="1">
      <alignment vertical="center"/>
    </xf>
    <xf numFmtId="164" fontId="10" fillId="4" borderId="0" xfId="0" applyNumberFormat="1" applyFont="1" applyFill="1" applyBorder="1" applyAlignment="1" applyProtection="1">
      <alignment vertical="center"/>
    </xf>
    <xf numFmtId="0" fontId="5" fillId="4" borderId="0" xfId="0" applyFont="1" applyFill="1" applyBorder="1" applyAlignment="1">
      <alignment vertical="center"/>
    </xf>
    <xf numFmtId="8" fontId="5" fillId="4" borderId="0" xfId="0" applyNumberFormat="1" applyFont="1" applyFill="1" applyBorder="1" applyAlignment="1" applyProtection="1">
      <alignment vertical="center"/>
    </xf>
    <xf numFmtId="8" fontId="6" fillId="4" borderId="0" xfId="0" applyNumberFormat="1" applyFont="1" applyFill="1" applyBorder="1" applyAlignment="1" applyProtection="1">
      <alignment vertical="center"/>
    </xf>
    <xf numFmtId="0" fontId="7" fillId="4" borderId="0" xfId="0" applyFont="1" applyFill="1" applyBorder="1" applyAlignment="1" applyProtection="1">
      <alignment vertical="center"/>
    </xf>
    <xf numFmtId="8" fontId="7" fillId="4" borderId="0" xfId="0" applyNumberFormat="1" applyFont="1" applyFill="1" applyBorder="1" applyAlignment="1" applyProtection="1">
      <alignment vertical="center"/>
    </xf>
    <xf numFmtId="169" fontId="1" fillId="4" borderId="0" xfId="0" applyNumberFormat="1" applyFont="1" applyFill="1" applyBorder="1" applyAlignment="1" applyProtection="1">
      <alignment vertical="center"/>
    </xf>
    <xf numFmtId="164" fontId="12" fillId="4" borderId="0" xfId="0" applyNumberFormat="1" applyFont="1" applyFill="1" applyAlignment="1">
      <alignment horizontal="center" vertical="center"/>
    </xf>
    <xf numFmtId="0" fontId="11" fillId="4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169" fontId="14" fillId="0" borderId="0" xfId="0" applyNumberFormat="1" applyFont="1" applyFill="1" applyAlignment="1">
      <alignment vertical="center"/>
    </xf>
    <xf numFmtId="168" fontId="7" fillId="0" borderId="0" xfId="0" applyNumberFormat="1" applyFont="1" applyFill="1" applyBorder="1" applyAlignment="1" applyProtection="1">
      <alignment horizontal="right" vertical="center"/>
    </xf>
    <xf numFmtId="168" fontId="7" fillId="0" borderId="0" xfId="0" applyNumberFormat="1" applyFont="1" applyFill="1" applyAlignment="1" applyProtection="1">
      <alignment horizontal="left" vertical="center"/>
    </xf>
    <xf numFmtId="1" fontId="7" fillId="0" borderId="0" xfId="0" applyNumberFormat="1" applyFont="1" applyFill="1" applyBorder="1" applyAlignment="1" applyProtection="1">
      <alignment horizontal="left" vertical="center"/>
    </xf>
    <xf numFmtId="1" fontId="7" fillId="2" borderId="0" xfId="0" applyNumberFormat="1" applyFont="1" applyFill="1" applyBorder="1" applyAlignment="1" applyProtection="1">
      <alignment horizontal="left" vertical="center" wrapText="1"/>
    </xf>
    <xf numFmtId="1" fontId="7" fillId="4" borderId="0" xfId="0" applyNumberFormat="1" applyFont="1" applyFill="1" applyBorder="1" applyAlignment="1" applyProtection="1">
      <alignment horizontal="right" vertical="center"/>
    </xf>
    <xf numFmtId="0" fontId="7" fillId="2" borderId="0" xfId="0" applyFont="1" applyFill="1" applyBorder="1" applyAlignment="1" applyProtection="1">
      <alignment horizontal="right" vertical="center" wrapText="1"/>
    </xf>
    <xf numFmtId="14" fontId="7" fillId="4" borderId="0" xfId="0" applyNumberFormat="1" applyFont="1" applyFill="1" applyBorder="1" applyAlignment="1" applyProtection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9" fontId="8" fillId="2" borderId="0" xfId="0" applyNumberFormat="1" applyFont="1" applyFill="1" applyBorder="1" applyAlignment="1" applyProtection="1">
      <alignment horizontal="center" vertical="center" wrapText="1"/>
    </xf>
    <xf numFmtId="9" fontId="1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168" fontId="1" fillId="0" borderId="0" xfId="0" applyNumberFormat="1" applyFont="1" applyFill="1" applyBorder="1" applyAlignment="1" applyProtection="1">
      <alignment vertical="center"/>
    </xf>
    <xf numFmtId="168" fontId="8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1" fontId="8" fillId="0" borderId="0" xfId="0" applyNumberFormat="1" applyFont="1" applyFill="1" applyBorder="1" applyAlignment="1" applyProtection="1">
      <alignment vertical="center"/>
    </xf>
    <xf numFmtId="0" fontId="16" fillId="5" borderId="5" xfId="0" applyFont="1" applyFill="1" applyBorder="1" applyAlignment="1">
      <alignment vertical="center" wrapText="1"/>
    </xf>
    <xf numFmtId="0" fontId="16" fillId="6" borderId="5" xfId="0" applyFont="1" applyFill="1" applyBorder="1" applyAlignment="1">
      <alignment vertical="center" wrapText="1"/>
    </xf>
    <xf numFmtId="17" fontId="0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8" fontId="0" fillId="7" borderId="5" xfId="0" applyNumberFormat="1" applyFont="1" applyFill="1" applyBorder="1" applyAlignment="1">
      <alignment vertical="center"/>
    </xf>
    <xf numFmtId="8" fontId="0" fillId="0" borderId="5" xfId="0" applyNumberFormat="1" applyFont="1" applyBorder="1" applyAlignment="1">
      <alignment vertical="center"/>
    </xf>
    <xf numFmtId="0" fontId="19" fillId="6" borderId="0" xfId="0" applyFont="1" applyFill="1"/>
    <xf numFmtId="0" fontId="20" fillId="6" borderId="0" xfId="0" applyFont="1" applyFill="1"/>
    <xf numFmtId="0" fontId="20" fillId="5" borderId="0" xfId="0" applyFont="1" applyFill="1"/>
    <xf numFmtId="6" fontId="20" fillId="6" borderId="0" xfId="0" applyNumberFormat="1" applyFont="1" applyFill="1"/>
    <xf numFmtId="6" fontId="20" fillId="5" borderId="0" xfId="0" applyNumberFormat="1" applyFont="1" applyFill="1"/>
    <xf numFmtId="6" fontId="19" fillId="5" borderId="0" xfId="0" applyNumberFormat="1" applyFont="1" applyFill="1"/>
    <xf numFmtId="6" fontId="19" fillId="6" borderId="0" xfId="0" applyNumberFormat="1" applyFont="1" applyFill="1"/>
    <xf numFmtId="0" fontId="12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6" fontId="0" fillId="0" borderId="0" xfId="0" applyNumberFormat="1" applyAlignment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1" fontId="6" fillId="4" borderId="0" xfId="0" applyNumberFormat="1" applyFont="1" applyFill="1" applyBorder="1" applyAlignment="1" applyProtection="1">
      <alignment vertical="center"/>
    </xf>
    <xf numFmtId="6" fontId="12" fillId="0" borderId="0" xfId="0" applyNumberFormat="1" applyFont="1" applyFill="1" applyAlignment="1">
      <alignment vertical="center"/>
    </xf>
    <xf numFmtId="8" fontId="12" fillId="0" borderId="0" xfId="0" applyNumberFormat="1" applyFont="1" applyFill="1" applyAlignment="1">
      <alignment vertical="center"/>
    </xf>
    <xf numFmtId="8" fontId="11" fillId="0" borderId="2" xfId="0" applyNumberFormat="1" applyFont="1" applyFill="1" applyBorder="1" applyAlignment="1">
      <alignment horizontal="center" vertical="center" wrapText="1"/>
    </xf>
    <xf numFmtId="8" fontId="12" fillId="4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166" fontId="12" fillId="0" borderId="0" xfId="0" applyNumberFormat="1" applyFont="1" applyFill="1" applyAlignment="1">
      <alignment horizontal="right" vertical="center" readingOrder="1"/>
    </xf>
    <xf numFmtId="17" fontId="0" fillId="0" borderId="0" xfId="0" applyNumberFormat="1" applyAlignment="1">
      <alignment vertical="center"/>
    </xf>
    <xf numFmtId="8" fontId="1" fillId="4" borderId="0" xfId="0" applyNumberFormat="1" applyFont="1" applyFill="1" applyBorder="1" applyAlignment="1" applyProtection="1">
      <alignment horizontal="center" vertical="center" wrapText="1"/>
    </xf>
    <xf numFmtId="8" fontId="5" fillId="0" borderId="0" xfId="0" applyNumberFormat="1" applyFont="1" applyFill="1" applyBorder="1" applyAlignment="1" applyProtection="1">
      <alignment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22" fillId="0" borderId="0" xfId="0" applyNumberFormat="1" applyFont="1" applyFill="1" applyBorder="1" applyAlignment="1" applyProtection="1">
      <alignment vertical="center"/>
    </xf>
    <xf numFmtId="0" fontId="23" fillId="0" borderId="0" xfId="0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Border="1" applyAlignment="1" applyProtection="1">
      <alignment vertical="center"/>
    </xf>
    <xf numFmtId="0" fontId="26" fillId="0" borderId="0" xfId="0" applyNumberFormat="1" applyFont="1" applyFill="1" applyBorder="1" applyAlignment="1" applyProtection="1">
      <alignment vertical="center"/>
    </xf>
    <xf numFmtId="8" fontId="0" fillId="0" borderId="5" xfId="0" applyNumberFormat="1" applyFont="1" applyBorder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0" fontId="27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28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29" fillId="0" borderId="0" xfId="0" applyNumberFormat="1" applyFont="1" applyFill="1" applyBorder="1" applyAlignment="1" applyProtection="1">
      <alignment vertical="center"/>
    </xf>
    <xf numFmtId="14" fontId="5" fillId="0" borderId="0" xfId="0" applyNumberFormat="1" applyFont="1" applyFill="1" applyBorder="1" applyAlignment="1" applyProtection="1">
      <alignment vertical="center"/>
    </xf>
    <xf numFmtId="167" fontId="7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69" fontId="1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30" fillId="0" borderId="0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1" fontId="8" fillId="0" borderId="0" xfId="0" applyNumberFormat="1" applyFont="1" applyFill="1" applyBorder="1" applyAlignment="1" applyProtection="1">
      <alignment horizontal="left" vertical="center"/>
    </xf>
    <xf numFmtId="6" fontId="0" fillId="0" borderId="0" xfId="0" applyNumberFormat="1" applyAlignment="1">
      <alignment horizontal="right" vertical="center"/>
    </xf>
    <xf numFmtId="167" fontId="8" fillId="0" borderId="0" xfId="0" applyNumberFormat="1" applyFont="1" applyFill="1" applyBorder="1" applyAlignment="1" applyProtection="1">
      <alignment vertical="center"/>
    </xf>
    <xf numFmtId="167" fontId="32" fillId="0" borderId="0" xfId="0" applyNumberFormat="1" applyFont="1" applyAlignment="1">
      <alignment vertical="center"/>
    </xf>
    <xf numFmtId="0" fontId="33" fillId="0" borderId="0" xfId="0" applyNumberFormat="1" applyFont="1" applyFill="1" applyBorder="1" applyAlignment="1" applyProtection="1">
      <alignment vertical="center"/>
    </xf>
    <xf numFmtId="0" fontId="34" fillId="0" borderId="0" xfId="0" applyNumberFormat="1" applyFont="1" applyFill="1" applyBorder="1" applyAlignment="1" applyProtection="1">
      <alignment vertical="center"/>
    </xf>
    <xf numFmtId="0" fontId="35" fillId="0" borderId="0" xfId="0" applyNumberFormat="1" applyFont="1" applyFill="1" applyBorder="1" applyAlignment="1" applyProtection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8" fontId="0" fillId="0" borderId="0" xfId="0" applyNumberFormat="1"/>
    <xf numFmtId="0" fontId="37" fillId="0" borderId="0" xfId="0" applyNumberFormat="1" applyFont="1" applyFill="1" applyBorder="1" applyAlignment="1" applyProtection="1">
      <alignment vertical="center"/>
    </xf>
    <xf numFmtId="8" fontId="12" fillId="0" borderId="0" xfId="0" applyNumberFormat="1" applyFont="1" applyFill="1" applyAlignment="1">
      <alignment vertical="center" wrapText="1"/>
    </xf>
    <xf numFmtId="4" fontId="12" fillId="0" borderId="0" xfId="0" applyNumberFormat="1" applyFont="1" applyFill="1" applyAlignment="1">
      <alignment vertical="center"/>
    </xf>
    <xf numFmtId="0" fontId="38" fillId="0" borderId="0" xfId="0" applyNumberFormat="1" applyFont="1" applyFill="1" applyBorder="1" applyAlignment="1" applyProtection="1">
      <alignment vertical="center"/>
    </xf>
    <xf numFmtId="0" fontId="39" fillId="0" borderId="0" xfId="0" applyNumberFormat="1" applyFont="1" applyFill="1" applyBorder="1" applyAlignment="1" applyProtection="1">
      <alignment vertical="center"/>
    </xf>
    <xf numFmtId="0" fontId="40" fillId="0" borderId="0" xfId="0" applyNumberFormat="1" applyFont="1" applyFill="1" applyBorder="1" applyAlignment="1" applyProtection="1">
      <alignment vertical="center"/>
    </xf>
    <xf numFmtId="0" fontId="41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Alignment="1">
      <alignment vertical="center"/>
    </xf>
    <xf numFmtId="8" fontId="5" fillId="0" borderId="0" xfId="0" quotePrefix="1" applyNumberFormat="1" applyFont="1" applyFill="1" applyBorder="1" applyAlignment="1" applyProtection="1">
      <alignment vertical="center"/>
    </xf>
    <xf numFmtId="0" fontId="42" fillId="0" borderId="0" xfId="0" applyNumberFormat="1" applyFont="1" applyFill="1" applyBorder="1" applyAlignment="1" applyProtection="1">
      <alignment vertical="center"/>
    </xf>
    <xf numFmtId="0" fontId="43" fillId="0" borderId="0" xfId="0" applyNumberFormat="1" applyFont="1" applyFill="1" applyBorder="1" applyAlignment="1" applyProtection="1">
      <alignment vertical="center"/>
    </xf>
    <xf numFmtId="0" fontId="44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46" fillId="0" borderId="0" xfId="0" applyNumberFormat="1" applyFont="1" applyFill="1" applyBorder="1" applyAlignment="1" applyProtection="1">
      <alignment vertical="center"/>
    </xf>
    <xf numFmtId="168" fontId="6" fillId="4" borderId="0" xfId="0" applyNumberFormat="1" applyFont="1" applyFill="1" applyBorder="1" applyAlignment="1" applyProtection="1">
      <alignment vertical="center"/>
    </xf>
    <xf numFmtId="0" fontId="47" fillId="0" borderId="0" xfId="0" applyNumberFormat="1" applyFont="1" applyFill="1" applyBorder="1" applyAlignment="1" applyProtection="1">
      <alignment vertical="center"/>
    </xf>
    <xf numFmtId="0" fontId="48" fillId="4" borderId="0" xfId="0" applyFont="1" applyFill="1" applyAlignment="1">
      <alignment vertical="center"/>
    </xf>
    <xf numFmtId="168" fontId="11" fillId="0" borderId="0" xfId="0" applyNumberFormat="1" applyFont="1" applyFill="1" applyAlignment="1" applyProtection="1">
      <alignment horizontal="left" vertical="center"/>
    </xf>
    <xf numFmtId="0" fontId="49" fillId="0" borderId="0" xfId="0" applyNumberFormat="1" applyFont="1" applyFill="1" applyBorder="1" applyAlignment="1" applyProtection="1">
      <alignment vertical="center"/>
    </xf>
    <xf numFmtId="0" fontId="50" fillId="0" borderId="0" xfId="0" applyNumberFormat="1" applyFont="1" applyFill="1" applyBorder="1" applyAlignment="1" applyProtection="1">
      <alignment vertical="center"/>
    </xf>
    <xf numFmtId="6" fontId="51" fillId="6" borderId="0" xfId="0" applyNumberFormat="1" applyFont="1" applyFill="1"/>
    <xf numFmtId="6" fontId="0" fillId="6" borderId="0" xfId="0" applyNumberFormat="1" applyFill="1"/>
    <xf numFmtId="0" fontId="52" fillId="0" borderId="0" xfId="0" applyNumberFormat="1" applyFont="1" applyFill="1" applyBorder="1" applyAlignment="1" applyProtection="1">
      <alignment vertical="center"/>
    </xf>
    <xf numFmtId="0" fontId="53" fillId="0" borderId="0" xfId="0" applyNumberFormat="1" applyFont="1" applyFill="1" applyBorder="1" applyAlignment="1" applyProtection="1">
      <alignment vertical="center"/>
    </xf>
    <xf numFmtId="0" fontId="54" fillId="0" borderId="0" xfId="0" applyNumberFormat="1" applyFont="1" applyFill="1" applyBorder="1" applyAlignment="1" applyProtection="1">
      <alignment vertical="center"/>
    </xf>
    <xf numFmtId="0" fontId="55" fillId="0" borderId="0" xfId="0" applyNumberFormat="1" applyFont="1" applyFill="1" applyBorder="1" applyAlignment="1" applyProtection="1">
      <alignment vertical="center"/>
    </xf>
    <xf numFmtId="0" fontId="56" fillId="0" borderId="0" xfId="0" applyNumberFormat="1" applyFont="1" applyFill="1" applyBorder="1" applyAlignment="1" applyProtection="1">
      <alignment vertical="center"/>
    </xf>
    <xf numFmtId="0" fontId="57" fillId="0" borderId="0" xfId="0" applyNumberFormat="1" applyFont="1" applyFill="1" applyBorder="1" applyAlignment="1" applyProtection="1">
      <alignment vertical="center"/>
    </xf>
    <xf numFmtId="0" fontId="58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0" fontId="59" fillId="0" borderId="0" xfId="0" applyNumberFormat="1" applyFont="1" applyFill="1" applyBorder="1" applyAlignment="1" applyProtection="1">
      <alignment vertical="center"/>
    </xf>
    <xf numFmtId="0" fontId="60" fillId="0" borderId="0" xfId="1" applyFill="1" applyAlignment="1">
      <alignment vertical="center"/>
    </xf>
    <xf numFmtId="0" fontId="61" fillId="0" borderId="0" xfId="0" applyNumberFormat="1" applyFont="1" applyFill="1" applyBorder="1" applyAlignment="1" applyProtection="1">
      <alignment vertical="center"/>
    </xf>
    <xf numFmtId="0" fontId="62" fillId="0" borderId="0" xfId="0" applyNumberFormat="1" applyFont="1" applyFill="1" applyBorder="1" applyAlignment="1" applyProtection="1">
      <alignment vertical="center"/>
    </xf>
    <xf numFmtId="0" fontId="63" fillId="0" borderId="0" xfId="0" applyNumberFormat="1" applyFont="1" applyFill="1" applyBorder="1" applyAlignment="1" applyProtection="1">
      <alignment vertical="center"/>
    </xf>
    <xf numFmtId="0" fontId="64" fillId="0" borderId="0" xfId="0" applyNumberFormat="1" applyFont="1" applyFill="1" applyBorder="1" applyAlignment="1" applyProtection="1">
      <alignment vertical="center"/>
    </xf>
    <xf numFmtId="0" fontId="65" fillId="0" borderId="0" xfId="0" applyNumberFormat="1" applyFont="1" applyFill="1" applyBorder="1" applyAlignment="1" applyProtection="1">
      <alignment vertical="center"/>
    </xf>
    <xf numFmtId="0" fontId="66" fillId="0" borderId="0" xfId="0" applyNumberFormat="1" applyFont="1" applyFill="1" applyBorder="1" applyAlignment="1" applyProtection="1">
      <alignment vertical="center"/>
    </xf>
    <xf numFmtId="0" fontId="67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68" fillId="0" borderId="0" xfId="0" applyNumberFormat="1" applyFont="1" applyFill="1" applyBorder="1" applyAlignment="1" applyProtection="1">
      <alignment vertical="center"/>
    </xf>
    <xf numFmtId="168" fontId="12" fillId="0" borderId="0" xfId="0" applyNumberFormat="1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8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64" fontId="12" fillId="4" borderId="0" xfId="0" applyNumberFormat="1" applyFont="1" applyFill="1" applyBorder="1" applyAlignment="1">
      <alignment horizontal="center" vertical="center"/>
    </xf>
    <xf numFmtId="0" fontId="69" fillId="0" borderId="0" xfId="0" applyNumberFormat="1" applyFont="1" applyFill="1" applyBorder="1" applyAlignment="1" applyProtection="1">
      <alignment vertical="center"/>
    </xf>
    <xf numFmtId="9" fontId="7" fillId="0" borderId="0" xfId="0" applyNumberFormat="1" applyFont="1" applyFill="1" applyBorder="1" applyAlignment="1" applyProtection="1">
      <alignment vertical="center"/>
    </xf>
    <xf numFmtId="0" fontId="70" fillId="0" borderId="0" xfId="0" applyNumberFormat="1" applyFont="1" applyFill="1" applyBorder="1" applyAlignment="1" applyProtection="1">
      <alignment vertical="center"/>
    </xf>
  </cellXfs>
  <cellStyles count="2">
    <cellStyle name="Hipervínculo" xfId="1" builtinId="8"/>
    <cellStyle name="Normal" xfId="0" builtinId="0"/>
  </cellStyles>
  <dxfs count="165"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_);[Red]\(&quot;$&quot;#,##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_);[Red]\(&quot;$&quot;#,##0\)"/>
      <fill>
        <patternFill patternType="solid">
          <bgColor theme="0" tint="-0.1499984740745262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theme="0" tint="-0.1499984740745262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2" formatCode="&quot;$&quot;\ #,##0.00;[Red]\-&quot;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8" formatCode="m/d/yyyy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bgColor theme="0" tint="-0.14999847407452621"/>
        </patternFill>
      </fill>
      <alignment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theme="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0" formatCode="&quot;$&quot;\ #,##0;[Red]\-&quot;$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"/>
      <fill>
        <patternFill patternType="solid">
          <fgColor theme="4" tint="0.79998168889431442"/>
          <bgColor theme="2" tint="-0.749992370372631"/>
        </patternFill>
      </fill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rgb="FF000000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1" hidden="0"/>
    </dxf>
    <dxf>
      <font>
        <b val="0"/>
        <i val="0"/>
        <color theme="1" tint="0.34998626667073579"/>
      </font>
      <fill>
        <patternFill>
          <bgColor theme="0" tint="-0.24994659260841701"/>
        </patternFill>
      </fill>
    </dxf>
    <dxf>
      <fill>
        <patternFill>
          <bgColor rgb="FFAB6D6D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b val="0"/>
        <i val="0"/>
        <color theme="1" tint="0.34998626667073579"/>
      </font>
      <fill>
        <patternFill>
          <bgColor theme="0" tint="-0.24994659260841701"/>
        </patternFill>
      </fill>
    </dxf>
    <dxf>
      <fill>
        <patternFill>
          <bgColor rgb="FFAB6D6D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b val="0"/>
        <i val="0"/>
        <color theme="1" tint="0.34998626667073579"/>
      </font>
      <fill>
        <patternFill>
          <bgColor theme="0" tint="-0.24994659260841701"/>
        </patternFill>
      </fill>
    </dxf>
    <dxf>
      <fill>
        <patternFill>
          <bgColor rgb="FFAB6D6D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b val="0"/>
        <i val="0"/>
        <color theme="1" tint="0.34998626667073579"/>
      </font>
      <fill>
        <patternFill>
          <bgColor theme="0" tint="-0.24994659260841701"/>
        </patternFill>
      </fill>
    </dxf>
    <dxf>
      <fill>
        <patternFill>
          <bgColor rgb="FFAB6D6D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b val="0"/>
        <i val="0"/>
        <color theme="1" tint="0.34998626667073579"/>
      </font>
      <fill>
        <patternFill>
          <bgColor theme="0" tint="-0.24994659260841701"/>
        </patternFill>
      </fill>
    </dxf>
    <dxf>
      <fill>
        <patternFill>
          <bgColor rgb="FFAB6D6D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b val="0"/>
        <i val="0"/>
        <color theme="1" tint="0.34998626667073579"/>
      </font>
      <fill>
        <patternFill>
          <bgColor theme="0" tint="-0.24994659260841701"/>
        </patternFill>
      </fill>
    </dxf>
    <dxf>
      <fill>
        <patternFill>
          <bgColor rgb="FFAB6D6D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Bell MT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8" formatCode="m/d/yyyy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2" formatCode="&quot;$&quot;\ #,##0.00;[Red]\-&quot;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2" formatCode="&quot;$&quot;\ #,##0.00;[Red]\-&quot;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auto="1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Bell M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1" hidden="0"/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1" tint="0.34998626667073579"/>
      </font>
      <fill>
        <patternFill>
          <bgColor theme="0" tint="-0.14996795556505021"/>
        </patternFill>
      </fill>
    </dxf>
  </dxfs>
  <tableStyles count="1" defaultTableStyle="TableStyleMedium2" defaultPivotStyle="PivotStyleLight16">
    <tableStyle name="Estilo de tabla 1" pivot="0" count="1" xr9:uid="{50409F57-F246-4994-A2D7-E93D33FC964C}">
      <tableStyleElement type="wholeTable" dxfId="164"/>
    </tableStyle>
  </tableStyles>
  <colors>
    <mruColors>
      <color rgb="FFAB6D6D"/>
      <color rgb="FF6F3505"/>
      <color rgb="FF500000"/>
      <color rgb="FF757171"/>
      <color rgb="FF860000"/>
      <color rgb="FF4D3A64"/>
      <color rgb="FFD8CFE3"/>
      <color rgb="FF94D61E"/>
      <color rgb="FFD6CDE1"/>
      <color rgb="FFFABA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6C65E-CD70-4E29-9267-EC668DA1C2D4}" name="RETENCIONES" displayName="RETENCIONES" ref="A1:B7" totalsRowShown="0" dataDxfId="163">
  <autoFilter ref="A1:B7" xr:uid="{15AC7130-9000-4A2C-A1CA-E0715EDB13A0}"/>
  <tableColumns count="2">
    <tableColumn id="1" xr3:uid="{AF5E6C20-DE75-44FD-B821-B336DB14D551}" name="RETENCIONES" dataDxfId="162"/>
    <tableColumn id="2" xr3:uid="{31E0A111-6B66-400C-A70A-BD65962A57D2}" name="BASE DE RETENCIÓN" dataDxfId="1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6D8D99-1D8D-4CD0-A62C-8DEADB187BA9}" name="TERCEROS_INFO" displayName="TERCEROS_INFO" ref="A1:F250" totalsRowShown="0" headerRowDxfId="139" dataDxfId="138">
  <autoFilter ref="A1:F250" xr:uid="{7ED95743-F75E-4CF1-ACE5-33EBA2B81EAE}"/>
  <sortState xmlns:xlrd2="http://schemas.microsoft.com/office/spreadsheetml/2017/richdata2" ref="A2:F249">
    <sortCondition ref="A1:A249"/>
  </sortState>
  <tableColumns count="6">
    <tableColumn id="1" xr3:uid="{36A50E19-DC7A-4E16-BE4C-42C64333F9EA}" name="PROVEEDOR" dataDxfId="137"/>
    <tableColumn id="2" xr3:uid="{33B16C29-2DF5-45A1-87C1-48E44DFA4D60}" name="DIAS DE PLAZO" dataDxfId="136"/>
    <tableColumn id="3" xr3:uid="{FB09C725-92D2-4DCA-AB96-E3501A05815F}" name="IVA" dataDxfId="135"/>
    <tableColumn id="4" xr3:uid="{47EE1BEF-5743-48E9-9535-8D13DB950F0E}" name="RETENCIÓN FUENTE" dataDxfId="134"/>
    <tableColumn id="5" xr3:uid="{C601C28E-77FB-4104-BEA3-CABF7F512A2B}" name="CORREO" dataDxfId="133"/>
    <tableColumn id="6" xr3:uid="{0898AD1E-5D0B-451F-AD5F-54E60AC27BC0}" name="CUENTA BANCARIA" dataDxfId="1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VEEDORES" displayName="PROVEEDORES" ref="A1:S1867" totalsRowShown="0" headerRowDxfId="107" dataDxfId="106" tableBorderDxfId="105">
  <autoFilter ref="A1:S1867" xr:uid="{00000000-0009-0000-0100-000001000000}">
    <filterColumn colId="7">
      <filters>
        <filter val="OPELSA"/>
        <filter val="opelsa - kenex"/>
        <filter val="opelsa - powersonic"/>
        <filter val="OPELSA - TENERGY"/>
        <filter val="OPELSA - TNR - MONTBLANC"/>
        <filter val="OPELSA KENEX"/>
        <filter val="OPELSA POWERSONIC"/>
        <filter val="OPELSA TNR"/>
      </filters>
    </filterColumn>
  </autoFilter>
  <sortState xmlns:xlrd2="http://schemas.microsoft.com/office/spreadsheetml/2017/richdata2" ref="A1542:S1558">
    <sortCondition ref="G1:G1867"/>
  </sortState>
  <tableColumns count="19">
    <tableColumn id="13" xr3:uid="{00000000-0010-0000-0000-00000D000000}" name="Crédito / Contado" dataDxfId="104">
      <calculatedColumnFormula>+IF(PROVEEDORES[[#This Row],[FECHA DE PAGO]]=PROVEEDORES[[#This Row],[FECHA DE FACTURACIÓN]],"DE CONTADO","CRÉDITO")</calculatedColumnFormula>
    </tableColumn>
    <tableColumn id="6" xr3:uid="{44C0B0A2-A688-4E26-A480-9B42C3EF018E}" name="PV" dataDxfId="103">
      <calculatedColumnFormula>+IF((PROVEEDORES[[#This Row],[FECHA DE PAGO]]-PROVEEDORES[[#This Row],[FECHA DE FACTURACIÓN]])&gt;PROVEEDORES[[#This Row],[PLAZO Días]],"PAGO VENCIDO")</calculatedColumnFormula>
    </tableColumn>
    <tableColumn id="23" xr3:uid="{0ADC31DF-4124-4861-B159-C371288D9CC2}" name="PLAZO Días" dataDxfId="102">
      <calculatedColumnFormula>+VLOOKUP(PROVEEDORES[[#This Row],[PROVEEDOR]],TERCEROS_INFO[#All],2,FALSE)</calculatedColumnFormula>
    </tableColumn>
    <tableColumn id="2" xr3:uid="{CA18640B-7586-4599-A1A6-79DD9C098ECB}" name="SALDO PROVEEDOR" dataDxfId="101">
      <calculatedColumnFormula>+SUMIFS(PROVEEDORES[Total],PROVEEDORES[PROVEEDOR],PROVEEDORES[[#This Row],[PROVEEDOR]],PROVEEDORES[FECHA DE PAGO],"")</calculatedColumnFormula>
    </tableColumn>
    <tableColumn id="10" xr3:uid="{00000000-0010-0000-0000-00000A000000}" name="NOTAS" dataDxfId="100"/>
    <tableColumn id="7" xr3:uid="{2C9B9FC6-B6FA-4691-B956-6773DF789E72}" name="CORREO" dataDxfId="99">
      <calculatedColumnFormula>+VLOOKUP(PROVEEDORES[[#This Row],[PROVEEDOR]],TERCEROS_INFO[[PROVEEDOR]:[CORREO]],5,FALSE)</calculatedColumnFormula>
    </tableColumn>
    <tableColumn id="11" xr3:uid="{00000000-0010-0000-0000-00000B000000}" name="FECHA DE PAGO" dataDxfId="98"/>
    <tableColumn id="4" xr3:uid="{00000000-0010-0000-0000-000004000000}" name="PROVEEDOR" dataDxfId="97"/>
    <tableColumn id="1" xr3:uid="{00000000-0010-0000-0000-000001000000}" name="FECHA DE FACTURACIÓN" dataDxfId="96"/>
    <tableColumn id="3" xr3:uid="{00000000-0010-0000-0000-000003000000}" name="# DE FACTURA" dataDxfId="95"/>
    <tableColumn id="15" xr3:uid="{B1350CF4-DA6B-4294-A0DB-4FBB916B554A}" name="SUBTOTAL" dataDxfId="94"/>
    <tableColumn id="17" xr3:uid="{A79AB6A5-68EA-474F-A3FF-ABB7D1FAF67C}" name="descuento antes de IVA" dataDxfId="93"/>
    <tableColumn id="16" xr3:uid="{32787828-8C20-41E0-97DF-12438EA779B5}" name="IVA 19%" dataDxfId="92">
      <calculatedColumnFormula>(PROVEEDORES[[#This Row],[SUBTOTAL]]-PROVEEDORES[[#This Row],[descuento antes de IVA]])*VLOOKUP(PROVEEDORES[[#This Row],[PROVEEDOR]],TERCEROS_INFO[#All],3,FALSE)</calculatedColumnFormula>
    </tableColumn>
    <tableColumn id="18" xr3:uid="{810F2A6C-D445-432A-A959-F319CA671B12}" name="Descuento sobre subtotal %" dataDxfId="91"/>
    <tableColumn id="19" xr3:uid="{8E79B2DF-E4C8-4835-BA19-92575BA6D5A8}" name="Descuento sobre subtotal $" dataDxfId="90">
      <calculatedColumnFormula>+PROVEEDORES[[#This Row],[Descuento sobre subtotal %]]*(PROVEEDORES[[#This Row],[SUBTOTAL]]-PROVEEDORES[[#This Row],[descuento antes de IVA]])</calculatedColumnFormula>
    </tableColumn>
    <tableColumn id="20" xr3:uid="{1BB9D13F-68DF-4AEC-916C-0BDD7B333D91}" name="Rete Fuente %" dataDxfId="89">
      <calculatedColumnFormula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calculatedColumnFormula>
    </tableColumn>
    <tableColumn id="21" xr3:uid="{3708E46D-09DC-4E94-9398-61B753B43C10}" name="Rete Fuente $" dataDxfId="88">
      <calculatedColumnFormula>+(PROVEEDORES[[#This Row],[SUBTOTAL]]-PROVEEDORES[[#This Row],[descuento antes de IVA]])*PROVEEDORES[[#This Row],[Rete Fuente %]]</calculatedColumnFormula>
    </tableColumn>
    <tableColumn id="22" xr3:uid="{BC400F1B-A204-41A6-A0A2-E831AD48252C}" name="Total" dataDxfId="87">
      <calculatedColumnFormula>+PROVEEDORES[[#This Row],[SUBTOTAL]]+PROVEEDORES[[#This Row],[IVA 19%]]-PROVEEDORES[[#This Row],[descuento antes de IVA]]-PROVEEDORES[[#This Row],[Descuento sobre subtotal $]]-PROVEEDORES[[#This Row],[Rete Fuente $]]</calculatedColumnFormula>
    </tableColumn>
    <tableColumn id="12" xr3:uid="{00000000-0010-0000-0000-00000C000000}" name="Estado de la factura" dataDxfId="86">
      <calculatedColumnFormula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calculatedColumnFormula>
    </tableColumn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3970D-E1DD-4C7E-A49E-9475FDF0798F}" name="GASTOS" displayName="GASTOS" ref="A1:O47" totalsRowShown="0" headerRowDxfId="67" dataDxfId="66" tableBorderDxfId="65">
  <autoFilter ref="A1:O47" xr:uid="{00000000-0009-0000-0100-000001000000}"/>
  <sortState xmlns:xlrd2="http://schemas.microsoft.com/office/spreadsheetml/2017/richdata2" ref="A2:O47">
    <sortCondition ref="E1:E47"/>
  </sortState>
  <tableColumns count="15">
    <tableColumn id="23" xr3:uid="{15ED60B8-A27F-40F9-B49F-A4472B2AAFDB}" name="PLAZO Días" dataDxfId="64" totalsRowDxfId="63">
      <calculatedColumnFormula>+VLOOKUP(GASTOS[[#This Row],[PROVEEDOR]],TERCEROS_INFO[#All],2,FALSE)</calculatedColumnFormula>
    </tableColumn>
    <tableColumn id="10" xr3:uid="{8D5C6315-46A5-451D-A5D2-A4F340192436}" name="NOTAS" dataDxfId="62"/>
    <tableColumn id="6" xr3:uid="{DE2EFDA4-6FCC-488F-B157-5FAAC7DC252C}" name="CORREO" dataDxfId="61">
      <calculatedColumnFormula>+VLOOKUP(GASTOS[[#This Row],[PROVEEDOR]],TERCEROS_INFO[#All],5,FALSE)</calculatedColumnFormula>
    </tableColumn>
    <tableColumn id="1" xr3:uid="{78D0BC2D-85FD-42C2-97E8-DBA2C9FA515D}" name="FECHA DE pago" dataDxfId="60"/>
    <tableColumn id="4" xr3:uid="{2E1879A6-5E63-4300-B95D-FC9840DAFF3D}" name="PROVEEDOR" dataDxfId="59"/>
    <tableColumn id="2" xr3:uid="{5BCD750F-0B29-4C6E-BDA3-C36C6254E880}" name="FECHA DE FACTURACIÓN" dataDxfId="58"/>
    <tableColumn id="3" xr3:uid="{1232D6A9-C055-4E1D-9B27-DB7B3697831C}" name="# DE FACTURA" dataDxfId="57"/>
    <tableColumn id="15" xr3:uid="{C87D59C6-3FBC-443D-ABE3-F9ABB6C944E3}" name="SUBTOTAL" dataDxfId="56"/>
    <tableColumn id="17" xr3:uid="{0F4B4373-7291-4759-A66F-7CE36D33E13D}" name="descuento antes de IVA" dataDxfId="55"/>
    <tableColumn id="16" xr3:uid="{0EB34D44-2EEF-48A6-A6A5-8F0BF604CEBE}" name="IVA 19%" dataDxfId="54">
      <calculatedColumnFormula>+(GASTOS[[#This Row],[SUBTOTAL]]-GASTOS[[#This Row],[descuento antes de IVA]])*VLOOKUP(GASTOS[[#This Row],[PROVEEDOR]],TERCEROS_INFO[#All],3,FALSE)</calculatedColumnFormula>
    </tableColumn>
    <tableColumn id="5" xr3:uid="{2957D910-1183-49B6-A9E1-5A4B891432E1}" name="Descuento sobre subtotal %" dataDxfId="53"/>
    <tableColumn id="19" xr3:uid="{37FF3A0F-8166-4C47-9A51-412A883C995D}" name="Descuento sobre subtotal $" dataDxfId="52">
      <calculatedColumnFormula>+GASTOS[[#This Row],[Descuento sobre subtotal %]]*GASTOS[[#This Row],[SUBTOTAL]]</calculatedColumnFormula>
    </tableColumn>
    <tableColumn id="20" xr3:uid="{C45C6DFF-B6BE-45CE-94B4-F215B9F1F473}" name="Rete Fuente %" dataDxfId="51">
      <calculatedColumnFormula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calculatedColumnFormula>
    </tableColumn>
    <tableColumn id="21" xr3:uid="{68986295-2CA9-4992-95E0-7F0ADBC625D4}" name="Rete Fuente $" dataDxfId="50">
      <calculatedColumnFormula>+(GASTOS[[#This Row],[SUBTOTAL]]-GASTOS[[#This Row],[descuento antes de IVA]])*GASTOS[[#This Row],[Rete Fuente %]]</calculatedColumnFormula>
    </tableColumn>
    <tableColumn id="22" xr3:uid="{6AAD79AB-FBF6-4F1B-AD3F-BF4053F3F3F4}" name="Total" dataDxfId="49">
      <calculatedColumnFormula>+GASTOS[[#This Row],[SUBTOTAL]]+GASTOS[[#This Row],[IVA 19%]]-GASTOS[[#This Row],[descuento antes de IVA]]-GASTOS[[#This Row],[Descuento sobre subtotal $]]-GASTOS[[#This Row],[Rete Fuente $]]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FINANCIACION" displayName="FINANCIACION" ref="A1:J1138" totalsRowShown="0" headerRowDxfId="48" dataDxfId="47">
  <autoFilter ref="A1:J1138" xr:uid="{00000000-0009-0000-0100-000006000000}">
    <filterColumn colId="1">
      <filters>
        <filter val="Abajo DON LUCIANO"/>
      </filters>
    </filterColumn>
  </autoFilter>
  <sortState xmlns:xlrd2="http://schemas.microsoft.com/office/spreadsheetml/2017/richdata2" ref="A59:J66">
    <sortCondition ref="A1:A1138"/>
  </sortState>
  <tableColumns count="10">
    <tableColumn id="1" xr3:uid="{00000000-0010-0000-0200-000001000000}" name="Fecha" dataDxfId="46" totalsRowDxfId="45"/>
    <tableColumn id="2" xr3:uid="{00000000-0010-0000-0200-000002000000}" name="PRESTAMO" dataDxfId="44" totalsRowDxfId="43"/>
    <tableColumn id="5" xr3:uid="{00000000-0010-0000-0200-000005000000}" name="$ CAPITAL" dataDxfId="42" totalsRowDxfId="41"/>
    <tableColumn id="6" xr3:uid="{00000000-0010-0000-0200-000006000000}" name="$ INTERESES" dataDxfId="40" totalsRowDxfId="39"/>
    <tableColumn id="13" xr3:uid="{AC18AAE4-5F2F-43AA-9096-028504347CEB}" name="PAGO" dataDxfId="38" totalsRowDxfId="37">
      <calculatedColumnFormula>+IF(FINANCIACION[[#This Row],[$ CAPITAL]]&gt;=0,FINANCIACION[[#This Row],[$ CAPITAL]]+FINANCIACION[[#This Row],[$ INTERESES]],"")</calculatedColumnFormula>
    </tableColumn>
    <tableColumn id="16" xr3:uid="{4B8B17DE-D423-4092-ADCD-01A01AB7EA01}" name="SALDO" dataDxfId="36" totalsRowDxfId="35">
      <calculatedColumnFormula>+SUMIFS(FINANCIACION[$ CAPITAL],FINANCIACION[Fecha],"&lt;="&amp;FINANCIACION[[#This Row],[Fecha]],FINANCIACION[PRESTAMO],FINANCIACION[[#This Row],[PRESTAMO]])</calculatedColumnFormula>
    </tableColumn>
    <tableColumn id="9" xr3:uid="{00000000-0010-0000-0200-000009000000}" name="DETALLE" dataDxfId="34" totalsRowDxfId="33"/>
    <tableColumn id="10" xr3:uid="{00000000-0010-0000-0200-00000A000000}" name="VALOR EN DOLARES" dataDxfId="32" totalsRowDxfId="31"/>
    <tableColumn id="4" xr3:uid="{00000000-0010-0000-0200-000004000000}" name="ABONOS" dataDxfId="30" totalsRowDxfId="29">
      <calculatedColumnFormula>+IF(FINANCIACION[[#This Row],[$ CAPITAL]]&gt;0,FINANCIACION[[#This Row],[$ CAPITAL]])</calculatedColumnFormula>
    </tableColumn>
    <tableColumn id="11" xr3:uid="{00000000-0010-0000-0200-00000B000000}" name="Pagos del mes" dataDxfId="28" totalsRowDxfId="27">
      <calculatedColumnFormula>+IF(FINANCIACION[[#This Row],[$ CAPITAL]]&gt;=0,FINANCIACION[[#This Row],[$ CAPITAL]]+FINANCIACION[[#This Row],[$ INTERESES]],0)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1E4E5B-D41E-4DBC-BA0B-E05C8D02B861}" name="Tabla10" displayName="Tabla10" ref="A1:Y45" totalsRowShown="0" headerRowDxfId="26" dataDxfId="25">
  <autoFilter ref="A1:Y45" xr:uid="{0E1D4469-06DD-45C8-98F5-0FCFA256904B}"/>
  <sortState xmlns:xlrd2="http://schemas.microsoft.com/office/spreadsheetml/2017/richdata2" ref="A2:X45">
    <sortCondition ref="A1:A45"/>
  </sortState>
  <tableColumns count="25">
    <tableColumn id="1" xr3:uid="{352BFAB1-24B4-46D7-A59C-4164B96E8980}" name="PRESTAMO" dataDxfId="24"/>
    <tableColumn id="2" xr3:uid="{FF46CBE3-3FE4-4D80-9151-55810CCEECDD}" name="ene-20" dataDxfId="23">
      <calculatedColumnFormula>-SUMIFS(FINANCIACION[$ CAPITAL],
FINANCIACION[Fecha],"&lt;="&amp;EOMONTH(B$1,0),
FINANCIACION[PRESTAMO],$A2)</calculatedColumnFormula>
    </tableColumn>
    <tableColumn id="3" xr3:uid="{85ACC5CE-0195-47B7-ABA9-4C387ABFE06E}" name="feb-20" dataDxfId="22">
      <calculatedColumnFormula>-SUMIFS(FINANCIACION[$ CAPITAL],
FINANCIACION[Fecha],"&lt;="&amp;EOMONTH(C$1,0),
FINANCIACION[PRESTAMO],$A2)</calculatedColumnFormula>
    </tableColumn>
    <tableColumn id="4" xr3:uid="{412C7390-3977-4275-B40C-E5C5F973842C}" name="mar-20" dataDxfId="21">
      <calculatedColumnFormula>-SUMIFS(FINANCIACION[$ CAPITAL],
FINANCIACION[Fecha],"&lt;="&amp;EOMONTH(D$1,0),
FINANCIACION[PRESTAMO],$A2)</calculatedColumnFormula>
    </tableColumn>
    <tableColumn id="5" xr3:uid="{E638C1C5-6021-4C70-A2DC-BDA342341A20}" name="abr-20" dataDxfId="20">
      <calculatedColumnFormula>-SUMIFS(FINANCIACION[$ CAPITAL],
FINANCIACION[Fecha],"&lt;="&amp;EOMONTH(E$1,0),
FINANCIACION[PRESTAMO],$A2)</calculatedColumnFormula>
    </tableColumn>
    <tableColumn id="6" xr3:uid="{63EC7380-43D0-438D-8588-C8515F7CB2E7}" name="may-20" dataDxfId="19">
      <calculatedColumnFormula>-SUMIFS(FINANCIACION[$ CAPITAL],
FINANCIACION[Fecha],"&lt;="&amp;EOMONTH(F$1,0),
FINANCIACION[PRESTAMO],$A2)</calculatedColumnFormula>
    </tableColumn>
    <tableColumn id="7" xr3:uid="{4719D6CD-31DC-47D7-90DD-A1BD1F606836}" name="jun-20" dataDxfId="18">
      <calculatedColumnFormula>-SUMIFS(FINANCIACION[$ CAPITAL],
FINANCIACION[Fecha],"&lt;="&amp;EOMONTH(G$1,0),
FINANCIACION[PRESTAMO],$A2)</calculatedColumnFormula>
    </tableColumn>
    <tableColumn id="8" xr3:uid="{12A46C54-CCC7-4D22-8CC1-A88871C8AD16}" name="jul-20" dataDxfId="17">
      <calculatedColumnFormula>-SUMIFS(FINANCIACION[$ CAPITAL],
FINANCIACION[Fecha],"&lt;="&amp;EOMONTH(H$1,0),
FINANCIACION[PRESTAMO],$A2)</calculatedColumnFormula>
    </tableColumn>
    <tableColumn id="9" xr3:uid="{B89F12D9-BA8B-4FFE-BD6C-461F9A69DC54}" name="ago-20" dataDxfId="16">
      <calculatedColumnFormula>-SUMIFS(FINANCIACION[$ CAPITAL],
FINANCIACION[Fecha],"&lt;="&amp;EOMONTH(I$1,0),
FINANCIACION[PRESTAMO],$A2)</calculatedColumnFormula>
    </tableColumn>
    <tableColumn id="10" xr3:uid="{E0CBFE50-AEF5-4ED5-8B4D-623B2692CBD8}" name="sep-20" dataDxfId="15">
      <calculatedColumnFormula>-SUMIFS(FINANCIACION[$ CAPITAL],
FINANCIACION[Fecha],"&lt;="&amp;EOMONTH(J$1,0),
FINANCIACION[PRESTAMO],$A2)</calculatedColumnFormula>
    </tableColumn>
    <tableColumn id="11" xr3:uid="{05D32AC7-A847-49FB-9563-AE1430465BF9}" name="oct-20" dataDxfId="14">
      <calculatedColumnFormula>-SUMIFS(FINANCIACION[$ CAPITAL],
FINANCIACION[Fecha],"&lt;="&amp;EOMONTH(K$1,0),
FINANCIACION[PRESTAMO],$A2)</calculatedColumnFormula>
    </tableColumn>
    <tableColumn id="12" xr3:uid="{D8454957-507B-418E-855A-7F2B9011B923}" name="nov-20" dataDxfId="13">
      <calculatedColumnFormula>-SUMIFS(FINANCIACION[$ CAPITAL],
FINANCIACION[Fecha],"&lt;="&amp;EOMONTH(L$1,0),
FINANCIACION[PRESTAMO],$A2)</calculatedColumnFormula>
    </tableColumn>
    <tableColumn id="13" xr3:uid="{275D4071-50B0-4962-9A81-DC62D4657640}" name="dic-20" dataDxfId="12">
      <calculatedColumnFormula>-SUMIFS(FINANCIACION[$ CAPITAL],
FINANCIACION[Fecha],"&lt;="&amp;EOMONTH(M$1,0),
FINANCIACION[PRESTAMO],$A2)</calculatedColumnFormula>
    </tableColumn>
    <tableColumn id="14" xr3:uid="{2B557E5C-AC27-41FE-8DFA-A7BF147C7F35}" name="ene-21" dataDxfId="11">
      <calculatedColumnFormula>-SUMIFS(FINANCIACION[$ CAPITAL],
FINANCIACION[Fecha],"&lt;="&amp;EOMONTH(N$1,0),
FINANCIACION[PRESTAMO],$A2)</calculatedColumnFormula>
    </tableColumn>
    <tableColumn id="15" xr3:uid="{8C66D401-54F2-41E3-90F1-96A5620A0982}" name="feb-21" dataDxfId="10">
      <calculatedColumnFormula>-SUMIFS(FINANCIACION[$ CAPITAL],
FINANCIACION[Fecha],"&lt;="&amp;EOMONTH(O$1,0),
FINANCIACION[PRESTAMO],$A2)</calculatedColumnFormula>
    </tableColumn>
    <tableColumn id="16" xr3:uid="{222EB924-D0AF-46A5-BF28-38F90D88C37E}" name="mar-21" dataDxfId="9">
      <calculatedColumnFormula>-SUMIFS(FINANCIACION[$ CAPITAL],
FINANCIACION[Fecha],"&lt;="&amp;EOMONTH(P$1,0),
FINANCIACION[PRESTAMO],$A2)</calculatedColumnFormula>
    </tableColumn>
    <tableColumn id="18" xr3:uid="{B17AED81-1D07-47AA-9E5B-58794FC2E557}" name="abr-21" dataDxfId="8">
      <calculatedColumnFormula>-SUMIFS(FINANCIACION[$ CAPITAL],
FINANCIACION[Fecha],"&lt;="&amp;EOMONTH(Q$1,0),
FINANCIACION[PRESTAMO],$A2)</calculatedColumnFormula>
    </tableColumn>
    <tableColumn id="17" xr3:uid="{E6393113-2F4A-4D73-889E-5C45B240BF18}" name="may-21" dataDxfId="7">
      <calculatedColumnFormula>-SUMIFS(FINANCIACION[$ CAPITAL],
FINANCIACION[Fecha],"&lt;="&amp;EOMONTH(R$1,0),
FINANCIACION[PRESTAMO],$A2)</calculatedColumnFormula>
    </tableColumn>
    <tableColumn id="19" xr3:uid="{44820D18-784B-4D8E-9233-AB03131C58A9}" name="jun-21" dataDxfId="6">
      <calculatedColumnFormula>-SUMIFS(FINANCIACION[$ CAPITAL],
FINANCIACION[Fecha],"&lt;="&amp;EOMONTH(S$1,0),
FINANCIACION[PRESTAMO],$A2)</calculatedColumnFormula>
    </tableColumn>
    <tableColumn id="22" xr3:uid="{1C5C170C-82C7-4291-AF61-DCADF0749248}" name="jul-21" dataDxfId="5">
      <calculatedColumnFormula>-SUMIFS(FINANCIACION[$ CAPITAL],
FINANCIACION[Fecha],"&lt;="&amp;EOMONTH(T$1,0),
FINANCIACION[PRESTAMO],$A2)</calculatedColumnFormula>
    </tableColumn>
    <tableColumn id="23" xr3:uid="{AB4DC181-30C2-41B0-8BD5-B1D92F0B09FC}" name="ago-21" dataDxfId="4">
      <calculatedColumnFormula>-SUMIFS(FINANCIACION[$ CAPITAL],
FINANCIACION[Fecha],"&lt;="&amp;EOMONTH(U$1,0),
FINANCIACION[PRESTAMO],$A2)</calculatedColumnFormula>
    </tableColumn>
    <tableColumn id="20" xr3:uid="{AE884B4E-E55B-4BF3-B332-ECCCFB9F33ED}" name="sep-21" dataDxfId="3">
      <calculatedColumnFormula>-SUMIFS(FINANCIACION[$ CAPITAL],
FINANCIACION[Fecha],"&lt;="&amp;EOMONTH(V$1,0),
FINANCIACION[PRESTAMO],$A2)</calculatedColumnFormula>
    </tableColumn>
    <tableColumn id="25" xr3:uid="{60E44DFB-2F64-4FBB-A99F-4DE41C5C2663}" name="oct-21" dataDxfId="2">
      <calculatedColumnFormula>-SUMIFS(FINANCIACION[$ CAPITAL],
FINANCIACION[Fecha],"&lt;="&amp;EOMONTH(W$1,0),
FINANCIACION[PRESTAMO],$A2)</calculatedColumnFormula>
    </tableColumn>
    <tableColumn id="21" xr3:uid="{F2D8FFEE-DDE1-4321-8B91-585BD71174DE}" name="nov-21" dataDxfId="1">
      <calculatedColumnFormula>-SUMIFS(FINANCIACION[$ CAPITAL],
FINANCIACION[Fecha],"&lt;="&amp;EOMONTH(X$1,0),
FINANCIACION[PRESTAMO],$A2)</calculatedColumnFormula>
    </tableColumn>
    <tableColumn id="29" xr3:uid="{7D18C2CF-4C7B-446F-8DE6-53A8FB922137}" name="dic-21" dataDxfId="0">
      <calculatedColumnFormula>-SUMIFS(FINANCIACION[$ CAPITAL],
FINANCIACION[Fecha],"&lt;="&amp;EOMONTH(Y$1,0),
FINANCIACION[PRESTAMO],$A2)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essica.barrios@carpainternacional;girlesa.ruiz@servipilas.com;joriescobar64@gmail.com" TargetMode="External"/><Relationship Id="rId13" Type="http://schemas.openxmlformats.org/officeDocument/2006/relationships/hyperlink" Target="mailto:jessica.barrios@carpainternacional;girlesa.ruiz@servipilas.com;joriescobar64@gmail.com" TargetMode="External"/><Relationship Id="rId3" Type="http://schemas.openxmlformats.org/officeDocument/2006/relationships/hyperlink" Target="mailto:jarlysas@gmail.com;o.clockinternational@gmail.com;girlesa.ruiz@servipilas.com;joriescobar64@gmail.com" TargetMode="External"/><Relationship Id="rId7" Type="http://schemas.openxmlformats.org/officeDocument/2006/relationships/hyperlink" Target="mailto:alexenriquez73.ae@gmail.com;girlesa.ruiz@servipilas.com;joriescobar64@gmail.com;info@servipilas.com" TargetMode="External"/><Relationship Id="rId12" Type="http://schemas.openxmlformats.org/officeDocument/2006/relationships/hyperlink" Target="mailto:jmacias@nanicastation.com.co;facturas@nanicastation.com.co;girlesa.ruiz@servipilas.com;joriescobar64@gmail.com" TargetMode="External"/><Relationship Id="rId17" Type="http://schemas.openxmlformats.org/officeDocument/2006/relationships/table" Target="../tables/table2.xml"/><Relationship Id="rId2" Type="http://schemas.openxmlformats.org/officeDocument/2006/relationships/hyperlink" Target="mailto:globalpowerc2018@gmail.com;girlesa.ruiz@servipilas.com;joriescobar64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propertymarketingsas@hotmail.com;girlesa.ruiz@servipilas.com;joriescobar64@gmail.com" TargetMode="External"/><Relationship Id="rId6" Type="http://schemas.openxmlformats.org/officeDocument/2006/relationships/hyperlink" Target="mailto:jarlysas@gmail.com;o.clockinternational@gmail.com;girlesa.ruiz@servipilas.com;joriescobar64@gmail.com" TargetMode="External"/><Relationship Id="rId11" Type="http://schemas.openxmlformats.org/officeDocument/2006/relationships/hyperlink" Target="mailto:jessica.barrios@carpainternacional;girlesa.ruiz@servipilas.com;joriescobar64@gmail.com" TargetMode="External"/><Relationship Id="rId5" Type="http://schemas.openxmlformats.org/officeDocument/2006/relationships/hyperlink" Target="mailto:jarlysas@gmail.com;o.clockinternational@gmail.com;girlesa.ruiz@servipilas.com;joriescobar64@gmail.com" TargetMode="External"/><Relationship Id="rId15" Type="http://schemas.openxmlformats.org/officeDocument/2006/relationships/hyperlink" Target="mailto:jessica.barrios@carpainternacional;girlesa.ruiz@servipilas.com;joriescobar64@gmail.com" TargetMode="External"/><Relationship Id="rId10" Type="http://schemas.openxmlformats.org/officeDocument/2006/relationships/hyperlink" Target="mailto:ventasonline@disantioquia.com.co;girlesa.ruiz@servipilas.com;joriescobar64@gmail.com" TargetMode="External"/><Relationship Id="rId4" Type="http://schemas.openxmlformats.org/officeDocument/2006/relationships/hyperlink" Target="mailto:jarlysas@gmail.com;o.clockinternational@gmail.com;girlesa.ruiz@servipilas.com;joriescobar64@gmail.com" TargetMode="External"/><Relationship Id="rId9" Type="http://schemas.openxmlformats.org/officeDocument/2006/relationships/hyperlink" Target="mailto:financiero@dmariocolombia.com;cartera@dmariocolombia.com.co;girlesa.ruiz@servipilas.com;joriescobar64@gmail.com" TargetMode="External"/><Relationship Id="rId14" Type="http://schemas.openxmlformats.org/officeDocument/2006/relationships/hyperlink" Target="mailto:lpena@tbplusenergy.com;girlesa.ruiz@servipilas.com;joriescobar64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CADD-6A68-4762-9F6D-CC040449CF7B}">
  <sheetPr codeName="Hoja3"/>
  <dimension ref="A1:B7"/>
  <sheetViews>
    <sheetView workbookViewId="0"/>
  </sheetViews>
  <sheetFormatPr baseColWidth="10" defaultRowHeight="15" x14ac:dyDescent="0.25"/>
  <sheetData>
    <row r="1" spans="1:2" x14ac:dyDescent="0.25">
      <c r="A1" t="s">
        <v>305</v>
      </c>
      <c r="B1" t="s">
        <v>306</v>
      </c>
    </row>
    <row r="2" spans="1:2" x14ac:dyDescent="0.25">
      <c r="A2" s="1">
        <v>0</v>
      </c>
      <c r="B2" s="2">
        <v>0</v>
      </c>
    </row>
    <row r="3" spans="1:2" x14ac:dyDescent="0.25">
      <c r="A3" s="1">
        <v>0.01</v>
      </c>
      <c r="B3" s="2">
        <v>145000</v>
      </c>
    </row>
    <row r="4" spans="1:2" x14ac:dyDescent="0.25">
      <c r="A4" s="1">
        <v>2.5000000000000001E-2</v>
      </c>
      <c r="B4" s="2">
        <v>980000</v>
      </c>
    </row>
    <row r="5" spans="1:2" x14ac:dyDescent="0.25">
      <c r="A5" s="1">
        <v>3.5000000000000003E-2</v>
      </c>
      <c r="B5" s="2">
        <v>980000</v>
      </c>
    </row>
    <row r="6" spans="1:2" x14ac:dyDescent="0.25">
      <c r="A6" s="1">
        <v>0.04</v>
      </c>
      <c r="B6" s="2">
        <v>0</v>
      </c>
    </row>
    <row r="7" spans="1:2" x14ac:dyDescent="0.25">
      <c r="A7" s="1">
        <v>0.11</v>
      </c>
      <c r="B7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D0D9-3698-4ED1-860D-1FB619299F45}">
  <sheetPr codeName="Hoja4"/>
  <dimension ref="A1:B1"/>
  <sheetViews>
    <sheetView workbookViewId="0"/>
  </sheetViews>
  <sheetFormatPr baseColWidth="10" defaultRowHeight="15" x14ac:dyDescent="0.25"/>
  <cols>
    <col min="1" max="2" width="21.42578125" customWidth="1"/>
  </cols>
  <sheetData>
    <row r="1" spans="1:2" ht="26.25" x14ac:dyDescent="0.25">
      <c r="A1" s="3" t="s">
        <v>0</v>
      </c>
      <c r="B1" s="4">
        <f ca="1">+TODAY()</f>
        <v>44657</v>
      </c>
    </row>
  </sheetData>
  <protectedRanges>
    <protectedRange sqref="B1" name="Rang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56BA-D9EB-4E90-AF1E-28BABDF33B05}">
  <sheetPr codeName="Hoja5"/>
  <dimension ref="A1:F250"/>
  <sheetViews>
    <sheetView topLeftCell="A180" zoomScale="115" zoomScaleNormal="115" workbookViewId="0">
      <selection activeCell="C180" sqref="C180"/>
    </sheetView>
  </sheetViews>
  <sheetFormatPr baseColWidth="10" defaultColWidth="10.85546875" defaultRowHeight="21" customHeight="1" x14ac:dyDescent="0.25"/>
  <cols>
    <col min="1" max="1" width="33.42578125" style="145" customWidth="1"/>
    <col min="2" max="2" width="12.42578125" style="17" customWidth="1"/>
    <col min="3" max="3" width="9.5703125" style="17" customWidth="1"/>
    <col min="4" max="4" width="11.140625" style="17" customWidth="1"/>
    <col min="5" max="5" width="33.5703125" style="17" customWidth="1"/>
    <col min="6" max="6" width="27.5703125" style="17" customWidth="1"/>
    <col min="7" max="16384" width="10.85546875" style="17"/>
  </cols>
  <sheetData>
    <row r="1" spans="1:6" s="16" customFormat="1" ht="30" x14ac:dyDescent="0.25">
      <c r="A1" s="146" t="s">
        <v>3</v>
      </c>
      <c r="B1" s="51" t="s">
        <v>245</v>
      </c>
      <c r="C1" s="51" t="s">
        <v>31</v>
      </c>
      <c r="D1" s="51" t="s">
        <v>246</v>
      </c>
      <c r="E1" s="53" t="s">
        <v>247</v>
      </c>
      <c r="F1" s="52" t="s">
        <v>307</v>
      </c>
    </row>
    <row r="2" spans="1:6" ht="21" customHeight="1" x14ac:dyDescent="0.25">
      <c r="A2" s="146" t="s">
        <v>88</v>
      </c>
      <c r="B2" s="54">
        <v>30</v>
      </c>
      <c r="C2" s="55">
        <v>0.19</v>
      </c>
      <c r="D2" s="55">
        <v>2.5000000000000001E-2</v>
      </c>
      <c r="E2" s="53" t="s">
        <v>388</v>
      </c>
      <c r="F2" s="53"/>
    </row>
    <row r="3" spans="1:6" ht="21" customHeight="1" x14ac:dyDescent="0.25">
      <c r="A3" s="146" t="s">
        <v>494</v>
      </c>
      <c r="B3" s="54">
        <v>30</v>
      </c>
      <c r="C3" s="55">
        <v>0</v>
      </c>
      <c r="D3" s="55">
        <v>0</v>
      </c>
      <c r="E3" s="53" t="s">
        <v>388</v>
      </c>
      <c r="F3" s="53"/>
    </row>
    <row r="4" spans="1:6" ht="21" customHeight="1" x14ac:dyDescent="0.25">
      <c r="A4" s="146" t="s">
        <v>986</v>
      </c>
      <c r="B4" s="54">
        <v>30</v>
      </c>
      <c r="C4" s="55">
        <v>0</v>
      </c>
      <c r="D4" s="55">
        <v>0</v>
      </c>
      <c r="E4" s="53"/>
      <c r="F4" s="53"/>
    </row>
    <row r="5" spans="1:6" ht="21" customHeight="1" x14ac:dyDescent="0.25">
      <c r="A5" s="146" t="s">
        <v>248</v>
      </c>
      <c r="B5" s="54">
        <v>30</v>
      </c>
      <c r="C5" s="55">
        <v>0</v>
      </c>
      <c r="D5" s="55">
        <v>0</v>
      </c>
      <c r="E5" s="53" t="s">
        <v>388</v>
      </c>
      <c r="F5" s="53"/>
    </row>
    <row r="6" spans="1:6" ht="21" customHeight="1" x14ac:dyDescent="0.25">
      <c r="A6" s="146" t="s">
        <v>249</v>
      </c>
      <c r="B6" s="54">
        <v>30</v>
      </c>
      <c r="C6" s="55">
        <v>0</v>
      </c>
      <c r="D6" s="55">
        <v>0</v>
      </c>
      <c r="E6" s="53" t="s">
        <v>388</v>
      </c>
      <c r="F6" s="53"/>
    </row>
    <row r="7" spans="1:6" ht="21" customHeight="1" x14ac:dyDescent="0.25">
      <c r="A7" s="146" t="s">
        <v>508</v>
      </c>
      <c r="B7" s="54">
        <v>30</v>
      </c>
      <c r="C7" s="55">
        <v>0</v>
      </c>
      <c r="D7" s="55">
        <v>0</v>
      </c>
      <c r="E7" s="53" t="s">
        <v>388</v>
      </c>
      <c r="F7" s="53"/>
    </row>
    <row r="8" spans="1:6" ht="21" customHeight="1" x14ac:dyDescent="0.25">
      <c r="A8" s="146" t="s">
        <v>250</v>
      </c>
      <c r="B8" s="54">
        <v>30</v>
      </c>
      <c r="C8" s="55">
        <v>0</v>
      </c>
      <c r="D8" s="55">
        <v>0</v>
      </c>
      <c r="E8" s="53" t="s">
        <v>388</v>
      </c>
      <c r="F8" s="53"/>
    </row>
    <row r="9" spans="1:6" ht="21" customHeight="1" x14ac:dyDescent="0.25">
      <c r="A9" s="146" t="s">
        <v>708</v>
      </c>
      <c r="B9" s="54">
        <v>0</v>
      </c>
      <c r="C9" s="55">
        <v>0</v>
      </c>
      <c r="D9" s="55">
        <v>0</v>
      </c>
      <c r="E9" s="53"/>
      <c r="F9" s="53"/>
    </row>
    <row r="10" spans="1:6" ht="21" customHeight="1" x14ac:dyDescent="0.25">
      <c r="A10" s="146" t="s">
        <v>874</v>
      </c>
      <c r="B10" s="54">
        <v>30</v>
      </c>
      <c r="C10" s="55">
        <v>0</v>
      </c>
      <c r="D10" s="55">
        <v>0</v>
      </c>
      <c r="E10" s="53"/>
      <c r="F10" s="53"/>
    </row>
    <row r="11" spans="1:6" ht="21" customHeight="1" x14ac:dyDescent="0.25">
      <c r="A11" s="146" t="s">
        <v>680</v>
      </c>
      <c r="B11" s="54">
        <v>30</v>
      </c>
      <c r="C11" s="55">
        <v>0</v>
      </c>
      <c r="D11" s="55">
        <v>0</v>
      </c>
      <c r="E11" s="53"/>
      <c r="F11" s="53"/>
    </row>
    <row r="12" spans="1:6" ht="21" customHeight="1" x14ac:dyDescent="0.25">
      <c r="A12" s="146" t="s">
        <v>251</v>
      </c>
      <c r="B12" s="54">
        <v>30</v>
      </c>
      <c r="C12" s="55">
        <v>0</v>
      </c>
      <c r="D12" s="55">
        <v>0</v>
      </c>
      <c r="E12" s="53" t="s">
        <v>388</v>
      </c>
      <c r="F12" s="53"/>
    </row>
    <row r="13" spans="1:6" ht="21" customHeight="1" x14ac:dyDescent="0.25">
      <c r="A13" s="146" t="s">
        <v>252</v>
      </c>
      <c r="B13" s="54">
        <v>30</v>
      </c>
      <c r="C13" s="55">
        <v>0</v>
      </c>
      <c r="D13" s="55">
        <v>0</v>
      </c>
      <c r="E13" s="53" t="s">
        <v>388</v>
      </c>
      <c r="F13" s="53"/>
    </row>
    <row r="14" spans="1:6" ht="21" customHeight="1" x14ac:dyDescent="0.25">
      <c r="A14" s="146" t="s">
        <v>253</v>
      </c>
      <c r="B14" s="54">
        <v>30</v>
      </c>
      <c r="C14" s="55">
        <v>0</v>
      </c>
      <c r="D14" s="55">
        <v>0</v>
      </c>
      <c r="E14" s="53" t="s">
        <v>388</v>
      </c>
      <c r="F14" s="53"/>
    </row>
    <row r="15" spans="1:6" ht="21" customHeight="1" x14ac:dyDescent="0.25">
      <c r="A15" s="146" t="s">
        <v>254</v>
      </c>
      <c r="B15" s="54">
        <v>30</v>
      </c>
      <c r="C15" s="55">
        <v>0</v>
      </c>
      <c r="D15" s="55">
        <v>0</v>
      </c>
      <c r="E15" s="53" t="s">
        <v>388</v>
      </c>
      <c r="F15" s="53"/>
    </row>
    <row r="16" spans="1:6" ht="21" customHeight="1" x14ac:dyDescent="0.25">
      <c r="A16" s="146" t="s">
        <v>255</v>
      </c>
      <c r="B16" s="54">
        <v>30</v>
      </c>
      <c r="C16" s="55">
        <v>0</v>
      </c>
      <c r="D16" s="55">
        <v>0</v>
      </c>
      <c r="E16" s="53" t="s">
        <v>388</v>
      </c>
      <c r="F16" s="53"/>
    </row>
    <row r="17" spans="1:6" ht="21" customHeight="1" x14ac:dyDescent="0.25">
      <c r="A17" s="146" t="s">
        <v>256</v>
      </c>
      <c r="B17" s="54">
        <v>30</v>
      </c>
      <c r="C17" s="55">
        <v>0</v>
      </c>
      <c r="D17" s="55">
        <v>0</v>
      </c>
      <c r="E17" s="53" t="s">
        <v>388</v>
      </c>
      <c r="F17" s="53"/>
    </row>
    <row r="18" spans="1:6" ht="21" customHeight="1" x14ac:dyDescent="0.25">
      <c r="A18" s="146" t="s">
        <v>385</v>
      </c>
      <c r="B18" s="54">
        <v>30</v>
      </c>
      <c r="C18" s="55">
        <v>0</v>
      </c>
      <c r="D18" s="55">
        <v>0</v>
      </c>
      <c r="E18" s="53" t="s">
        <v>388</v>
      </c>
      <c r="F18" s="53"/>
    </row>
    <row r="19" spans="1:6" ht="21" customHeight="1" x14ac:dyDescent="0.25">
      <c r="A19" s="146" t="s">
        <v>1016</v>
      </c>
      <c r="B19" s="54">
        <v>30</v>
      </c>
      <c r="C19" s="55">
        <v>0</v>
      </c>
      <c r="D19" s="55">
        <v>0</v>
      </c>
      <c r="E19" s="53"/>
      <c r="F19" s="53"/>
    </row>
    <row r="20" spans="1:6" ht="21" customHeight="1" x14ac:dyDescent="0.25">
      <c r="A20" s="146" t="s">
        <v>257</v>
      </c>
      <c r="B20" s="54">
        <v>30</v>
      </c>
      <c r="C20" s="55">
        <v>0</v>
      </c>
      <c r="D20" s="55">
        <v>0</v>
      </c>
      <c r="E20" s="53" t="s">
        <v>388</v>
      </c>
      <c r="F20" s="53"/>
    </row>
    <row r="21" spans="1:6" ht="21" customHeight="1" x14ac:dyDescent="0.25">
      <c r="A21" s="146" t="s">
        <v>258</v>
      </c>
      <c r="B21" s="54">
        <v>30</v>
      </c>
      <c r="C21" s="55">
        <v>0</v>
      </c>
      <c r="D21" s="55">
        <v>0</v>
      </c>
      <c r="E21" s="53" t="s">
        <v>543</v>
      </c>
      <c r="F21" s="53"/>
    </row>
    <row r="22" spans="1:6" ht="21" customHeight="1" x14ac:dyDescent="0.25">
      <c r="A22" s="146" t="s">
        <v>814</v>
      </c>
      <c r="B22" s="54">
        <v>30</v>
      </c>
      <c r="C22" s="55">
        <v>0</v>
      </c>
      <c r="D22" s="55">
        <v>0</v>
      </c>
      <c r="E22" s="53" t="s">
        <v>801</v>
      </c>
      <c r="F22" s="53"/>
    </row>
    <row r="23" spans="1:6" ht="21" customHeight="1" x14ac:dyDescent="0.25">
      <c r="A23" s="146" t="s">
        <v>699</v>
      </c>
      <c r="B23" s="54">
        <v>30</v>
      </c>
      <c r="C23" s="55">
        <v>0</v>
      </c>
      <c r="D23" s="55">
        <v>0</v>
      </c>
      <c r="E23" s="53"/>
      <c r="F23" s="53"/>
    </row>
    <row r="24" spans="1:6" ht="21" customHeight="1" x14ac:dyDescent="0.25">
      <c r="A24" s="146" t="s">
        <v>984</v>
      </c>
      <c r="B24" s="54">
        <v>30</v>
      </c>
      <c r="C24" s="55">
        <v>0</v>
      </c>
      <c r="D24" s="55">
        <v>0</v>
      </c>
      <c r="E24" s="53"/>
      <c r="F24" s="53"/>
    </row>
    <row r="25" spans="1:6" ht="21" customHeight="1" x14ac:dyDescent="0.25">
      <c r="A25" s="146" t="s">
        <v>542</v>
      </c>
      <c r="B25" s="54">
        <v>30</v>
      </c>
      <c r="C25" s="55">
        <v>0</v>
      </c>
      <c r="D25" s="55">
        <v>0</v>
      </c>
      <c r="E25" s="53"/>
      <c r="F25" s="53"/>
    </row>
    <row r="26" spans="1:6" ht="21" customHeight="1" x14ac:dyDescent="0.25">
      <c r="A26" s="146" t="s">
        <v>259</v>
      </c>
      <c r="B26" s="54">
        <v>90</v>
      </c>
      <c r="C26" s="55">
        <v>0</v>
      </c>
      <c r="D26" s="55">
        <v>0</v>
      </c>
      <c r="E26" s="53" t="s">
        <v>388</v>
      </c>
      <c r="F26" s="53"/>
    </row>
    <row r="27" spans="1:6" ht="21" customHeight="1" x14ac:dyDescent="0.25">
      <c r="A27" s="146" t="s">
        <v>260</v>
      </c>
      <c r="B27" s="54">
        <v>30</v>
      </c>
      <c r="C27" s="55">
        <v>0</v>
      </c>
      <c r="D27" s="55">
        <v>0</v>
      </c>
      <c r="E27" s="53" t="s">
        <v>388</v>
      </c>
      <c r="F27" s="53"/>
    </row>
    <row r="28" spans="1:6" ht="21" customHeight="1" x14ac:dyDescent="0.25">
      <c r="A28" s="146" t="s">
        <v>261</v>
      </c>
      <c r="B28" s="54">
        <v>30</v>
      </c>
      <c r="C28" s="55">
        <v>0</v>
      </c>
      <c r="D28" s="55">
        <v>0</v>
      </c>
      <c r="E28" s="53" t="s">
        <v>388</v>
      </c>
      <c r="F28" s="53" t="s">
        <v>422</v>
      </c>
    </row>
    <row r="29" spans="1:6" ht="21" customHeight="1" x14ac:dyDescent="0.25">
      <c r="A29" s="146" t="s">
        <v>544</v>
      </c>
      <c r="B29" s="54">
        <v>30</v>
      </c>
      <c r="C29" s="55">
        <v>0</v>
      </c>
      <c r="D29" s="55">
        <v>0</v>
      </c>
      <c r="E29" s="53"/>
      <c r="F29" s="53"/>
    </row>
    <row r="30" spans="1:6" ht="21" customHeight="1" x14ac:dyDescent="0.25">
      <c r="A30" s="146" t="s">
        <v>262</v>
      </c>
      <c r="B30" s="54">
        <v>30</v>
      </c>
      <c r="C30" s="55">
        <v>0</v>
      </c>
      <c r="D30" s="55">
        <v>0</v>
      </c>
      <c r="E30" s="53" t="s">
        <v>388</v>
      </c>
      <c r="F30" s="53"/>
    </row>
    <row r="31" spans="1:6" ht="21" customHeight="1" x14ac:dyDescent="0.25">
      <c r="A31" s="146" t="s">
        <v>263</v>
      </c>
      <c r="B31" s="54">
        <v>30</v>
      </c>
      <c r="C31" s="55">
        <v>0</v>
      </c>
      <c r="D31" s="55">
        <v>0</v>
      </c>
      <c r="E31" s="53" t="s">
        <v>388</v>
      </c>
      <c r="F31" s="53"/>
    </row>
    <row r="32" spans="1:6" ht="21" customHeight="1" x14ac:dyDescent="0.25">
      <c r="A32" s="146" t="s">
        <v>264</v>
      </c>
      <c r="B32" s="54">
        <v>30</v>
      </c>
      <c r="C32" s="55">
        <v>0</v>
      </c>
      <c r="D32" s="55">
        <v>0</v>
      </c>
      <c r="E32" s="53" t="s">
        <v>388</v>
      </c>
      <c r="F32" s="53"/>
    </row>
    <row r="33" spans="1:6" ht="21" customHeight="1" x14ac:dyDescent="0.25">
      <c r="A33" s="146" t="s">
        <v>841</v>
      </c>
      <c r="B33" s="54">
        <v>30</v>
      </c>
      <c r="C33" s="55">
        <v>0</v>
      </c>
      <c r="D33" s="55">
        <v>0</v>
      </c>
      <c r="E33" s="53" t="s">
        <v>890</v>
      </c>
      <c r="F33" s="53"/>
    </row>
    <row r="34" spans="1:6" ht="21" customHeight="1" x14ac:dyDescent="0.25">
      <c r="A34" s="146" t="s">
        <v>265</v>
      </c>
      <c r="B34" s="54">
        <v>90</v>
      </c>
      <c r="C34" s="55">
        <v>0</v>
      </c>
      <c r="D34" s="55">
        <v>0</v>
      </c>
      <c r="E34" s="53" t="s">
        <v>388</v>
      </c>
      <c r="F34" s="53"/>
    </row>
    <row r="35" spans="1:6" ht="21" customHeight="1" x14ac:dyDescent="0.25">
      <c r="A35" s="146" t="s">
        <v>611</v>
      </c>
      <c r="B35" s="54">
        <v>30</v>
      </c>
      <c r="C35" s="55">
        <v>0</v>
      </c>
      <c r="D35" s="55">
        <v>0</v>
      </c>
      <c r="E35" s="53"/>
      <c r="F35" s="53"/>
    </row>
    <row r="36" spans="1:6" ht="21" customHeight="1" x14ac:dyDescent="0.25">
      <c r="A36" s="146" t="s">
        <v>1007</v>
      </c>
      <c r="B36" s="54">
        <v>60</v>
      </c>
      <c r="C36" s="55">
        <v>0</v>
      </c>
      <c r="D36" s="55">
        <v>0</v>
      </c>
      <c r="E36" s="53"/>
      <c r="F36" s="53"/>
    </row>
    <row r="37" spans="1:6" ht="21" customHeight="1" x14ac:dyDescent="0.25">
      <c r="A37" s="146" t="s">
        <v>266</v>
      </c>
      <c r="B37" s="54">
        <v>30</v>
      </c>
      <c r="C37" s="55">
        <v>0</v>
      </c>
      <c r="D37" s="55">
        <v>0</v>
      </c>
      <c r="E37" s="53" t="s">
        <v>388</v>
      </c>
      <c r="F37" s="53"/>
    </row>
    <row r="38" spans="1:6" ht="21" customHeight="1" x14ac:dyDescent="0.25">
      <c r="A38" s="146" t="s">
        <v>718</v>
      </c>
      <c r="B38" s="54">
        <v>30</v>
      </c>
      <c r="C38" s="55">
        <v>0</v>
      </c>
      <c r="D38" s="55">
        <v>0</v>
      </c>
      <c r="E38" s="53"/>
      <c r="F38" s="53"/>
    </row>
    <row r="39" spans="1:6" ht="21" customHeight="1" x14ac:dyDescent="0.25">
      <c r="A39" s="146" t="s">
        <v>267</v>
      </c>
      <c r="B39" s="54">
        <v>30</v>
      </c>
      <c r="C39" s="55">
        <v>0</v>
      </c>
      <c r="D39" s="55">
        <v>0</v>
      </c>
      <c r="E39" s="53" t="s">
        <v>388</v>
      </c>
      <c r="F39" s="53"/>
    </row>
    <row r="40" spans="1:6" ht="21" customHeight="1" x14ac:dyDescent="0.25">
      <c r="A40" s="146" t="s">
        <v>268</v>
      </c>
      <c r="B40" s="54">
        <v>30</v>
      </c>
      <c r="C40" s="55">
        <v>0</v>
      </c>
      <c r="D40" s="55">
        <v>0</v>
      </c>
      <c r="E40" s="53" t="s">
        <v>388</v>
      </c>
      <c r="F40" s="53"/>
    </row>
    <row r="41" spans="1:6" ht="21" customHeight="1" x14ac:dyDescent="0.25">
      <c r="A41" s="146" t="s">
        <v>418</v>
      </c>
      <c r="B41" s="54">
        <v>30</v>
      </c>
      <c r="C41" s="55">
        <v>0</v>
      </c>
      <c r="D41" s="55">
        <v>0</v>
      </c>
      <c r="E41" s="53" t="s">
        <v>555</v>
      </c>
      <c r="F41" s="53" t="s">
        <v>419</v>
      </c>
    </row>
    <row r="42" spans="1:6" ht="21" customHeight="1" x14ac:dyDescent="0.25">
      <c r="A42" s="146" t="s">
        <v>776</v>
      </c>
      <c r="B42" s="54">
        <v>30</v>
      </c>
      <c r="C42" s="55">
        <v>0</v>
      </c>
      <c r="D42" s="55">
        <v>0</v>
      </c>
      <c r="E42" s="53"/>
      <c r="F42" s="53"/>
    </row>
    <row r="43" spans="1:6" ht="21" customHeight="1" x14ac:dyDescent="0.25">
      <c r="A43" s="146" t="s">
        <v>382</v>
      </c>
      <c r="B43" s="54">
        <v>30</v>
      </c>
      <c r="C43" s="55">
        <v>0</v>
      </c>
      <c r="D43" s="55">
        <v>0</v>
      </c>
      <c r="E43" s="53" t="s">
        <v>545</v>
      </c>
      <c r="F43" s="53"/>
    </row>
    <row r="44" spans="1:6" ht="21" customHeight="1" x14ac:dyDescent="0.25">
      <c r="A44" s="146" t="s">
        <v>835</v>
      </c>
      <c r="B44" s="54">
        <v>30</v>
      </c>
      <c r="C44" s="55">
        <v>0</v>
      </c>
      <c r="D44" s="55">
        <v>0</v>
      </c>
      <c r="E44" s="53"/>
      <c r="F44" s="53"/>
    </row>
    <row r="45" spans="1:6" ht="21" customHeight="1" x14ac:dyDescent="0.25">
      <c r="A45" s="146" t="s">
        <v>500</v>
      </c>
      <c r="B45" s="54">
        <v>30</v>
      </c>
      <c r="C45" s="55">
        <v>0</v>
      </c>
      <c r="D45" s="55">
        <v>0</v>
      </c>
      <c r="E45" s="53" t="s">
        <v>867</v>
      </c>
      <c r="F45" s="51" t="s">
        <v>464</v>
      </c>
    </row>
    <row r="46" spans="1:6" ht="21" customHeight="1" x14ac:dyDescent="0.25">
      <c r="A46" s="146" t="s">
        <v>269</v>
      </c>
      <c r="B46" s="54">
        <v>30</v>
      </c>
      <c r="C46" s="55">
        <v>0</v>
      </c>
      <c r="D46" s="55">
        <v>0</v>
      </c>
      <c r="E46" s="53" t="s">
        <v>388</v>
      </c>
      <c r="F46" s="53"/>
    </row>
    <row r="47" spans="1:6" ht="21" customHeight="1" x14ac:dyDescent="0.25">
      <c r="A47" s="146" t="s">
        <v>270</v>
      </c>
      <c r="B47" s="54">
        <v>30</v>
      </c>
      <c r="C47" s="55">
        <v>0</v>
      </c>
      <c r="D47" s="55">
        <v>0</v>
      </c>
      <c r="E47" s="53" t="s">
        <v>388</v>
      </c>
      <c r="F47" s="53"/>
    </row>
    <row r="48" spans="1:6" ht="21" customHeight="1" x14ac:dyDescent="0.25">
      <c r="A48" s="146" t="s">
        <v>271</v>
      </c>
      <c r="B48" s="54">
        <v>30</v>
      </c>
      <c r="C48" s="55">
        <v>0</v>
      </c>
      <c r="D48" s="55">
        <v>0</v>
      </c>
      <c r="E48" s="53" t="s">
        <v>388</v>
      </c>
      <c r="F48" s="53"/>
    </row>
    <row r="49" spans="1:6" ht="21" customHeight="1" x14ac:dyDescent="0.25">
      <c r="A49" s="146" t="s">
        <v>709</v>
      </c>
      <c r="B49" s="54">
        <v>20</v>
      </c>
      <c r="C49" s="55">
        <v>0</v>
      </c>
      <c r="D49" s="55">
        <v>0</v>
      </c>
      <c r="E49" s="53"/>
      <c r="F49" s="53"/>
    </row>
    <row r="50" spans="1:6" ht="21" customHeight="1" x14ac:dyDescent="0.25">
      <c r="A50" s="146" t="s">
        <v>272</v>
      </c>
      <c r="B50" s="54">
        <v>30</v>
      </c>
      <c r="C50" s="55">
        <v>0</v>
      </c>
      <c r="D50" s="55">
        <v>0</v>
      </c>
      <c r="E50" s="53" t="s">
        <v>388</v>
      </c>
      <c r="F50" s="53"/>
    </row>
    <row r="51" spans="1:6" ht="21" customHeight="1" x14ac:dyDescent="0.25">
      <c r="A51" s="146" t="s">
        <v>273</v>
      </c>
      <c r="B51" s="54">
        <v>30</v>
      </c>
      <c r="C51" s="55">
        <v>0</v>
      </c>
      <c r="D51" s="55">
        <v>0</v>
      </c>
      <c r="E51" s="53" t="s">
        <v>388</v>
      </c>
      <c r="F51" s="53"/>
    </row>
    <row r="52" spans="1:6" ht="21" customHeight="1" x14ac:dyDescent="0.25">
      <c r="A52" s="146" t="s">
        <v>274</v>
      </c>
      <c r="B52" s="54">
        <v>30</v>
      </c>
      <c r="C52" s="55">
        <v>0</v>
      </c>
      <c r="D52" s="55">
        <v>0</v>
      </c>
      <c r="E52" s="53" t="s">
        <v>388</v>
      </c>
      <c r="F52" s="53"/>
    </row>
    <row r="53" spans="1:6" ht="21" customHeight="1" x14ac:dyDescent="0.25">
      <c r="A53" s="146" t="s">
        <v>275</v>
      </c>
      <c r="B53" s="54">
        <v>30</v>
      </c>
      <c r="C53" s="55">
        <v>0</v>
      </c>
      <c r="D53" s="55">
        <v>0</v>
      </c>
      <c r="E53" s="53" t="s">
        <v>388</v>
      </c>
      <c r="F53" s="53"/>
    </row>
    <row r="54" spans="1:6" ht="21" customHeight="1" x14ac:dyDescent="0.25">
      <c r="A54" s="146" t="s">
        <v>276</v>
      </c>
      <c r="B54" s="54">
        <v>30</v>
      </c>
      <c r="C54" s="55">
        <v>0</v>
      </c>
      <c r="D54" s="55">
        <v>0</v>
      </c>
      <c r="E54" s="53" t="s">
        <v>388</v>
      </c>
      <c r="F54" s="53"/>
    </row>
    <row r="55" spans="1:6" ht="21" customHeight="1" x14ac:dyDescent="0.25">
      <c r="A55" s="146" t="s">
        <v>277</v>
      </c>
      <c r="B55" s="54">
        <v>30</v>
      </c>
      <c r="C55" s="55">
        <v>0</v>
      </c>
      <c r="D55" s="55">
        <v>0</v>
      </c>
      <c r="E55" s="53" t="s">
        <v>388</v>
      </c>
      <c r="F55" s="53"/>
    </row>
    <row r="56" spans="1:6" ht="21" customHeight="1" x14ac:dyDescent="0.25">
      <c r="A56" s="146" t="s">
        <v>278</v>
      </c>
      <c r="B56" s="54">
        <v>30</v>
      </c>
      <c r="C56" s="55">
        <v>0</v>
      </c>
      <c r="D56" s="55">
        <v>0</v>
      </c>
      <c r="E56" s="53" t="s">
        <v>809</v>
      </c>
      <c r="F56" s="53"/>
    </row>
    <row r="57" spans="1:6" ht="21" customHeight="1" x14ac:dyDescent="0.25">
      <c r="A57" s="146" t="s">
        <v>585</v>
      </c>
      <c r="B57" s="54">
        <v>30</v>
      </c>
      <c r="C57" s="55">
        <v>0</v>
      </c>
      <c r="D57" s="55">
        <v>0</v>
      </c>
      <c r="E57" s="53"/>
      <c r="F57" s="53"/>
    </row>
    <row r="58" spans="1:6" ht="21" customHeight="1" x14ac:dyDescent="0.25">
      <c r="A58" s="146" t="s">
        <v>279</v>
      </c>
      <c r="B58" s="54">
        <v>30</v>
      </c>
      <c r="C58" s="55">
        <v>0</v>
      </c>
      <c r="D58" s="55">
        <v>0</v>
      </c>
      <c r="E58" s="53" t="s">
        <v>388</v>
      </c>
      <c r="F58" s="53"/>
    </row>
    <row r="59" spans="1:6" ht="21" customHeight="1" x14ac:dyDescent="0.25">
      <c r="A59" s="146" t="s">
        <v>280</v>
      </c>
      <c r="B59" s="54">
        <v>30</v>
      </c>
      <c r="C59" s="55">
        <v>0</v>
      </c>
      <c r="D59" s="55">
        <v>0</v>
      </c>
      <c r="E59" s="53" t="s">
        <v>388</v>
      </c>
      <c r="F59" s="53" t="s">
        <v>427</v>
      </c>
    </row>
    <row r="60" spans="1:6" ht="21" customHeight="1" x14ac:dyDescent="0.25">
      <c r="A60" s="146" t="s">
        <v>281</v>
      </c>
      <c r="B60" s="54">
        <v>30</v>
      </c>
      <c r="C60" s="55">
        <v>0</v>
      </c>
      <c r="D60" s="55">
        <v>0</v>
      </c>
      <c r="E60" s="53" t="s">
        <v>388</v>
      </c>
      <c r="F60" s="53"/>
    </row>
    <row r="61" spans="1:6" ht="21" customHeight="1" x14ac:dyDescent="0.25">
      <c r="A61" s="146" t="s">
        <v>282</v>
      </c>
      <c r="B61" s="54">
        <v>30</v>
      </c>
      <c r="C61" s="55">
        <v>0</v>
      </c>
      <c r="D61" s="55">
        <v>0</v>
      </c>
      <c r="E61" s="53" t="s">
        <v>388</v>
      </c>
      <c r="F61" s="53"/>
    </row>
    <row r="62" spans="1:6" ht="21" customHeight="1" x14ac:dyDescent="0.25">
      <c r="A62" s="146" t="s">
        <v>283</v>
      </c>
      <c r="B62" s="54">
        <v>30</v>
      </c>
      <c r="C62" s="55">
        <v>0</v>
      </c>
      <c r="D62" s="55">
        <v>0</v>
      </c>
      <c r="E62" s="53" t="s">
        <v>388</v>
      </c>
      <c r="F62" s="53"/>
    </row>
    <row r="63" spans="1:6" ht="21" customHeight="1" x14ac:dyDescent="0.25">
      <c r="A63" s="146" t="s">
        <v>284</v>
      </c>
      <c r="B63" s="54">
        <v>30</v>
      </c>
      <c r="C63" s="55">
        <v>0</v>
      </c>
      <c r="D63" s="55">
        <v>0</v>
      </c>
      <c r="E63" s="53" t="s">
        <v>388</v>
      </c>
      <c r="F63" s="53"/>
    </row>
    <row r="64" spans="1:6" ht="21" customHeight="1" x14ac:dyDescent="0.25">
      <c r="A64" s="146" t="s">
        <v>285</v>
      </c>
      <c r="B64" s="54">
        <v>30</v>
      </c>
      <c r="C64" s="55">
        <v>0</v>
      </c>
      <c r="D64" s="55">
        <v>0</v>
      </c>
      <c r="E64" s="53" t="s">
        <v>388</v>
      </c>
      <c r="F64" s="53"/>
    </row>
    <row r="65" spans="1:6" ht="21" customHeight="1" x14ac:dyDescent="0.25">
      <c r="A65" s="146" t="s">
        <v>384</v>
      </c>
      <c r="B65" s="54">
        <v>30</v>
      </c>
      <c r="C65" s="55">
        <v>0</v>
      </c>
      <c r="D65" s="55">
        <v>0</v>
      </c>
      <c r="E65" s="53" t="s">
        <v>388</v>
      </c>
      <c r="F65" s="53"/>
    </row>
    <row r="66" spans="1:6" ht="21" customHeight="1" x14ac:dyDescent="0.25">
      <c r="A66" s="146" t="s">
        <v>286</v>
      </c>
      <c r="B66" s="54">
        <v>30</v>
      </c>
      <c r="C66" s="55">
        <v>0</v>
      </c>
      <c r="D66" s="55">
        <v>0</v>
      </c>
      <c r="E66" s="53" t="s">
        <v>388</v>
      </c>
      <c r="F66" s="53"/>
    </row>
    <row r="67" spans="1:6" ht="21" customHeight="1" x14ac:dyDescent="0.25">
      <c r="A67" s="146" t="s">
        <v>287</v>
      </c>
      <c r="B67" s="54">
        <v>30</v>
      </c>
      <c r="C67" s="55">
        <v>0</v>
      </c>
      <c r="D67" s="55">
        <v>0</v>
      </c>
      <c r="E67" s="53" t="s">
        <v>388</v>
      </c>
      <c r="F67" s="53"/>
    </row>
    <row r="68" spans="1:6" ht="21" customHeight="1" x14ac:dyDescent="0.25">
      <c r="A68" s="146" t="s">
        <v>288</v>
      </c>
      <c r="B68" s="54">
        <v>30</v>
      </c>
      <c r="C68" s="55">
        <v>0</v>
      </c>
      <c r="D68" s="55">
        <v>0</v>
      </c>
      <c r="E68" s="53" t="s">
        <v>601</v>
      </c>
      <c r="F68" s="53"/>
    </row>
    <row r="69" spans="1:6" ht="21" customHeight="1" x14ac:dyDescent="0.25">
      <c r="A69" s="146" t="s">
        <v>289</v>
      </c>
      <c r="B69" s="54">
        <v>30</v>
      </c>
      <c r="C69" s="55">
        <v>0</v>
      </c>
      <c r="D69" s="55">
        <v>0</v>
      </c>
      <c r="E69" s="53" t="s">
        <v>388</v>
      </c>
      <c r="F69" s="53"/>
    </row>
    <row r="70" spans="1:6" ht="21" customHeight="1" x14ac:dyDescent="0.25">
      <c r="A70" s="146" t="s">
        <v>290</v>
      </c>
      <c r="B70" s="54">
        <v>30</v>
      </c>
      <c r="C70" s="55">
        <v>0</v>
      </c>
      <c r="D70" s="55">
        <v>0</v>
      </c>
      <c r="E70" s="53" t="s">
        <v>388</v>
      </c>
      <c r="F70" s="53"/>
    </row>
    <row r="71" spans="1:6" ht="21" customHeight="1" x14ac:dyDescent="0.25">
      <c r="A71" s="146" t="s">
        <v>291</v>
      </c>
      <c r="B71" s="54">
        <v>30</v>
      </c>
      <c r="C71" s="55">
        <v>0</v>
      </c>
      <c r="D71" s="55">
        <v>0</v>
      </c>
      <c r="E71" s="53" t="s">
        <v>388</v>
      </c>
      <c r="F71" s="53"/>
    </row>
    <row r="72" spans="1:6" ht="21" customHeight="1" x14ac:dyDescent="0.25">
      <c r="A72" s="146" t="s">
        <v>292</v>
      </c>
      <c r="B72" s="54">
        <v>30</v>
      </c>
      <c r="C72" s="55">
        <v>0</v>
      </c>
      <c r="D72" s="55">
        <v>0</v>
      </c>
      <c r="E72" s="53" t="s">
        <v>388</v>
      </c>
      <c r="F72" s="53"/>
    </row>
    <row r="73" spans="1:6" ht="21" customHeight="1" x14ac:dyDescent="0.25">
      <c r="A73" s="146" t="s">
        <v>972</v>
      </c>
      <c r="B73" s="54">
        <v>30</v>
      </c>
      <c r="C73" s="55">
        <v>0</v>
      </c>
      <c r="D73" s="55">
        <v>0</v>
      </c>
      <c r="E73" s="53"/>
      <c r="F73" s="53"/>
    </row>
    <row r="74" spans="1:6" ht="21" customHeight="1" x14ac:dyDescent="0.25">
      <c r="A74" s="146" t="s">
        <v>293</v>
      </c>
      <c r="B74" s="54">
        <v>30</v>
      </c>
      <c r="C74" s="55">
        <v>0</v>
      </c>
      <c r="D74" s="55">
        <v>0</v>
      </c>
      <c r="E74" s="53" t="s">
        <v>388</v>
      </c>
      <c r="F74" s="53"/>
    </row>
    <row r="75" spans="1:6" ht="21" customHeight="1" x14ac:dyDescent="0.25">
      <c r="A75" s="146" t="s">
        <v>294</v>
      </c>
      <c r="B75" s="54">
        <v>30</v>
      </c>
      <c r="C75" s="55">
        <v>0</v>
      </c>
      <c r="D75" s="55">
        <v>0</v>
      </c>
      <c r="E75" s="53" t="s">
        <v>388</v>
      </c>
      <c r="F75" s="53"/>
    </row>
    <row r="76" spans="1:6" ht="21" customHeight="1" x14ac:dyDescent="0.25">
      <c r="A76" s="146" t="s">
        <v>295</v>
      </c>
      <c r="B76" s="54">
        <v>30</v>
      </c>
      <c r="C76" s="55">
        <v>0</v>
      </c>
      <c r="D76" s="55">
        <v>0</v>
      </c>
      <c r="E76" s="53" t="s">
        <v>388</v>
      </c>
      <c r="F76" s="53"/>
    </row>
    <row r="77" spans="1:6" ht="21" customHeight="1" x14ac:dyDescent="0.25">
      <c r="A77" s="146" t="s">
        <v>296</v>
      </c>
      <c r="B77" s="54">
        <v>30</v>
      </c>
      <c r="C77" s="55">
        <v>0</v>
      </c>
      <c r="D77" s="55">
        <v>0</v>
      </c>
      <c r="E77" s="53" t="s">
        <v>777</v>
      </c>
      <c r="F77" s="53"/>
    </row>
    <row r="78" spans="1:6" ht="21" customHeight="1" x14ac:dyDescent="0.25">
      <c r="A78" s="146" t="s">
        <v>606</v>
      </c>
      <c r="B78" s="54">
        <v>20</v>
      </c>
      <c r="C78" s="55">
        <v>0</v>
      </c>
      <c r="D78" s="55">
        <v>0</v>
      </c>
      <c r="E78" s="53"/>
      <c r="F78" s="53"/>
    </row>
    <row r="79" spans="1:6" ht="21" customHeight="1" x14ac:dyDescent="0.25">
      <c r="A79" s="146" t="s">
        <v>297</v>
      </c>
      <c r="B79" s="54">
        <v>30</v>
      </c>
      <c r="C79" s="55">
        <v>0</v>
      </c>
      <c r="D79" s="55">
        <v>0</v>
      </c>
      <c r="E79" s="53" t="s">
        <v>388</v>
      </c>
      <c r="F79" s="53"/>
    </row>
    <row r="80" spans="1:6" ht="21" customHeight="1" x14ac:dyDescent="0.25">
      <c r="A80" s="146" t="s">
        <v>298</v>
      </c>
      <c r="B80" s="54">
        <v>30</v>
      </c>
      <c r="C80" s="55">
        <v>0</v>
      </c>
      <c r="D80" s="55">
        <v>0</v>
      </c>
      <c r="E80" s="53" t="s">
        <v>388</v>
      </c>
      <c r="F80" s="53"/>
    </row>
    <row r="81" spans="1:6" ht="21" customHeight="1" x14ac:dyDescent="0.25">
      <c r="A81" s="146" t="s">
        <v>741</v>
      </c>
      <c r="B81" s="54">
        <v>30</v>
      </c>
      <c r="C81" s="55">
        <v>0</v>
      </c>
      <c r="D81" s="55">
        <v>0</v>
      </c>
      <c r="E81" s="53"/>
      <c r="F81" s="53"/>
    </row>
    <row r="82" spans="1:6" ht="21" customHeight="1" x14ac:dyDescent="0.25">
      <c r="A82" s="146" t="s">
        <v>299</v>
      </c>
      <c r="B82" s="54">
        <v>30</v>
      </c>
      <c r="C82" s="55">
        <v>0</v>
      </c>
      <c r="D82" s="55">
        <v>0</v>
      </c>
      <c r="E82" s="53" t="s">
        <v>388</v>
      </c>
      <c r="F82" s="53"/>
    </row>
    <row r="83" spans="1:6" ht="21" customHeight="1" x14ac:dyDescent="0.25">
      <c r="A83" s="146" t="s">
        <v>300</v>
      </c>
      <c r="B83" s="54">
        <v>30</v>
      </c>
      <c r="C83" s="55">
        <v>0</v>
      </c>
      <c r="D83" s="55">
        <v>0</v>
      </c>
      <c r="E83" s="53" t="s">
        <v>388</v>
      </c>
      <c r="F83" s="53"/>
    </row>
    <row r="84" spans="1:6" ht="21" customHeight="1" x14ac:dyDescent="0.25">
      <c r="A84" s="146" t="s">
        <v>301</v>
      </c>
      <c r="B84" s="54">
        <v>30</v>
      </c>
      <c r="C84" s="55">
        <v>0</v>
      </c>
      <c r="D84" s="55">
        <v>0</v>
      </c>
      <c r="E84" s="53" t="s">
        <v>388</v>
      </c>
      <c r="F84" s="53"/>
    </row>
    <row r="85" spans="1:6" ht="21" customHeight="1" x14ac:dyDescent="0.25">
      <c r="A85" s="146" t="s">
        <v>792</v>
      </c>
      <c r="B85" s="54">
        <v>30</v>
      </c>
      <c r="C85" s="55">
        <v>0</v>
      </c>
      <c r="D85" s="55">
        <v>0</v>
      </c>
      <c r="E85" s="53" t="s">
        <v>801</v>
      </c>
      <c r="F85" s="53"/>
    </row>
    <row r="86" spans="1:6" ht="21" customHeight="1" x14ac:dyDescent="0.25">
      <c r="A86" s="146" t="s">
        <v>497</v>
      </c>
      <c r="B86" s="54">
        <v>30</v>
      </c>
      <c r="C86" s="55">
        <v>0</v>
      </c>
      <c r="D86" s="55">
        <v>0</v>
      </c>
      <c r="E86" s="53" t="s">
        <v>546</v>
      </c>
      <c r="F86" s="53"/>
    </row>
    <row r="87" spans="1:6" ht="21" customHeight="1" x14ac:dyDescent="0.25">
      <c r="A87" s="146" t="s">
        <v>302</v>
      </c>
      <c r="B87" s="54">
        <v>30</v>
      </c>
      <c r="C87" s="55">
        <v>0</v>
      </c>
      <c r="D87" s="55">
        <v>0</v>
      </c>
      <c r="E87" s="53" t="s">
        <v>546</v>
      </c>
      <c r="F87" s="53"/>
    </row>
    <row r="88" spans="1:6" ht="21" customHeight="1" x14ac:dyDescent="0.25">
      <c r="A88" s="146" t="s">
        <v>892</v>
      </c>
      <c r="B88" s="54">
        <v>30</v>
      </c>
      <c r="C88" s="55">
        <v>0</v>
      </c>
      <c r="D88" s="55">
        <v>0</v>
      </c>
      <c r="E88" s="53"/>
      <c r="F88" s="53"/>
    </row>
    <row r="89" spans="1:6" ht="21" customHeight="1" x14ac:dyDescent="0.25">
      <c r="A89" s="146" t="s">
        <v>997</v>
      </c>
      <c r="B89" s="54">
        <v>30</v>
      </c>
      <c r="C89" s="55">
        <v>0.19</v>
      </c>
      <c r="D89" s="55">
        <v>2.5000000000000001E-2</v>
      </c>
      <c r="E89" s="53"/>
      <c r="F89" s="53"/>
    </row>
    <row r="90" spans="1:6" ht="21" customHeight="1" x14ac:dyDescent="0.25">
      <c r="A90" s="146" t="s">
        <v>62</v>
      </c>
      <c r="B90" s="54">
        <v>30</v>
      </c>
      <c r="C90" s="55">
        <v>0.19</v>
      </c>
      <c r="D90" s="55">
        <v>2.5000000000000001E-2</v>
      </c>
      <c r="E90" s="53" t="s">
        <v>749</v>
      </c>
      <c r="F90" s="53"/>
    </row>
    <row r="91" spans="1:6" ht="21" customHeight="1" x14ac:dyDescent="0.25">
      <c r="A91" s="146" t="s">
        <v>710</v>
      </c>
      <c r="B91" s="54">
        <v>10</v>
      </c>
      <c r="C91" s="55">
        <v>0</v>
      </c>
      <c r="D91" s="55">
        <v>0</v>
      </c>
      <c r="E91" s="53"/>
      <c r="F91" s="53"/>
    </row>
    <row r="92" spans="1:6" ht="21" customHeight="1" x14ac:dyDescent="0.25">
      <c r="A92" s="146" t="s">
        <v>798</v>
      </c>
      <c r="B92" s="54">
        <v>10</v>
      </c>
      <c r="C92" s="55">
        <v>0.19</v>
      </c>
      <c r="D92" s="55">
        <v>2.5000000000000001E-2</v>
      </c>
      <c r="E92" s="53" t="s">
        <v>797</v>
      </c>
      <c r="F92" s="53"/>
    </row>
    <row r="93" spans="1:6" ht="21" customHeight="1" x14ac:dyDescent="0.25">
      <c r="A93" s="146" t="s">
        <v>584</v>
      </c>
      <c r="B93" s="54">
        <v>30</v>
      </c>
      <c r="C93" s="55">
        <v>0.19</v>
      </c>
      <c r="D93" s="55">
        <v>2.5000000000000001E-2</v>
      </c>
      <c r="E93" s="53"/>
      <c r="F93" s="53"/>
    </row>
    <row r="94" spans="1:6" ht="21" customHeight="1" x14ac:dyDescent="0.25">
      <c r="A94" s="146" t="s">
        <v>898</v>
      </c>
      <c r="B94" s="54">
        <v>20</v>
      </c>
      <c r="C94" s="55">
        <v>0</v>
      </c>
      <c r="D94" s="55">
        <v>0.11</v>
      </c>
      <c r="E94" s="53" t="s">
        <v>899</v>
      </c>
      <c r="F94" s="53"/>
    </row>
    <row r="95" spans="1:6" ht="21" customHeight="1" x14ac:dyDescent="0.25">
      <c r="A95" s="146" t="s">
        <v>855</v>
      </c>
      <c r="B95" s="54">
        <v>30</v>
      </c>
      <c r="C95" s="55">
        <v>0.19</v>
      </c>
      <c r="D95" s="55">
        <v>0</v>
      </c>
      <c r="E95" s="53"/>
      <c r="F95" s="53"/>
    </row>
    <row r="96" spans="1:6" ht="21" customHeight="1" x14ac:dyDescent="0.25">
      <c r="A96" s="146" t="s">
        <v>961</v>
      </c>
      <c r="B96" s="54">
        <v>30</v>
      </c>
      <c r="C96" s="55">
        <v>0.19</v>
      </c>
      <c r="D96" s="55">
        <v>2.5000000000000001E-2</v>
      </c>
      <c r="E96" s="53"/>
      <c r="F96" s="53"/>
    </row>
    <row r="97" spans="1:6" ht="21" customHeight="1" x14ac:dyDescent="0.25">
      <c r="A97" s="146" t="s">
        <v>20</v>
      </c>
      <c r="B97" s="54">
        <v>30</v>
      </c>
      <c r="C97" s="55">
        <v>0.19</v>
      </c>
      <c r="D97" s="55">
        <v>2.5000000000000001E-2</v>
      </c>
      <c r="E97" s="53" t="s">
        <v>424</v>
      </c>
      <c r="F97" s="53" t="s">
        <v>604</v>
      </c>
    </row>
    <row r="98" spans="1:6" ht="21" customHeight="1" x14ac:dyDescent="0.25">
      <c r="A98" s="146" t="s">
        <v>21</v>
      </c>
      <c r="B98" s="54">
        <v>30</v>
      </c>
      <c r="C98" s="55">
        <v>0.19</v>
      </c>
      <c r="D98" s="55">
        <v>2.5000000000000001E-2</v>
      </c>
      <c r="E98" s="53" t="s">
        <v>547</v>
      </c>
      <c r="F98" s="53"/>
    </row>
    <row r="99" spans="1:6" ht="21" customHeight="1" x14ac:dyDescent="0.25">
      <c r="A99" s="146" t="s">
        <v>57</v>
      </c>
      <c r="B99" s="54">
        <v>30</v>
      </c>
      <c r="C99" s="55">
        <v>0.19</v>
      </c>
      <c r="D99" s="55">
        <v>2.5000000000000001E-2</v>
      </c>
      <c r="E99" s="53" t="s">
        <v>388</v>
      </c>
      <c r="F99" s="53"/>
    </row>
    <row r="100" spans="1:6" ht="21" customHeight="1" x14ac:dyDescent="0.25">
      <c r="A100" s="146" t="s">
        <v>45</v>
      </c>
      <c r="B100" s="54">
        <v>30</v>
      </c>
      <c r="C100" s="55">
        <v>0.19</v>
      </c>
      <c r="D100" s="55">
        <v>2.5000000000000001E-2</v>
      </c>
      <c r="E100" s="53" t="s">
        <v>388</v>
      </c>
      <c r="F100" s="53"/>
    </row>
    <row r="101" spans="1:6" ht="21" customHeight="1" x14ac:dyDescent="0.25">
      <c r="A101" s="146" t="s">
        <v>949</v>
      </c>
      <c r="B101" s="54">
        <v>60</v>
      </c>
      <c r="C101" s="55">
        <v>0</v>
      </c>
      <c r="D101" s="55">
        <v>0</v>
      </c>
      <c r="E101" s="53" t="s">
        <v>934</v>
      </c>
      <c r="F101" s="53"/>
    </row>
    <row r="102" spans="1:6" ht="21" customHeight="1" x14ac:dyDescent="0.25">
      <c r="A102" s="146" t="s">
        <v>950</v>
      </c>
      <c r="B102" s="54">
        <v>45</v>
      </c>
      <c r="C102" s="55">
        <v>0</v>
      </c>
      <c r="D102" s="55">
        <v>0</v>
      </c>
      <c r="E102" s="53" t="s">
        <v>934</v>
      </c>
      <c r="F102" s="53"/>
    </row>
    <row r="103" spans="1:6" ht="21" customHeight="1" x14ac:dyDescent="0.25">
      <c r="A103" s="146" t="s">
        <v>951</v>
      </c>
      <c r="B103" s="54">
        <v>45</v>
      </c>
      <c r="C103" s="55">
        <v>0</v>
      </c>
      <c r="D103" s="55">
        <v>0</v>
      </c>
      <c r="E103" s="53" t="s">
        <v>934</v>
      </c>
      <c r="F103" s="53"/>
    </row>
    <row r="104" spans="1:6" ht="21" customHeight="1" x14ac:dyDescent="0.25">
      <c r="A104" s="146" t="s">
        <v>193</v>
      </c>
      <c r="B104" s="54">
        <v>30</v>
      </c>
      <c r="C104" s="55">
        <v>0.19</v>
      </c>
      <c r="D104" s="55">
        <v>2.5000000000000001E-2</v>
      </c>
      <c r="E104" s="53" t="s">
        <v>388</v>
      </c>
      <c r="F104" s="53"/>
    </row>
    <row r="105" spans="1:6" ht="21" customHeight="1" x14ac:dyDescent="0.25">
      <c r="A105" s="146" t="s">
        <v>913</v>
      </c>
      <c r="B105" s="54">
        <v>30</v>
      </c>
      <c r="C105" s="55">
        <v>0.19</v>
      </c>
      <c r="D105" s="55">
        <v>0</v>
      </c>
      <c r="E105" s="53" t="s">
        <v>982</v>
      </c>
      <c r="F105" s="53"/>
    </row>
    <row r="106" spans="1:6" ht="21" customHeight="1" x14ac:dyDescent="0.25">
      <c r="A106" s="146" t="s">
        <v>847</v>
      </c>
      <c r="B106" s="54">
        <v>30</v>
      </c>
      <c r="C106" s="55">
        <v>0.19</v>
      </c>
      <c r="D106" s="55">
        <v>0</v>
      </c>
      <c r="E106" s="53" t="s">
        <v>982</v>
      </c>
      <c r="F106" s="53"/>
    </row>
    <row r="107" spans="1:6" ht="21" customHeight="1" x14ac:dyDescent="0.25">
      <c r="A107" s="146" t="s">
        <v>915</v>
      </c>
      <c r="B107" s="54">
        <v>30</v>
      </c>
      <c r="C107" s="55">
        <v>0.19</v>
      </c>
      <c r="D107" s="55">
        <v>2.5000000000000001E-2</v>
      </c>
      <c r="E107" s="53" t="s">
        <v>561</v>
      </c>
      <c r="F107" s="53"/>
    </row>
    <row r="108" spans="1:6" ht="21" customHeight="1" x14ac:dyDescent="0.25">
      <c r="A108" s="146" t="s">
        <v>829</v>
      </c>
      <c r="B108" s="54">
        <v>30</v>
      </c>
      <c r="C108" s="55">
        <v>0.19</v>
      </c>
      <c r="D108" s="55">
        <v>2.5000000000000001E-2</v>
      </c>
      <c r="E108" s="53"/>
      <c r="F108" s="53"/>
    </row>
    <row r="109" spans="1:6" ht="21" customHeight="1" x14ac:dyDescent="0.25">
      <c r="A109" s="146" t="s">
        <v>55</v>
      </c>
      <c r="B109" s="54">
        <v>30</v>
      </c>
      <c r="C109" s="55">
        <v>0.19</v>
      </c>
      <c r="D109" s="55">
        <v>2.5000000000000001E-2</v>
      </c>
      <c r="E109" s="53" t="s">
        <v>543</v>
      </c>
      <c r="F109" s="53" t="s">
        <v>754</v>
      </c>
    </row>
    <row r="110" spans="1:6" ht="21" customHeight="1" x14ac:dyDescent="0.25">
      <c r="A110" s="146" t="s">
        <v>185</v>
      </c>
      <c r="B110" s="54">
        <v>30</v>
      </c>
      <c r="C110" s="55">
        <v>0.19</v>
      </c>
      <c r="D110" s="55">
        <v>2.5000000000000001E-2</v>
      </c>
      <c r="E110" s="53" t="s">
        <v>774</v>
      </c>
      <c r="F110" s="53"/>
    </row>
    <row r="111" spans="1:6" ht="21" customHeight="1" x14ac:dyDescent="0.25">
      <c r="A111" s="146" t="s">
        <v>759</v>
      </c>
      <c r="B111" s="54">
        <v>90</v>
      </c>
      <c r="C111" s="55">
        <v>0.19</v>
      </c>
      <c r="D111" s="55">
        <v>2.5000000000000001E-2</v>
      </c>
      <c r="E111" s="53" t="s">
        <v>905</v>
      </c>
      <c r="F111" s="53"/>
    </row>
    <row r="112" spans="1:6" ht="21" customHeight="1" x14ac:dyDescent="0.25">
      <c r="A112" s="146" t="s">
        <v>26</v>
      </c>
      <c r="B112" s="54">
        <v>30</v>
      </c>
      <c r="C112" s="55">
        <v>0.19</v>
      </c>
      <c r="D112" s="55">
        <v>2.5000000000000001E-2</v>
      </c>
      <c r="E112" s="53" t="s">
        <v>752</v>
      </c>
      <c r="F112" s="53"/>
    </row>
    <row r="113" spans="1:6" ht="21" customHeight="1" x14ac:dyDescent="0.25">
      <c r="A113" s="146" t="s">
        <v>12</v>
      </c>
      <c r="B113" s="54">
        <v>90</v>
      </c>
      <c r="C113" s="55">
        <v>0.19</v>
      </c>
      <c r="D113" s="55">
        <v>2.5000000000000001E-2</v>
      </c>
      <c r="E113" s="53" t="s">
        <v>549</v>
      </c>
      <c r="F113" s="53"/>
    </row>
    <row r="114" spans="1:6" ht="21" customHeight="1" x14ac:dyDescent="0.25">
      <c r="A114" s="146" t="s">
        <v>430</v>
      </c>
      <c r="B114" s="54">
        <v>30</v>
      </c>
      <c r="C114" s="55">
        <v>0.19</v>
      </c>
      <c r="D114" s="55">
        <v>2.5000000000000001E-2</v>
      </c>
      <c r="E114" s="53" t="s">
        <v>594</v>
      </c>
      <c r="F114" s="53" t="s">
        <v>431</v>
      </c>
    </row>
    <row r="115" spans="1:6" ht="21" customHeight="1" x14ac:dyDescent="0.25">
      <c r="A115" s="146" t="s">
        <v>40</v>
      </c>
      <c r="B115" s="54">
        <v>30</v>
      </c>
      <c r="C115" s="55">
        <v>0.19</v>
      </c>
      <c r="D115" s="55">
        <v>2.5000000000000001E-2</v>
      </c>
      <c r="E115" s="53" t="s">
        <v>388</v>
      </c>
      <c r="F115" s="53"/>
    </row>
    <row r="116" spans="1:6" ht="21" customHeight="1" x14ac:dyDescent="0.25">
      <c r="A116" s="146" t="s">
        <v>166</v>
      </c>
      <c r="B116" s="54">
        <v>30</v>
      </c>
      <c r="C116" s="55">
        <v>0.19</v>
      </c>
      <c r="D116" s="55">
        <v>2.5000000000000001E-2</v>
      </c>
      <c r="E116" s="53" t="s">
        <v>388</v>
      </c>
      <c r="F116" s="53"/>
    </row>
    <row r="117" spans="1:6" ht="21" customHeight="1" x14ac:dyDescent="0.25">
      <c r="A117" s="146" t="s">
        <v>51</v>
      </c>
      <c r="B117" s="54">
        <v>30</v>
      </c>
      <c r="C117" s="55">
        <v>0.19</v>
      </c>
      <c r="D117" s="55">
        <v>0</v>
      </c>
      <c r="E117" s="53" t="s">
        <v>550</v>
      </c>
      <c r="F117" s="53"/>
    </row>
    <row r="118" spans="1:6" ht="21" customHeight="1" x14ac:dyDescent="0.25">
      <c r="A118" s="146" t="s">
        <v>56</v>
      </c>
      <c r="B118" s="54">
        <v>30</v>
      </c>
      <c r="C118" s="55">
        <v>0.19</v>
      </c>
      <c r="D118" s="55">
        <v>2.5000000000000001E-2</v>
      </c>
      <c r="E118" s="53" t="s">
        <v>388</v>
      </c>
      <c r="F118" s="53"/>
    </row>
    <row r="119" spans="1:6" ht="21" customHeight="1" x14ac:dyDescent="0.25">
      <c r="A119" s="146" t="s">
        <v>54</v>
      </c>
      <c r="B119" s="54">
        <v>30</v>
      </c>
      <c r="C119" s="55">
        <v>0.19</v>
      </c>
      <c r="D119" s="55">
        <v>2.5000000000000001E-2</v>
      </c>
      <c r="E119" s="53" t="s">
        <v>388</v>
      </c>
      <c r="F119" s="53"/>
    </row>
    <row r="120" spans="1:6" ht="21" customHeight="1" x14ac:dyDescent="0.25">
      <c r="A120" s="146" t="s">
        <v>64</v>
      </c>
      <c r="B120" s="54">
        <v>30</v>
      </c>
      <c r="C120" s="55">
        <v>0.19</v>
      </c>
      <c r="D120" s="55">
        <v>2.5000000000000001E-2</v>
      </c>
      <c r="E120" s="53" t="s">
        <v>388</v>
      </c>
      <c r="F120" s="53"/>
    </row>
    <row r="121" spans="1:6" ht="21" customHeight="1" x14ac:dyDescent="0.25">
      <c r="A121" s="146" t="s">
        <v>58</v>
      </c>
      <c r="B121" s="54">
        <v>30</v>
      </c>
      <c r="C121" s="55">
        <v>0.19</v>
      </c>
      <c r="D121" s="55">
        <v>2.5000000000000001E-2</v>
      </c>
      <c r="E121" s="53" t="s">
        <v>388</v>
      </c>
      <c r="F121" s="53"/>
    </row>
    <row r="122" spans="1:6" ht="21" customHeight="1" x14ac:dyDescent="0.25">
      <c r="A122" s="146" t="s">
        <v>63</v>
      </c>
      <c r="B122" s="54">
        <v>30</v>
      </c>
      <c r="C122" s="55">
        <v>0</v>
      </c>
      <c r="D122" s="55">
        <v>0</v>
      </c>
      <c r="E122" s="53" t="s">
        <v>551</v>
      </c>
      <c r="F122" s="53"/>
    </row>
    <row r="123" spans="1:6" ht="21" customHeight="1" x14ac:dyDescent="0.25">
      <c r="A123" s="146" t="s">
        <v>303</v>
      </c>
      <c r="B123" s="54">
        <v>30</v>
      </c>
      <c r="C123" s="55">
        <v>0</v>
      </c>
      <c r="D123" s="55">
        <v>0</v>
      </c>
      <c r="E123" s="53" t="s">
        <v>551</v>
      </c>
      <c r="F123" s="53"/>
    </row>
    <row r="124" spans="1:6" ht="21" customHeight="1" x14ac:dyDescent="0.25">
      <c r="A124" s="146" t="s">
        <v>394</v>
      </c>
      <c r="B124" s="54">
        <v>30</v>
      </c>
      <c r="C124" s="55">
        <v>0</v>
      </c>
      <c r="D124" s="55">
        <v>0</v>
      </c>
      <c r="E124" s="53" t="s">
        <v>551</v>
      </c>
      <c r="F124" s="53"/>
    </row>
    <row r="125" spans="1:6" ht="21" customHeight="1" x14ac:dyDescent="0.25">
      <c r="A125" s="146" t="s">
        <v>113</v>
      </c>
      <c r="B125" s="54">
        <v>30</v>
      </c>
      <c r="C125" s="55">
        <v>0</v>
      </c>
      <c r="D125" s="55">
        <v>0</v>
      </c>
      <c r="E125" s="53" t="s">
        <v>551</v>
      </c>
      <c r="F125" s="53"/>
    </row>
    <row r="126" spans="1:6" ht="21" customHeight="1" x14ac:dyDescent="0.25">
      <c r="A126" s="146" t="s">
        <v>119</v>
      </c>
      <c r="B126" s="54">
        <v>30</v>
      </c>
      <c r="C126" s="55">
        <v>0</v>
      </c>
      <c r="D126" s="55">
        <v>0</v>
      </c>
      <c r="E126" s="53" t="s">
        <v>551</v>
      </c>
      <c r="F126" s="53"/>
    </row>
    <row r="127" spans="1:6" ht="21" customHeight="1" x14ac:dyDescent="0.25">
      <c r="A127" s="146" t="s">
        <v>65</v>
      </c>
      <c r="B127" s="54">
        <v>30</v>
      </c>
      <c r="C127" s="55">
        <v>0</v>
      </c>
      <c r="D127" s="55">
        <v>0</v>
      </c>
      <c r="E127" s="53" t="s">
        <v>551</v>
      </c>
      <c r="F127" s="53"/>
    </row>
    <row r="128" spans="1:6" ht="21" customHeight="1" x14ac:dyDescent="0.25">
      <c r="A128" s="146" t="s">
        <v>75</v>
      </c>
      <c r="B128" s="54">
        <v>30</v>
      </c>
      <c r="C128" s="55">
        <v>0</v>
      </c>
      <c r="D128" s="55">
        <v>0</v>
      </c>
      <c r="E128" s="53" t="s">
        <v>551</v>
      </c>
      <c r="F128" s="53"/>
    </row>
    <row r="129" spans="1:6" ht="21" customHeight="1" x14ac:dyDescent="0.25">
      <c r="A129" s="146" t="s">
        <v>234</v>
      </c>
      <c r="B129" s="54">
        <v>30</v>
      </c>
      <c r="C129" s="55">
        <v>0</v>
      </c>
      <c r="D129" s="55">
        <v>0</v>
      </c>
      <c r="E129" s="53" t="s">
        <v>551</v>
      </c>
      <c r="F129" s="53"/>
    </row>
    <row r="130" spans="1:6" ht="21" customHeight="1" x14ac:dyDescent="0.25">
      <c r="A130" s="146" t="s">
        <v>235</v>
      </c>
      <c r="B130" s="54">
        <v>30</v>
      </c>
      <c r="C130" s="55">
        <v>0</v>
      </c>
      <c r="D130" s="55">
        <v>0</v>
      </c>
      <c r="E130" s="53" t="s">
        <v>551</v>
      </c>
      <c r="F130" s="53"/>
    </row>
    <row r="131" spans="1:6" ht="21" customHeight="1" x14ac:dyDescent="0.25">
      <c r="A131" s="146" t="s">
        <v>23</v>
      </c>
      <c r="B131" s="54">
        <v>30</v>
      </c>
      <c r="C131" s="55">
        <v>0</v>
      </c>
      <c r="D131" s="55">
        <v>0</v>
      </c>
      <c r="E131" s="53" t="s">
        <v>551</v>
      </c>
      <c r="F131" s="53"/>
    </row>
    <row r="132" spans="1:6" ht="21" customHeight="1" x14ac:dyDescent="0.25">
      <c r="A132" s="146" t="s">
        <v>226</v>
      </c>
      <c r="B132" s="54">
        <v>30</v>
      </c>
      <c r="C132" s="55">
        <v>0.19</v>
      </c>
      <c r="D132" s="55">
        <v>2.5000000000000001E-2</v>
      </c>
      <c r="E132" s="53" t="s">
        <v>388</v>
      </c>
      <c r="F132" s="53"/>
    </row>
    <row r="133" spans="1:6" ht="21" customHeight="1" x14ac:dyDescent="0.25">
      <c r="A133" s="146" t="s">
        <v>883</v>
      </c>
      <c r="B133" s="54">
        <v>30</v>
      </c>
      <c r="C133" s="55">
        <v>0</v>
      </c>
      <c r="D133" s="55">
        <v>0</v>
      </c>
      <c r="E133" s="53"/>
      <c r="F133" s="53"/>
    </row>
    <row r="134" spans="1:6" ht="21" customHeight="1" x14ac:dyDescent="0.25">
      <c r="A134" s="146" t="s">
        <v>879</v>
      </c>
      <c r="B134" s="54">
        <v>30</v>
      </c>
      <c r="C134" s="55">
        <v>0.19</v>
      </c>
      <c r="D134" s="55">
        <v>0</v>
      </c>
      <c r="E134" s="53" t="s">
        <v>432</v>
      </c>
      <c r="F134" s="53"/>
    </row>
    <row r="135" spans="1:6" ht="21" customHeight="1" x14ac:dyDescent="0.25">
      <c r="A135" s="146" t="s">
        <v>977</v>
      </c>
      <c r="B135" s="54">
        <v>30</v>
      </c>
      <c r="C135" s="55">
        <v>0.19</v>
      </c>
      <c r="D135" s="55">
        <v>0.04</v>
      </c>
      <c r="E135" s="53"/>
      <c r="F135" s="53"/>
    </row>
    <row r="136" spans="1:6" ht="21" customHeight="1" x14ac:dyDescent="0.25">
      <c r="A136" s="146" t="s">
        <v>1000</v>
      </c>
      <c r="B136" s="54">
        <v>10</v>
      </c>
      <c r="C136" s="55">
        <v>0.19</v>
      </c>
      <c r="D136" s="55">
        <v>0</v>
      </c>
      <c r="E136" s="53"/>
      <c r="F136" s="53"/>
    </row>
    <row r="137" spans="1:6" ht="21" customHeight="1" x14ac:dyDescent="0.25">
      <c r="A137" s="146" t="s">
        <v>751</v>
      </c>
      <c r="B137" s="54">
        <v>30</v>
      </c>
      <c r="C137" s="55">
        <v>0</v>
      </c>
      <c r="D137" s="55">
        <v>0</v>
      </c>
      <c r="E137" s="53" t="s">
        <v>548</v>
      </c>
      <c r="F137" s="53"/>
    </row>
    <row r="138" spans="1:6" ht="21" customHeight="1" x14ac:dyDescent="0.25">
      <c r="A138" s="146" t="s">
        <v>706</v>
      </c>
      <c r="B138" s="54">
        <v>0</v>
      </c>
      <c r="C138" s="55">
        <v>0</v>
      </c>
      <c r="D138" s="55">
        <v>0</v>
      </c>
      <c r="E138" s="53" t="s">
        <v>432</v>
      </c>
      <c r="F138" s="53"/>
    </row>
    <row r="139" spans="1:6" ht="21" customHeight="1" x14ac:dyDescent="0.25">
      <c r="A139" s="146" t="s">
        <v>631</v>
      </c>
      <c r="B139" s="54">
        <v>30</v>
      </c>
      <c r="C139" s="55">
        <v>0</v>
      </c>
      <c r="D139" s="55">
        <v>3.5000000000000003E-2</v>
      </c>
      <c r="E139" s="53" t="s">
        <v>425</v>
      </c>
      <c r="F139" s="53" t="s">
        <v>390</v>
      </c>
    </row>
    <row r="140" spans="1:6" ht="21" customHeight="1" x14ac:dyDescent="0.25">
      <c r="A140" s="146" t="s">
        <v>648</v>
      </c>
      <c r="B140" s="54">
        <v>30</v>
      </c>
      <c r="C140" s="55">
        <v>0.19</v>
      </c>
      <c r="D140" s="55">
        <v>0</v>
      </c>
      <c r="E140" s="53" t="s">
        <v>560</v>
      </c>
      <c r="F140" s="53"/>
    </row>
    <row r="141" spans="1:6" ht="21" customHeight="1" x14ac:dyDescent="0.25">
      <c r="A141" s="146" t="s">
        <v>632</v>
      </c>
      <c r="B141" s="54">
        <v>30</v>
      </c>
      <c r="C141" s="55">
        <v>0.19</v>
      </c>
      <c r="D141" s="55">
        <v>2.5000000000000001E-2</v>
      </c>
      <c r="E141" s="53" t="s">
        <v>391</v>
      </c>
      <c r="F141" s="53"/>
    </row>
    <row r="142" spans="1:6" ht="21" customHeight="1" x14ac:dyDescent="0.25">
      <c r="A142" s="146" t="s">
        <v>674</v>
      </c>
      <c r="B142" s="54">
        <v>180</v>
      </c>
      <c r="C142" s="55">
        <v>0</v>
      </c>
      <c r="D142" s="55">
        <v>0</v>
      </c>
      <c r="E142" s="53" t="s">
        <v>432</v>
      </c>
      <c r="F142" s="53"/>
    </row>
    <row r="143" spans="1:6" ht="21" customHeight="1" x14ac:dyDescent="0.25">
      <c r="A143" s="146" t="s">
        <v>910</v>
      </c>
      <c r="B143" s="54">
        <v>10</v>
      </c>
      <c r="C143" s="55">
        <v>0.19</v>
      </c>
      <c r="D143" s="55">
        <v>2.5000000000000001E-2</v>
      </c>
      <c r="E143" s="160" t="s">
        <v>912</v>
      </c>
      <c r="F143" s="53"/>
    </row>
    <row r="144" spans="1:6" ht="21" customHeight="1" x14ac:dyDescent="0.25">
      <c r="A144" s="146" t="s">
        <v>863</v>
      </c>
      <c r="B144" s="54">
        <v>10</v>
      </c>
      <c r="C144" s="55">
        <v>0.19</v>
      </c>
      <c r="D144" s="55">
        <v>0</v>
      </c>
      <c r="E144" s="53" t="s">
        <v>864</v>
      </c>
      <c r="F144" s="53"/>
    </row>
    <row r="145" spans="1:6" ht="21" customHeight="1" x14ac:dyDescent="0.25">
      <c r="A145" s="146" t="s">
        <v>633</v>
      </c>
      <c r="B145" s="54">
        <v>30</v>
      </c>
      <c r="C145" s="55">
        <v>0</v>
      </c>
      <c r="D145" s="55">
        <v>3.5000000000000003E-2</v>
      </c>
      <c r="E145" s="53" t="s">
        <v>552</v>
      </c>
      <c r="F145" s="53"/>
    </row>
    <row r="146" spans="1:6" ht="21" customHeight="1" x14ac:dyDescent="0.25">
      <c r="A146" s="146" t="s">
        <v>634</v>
      </c>
      <c r="B146" s="54">
        <v>30</v>
      </c>
      <c r="C146" s="55">
        <v>0</v>
      </c>
      <c r="D146" s="55">
        <v>0</v>
      </c>
      <c r="E146" s="53" t="s">
        <v>556</v>
      </c>
      <c r="F146" s="53"/>
    </row>
    <row r="147" spans="1:6" ht="21" customHeight="1" x14ac:dyDescent="0.25">
      <c r="A147" s="146" t="s">
        <v>882</v>
      </c>
      <c r="B147" s="54">
        <v>60</v>
      </c>
      <c r="C147" s="55">
        <v>0</v>
      </c>
      <c r="D147" s="55">
        <v>0</v>
      </c>
      <c r="E147" s="53" t="s">
        <v>432</v>
      </c>
      <c r="F147" s="53"/>
    </row>
    <row r="148" spans="1:6" ht="21" customHeight="1" x14ac:dyDescent="0.25">
      <c r="A148" s="146" t="s">
        <v>903</v>
      </c>
      <c r="B148" s="54">
        <v>45</v>
      </c>
      <c r="C148" s="55">
        <v>0</v>
      </c>
      <c r="D148" s="55">
        <v>0</v>
      </c>
      <c r="E148" s="53"/>
      <c r="F148" s="53"/>
    </row>
    <row r="149" spans="1:6" ht="21" customHeight="1" x14ac:dyDescent="0.25">
      <c r="A149" s="146" t="s">
        <v>635</v>
      </c>
      <c r="B149" s="54">
        <v>30</v>
      </c>
      <c r="C149" s="55">
        <v>0</v>
      </c>
      <c r="D149" s="55">
        <v>0</v>
      </c>
      <c r="E149" s="53" t="s">
        <v>432</v>
      </c>
      <c r="F149" s="53"/>
    </row>
    <row r="150" spans="1:6" ht="21" customHeight="1" x14ac:dyDescent="0.25">
      <c r="A150" s="146" t="s">
        <v>888</v>
      </c>
      <c r="B150" s="54">
        <v>18</v>
      </c>
      <c r="C150" s="55">
        <v>0</v>
      </c>
      <c r="D150" s="55">
        <v>0</v>
      </c>
      <c r="E150" s="53"/>
      <c r="F150" s="53"/>
    </row>
    <row r="151" spans="1:6" ht="21" customHeight="1" x14ac:dyDescent="0.25">
      <c r="A151" s="146" t="s">
        <v>636</v>
      </c>
      <c r="B151" s="54">
        <v>30</v>
      </c>
      <c r="C151" s="55">
        <v>0</v>
      </c>
      <c r="D151" s="55">
        <v>0</v>
      </c>
      <c r="E151" s="53" t="s">
        <v>391</v>
      </c>
      <c r="F151" s="53"/>
    </row>
    <row r="152" spans="1:6" ht="21" customHeight="1" x14ac:dyDescent="0.25">
      <c r="A152" s="146" t="s">
        <v>637</v>
      </c>
      <c r="B152" s="54">
        <v>30</v>
      </c>
      <c r="C152" s="55">
        <v>0.19</v>
      </c>
      <c r="D152" s="55">
        <v>2.5000000000000001E-2</v>
      </c>
      <c r="E152" s="53" t="s">
        <v>566</v>
      </c>
      <c r="F152" s="53"/>
    </row>
    <row r="153" spans="1:6" ht="21" customHeight="1" x14ac:dyDescent="0.25">
      <c r="A153" s="146" t="s">
        <v>813</v>
      </c>
      <c r="B153" s="54">
        <v>30</v>
      </c>
      <c r="C153" s="55">
        <v>0</v>
      </c>
      <c r="D153" s="55">
        <v>3.5000000000000003E-2</v>
      </c>
      <c r="E153" s="53" t="s">
        <v>812</v>
      </c>
      <c r="F153" s="53"/>
    </row>
    <row r="154" spans="1:6" ht="21" customHeight="1" x14ac:dyDescent="0.25">
      <c r="A154" s="146" t="s">
        <v>682</v>
      </c>
      <c r="B154" s="54">
        <v>30</v>
      </c>
      <c r="C154" s="55">
        <v>0.19</v>
      </c>
      <c r="D154" s="55">
        <v>3.5000000000000003E-2</v>
      </c>
      <c r="E154" s="53" t="s">
        <v>685</v>
      </c>
      <c r="F154" s="53"/>
    </row>
    <row r="155" spans="1:6" ht="21" customHeight="1" x14ac:dyDescent="0.25">
      <c r="A155" s="146" t="s">
        <v>653</v>
      </c>
      <c r="B155" s="54">
        <v>30</v>
      </c>
      <c r="C155" s="55">
        <v>0</v>
      </c>
      <c r="D155" s="55">
        <v>0</v>
      </c>
      <c r="E155" s="53" t="s">
        <v>391</v>
      </c>
      <c r="F155" s="53"/>
    </row>
    <row r="156" spans="1:6" ht="21" customHeight="1" x14ac:dyDescent="0.25">
      <c r="A156" s="146" t="s">
        <v>638</v>
      </c>
      <c r="B156" s="54">
        <v>30</v>
      </c>
      <c r="C156" s="55">
        <v>0</v>
      </c>
      <c r="D156" s="55">
        <v>3.5000000000000003E-2</v>
      </c>
      <c r="E156" s="53" t="s">
        <v>583</v>
      </c>
      <c r="F156" s="53"/>
    </row>
    <row r="157" spans="1:6" ht="21" customHeight="1" x14ac:dyDescent="0.25">
      <c r="A157" s="146" t="s">
        <v>639</v>
      </c>
      <c r="B157" s="54">
        <v>30</v>
      </c>
      <c r="C157" s="55">
        <v>0.19</v>
      </c>
      <c r="D157" s="55">
        <v>3.5000000000000003E-2</v>
      </c>
      <c r="E157" s="53" t="s">
        <v>568</v>
      </c>
      <c r="F157" s="53"/>
    </row>
    <row r="158" spans="1:6" ht="21" customHeight="1" x14ac:dyDescent="0.25">
      <c r="A158" s="146" t="s">
        <v>640</v>
      </c>
      <c r="B158" s="54">
        <v>30</v>
      </c>
      <c r="C158" s="55">
        <v>0.19</v>
      </c>
      <c r="D158" s="55">
        <v>2.5000000000000001E-2</v>
      </c>
      <c r="E158" s="53" t="s">
        <v>569</v>
      </c>
      <c r="F158" s="53"/>
    </row>
    <row r="159" spans="1:6" ht="21" customHeight="1" x14ac:dyDescent="0.25">
      <c r="A159" s="146" t="s">
        <v>675</v>
      </c>
      <c r="B159" s="54">
        <v>30</v>
      </c>
      <c r="C159" s="55">
        <v>0.19</v>
      </c>
      <c r="D159" s="55">
        <v>3.5000000000000003E-2</v>
      </c>
      <c r="E159" s="53" t="s">
        <v>391</v>
      </c>
      <c r="F159" s="53"/>
    </row>
    <row r="160" spans="1:6" ht="21" customHeight="1" x14ac:dyDescent="0.25">
      <c r="A160" s="146" t="s">
        <v>628</v>
      </c>
      <c r="B160" s="54">
        <v>13</v>
      </c>
      <c r="C160" s="55">
        <v>0</v>
      </c>
      <c r="D160" s="55">
        <v>0</v>
      </c>
      <c r="E160" s="53"/>
      <c r="F160" s="53"/>
    </row>
    <row r="161" spans="1:6" ht="21" customHeight="1" x14ac:dyDescent="0.25">
      <c r="A161" s="146" t="s">
        <v>641</v>
      </c>
      <c r="B161" s="54">
        <v>30</v>
      </c>
      <c r="C161" s="55">
        <v>0</v>
      </c>
      <c r="D161" s="55">
        <v>3.5000000000000003E-2</v>
      </c>
      <c r="E161" s="53" t="s">
        <v>391</v>
      </c>
      <c r="F161" s="53"/>
    </row>
    <row r="162" spans="1:6" ht="21" customHeight="1" x14ac:dyDescent="0.25">
      <c r="A162" s="146" t="s">
        <v>677</v>
      </c>
      <c r="B162" s="54">
        <v>20</v>
      </c>
      <c r="C162" s="55">
        <v>0</v>
      </c>
      <c r="D162" s="55">
        <v>0</v>
      </c>
      <c r="E162" s="53" t="s">
        <v>432</v>
      </c>
      <c r="F162" s="53"/>
    </row>
    <row r="163" spans="1:6" ht="21" customHeight="1" x14ac:dyDescent="0.25">
      <c r="A163" s="146" t="s">
        <v>676</v>
      </c>
      <c r="B163" s="54">
        <v>20</v>
      </c>
      <c r="C163" s="55">
        <v>0</v>
      </c>
      <c r="D163" s="55">
        <v>0</v>
      </c>
      <c r="E163" s="53" t="s">
        <v>432</v>
      </c>
      <c r="F163" s="53"/>
    </row>
    <row r="164" spans="1:6" ht="21" customHeight="1" x14ac:dyDescent="0.25">
      <c r="A164" s="146" t="s">
        <v>642</v>
      </c>
      <c r="B164" s="54">
        <v>30</v>
      </c>
      <c r="C164" s="55">
        <v>0.19</v>
      </c>
      <c r="D164" s="55">
        <v>3.5000000000000003E-2</v>
      </c>
      <c r="E164" s="53" t="s">
        <v>576</v>
      </c>
      <c r="F164" s="53"/>
    </row>
    <row r="165" spans="1:6" ht="21" customHeight="1" x14ac:dyDescent="0.25">
      <c r="A165" s="146" t="s">
        <v>843</v>
      </c>
      <c r="B165" s="54">
        <v>30</v>
      </c>
      <c r="C165" s="55">
        <v>0.19</v>
      </c>
      <c r="D165" s="55">
        <v>2.5000000000000001E-2</v>
      </c>
      <c r="E165" s="53"/>
      <c r="F165" s="53"/>
    </row>
    <row r="166" spans="1:6" ht="21" customHeight="1" x14ac:dyDescent="0.25">
      <c r="A166" s="146" t="s">
        <v>18</v>
      </c>
      <c r="B166" s="54">
        <v>30</v>
      </c>
      <c r="C166" s="55">
        <v>0.19</v>
      </c>
      <c r="D166" s="55">
        <v>2.5000000000000001E-2</v>
      </c>
      <c r="E166" s="53" t="s">
        <v>553</v>
      </c>
      <c r="F166" s="53"/>
    </row>
    <row r="167" spans="1:6" ht="21" customHeight="1" x14ac:dyDescent="0.25">
      <c r="A167" s="146" t="s">
        <v>36</v>
      </c>
      <c r="B167" s="54">
        <v>30</v>
      </c>
      <c r="C167" s="55">
        <v>0.19</v>
      </c>
      <c r="D167" s="55">
        <v>2.5000000000000001E-2</v>
      </c>
      <c r="E167" s="53" t="s">
        <v>554</v>
      </c>
      <c r="F167" s="53"/>
    </row>
    <row r="168" spans="1:6" ht="21" customHeight="1" x14ac:dyDescent="0.25">
      <c r="A168" s="146" t="s">
        <v>109</v>
      </c>
      <c r="B168" s="54">
        <v>30</v>
      </c>
      <c r="C168" s="55">
        <v>0</v>
      </c>
      <c r="D168" s="55">
        <v>0</v>
      </c>
      <c r="E168" s="53" t="s">
        <v>551</v>
      </c>
      <c r="F168" s="53"/>
    </row>
    <row r="169" spans="1:6" ht="21" customHeight="1" x14ac:dyDescent="0.25">
      <c r="A169" s="146" t="s">
        <v>778</v>
      </c>
      <c r="B169" s="54">
        <v>30</v>
      </c>
      <c r="C169" s="55">
        <v>0</v>
      </c>
      <c r="D169" s="55">
        <v>0</v>
      </c>
      <c r="E169" s="53" t="s">
        <v>801</v>
      </c>
      <c r="F169" s="53"/>
    </row>
    <row r="170" spans="1:6" ht="21" customHeight="1" x14ac:dyDescent="0.25">
      <c r="A170" s="146" t="s">
        <v>236</v>
      </c>
      <c r="B170" s="54">
        <v>30</v>
      </c>
      <c r="C170" s="55">
        <v>0</v>
      </c>
      <c r="D170" s="55">
        <v>0</v>
      </c>
      <c r="E170" s="53" t="s">
        <v>388</v>
      </c>
      <c r="F170" s="53"/>
    </row>
    <row r="171" spans="1:6" ht="21" customHeight="1" x14ac:dyDescent="0.25">
      <c r="A171" s="146" t="s">
        <v>114</v>
      </c>
      <c r="B171" s="54">
        <v>30</v>
      </c>
      <c r="C171" s="55">
        <v>0</v>
      </c>
      <c r="D171" s="55">
        <v>0</v>
      </c>
      <c r="E171" s="53" t="s">
        <v>388</v>
      </c>
      <c r="F171" s="53"/>
    </row>
    <row r="172" spans="1:6" ht="21" customHeight="1" x14ac:dyDescent="0.25">
      <c r="A172" s="146" t="s">
        <v>701</v>
      </c>
      <c r="B172" s="54">
        <v>10</v>
      </c>
      <c r="C172" s="55">
        <v>0</v>
      </c>
      <c r="D172" s="55">
        <v>0</v>
      </c>
      <c r="E172" s="53"/>
      <c r="F172" s="53"/>
    </row>
    <row r="173" spans="1:6" ht="21" customHeight="1" x14ac:dyDescent="0.25">
      <c r="A173" s="146" t="s">
        <v>83</v>
      </c>
      <c r="B173" s="54">
        <v>30</v>
      </c>
      <c r="C173" s="55">
        <v>0</v>
      </c>
      <c r="D173" s="55">
        <v>0</v>
      </c>
      <c r="E173" s="53" t="s">
        <v>388</v>
      </c>
      <c r="F173" s="53"/>
    </row>
    <row r="174" spans="1:6" ht="21" customHeight="1" x14ac:dyDescent="0.25">
      <c r="A174" s="146" t="s">
        <v>124</v>
      </c>
      <c r="B174" s="54">
        <v>30</v>
      </c>
      <c r="C174" s="55">
        <v>0</v>
      </c>
      <c r="D174" s="55">
        <v>0</v>
      </c>
      <c r="E174" s="53" t="s">
        <v>551</v>
      </c>
      <c r="F174" s="53"/>
    </row>
    <row r="175" spans="1:6" ht="21" customHeight="1" x14ac:dyDescent="0.25">
      <c r="A175" s="146" t="s">
        <v>387</v>
      </c>
      <c r="B175" s="54">
        <v>30</v>
      </c>
      <c r="C175" s="55">
        <v>0</v>
      </c>
      <c r="D175" s="55">
        <v>0</v>
      </c>
      <c r="E175" s="53" t="s">
        <v>551</v>
      </c>
      <c r="F175" s="53"/>
    </row>
    <row r="176" spans="1:6" ht="21" customHeight="1" x14ac:dyDescent="0.25">
      <c r="A176" s="146" t="s">
        <v>123</v>
      </c>
      <c r="B176" s="54">
        <v>30</v>
      </c>
      <c r="C176" s="55">
        <v>0</v>
      </c>
      <c r="D176" s="55">
        <v>0</v>
      </c>
      <c r="E176" s="53" t="s">
        <v>551</v>
      </c>
      <c r="F176" s="53"/>
    </row>
    <row r="177" spans="1:6" ht="21" customHeight="1" x14ac:dyDescent="0.25">
      <c r="A177" s="146" t="s">
        <v>237</v>
      </c>
      <c r="B177" s="54">
        <v>30</v>
      </c>
      <c r="C177" s="55">
        <v>0</v>
      </c>
      <c r="D177" s="55">
        <v>0</v>
      </c>
      <c r="E177" s="53" t="s">
        <v>551</v>
      </c>
      <c r="F177" s="53"/>
    </row>
    <row r="178" spans="1:6" ht="21" customHeight="1" x14ac:dyDescent="0.25">
      <c r="A178" s="146" t="s">
        <v>61</v>
      </c>
      <c r="B178" s="54">
        <v>30</v>
      </c>
      <c r="C178" s="55">
        <v>0</v>
      </c>
      <c r="D178" s="55">
        <v>0</v>
      </c>
      <c r="E178" s="53" t="s">
        <v>388</v>
      </c>
      <c r="F178" s="53"/>
    </row>
    <row r="179" spans="1:6" ht="21" customHeight="1" x14ac:dyDescent="0.25">
      <c r="A179" s="146" t="s">
        <v>59</v>
      </c>
      <c r="B179" s="54">
        <v>30</v>
      </c>
      <c r="C179" s="55">
        <v>0</v>
      </c>
      <c r="D179" s="55">
        <v>0</v>
      </c>
      <c r="E179" s="53" t="s">
        <v>388</v>
      </c>
      <c r="F179" s="53"/>
    </row>
    <row r="180" spans="1:6" ht="21" customHeight="1" x14ac:dyDescent="0.25">
      <c r="A180" s="146" t="s">
        <v>90</v>
      </c>
      <c r="B180" s="54">
        <v>30</v>
      </c>
      <c r="C180" s="55">
        <v>0.19</v>
      </c>
      <c r="D180" s="55">
        <v>2.5000000000000001E-2</v>
      </c>
      <c r="E180" s="53" t="s">
        <v>555</v>
      </c>
      <c r="F180" s="53"/>
    </row>
    <row r="181" spans="1:6" ht="21" customHeight="1" x14ac:dyDescent="0.25">
      <c r="A181" s="146" t="s">
        <v>383</v>
      </c>
      <c r="B181" s="54">
        <v>30</v>
      </c>
      <c r="C181" s="55">
        <v>0</v>
      </c>
      <c r="D181" s="55">
        <v>0.01</v>
      </c>
      <c r="E181" s="53" t="s">
        <v>545</v>
      </c>
      <c r="F181" s="53"/>
    </row>
    <row r="182" spans="1:6" ht="21" customHeight="1" x14ac:dyDescent="0.25">
      <c r="A182" s="146" t="s">
        <v>52</v>
      </c>
      <c r="B182" s="54">
        <v>30</v>
      </c>
      <c r="C182" s="55">
        <v>0.19</v>
      </c>
      <c r="D182" s="55">
        <v>2.5000000000000001E-2</v>
      </c>
      <c r="E182" s="53" t="s">
        <v>600</v>
      </c>
      <c r="F182" s="53"/>
    </row>
    <row r="183" spans="1:6" ht="21" customHeight="1" x14ac:dyDescent="0.25">
      <c r="A183" s="146" t="s">
        <v>501</v>
      </c>
      <c r="B183" s="54">
        <v>30</v>
      </c>
      <c r="C183" s="55">
        <v>0.19</v>
      </c>
      <c r="D183" s="55">
        <v>2.5000000000000001E-2</v>
      </c>
      <c r="E183" s="53" t="s">
        <v>867</v>
      </c>
      <c r="F183" s="51" t="s">
        <v>464</v>
      </c>
    </row>
    <row r="184" spans="1:6" ht="21" customHeight="1" x14ac:dyDescent="0.25">
      <c r="A184" s="146" t="s">
        <v>782</v>
      </c>
      <c r="B184" s="54">
        <v>30</v>
      </c>
      <c r="C184" s="55">
        <v>0.19</v>
      </c>
      <c r="D184" s="55">
        <v>2.5000000000000001E-2</v>
      </c>
      <c r="E184" s="53" t="s">
        <v>867</v>
      </c>
      <c r="F184" s="51" t="s">
        <v>464</v>
      </c>
    </row>
    <row r="185" spans="1:6" ht="21" customHeight="1" x14ac:dyDescent="0.25">
      <c r="A185" s="146" t="s">
        <v>911</v>
      </c>
      <c r="B185" s="54">
        <v>30</v>
      </c>
      <c r="C185" s="55">
        <v>0.19</v>
      </c>
      <c r="D185" s="55">
        <v>2.5000000000000001E-2</v>
      </c>
      <c r="E185" s="53" t="s">
        <v>938</v>
      </c>
      <c r="F185" s="53"/>
    </row>
    <row r="186" spans="1:6" ht="21" customHeight="1" x14ac:dyDescent="0.25">
      <c r="A186" s="146" t="s">
        <v>409</v>
      </c>
      <c r="B186" s="54">
        <v>30</v>
      </c>
      <c r="C186" s="55">
        <v>0.19</v>
      </c>
      <c r="D186" s="55">
        <v>2.5000000000000001E-2</v>
      </c>
      <c r="E186" s="53"/>
      <c r="F186" s="53"/>
    </row>
    <row r="187" spans="1:6" ht="21" customHeight="1" x14ac:dyDescent="0.25">
      <c r="A187" s="146" t="s">
        <v>33</v>
      </c>
      <c r="B187" s="54">
        <v>90</v>
      </c>
      <c r="C187" s="55">
        <v>0</v>
      </c>
      <c r="D187" s="55">
        <v>0</v>
      </c>
      <c r="E187" s="53" t="s">
        <v>736</v>
      </c>
      <c r="F187" s="53"/>
    </row>
    <row r="188" spans="1:6" ht="21" customHeight="1" x14ac:dyDescent="0.25">
      <c r="A188" s="146" t="s">
        <v>35</v>
      </c>
      <c r="B188" s="54">
        <v>30</v>
      </c>
      <c r="C188" s="55">
        <v>0.19</v>
      </c>
      <c r="D188" s="55">
        <v>2.5000000000000001E-2</v>
      </c>
      <c r="E188" s="53" t="s">
        <v>811</v>
      </c>
      <c r="F188" s="53"/>
    </row>
    <row r="189" spans="1:6" ht="21" customHeight="1" x14ac:dyDescent="0.25">
      <c r="A189" s="146" t="s">
        <v>238</v>
      </c>
      <c r="B189" s="54">
        <v>30</v>
      </c>
      <c r="C189" s="55">
        <v>0.19</v>
      </c>
      <c r="D189" s="55">
        <v>0</v>
      </c>
      <c r="E189" s="53" t="s">
        <v>388</v>
      </c>
      <c r="F189" s="53"/>
    </row>
    <row r="190" spans="1:6" ht="21" customHeight="1" x14ac:dyDescent="0.25">
      <c r="A190" s="146" t="s">
        <v>239</v>
      </c>
      <c r="B190" s="54">
        <v>30</v>
      </c>
      <c r="C190" s="55">
        <v>0</v>
      </c>
      <c r="D190" s="55">
        <v>0</v>
      </c>
      <c r="E190" s="53" t="s">
        <v>557</v>
      </c>
      <c r="F190" s="53"/>
    </row>
    <row r="191" spans="1:6" ht="21" customHeight="1" x14ac:dyDescent="0.25">
      <c r="A191" s="146" t="s">
        <v>779</v>
      </c>
      <c r="B191" s="54">
        <v>30</v>
      </c>
      <c r="C191" s="55">
        <v>0</v>
      </c>
      <c r="D191" s="55">
        <v>0</v>
      </c>
      <c r="E191" s="53" t="s">
        <v>557</v>
      </c>
      <c r="F191" s="53"/>
    </row>
    <row r="192" spans="1:6" ht="21" customHeight="1" x14ac:dyDescent="0.25">
      <c r="A192" s="146" t="s">
        <v>700</v>
      </c>
      <c r="B192" s="54">
        <v>30</v>
      </c>
      <c r="C192" s="55">
        <v>0</v>
      </c>
      <c r="D192" s="55">
        <v>0</v>
      </c>
      <c r="E192" s="53" t="s">
        <v>557</v>
      </c>
      <c r="F192" s="53"/>
    </row>
    <row r="193" spans="1:6" ht="21" customHeight="1" x14ac:dyDescent="0.25">
      <c r="A193" s="146" t="s">
        <v>171</v>
      </c>
      <c r="B193" s="54">
        <v>90</v>
      </c>
      <c r="C193" s="55">
        <v>0.19</v>
      </c>
      <c r="D193" s="55">
        <v>2.5000000000000001E-2</v>
      </c>
      <c r="E193" s="53" t="s">
        <v>558</v>
      </c>
      <c r="F193" s="53"/>
    </row>
    <row r="194" spans="1:6" ht="21" customHeight="1" x14ac:dyDescent="0.25">
      <c r="A194" s="146" t="s">
        <v>34</v>
      </c>
      <c r="B194" s="54">
        <v>30</v>
      </c>
      <c r="C194" s="55">
        <v>0.19</v>
      </c>
      <c r="D194" s="55">
        <v>2.5000000000000001E-2</v>
      </c>
      <c r="E194" s="53" t="s">
        <v>559</v>
      </c>
      <c r="F194" s="53"/>
    </row>
    <row r="195" spans="1:6" ht="21" customHeight="1" x14ac:dyDescent="0.25">
      <c r="A195" s="146" t="s">
        <v>848</v>
      </c>
      <c r="B195" s="54">
        <v>30</v>
      </c>
      <c r="C195" s="55">
        <v>0.19</v>
      </c>
      <c r="D195" s="55">
        <v>2.5000000000000001E-2</v>
      </c>
      <c r="E195" s="53" t="s">
        <v>867</v>
      </c>
      <c r="F195" s="53"/>
    </row>
    <row r="196" spans="1:6" ht="21" customHeight="1" x14ac:dyDescent="0.25">
      <c r="A196" s="146" t="s">
        <v>734</v>
      </c>
      <c r="B196" s="54">
        <v>30</v>
      </c>
      <c r="C196" s="55">
        <v>0.19</v>
      </c>
      <c r="D196" s="55">
        <v>2.5000000000000001E-2</v>
      </c>
      <c r="E196" s="53"/>
      <c r="F196" s="53"/>
    </row>
    <row r="197" spans="1:6" ht="21" customHeight="1" x14ac:dyDescent="0.25">
      <c r="A197" s="146" t="s">
        <v>240</v>
      </c>
      <c r="B197" s="54">
        <v>30</v>
      </c>
      <c r="C197" s="55">
        <v>0.19</v>
      </c>
      <c r="D197" s="55">
        <v>2.5000000000000001E-2</v>
      </c>
      <c r="E197" s="53" t="s">
        <v>388</v>
      </c>
      <c r="F197" s="53"/>
    </row>
    <row r="198" spans="1:6" ht="21" customHeight="1" x14ac:dyDescent="0.25">
      <c r="A198" s="146" t="s">
        <v>808</v>
      </c>
      <c r="B198" s="54">
        <v>30</v>
      </c>
      <c r="C198" s="55">
        <v>0.19</v>
      </c>
      <c r="D198" s="55">
        <v>2.5000000000000001E-2</v>
      </c>
      <c r="E198" s="53" t="s">
        <v>809</v>
      </c>
      <c r="F198" s="53"/>
    </row>
    <row r="199" spans="1:6" ht="21" customHeight="1" x14ac:dyDescent="0.25">
      <c r="A199" s="146" t="s">
        <v>29</v>
      </c>
      <c r="B199" s="54">
        <v>30</v>
      </c>
      <c r="C199" s="55">
        <v>0</v>
      </c>
      <c r="D199" s="55">
        <v>0</v>
      </c>
      <c r="E199" s="53" t="s">
        <v>388</v>
      </c>
      <c r="F199" s="53"/>
    </row>
    <row r="200" spans="1:6" ht="21" customHeight="1" x14ac:dyDescent="0.25">
      <c r="A200" s="146" t="s">
        <v>670</v>
      </c>
      <c r="B200" s="54">
        <v>30</v>
      </c>
      <c r="C200" s="55">
        <v>0.19</v>
      </c>
      <c r="D200" s="55">
        <v>0.01</v>
      </c>
      <c r="E200" s="53" t="s">
        <v>671</v>
      </c>
      <c r="F200" s="53"/>
    </row>
    <row r="201" spans="1:6" ht="21" customHeight="1" x14ac:dyDescent="0.25">
      <c r="A201" s="146" t="s">
        <v>17</v>
      </c>
      <c r="B201" s="54">
        <v>30</v>
      </c>
      <c r="C201" s="55">
        <v>0.19</v>
      </c>
      <c r="D201" s="55">
        <v>0</v>
      </c>
      <c r="E201" s="53" t="s">
        <v>562</v>
      </c>
      <c r="F201" s="53"/>
    </row>
    <row r="202" spans="1:6" ht="21" customHeight="1" x14ac:dyDescent="0.25">
      <c r="A202" s="146" t="s">
        <v>615</v>
      </c>
      <c r="B202" s="54">
        <v>10</v>
      </c>
      <c r="C202" s="55">
        <v>0</v>
      </c>
      <c r="D202" s="55">
        <v>0</v>
      </c>
      <c r="E202" s="53" t="s">
        <v>616</v>
      </c>
      <c r="F202" s="53"/>
    </row>
    <row r="203" spans="1:6" ht="21" customHeight="1" x14ac:dyDescent="0.25">
      <c r="A203" s="146" t="s">
        <v>656</v>
      </c>
      <c r="B203" s="54">
        <v>10</v>
      </c>
      <c r="C203" s="55">
        <v>0.19</v>
      </c>
      <c r="D203" s="55">
        <v>2.5000000000000001E-2</v>
      </c>
      <c r="E203" s="53" t="s">
        <v>657</v>
      </c>
      <c r="F203" s="53"/>
    </row>
    <row r="204" spans="1:6" ht="21" customHeight="1" x14ac:dyDescent="0.25">
      <c r="A204" s="146" t="s">
        <v>22</v>
      </c>
      <c r="B204" s="54">
        <v>30</v>
      </c>
      <c r="C204" s="55">
        <v>0.19</v>
      </c>
      <c r="D204" s="55">
        <v>2.5000000000000001E-2</v>
      </c>
      <c r="E204" s="53" t="s">
        <v>563</v>
      </c>
      <c r="F204" s="53"/>
    </row>
    <row r="205" spans="1:6" ht="21" customHeight="1" x14ac:dyDescent="0.25">
      <c r="A205" s="146" t="s">
        <v>241</v>
      </c>
      <c r="B205" s="54">
        <v>30</v>
      </c>
      <c r="C205" s="55">
        <v>0.19</v>
      </c>
      <c r="D205" s="55">
        <v>2.5000000000000001E-2</v>
      </c>
      <c r="E205" s="53" t="s">
        <v>581</v>
      </c>
      <c r="F205" s="53" t="s">
        <v>580</v>
      </c>
    </row>
    <row r="206" spans="1:6" ht="21" customHeight="1" x14ac:dyDescent="0.25">
      <c r="A206" s="146" t="s">
        <v>37</v>
      </c>
      <c r="B206" s="54">
        <v>30</v>
      </c>
      <c r="C206" s="55">
        <v>0.19</v>
      </c>
      <c r="D206" s="55">
        <v>2.5000000000000001E-2</v>
      </c>
      <c r="E206" s="53" t="s">
        <v>564</v>
      </c>
      <c r="F206" s="53"/>
    </row>
    <row r="207" spans="1:6" ht="21" customHeight="1" x14ac:dyDescent="0.25">
      <c r="A207" s="146" t="s">
        <v>19</v>
      </c>
      <c r="B207" s="54">
        <v>45</v>
      </c>
      <c r="C207" s="55">
        <v>0.19</v>
      </c>
      <c r="D207" s="55">
        <v>0</v>
      </c>
      <c r="E207" s="53" t="s">
        <v>565</v>
      </c>
      <c r="F207" s="53"/>
    </row>
    <row r="208" spans="1:6" ht="21" customHeight="1" x14ac:dyDescent="0.25">
      <c r="A208" s="146" t="s">
        <v>27</v>
      </c>
      <c r="B208" s="54">
        <v>30</v>
      </c>
      <c r="C208" s="55">
        <v>0.19</v>
      </c>
      <c r="D208" s="55">
        <v>3.5000000000000003E-2</v>
      </c>
      <c r="E208" s="53" t="s">
        <v>388</v>
      </c>
      <c r="F208" s="53"/>
    </row>
    <row r="209" spans="1:6" ht="21" customHeight="1" x14ac:dyDescent="0.25">
      <c r="A209" s="146" t="s">
        <v>242</v>
      </c>
      <c r="B209" s="54">
        <v>30</v>
      </c>
      <c r="C209" s="55">
        <v>0.19</v>
      </c>
      <c r="D209" s="55">
        <v>3.5000000000000003E-2</v>
      </c>
      <c r="E209" s="53" t="s">
        <v>388</v>
      </c>
      <c r="F209" s="53"/>
    </row>
    <row r="210" spans="1:6" ht="21" customHeight="1" x14ac:dyDescent="0.25">
      <c r="A210" s="146" t="s">
        <v>243</v>
      </c>
      <c r="B210" s="54">
        <v>30</v>
      </c>
      <c r="C210" s="55">
        <v>0.19</v>
      </c>
      <c r="D210" s="55">
        <v>3.5000000000000003E-2</v>
      </c>
      <c r="E210" s="53" t="s">
        <v>388</v>
      </c>
      <c r="F210" s="53"/>
    </row>
    <row r="211" spans="1:6" ht="21" customHeight="1" x14ac:dyDescent="0.25">
      <c r="A211" s="146" t="s">
        <v>117</v>
      </c>
      <c r="B211" s="54">
        <v>30</v>
      </c>
      <c r="C211" s="55">
        <v>0.19</v>
      </c>
      <c r="D211" s="55">
        <v>3.5000000000000003E-2</v>
      </c>
      <c r="E211" s="53" t="s">
        <v>388</v>
      </c>
      <c r="F211" s="53"/>
    </row>
    <row r="212" spans="1:6" ht="21" customHeight="1" x14ac:dyDescent="0.25">
      <c r="A212" s="146" t="s">
        <v>77</v>
      </c>
      <c r="B212" s="54">
        <v>30</v>
      </c>
      <c r="C212" s="55">
        <v>0.19</v>
      </c>
      <c r="D212" s="55">
        <v>3.5000000000000003E-2</v>
      </c>
      <c r="E212" s="53" t="s">
        <v>388</v>
      </c>
      <c r="F212" s="53"/>
    </row>
    <row r="213" spans="1:6" ht="21" customHeight="1" x14ac:dyDescent="0.25">
      <c r="A213" s="146" t="s">
        <v>49</v>
      </c>
      <c r="B213" s="54">
        <v>30</v>
      </c>
      <c r="C213" s="55">
        <v>0.19</v>
      </c>
      <c r="D213" s="55">
        <v>3.5000000000000003E-2</v>
      </c>
      <c r="E213" s="53" t="s">
        <v>388</v>
      </c>
      <c r="F213" s="53"/>
    </row>
    <row r="214" spans="1:6" ht="21" customHeight="1" x14ac:dyDescent="0.25">
      <c r="A214" s="146" t="s">
        <v>48</v>
      </c>
      <c r="B214" s="54">
        <v>30</v>
      </c>
      <c r="C214" s="55">
        <v>0.19</v>
      </c>
      <c r="D214" s="55">
        <v>3.5000000000000003E-2</v>
      </c>
      <c r="E214" s="53" t="s">
        <v>388</v>
      </c>
      <c r="F214" s="53"/>
    </row>
    <row r="215" spans="1:6" ht="21" customHeight="1" x14ac:dyDescent="0.25">
      <c r="A215" s="146" t="s">
        <v>60</v>
      </c>
      <c r="B215" s="54">
        <v>30</v>
      </c>
      <c r="C215" s="55">
        <v>0.19</v>
      </c>
      <c r="D215" s="55">
        <v>3.5000000000000003E-2</v>
      </c>
      <c r="E215" s="53" t="s">
        <v>388</v>
      </c>
      <c r="F215" s="53"/>
    </row>
    <row r="216" spans="1:6" ht="21" customHeight="1" x14ac:dyDescent="0.25">
      <c r="A216" s="146" t="s">
        <v>41</v>
      </c>
      <c r="B216" s="54">
        <v>30</v>
      </c>
      <c r="C216" s="55">
        <v>0</v>
      </c>
      <c r="D216" s="55">
        <v>0</v>
      </c>
      <c r="E216" s="53" t="s">
        <v>388</v>
      </c>
      <c r="F216" s="53"/>
    </row>
    <row r="217" spans="1:6" ht="21" customHeight="1" x14ac:dyDescent="0.25">
      <c r="A217" s="146" t="s">
        <v>770</v>
      </c>
      <c r="B217" s="54">
        <v>20</v>
      </c>
      <c r="C217" s="55">
        <v>0</v>
      </c>
      <c r="D217" s="55">
        <v>0.01</v>
      </c>
      <c r="E217" s="53" t="s">
        <v>649</v>
      </c>
      <c r="F217" s="53"/>
    </row>
    <row r="218" spans="1:6" ht="21" customHeight="1" x14ac:dyDescent="0.25">
      <c r="A218" s="146" t="s">
        <v>771</v>
      </c>
      <c r="B218" s="54">
        <v>20</v>
      </c>
      <c r="C218" s="55">
        <v>0</v>
      </c>
      <c r="D218" s="55">
        <v>0.01</v>
      </c>
      <c r="E218" s="53" t="s">
        <v>649</v>
      </c>
      <c r="F218" s="53"/>
    </row>
    <row r="219" spans="1:6" ht="21" customHeight="1" x14ac:dyDescent="0.25">
      <c r="A219" s="146" t="s">
        <v>772</v>
      </c>
      <c r="B219" s="54">
        <v>20</v>
      </c>
      <c r="C219" s="55">
        <v>0</v>
      </c>
      <c r="D219" s="55">
        <v>0.01</v>
      </c>
      <c r="E219" s="53" t="s">
        <v>649</v>
      </c>
      <c r="F219" s="53"/>
    </row>
    <row r="220" spans="1:6" ht="21" customHeight="1" x14ac:dyDescent="0.25">
      <c r="A220" s="146" t="s">
        <v>850</v>
      </c>
      <c r="B220" s="54">
        <v>20</v>
      </c>
      <c r="C220" s="55">
        <v>0</v>
      </c>
      <c r="D220" s="55">
        <v>0.01</v>
      </c>
      <c r="E220" s="53" t="s">
        <v>649</v>
      </c>
      <c r="F220" s="53"/>
    </row>
    <row r="221" spans="1:6" ht="21" customHeight="1" x14ac:dyDescent="0.25">
      <c r="A221" s="146" t="s">
        <v>702</v>
      </c>
      <c r="B221" s="54">
        <v>20</v>
      </c>
      <c r="C221" s="55">
        <v>0.19</v>
      </c>
      <c r="D221" s="55">
        <v>0.04</v>
      </c>
      <c r="E221" s="53" t="s">
        <v>649</v>
      </c>
      <c r="F221" s="53"/>
    </row>
    <row r="222" spans="1:6" ht="21" customHeight="1" x14ac:dyDescent="0.25">
      <c r="A222" s="146" t="s">
        <v>707</v>
      </c>
      <c r="B222" s="54">
        <v>20</v>
      </c>
      <c r="C222" s="55">
        <v>0.19</v>
      </c>
      <c r="D222" s="55">
        <v>0.04</v>
      </c>
      <c r="E222" s="53" t="s">
        <v>649</v>
      </c>
      <c r="F222" s="53"/>
    </row>
    <row r="223" spans="1:6" ht="21" customHeight="1" x14ac:dyDescent="0.25">
      <c r="A223" s="146" t="s">
        <v>681</v>
      </c>
      <c r="B223" s="54">
        <v>20</v>
      </c>
      <c r="C223" s="55">
        <v>0.19</v>
      </c>
      <c r="D223" s="55">
        <v>0.04</v>
      </c>
      <c r="E223" s="53" t="s">
        <v>649</v>
      </c>
      <c r="F223" s="53"/>
    </row>
    <row r="224" spans="1:6" ht="21" customHeight="1" x14ac:dyDescent="0.25">
      <c r="A224" s="146" t="s">
        <v>784</v>
      </c>
      <c r="B224" s="54">
        <v>30</v>
      </c>
      <c r="C224" s="55">
        <v>0.19</v>
      </c>
      <c r="D224" s="55">
        <v>0</v>
      </c>
      <c r="E224" s="158" t="s">
        <v>907</v>
      </c>
      <c r="F224" s="53"/>
    </row>
    <row r="225" spans="1:6" ht="21" customHeight="1" x14ac:dyDescent="0.25">
      <c r="A225" s="146" t="s">
        <v>28</v>
      </c>
      <c r="B225" s="54">
        <v>30</v>
      </c>
      <c r="C225" s="55">
        <v>0.19</v>
      </c>
      <c r="D225" s="55">
        <v>2.5000000000000001E-2</v>
      </c>
      <c r="E225" s="53" t="s">
        <v>601</v>
      </c>
      <c r="F225" s="53"/>
    </row>
    <row r="226" spans="1:6" ht="21" customHeight="1" x14ac:dyDescent="0.25">
      <c r="A226" s="146" t="s">
        <v>16</v>
      </c>
      <c r="B226" s="54">
        <v>30</v>
      </c>
      <c r="C226" s="55">
        <v>0.19</v>
      </c>
      <c r="D226" s="55">
        <v>2.5000000000000001E-2</v>
      </c>
      <c r="E226" s="53" t="s">
        <v>567</v>
      </c>
      <c r="F226" s="53"/>
    </row>
    <row r="227" spans="1:6" ht="21" customHeight="1" x14ac:dyDescent="0.25">
      <c r="A227" s="146" t="s">
        <v>84</v>
      </c>
      <c r="B227" s="54">
        <v>30</v>
      </c>
      <c r="C227" s="55">
        <v>0.19</v>
      </c>
      <c r="D227" s="55">
        <v>3.5000000000000003E-2</v>
      </c>
      <c r="E227" s="53" t="s">
        <v>388</v>
      </c>
      <c r="F227" s="53"/>
    </row>
    <row r="228" spans="1:6" ht="21" customHeight="1" x14ac:dyDescent="0.25">
      <c r="A228" s="146" t="s">
        <v>971</v>
      </c>
      <c r="B228" s="54">
        <v>30</v>
      </c>
      <c r="C228" s="55">
        <v>0.19</v>
      </c>
      <c r="D228" s="55">
        <v>2.5000000000000001E-2</v>
      </c>
      <c r="E228" s="53"/>
      <c r="F228" s="53"/>
    </row>
    <row r="229" spans="1:6" ht="21" customHeight="1" x14ac:dyDescent="0.25">
      <c r="A229" s="146" t="s">
        <v>498</v>
      </c>
      <c r="B229" s="54">
        <v>30</v>
      </c>
      <c r="C229" s="55">
        <v>0.19</v>
      </c>
      <c r="D229" s="55">
        <v>2.5000000000000001E-2</v>
      </c>
      <c r="E229" s="53" t="s">
        <v>546</v>
      </c>
      <c r="F229" s="53" t="s">
        <v>532</v>
      </c>
    </row>
    <row r="230" spans="1:6" ht="21" customHeight="1" x14ac:dyDescent="0.25">
      <c r="A230" s="146" t="s">
        <v>593</v>
      </c>
      <c r="B230" s="54">
        <v>20</v>
      </c>
      <c r="C230" s="55">
        <v>0</v>
      </c>
      <c r="D230" s="55">
        <v>0</v>
      </c>
      <c r="E230" s="53" t="s">
        <v>595</v>
      </c>
      <c r="F230" s="53"/>
    </row>
    <row r="231" spans="1:6" ht="21" customHeight="1" x14ac:dyDescent="0.25">
      <c r="A231" s="146" t="s">
        <v>407</v>
      </c>
      <c r="B231" s="54">
        <v>30</v>
      </c>
      <c r="C231" s="55">
        <v>0</v>
      </c>
      <c r="D231" s="55">
        <v>0</v>
      </c>
      <c r="E231" s="53" t="s">
        <v>408</v>
      </c>
      <c r="F231" s="53"/>
    </row>
    <row r="232" spans="1:6" ht="21" customHeight="1" x14ac:dyDescent="0.25">
      <c r="A232" s="146" t="s">
        <v>32</v>
      </c>
      <c r="B232" s="54">
        <v>30</v>
      </c>
      <c r="C232" s="55">
        <v>0</v>
      </c>
      <c r="D232" s="55">
        <v>0</v>
      </c>
      <c r="E232" s="53" t="s">
        <v>570</v>
      </c>
      <c r="F232" s="53"/>
    </row>
    <row r="233" spans="1:6" ht="21" customHeight="1" x14ac:dyDescent="0.25">
      <c r="A233" s="146" t="s">
        <v>42</v>
      </c>
      <c r="B233" s="54">
        <v>30</v>
      </c>
      <c r="C233" s="55">
        <v>0.19</v>
      </c>
      <c r="D233" s="55">
        <v>2.5000000000000001E-2</v>
      </c>
      <c r="E233" s="53" t="s">
        <v>571</v>
      </c>
      <c r="F233" s="53"/>
    </row>
    <row r="234" spans="1:6" ht="21" customHeight="1" x14ac:dyDescent="0.25">
      <c r="A234" s="146" t="s">
        <v>244</v>
      </c>
      <c r="B234" s="54">
        <v>30</v>
      </c>
      <c r="C234" s="55">
        <v>0.19</v>
      </c>
      <c r="D234" s="55">
        <v>2.5000000000000001E-2</v>
      </c>
      <c r="E234" s="53" t="s">
        <v>388</v>
      </c>
      <c r="F234" s="53"/>
    </row>
    <row r="235" spans="1:6" ht="21" customHeight="1" x14ac:dyDescent="0.25">
      <c r="A235" s="146" t="s">
        <v>15</v>
      </c>
      <c r="B235" s="54">
        <v>10</v>
      </c>
      <c r="C235" s="55">
        <v>0.19</v>
      </c>
      <c r="D235" s="55">
        <v>2.5000000000000001E-2</v>
      </c>
      <c r="E235" s="53" t="s">
        <v>388</v>
      </c>
      <c r="F235" s="53"/>
    </row>
    <row r="236" spans="1:6" ht="21" customHeight="1" x14ac:dyDescent="0.25">
      <c r="A236" s="146" t="s">
        <v>9</v>
      </c>
      <c r="B236" s="54">
        <v>30</v>
      </c>
      <c r="C236" s="55">
        <v>0.19</v>
      </c>
      <c r="D236" s="55">
        <v>2.5000000000000001E-2</v>
      </c>
      <c r="E236" s="53" t="s">
        <v>572</v>
      </c>
      <c r="F236" s="53"/>
    </row>
    <row r="237" spans="1:6" ht="21" customHeight="1" x14ac:dyDescent="0.25">
      <c r="A237" s="146" t="s">
        <v>806</v>
      </c>
      <c r="B237" s="54">
        <v>30</v>
      </c>
      <c r="C237" s="55">
        <v>0.19</v>
      </c>
      <c r="D237" s="55">
        <v>2.5000000000000001E-2</v>
      </c>
      <c r="E237" s="53" t="s">
        <v>801</v>
      </c>
      <c r="F237" s="53"/>
    </row>
    <row r="238" spans="1:6" ht="21" customHeight="1" x14ac:dyDescent="0.25">
      <c r="A238" s="146" t="s">
        <v>800</v>
      </c>
      <c r="B238" s="54">
        <v>30</v>
      </c>
      <c r="C238" s="55">
        <v>0.19</v>
      </c>
      <c r="D238" s="55">
        <v>2.5000000000000001E-2</v>
      </c>
      <c r="E238" s="53" t="s">
        <v>999</v>
      </c>
      <c r="F238" s="53"/>
    </row>
    <row r="239" spans="1:6" ht="21" customHeight="1" x14ac:dyDescent="0.25">
      <c r="A239" s="146" t="s">
        <v>30</v>
      </c>
      <c r="B239" s="54">
        <v>30</v>
      </c>
      <c r="C239" s="55">
        <v>0</v>
      </c>
      <c r="D239" s="55">
        <v>0</v>
      </c>
      <c r="E239" s="53" t="s">
        <v>388</v>
      </c>
      <c r="F239" s="53"/>
    </row>
    <row r="240" spans="1:6" ht="21" customHeight="1" x14ac:dyDescent="0.25">
      <c r="A240" s="146" t="s">
        <v>50</v>
      </c>
      <c r="B240" s="54">
        <v>30</v>
      </c>
      <c r="C240" s="55">
        <v>0.19</v>
      </c>
      <c r="D240" s="55">
        <v>2.5000000000000001E-2</v>
      </c>
      <c r="E240" s="53" t="s">
        <v>388</v>
      </c>
      <c r="F240" s="53"/>
    </row>
    <row r="241" spans="1:6" ht="21" customHeight="1" x14ac:dyDescent="0.25">
      <c r="A241" s="146" t="s">
        <v>24</v>
      </c>
      <c r="B241" s="54">
        <v>10</v>
      </c>
      <c r="C241" s="55">
        <v>0</v>
      </c>
      <c r="D241" s="55">
        <v>0</v>
      </c>
      <c r="E241" s="53" t="s">
        <v>388</v>
      </c>
      <c r="F241" s="53"/>
    </row>
    <row r="242" spans="1:6" ht="21" customHeight="1" x14ac:dyDescent="0.25">
      <c r="A242" s="146" t="s">
        <v>10</v>
      </c>
      <c r="B242" s="54">
        <v>45</v>
      </c>
      <c r="C242" s="55">
        <v>0.19</v>
      </c>
      <c r="D242" s="55">
        <v>0</v>
      </c>
      <c r="E242" s="53" t="s">
        <v>573</v>
      </c>
      <c r="F242" s="53"/>
    </row>
    <row r="243" spans="1:6" ht="21" customHeight="1" x14ac:dyDescent="0.25">
      <c r="A243" s="146" t="s">
        <v>46</v>
      </c>
      <c r="B243" s="54">
        <v>30</v>
      </c>
      <c r="C243" s="55">
        <v>0.19</v>
      </c>
      <c r="D243" s="55">
        <v>2.5000000000000001E-2</v>
      </c>
      <c r="E243" s="53" t="s">
        <v>574</v>
      </c>
      <c r="F243" s="53"/>
    </row>
    <row r="244" spans="1:6" ht="21" customHeight="1" x14ac:dyDescent="0.25">
      <c r="A244" s="146" t="s">
        <v>14</v>
      </c>
      <c r="B244" s="54">
        <v>30</v>
      </c>
      <c r="C244" s="55">
        <v>0.19</v>
      </c>
      <c r="D244" s="55">
        <v>2.5000000000000001E-2</v>
      </c>
      <c r="E244" s="53" t="s">
        <v>575</v>
      </c>
      <c r="F244" s="53"/>
    </row>
    <row r="245" spans="1:6" ht="21" customHeight="1" x14ac:dyDescent="0.25">
      <c r="A245" s="146" t="s">
        <v>144</v>
      </c>
      <c r="B245" s="54">
        <v>30</v>
      </c>
      <c r="C245" s="55">
        <v>0.19</v>
      </c>
      <c r="D245" s="55">
        <v>2.5000000000000001E-2</v>
      </c>
      <c r="E245" s="53" t="s">
        <v>388</v>
      </c>
      <c r="F245" s="53"/>
    </row>
    <row r="246" spans="1:6" ht="21" customHeight="1" x14ac:dyDescent="0.25">
      <c r="A246" s="146" t="s">
        <v>11</v>
      </c>
      <c r="B246" s="54">
        <v>30</v>
      </c>
      <c r="C246" s="55">
        <v>0.19</v>
      </c>
      <c r="D246" s="55">
        <v>2.5000000000000001E-2</v>
      </c>
      <c r="E246" s="53" t="s">
        <v>577</v>
      </c>
      <c r="F246" s="53"/>
    </row>
    <row r="247" spans="1:6" ht="21" customHeight="1" x14ac:dyDescent="0.25">
      <c r="A247" s="146" t="s">
        <v>499</v>
      </c>
      <c r="B247" s="54">
        <v>30</v>
      </c>
      <c r="C247" s="55">
        <v>0.19</v>
      </c>
      <c r="D247" s="55">
        <v>2.5000000000000001E-2</v>
      </c>
      <c r="E247" s="53" t="s">
        <v>546</v>
      </c>
      <c r="F247" s="53"/>
    </row>
    <row r="248" spans="1:6" ht="21" customHeight="1" x14ac:dyDescent="0.25">
      <c r="A248" s="146" t="s">
        <v>13</v>
      </c>
      <c r="B248" s="54">
        <v>30</v>
      </c>
      <c r="C248" s="55">
        <v>0.19</v>
      </c>
      <c r="D248" s="55">
        <v>2.5000000000000001E-2</v>
      </c>
      <c r="E248" s="53" t="s">
        <v>546</v>
      </c>
      <c r="F248" s="53"/>
    </row>
    <row r="249" spans="1:6" ht="21" customHeight="1" x14ac:dyDescent="0.25">
      <c r="A249" s="146" t="s">
        <v>612</v>
      </c>
      <c r="B249" s="54">
        <v>30</v>
      </c>
      <c r="C249" s="55">
        <v>0.19</v>
      </c>
      <c r="D249" s="55">
        <v>2.5000000000000001E-2</v>
      </c>
      <c r="E249" s="53" t="s">
        <v>801</v>
      </c>
      <c r="F249" s="53"/>
    </row>
    <row r="250" spans="1:6" ht="21" customHeight="1" x14ac:dyDescent="0.25">
      <c r="A250" s="146" t="s">
        <v>1371</v>
      </c>
      <c r="B250" s="54">
        <v>45</v>
      </c>
      <c r="C250" s="55">
        <v>0</v>
      </c>
      <c r="D250" s="55">
        <v>0</v>
      </c>
      <c r="E250" s="53" t="s">
        <v>934</v>
      </c>
      <c r="F250" s="53"/>
    </row>
  </sheetData>
  <conditionalFormatting sqref="A1:A250">
    <cfRule type="expression" dxfId="160" priority="19">
      <formula>$S1="Por pagar"</formula>
    </cfRule>
    <cfRule type="expression" dxfId="159" priority="20">
      <formula>$S1="Vencida"</formula>
    </cfRule>
    <cfRule type="expression" dxfId="158" priority="21">
      <formula>$S1="Pagada"</formula>
    </cfRule>
  </conditionalFormatting>
  <conditionalFormatting sqref="A227">
    <cfRule type="expression" dxfId="157" priority="16">
      <formula>$S227="Por pagar"</formula>
    </cfRule>
    <cfRule type="expression" dxfId="156" priority="17">
      <formula>$S227="Vencida"</formula>
    </cfRule>
    <cfRule type="expression" dxfId="155" priority="18">
      <formula>$S227="Pagada"</formula>
    </cfRule>
  </conditionalFormatting>
  <conditionalFormatting sqref="A239">
    <cfRule type="expression" dxfId="154" priority="13">
      <formula>$S239="Por pagar"</formula>
    </cfRule>
    <cfRule type="expression" dxfId="153" priority="14">
      <formula>$S239="Vencida"</formula>
    </cfRule>
    <cfRule type="expression" dxfId="152" priority="15">
      <formula>$S239="Pagada"</formula>
    </cfRule>
  </conditionalFormatting>
  <conditionalFormatting sqref="A241">
    <cfRule type="expression" dxfId="151" priority="10">
      <formula>$S241="Por pagar"</formula>
    </cfRule>
    <cfRule type="expression" dxfId="150" priority="11">
      <formula>$S241="Vencida"</formula>
    </cfRule>
    <cfRule type="expression" dxfId="149" priority="12">
      <formula>$S241="Pagada"</formula>
    </cfRule>
  </conditionalFormatting>
  <conditionalFormatting sqref="A244">
    <cfRule type="expression" dxfId="148" priority="7">
      <formula>$S244="Por pagar"</formula>
    </cfRule>
    <cfRule type="expression" dxfId="147" priority="8">
      <formula>$S244="Vencida"</formula>
    </cfRule>
    <cfRule type="expression" dxfId="146" priority="9">
      <formula>$S244="Pagada"</formula>
    </cfRule>
  </conditionalFormatting>
  <conditionalFormatting sqref="A247">
    <cfRule type="expression" dxfId="145" priority="4">
      <formula>$S247="Por pagar"</formula>
    </cfRule>
    <cfRule type="expression" dxfId="144" priority="5">
      <formula>$S247="Vencida"</formula>
    </cfRule>
    <cfRule type="expression" dxfId="143" priority="6">
      <formula>$S247="Pagada"</formula>
    </cfRule>
  </conditionalFormatting>
  <conditionalFormatting sqref="A250">
    <cfRule type="expression" dxfId="142" priority="1">
      <formula>$S250="Por pagar"</formula>
    </cfRule>
    <cfRule type="expression" dxfId="141" priority="2">
      <formula>$S250="Vencida"</formula>
    </cfRule>
    <cfRule type="expression" dxfId="140" priority="3">
      <formula>$S250="Pagada"</formula>
    </cfRule>
  </conditionalFormatting>
  <dataValidations count="1">
    <dataValidation type="list" allowBlank="1" showInputMessage="1" showErrorMessage="1" error="Primero crea el proveedor en la hoja &quot;Proveedores&quot;." sqref="A218" xr:uid="{D42B40F0-AE48-41CE-BE75-FCEB5753CFAD}">
      <formula1>$A:$A</formula1>
    </dataValidation>
  </dataValidations>
  <hyperlinks>
    <hyperlink ref="E153" r:id="rId1" xr:uid="{959A3DEC-43D0-40CE-92E7-2D93F4FDE57B}"/>
    <hyperlink ref="E198" r:id="rId2" xr:uid="{01663586-B004-457E-89DB-C9F486A2F704}"/>
    <hyperlink ref="E45" r:id="rId3" xr:uid="{A2CA6E71-6063-46BD-933B-4C714D6DAB5A}"/>
    <hyperlink ref="E183" r:id="rId4" xr:uid="{3FB427FE-00DC-4C59-9D65-121EDF91ED6B}"/>
    <hyperlink ref="E184" r:id="rId5" xr:uid="{3F18548B-0AB9-4A3D-9F35-2549ECC305BF}"/>
    <hyperlink ref="E195" r:id="rId6" xr:uid="{8E3CC133-9FBA-4656-B5E4-26A0219F2904}"/>
    <hyperlink ref="E94" r:id="rId7" xr:uid="{DA082B31-23E6-4BC8-A2B1-606CD8D34C75}"/>
    <hyperlink ref="E101" r:id="rId8" xr:uid="{1D84D8E0-3181-4565-AA6E-87BF9B04CCB7}"/>
    <hyperlink ref="E111" r:id="rId9" xr:uid="{CE62F396-7DD1-446B-834E-847DE56C5EAE}"/>
    <hyperlink ref="E143" r:id="rId10" xr:uid="{1493E242-3F3F-44E8-9284-46B2AE0166D7}"/>
    <hyperlink ref="E103" r:id="rId11" xr:uid="{7249B88F-12EB-47AD-A1D5-CA4D648B62F8}"/>
    <hyperlink ref="E185" r:id="rId12" xr:uid="{A30216ED-A36B-42B0-BBB8-8CB32EA27205}"/>
    <hyperlink ref="E102" r:id="rId13" xr:uid="{00D1BA77-5CD7-41B8-9B30-D0FD87A6EDB3}"/>
    <hyperlink ref="E238" r:id="rId14" xr:uid="{2E0BF1B0-F7E1-4748-9780-C1F63208C01D}"/>
    <hyperlink ref="E250" r:id="rId15" xr:uid="{ED4B35BD-DD15-49F7-AE9E-CB75C4F21A5A}"/>
  </hyperlinks>
  <pageMargins left="0.7" right="0.7" top="0.75" bottom="0.75" header="0.3" footer="0.3"/>
  <pageSetup paperSize="9" orientation="portrait" r:id="rId16"/>
  <tableParts count="1">
    <tablePart r:id="rId1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A3E7A7-CB98-41AF-AE94-25109BF1F93E}">
          <x14:formula1>
            <xm:f>'Retenciones'!$A$2:$A$5</xm:f>
          </x14:formula1>
          <xm:sqref>E238 D237:D240 D242 D244:D249 E242:E249 D251:E1048576</xm:sqref>
        </x14:dataValidation>
        <x14:dataValidation type="list" allowBlank="1" showInputMessage="1" showErrorMessage="1" xr:uid="{CDB27399-941D-48C4-8E69-A4F5EBD4B76C}">
          <x14:formula1>
            <xm:f>'Retenciones'!$A$2:$A$21</xm:f>
          </x14:formula1>
          <xm:sqref>D2:D236 D241 D243 D250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AJ1867"/>
  <sheetViews>
    <sheetView tabSelected="1" topLeftCell="C1" zoomScaleNormal="100" workbookViewId="0">
      <selection activeCell="R1558" sqref="E1542:R1558"/>
    </sheetView>
  </sheetViews>
  <sheetFormatPr baseColWidth="10" defaultColWidth="0" defaultRowHeight="21.95" customHeight="1" x14ac:dyDescent="0.25"/>
  <cols>
    <col min="1" max="1" width="10" style="48" hidden="1" customWidth="1"/>
    <col min="2" max="2" width="15.5703125" style="70" hidden="1" customWidth="1"/>
    <col min="3" max="3" width="7.7109375" style="43" customWidth="1"/>
    <col min="4" max="4" width="15.85546875" style="44" customWidth="1"/>
    <col min="5" max="5" width="14.42578125" style="44" customWidth="1"/>
    <col min="6" max="6" width="9.5703125" style="44" customWidth="1"/>
    <col min="7" max="7" width="13.85546875" style="143" customWidth="1"/>
    <col min="8" max="8" width="39.28515625" style="44" customWidth="1"/>
    <col min="9" max="9" width="13.85546875" style="45" customWidth="1"/>
    <col min="10" max="10" width="17.28515625" style="45" customWidth="1"/>
    <col min="11" max="11" width="17.85546875" style="45" customWidth="1"/>
    <col min="12" max="12" width="9.5703125" style="60" customWidth="1"/>
    <col min="13" max="13" width="13.5703125" style="46" customWidth="1"/>
    <col min="14" max="14" width="9.7109375" style="46" customWidth="1"/>
    <col min="15" max="15" width="11.5703125" style="46" customWidth="1"/>
    <col min="16" max="16" width="10.140625" style="47" customWidth="1"/>
    <col min="17" max="17" width="9.140625" style="40" customWidth="1"/>
    <col min="18" max="18" width="14.140625" style="36" customWidth="1"/>
    <col min="19" max="19" width="10" style="41" customWidth="1"/>
    <col min="20" max="20" width="15.85546875" style="41" hidden="1" customWidth="1"/>
    <col min="21" max="21" width="14.140625" style="41" hidden="1" customWidth="1"/>
    <col min="22" max="22" width="11.42578125" hidden="1" customWidth="1"/>
    <col min="23" max="23" width="11.42578125" style="97" hidden="1" customWidth="1"/>
    <col min="24" max="24" width="11.42578125" hidden="1" customWidth="1"/>
    <col min="25" max="26" width="11.42578125" style="40" hidden="1" customWidth="1"/>
    <col min="27" max="27" width="13.5703125" style="41" hidden="1" customWidth="1"/>
    <col min="28" max="28" width="11.42578125" style="36" hidden="1" customWidth="1"/>
    <col min="29" max="29" width="14.85546875" style="36" hidden="1" customWidth="1"/>
    <col min="30" max="30" width="23.7109375" style="36" hidden="1" customWidth="1"/>
    <col min="31" max="31" width="11.5703125" style="36" hidden="1" customWidth="1"/>
    <col min="32" max="32" width="12.42578125" style="41" hidden="1" customWidth="1"/>
    <col min="33" max="33" width="17.140625" style="42" hidden="1" customWidth="1"/>
    <col min="34" max="34" width="11.42578125" style="36" hidden="1" customWidth="1"/>
    <col min="35" max="36" width="17.140625" style="36" hidden="1" customWidth="1"/>
    <col min="37" max="16384" width="11.42578125" style="36" hidden="1"/>
  </cols>
  <sheetData>
    <row r="1" spans="1:33" s="26" customFormat="1" ht="62.25" customHeight="1" x14ac:dyDescent="0.25">
      <c r="A1" s="18" t="s">
        <v>8</v>
      </c>
      <c r="B1" s="18" t="s">
        <v>440</v>
      </c>
      <c r="C1" s="18" t="s">
        <v>4</v>
      </c>
      <c r="D1" s="19" t="s">
        <v>429</v>
      </c>
      <c r="E1" s="19" t="s">
        <v>5</v>
      </c>
      <c r="F1" s="19" t="s">
        <v>247</v>
      </c>
      <c r="G1" s="21" t="s">
        <v>6</v>
      </c>
      <c r="H1" s="21" t="s">
        <v>3</v>
      </c>
      <c r="I1" s="20" t="s">
        <v>1</v>
      </c>
      <c r="J1" s="59" t="s">
        <v>2</v>
      </c>
      <c r="K1" s="21" t="s">
        <v>227</v>
      </c>
      <c r="L1" s="22" t="s">
        <v>304</v>
      </c>
      <c r="M1" s="23" t="s">
        <v>228</v>
      </c>
      <c r="N1" s="22" t="s">
        <v>230</v>
      </c>
      <c r="O1" s="22" t="s">
        <v>231</v>
      </c>
      <c r="P1" s="24" t="s">
        <v>233</v>
      </c>
      <c r="Q1" s="22" t="s">
        <v>232</v>
      </c>
      <c r="R1" s="21" t="s">
        <v>229</v>
      </c>
      <c r="S1" s="25" t="s">
        <v>7</v>
      </c>
      <c r="U1" s="97"/>
    </row>
    <row r="2" spans="1:33" ht="21.95" hidden="1" customHeight="1" x14ac:dyDescent="0.25">
      <c r="A2" s="35" t="str">
        <f>+IF(PROVEEDORES[[#This Row],[FECHA DE PAGO]]=PROVEEDORES[[#This Row],[FECHA DE FACTURACIÓN]],"DE CONTADO","CRÉDITO")</f>
        <v>CRÉDITO</v>
      </c>
      <c r="B2" s="67" t="str">
        <f>+IF((PROVEEDORES[[#This Row],[FECHA DE PAGO]]-PROVEEDORES[[#This Row],[FECHA DE FACTURACIÓN]])&gt;PROVEEDORES[[#This Row],[PLAZO Días]],"PAGO VENCIDO")</f>
        <v>PAGO VENCIDO</v>
      </c>
      <c r="C2" s="27">
        <f>+VLOOKUP(PROVEEDORES[[#This Row],[PROVEEDOR]],TERCEROS_INFO[#All],2,FALSE)</f>
        <v>30</v>
      </c>
      <c r="D2" s="37">
        <f>+SUMIFS(PROVEEDORES[Total],PROVEEDORES[PROVEEDOR],PROVEEDORES[[#This Row],[PROVEEDOR]],PROVEEDORES[FECHA DE PAGO],"")</f>
        <v>0</v>
      </c>
      <c r="E2" s="28"/>
      <c r="F2" s="28" t="str">
        <f>+VLOOKUP(PROVEEDORES[[#This Row],[PROVEEDOR]],TERCEROS_INFO[[PROVEEDOR]:[CORREO]],5,FALSE)</f>
        <v/>
      </c>
      <c r="G2" s="143">
        <v>43901</v>
      </c>
      <c r="H2" s="31" t="s">
        <v>494</v>
      </c>
      <c r="I2" s="30">
        <v>43867</v>
      </c>
      <c r="J2" s="58">
        <v>4422</v>
      </c>
      <c r="K2" s="32">
        <v>408000</v>
      </c>
      <c r="L2" s="33"/>
      <c r="M2" s="33">
        <f>(PROVEEDORES[[#This Row],[SUBTOTAL]]-PROVEEDORES[[#This Row],[descuento antes de IVA]])*VLOOKUP(PROVEEDORES[[#This Row],[PROVEEDOR]],TERCEROS_INFO[#All],3,FALSE)</f>
        <v>0</v>
      </c>
      <c r="N2" s="34"/>
      <c r="O2" s="33">
        <f>+PROVEEDORES[[#This Row],[Descuento sobre subtotal %]]*(PROVEEDORES[[#This Row],[SUBTOTAL]]-PROVEEDORES[[#This Row],[descuento antes de IVA]])</f>
        <v>0</v>
      </c>
      <c r="P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" s="33">
        <f>+(PROVEEDORES[[#This Row],[SUBTOTAL]]-PROVEEDORES[[#This Row],[descuento antes de IVA]])*PROVEEDORES[[#This Row],[Rete Fuente %]]</f>
        <v>0</v>
      </c>
      <c r="R2" s="32">
        <f>+PROVEEDORES[[#This Row],[SUBTOTAL]]+PROVEEDORES[[#This Row],[IVA 19%]]-PROVEEDORES[[#This Row],[descuento antes de IVA]]-PROVEEDORES[[#This Row],[Descuento sobre subtotal $]]-PROVEEDORES[[#This Row],[Rete Fuente $]]</f>
        <v>408000</v>
      </c>
      <c r="S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" s="36"/>
      <c r="U2" s="97"/>
      <c r="V2" s="36"/>
      <c r="W2" s="36"/>
      <c r="X2" s="36"/>
      <c r="Y2" s="36"/>
      <c r="Z2" s="36"/>
      <c r="AA2" s="36"/>
      <c r="AF2" s="36"/>
      <c r="AG2" s="36"/>
    </row>
    <row r="3" spans="1:33" ht="21.95" hidden="1" customHeight="1" x14ac:dyDescent="0.25">
      <c r="A3" s="167" t="str">
        <f>+IF(PROVEEDORES[[#This Row],[FECHA DE PAGO]]=PROVEEDORES[[#This Row],[FECHA DE FACTURACIÓN]],"DE CONTADO","CRÉDITO")</f>
        <v>CRÉDITO</v>
      </c>
      <c r="B3" s="70" t="b">
        <f>+IF((PROVEEDORES[[#This Row],[FECHA DE PAGO]]-PROVEEDORES[[#This Row],[FECHA DE FACTURACIÓN]])&gt;PROVEEDORES[[#This Row],[PLAZO Días]],"PAGO VENCIDO")</f>
        <v>0</v>
      </c>
      <c r="C3" s="27">
        <f>+VLOOKUP(PROVEEDORES[[#This Row],[PROVEEDOR]],TERCEROS_INFO[#All],2,FALSE)</f>
        <v>30</v>
      </c>
      <c r="D3" s="37">
        <f>+SUMIFS(PROVEEDORES[Total],PROVEEDORES[PROVEEDOR],PROVEEDORES[[#This Row],[PROVEEDOR]],PROVEEDORES[FECHA DE PAGO],"")</f>
        <v>990000</v>
      </c>
      <c r="E3" s="37"/>
      <c r="F3" s="108">
        <f>+VLOOKUP(PROVEEDORES[[#This Row],[PROVEEDOR]],TERCEROS_INFO[[PROVEEDOR]:[CORREO]],5,FALSE)</f>
        <v>0</v>
      </c>
      <c r="H3" s="57" t="s">
        <v>986</v>
      </c>
      <c r="I3" s="30">
        <v>44525</v>
      </c>
      <c r="J3" s="58" t="s">
        <v>987</v>
      </c>
      <c r="K3" s="32">
        <v>990000</v>
      </c>
      <c r="L3" s="32"/>
      <c r="M3" s="33">
        <f>(PROVEEDORES[[#This Row],[SUBTOTAL]]-PROVEEDORES[[#This Row],[descuento antes de IVA]])*VLOOKUP(PROVEEDORES[[#This Row],[PROVEEDOR]],TERCEROS_INFO[#All],3,FALSE)</f>
        <v>0</v>
      </c>
      <c r="N3" s="34"/>
      <c r="O3" s="33">
        <f>+PROVEEDORES[[#This Row],[Descuento sobre subtotal %]]*(PROVEEDORES[[#This Row],[SUBTOTAL]]-PROVEEDORES[[#This Row],[descuento antes de IVA]])</f>
        <v>0</v>
      </c>
      <c r="P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" s="33">
        <f>+(PROVEEDORES[[#This Row],[SUBTOTAL]]-PROVEEDORES[[#This Row],[descuento antes de IVA]])*PROVEEDORES[[#This Row],[Rete Fuente %]]</f>
        <v>0</v>
      </c>
      <c r="R3" s="32">
        <f>+PROVEEDORES[[#This Row],[SUBTOTAL]]+PROVEEDORES[[#This Row],[IVA 19%]]-PROVEEDORES[[#This Row],[descuento antes de IVA]]-PROVEEDORES[[#This Row],[Descuento sobre subtotal $]]-PROVEEDORES[[#This Row],[Rete Fuente $]]</f>
        <v>990000</v>
      </c>
      <c r="S3" s="16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3" s="36"/>
      <c r="U3" s="97"/>
      <c r="V3" s="36"/>
      <c r="W3" s="36"/>
      <c r="X3" s="36"/>
      <c r="Y3" s="36"/>
      <c r="Z3" s="36"/>
      <c r="AA3" s="36"/>
      <c r="AF3" s="36"/>
      <c r="AG3" s="36"/>
    </row>
    <row r="4" spans="1:33" ht="21.95" hidden="1" customHeight="1" x14ac:dyDescent="0.25">
      <c r="A4" s="35" t="str">
        <f>+IF(PROVEEDORES[[#This Row],[FECHA DE PAGO]]=PROVEEDORES[[#This Row],[FECHA DE FACTURACIÓN]],"DE CONTADO","CRÉDITO")</f>
        <v>CRÉDITO</v>
      </c>
      <c r="B4" s="67" t="b">
        <f>+IF((PROVEEDORES[[#This Row],[FECHA DE PAGO]]-PROVEEDORES[[#This Row],[FECHA DE FACTURACIÓN]])&gt;PROVEEDORES[[#This Row],[PLAZO Días]],"PAGO VENCIDO")</f>
        <v>0</v>
      </c>
      <c r="C4" s="27">
        <f>+VLOOKUP(PROVEEDORES[[#This Row],[PROVEEDOR]],TERCEROS_INFO[#All],2,FALSE)</f>
        <v>30</v>
      </c>
      <c r="D4" s="37">
        <f>+SUMIFS(PROVEEDORES[Total],PROVEEDORES[PROVEEDOR],PROVEEDORES[[#This Row],[PROVEEDOR]],PROVEEDORES[FECHA DE PAGO],"")</f>
        <v>0</v>
      </c>
      <c r="E4" s="28"/>
      <c r="F4" s="28" t="str">
        <f>+VLOOKUP(PROVEEDORES[[#This Row],[PROVEEDOR]],TERCEROS_INFO[[PROVEEDOR]:[CORREO]],5,FALSE)</f>
        <v/>
      </c>
      <c r="G4" s="143">
        <v>43900</v>
      </c>
      <c r="H4" s="31" t="s">
        <v>248</v>
      </c>
      <c r="I4" s="30">
        <v>43875</v>
      </c>
      <c r="J4" s="58" t="s">
        <v>1022</v>
      </c>
      <c r="K4" s="32">
        <v>554500</v>
      </c>
      <c r="L4" s="33"/>
      <c r="M4" s="33">
        <f>(PROVEEDORES[[#This Row],[SUBTOTAL]]-PROVEEDORES[[#This Row],[descuento antes de IVA]])*VLOOKUP(PROVEEDORES[[#This Row],[PROVEEDOR]],TERCEROS_INFO[#All],3,FALSE)</f>
        <v>0</v>
      </c>
      <c r="N4" s="34"/>
      <c r="O4" s="33">
        <f>+PROVEEDORES[[#This Row],[Descuento sobre subtotal %]]*(PROVEEDORES[[#This Row],[SUBTOTAL]]-PROVEEDORES[[#This Row],[descuento antes de IVA]])</f>
        <v>0</v>
      </c>
      <c r="P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" s="33">
        <f>+(PROVEEDORES[[#This Row],[SUBTOTAL]]-PROVEEDORES[[#This Row],[descuento antes de IVA]])*PROVEEDORES[[#This Row],[Rete Fuente %]]</f>
        <v>0</v>
      </c>
      <c r="R4" s="32">
        <f>+PROVEEDORES[[#This Row],[SUBTOTAL]]+PROVEEDORES[[#This Row],[IVA 19%]]-PROVEEDORES[[#This Row],[descuento antes de IVA]]-PROVEEDORES[[#This Row],[Descuento sobre subtotal $]]-PROVEEDORES[[#This Row],[Rete Fuente $]]</f>
        <v>554500</v>
      </c>
      <c r="S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" s="40"/>
      <c r="U4" s="97"/>
      <c r="V4" s="36"/>
      <c r="W4" s="36"/>
      <c r="X4" s="36"/>
      <c r="Y4" s="36"/>
      <c r="Z4" s="41"/>
      <c r="AA4" s="42"/>
      <c r="AF4" s="36"/>
      <c r="AG4" s="36"/>
    </row>
    <row r="5" spans="1:33" ht="21.95" hidden="1" customHeight="1" x14ac:dyDescent="0.25">
      <c r="A5" s="39" t="str">
        <f>+IF(PROVEEDORES[[#This Row],[FECHA DE PAGO]]=PROVEEDORES[[#This Row],[FECHA DE FACTURACIÓN]],"DE CONTADO","CRÉDITO")</f>
        <v>DE CONTADO</v>
      </c>
      <c r="B5" s="67" t="b">
        <f>+IF((PROVEEDORES[[#This Row],[FECHA DE PAGO]]-PROVEEDORES[[#This Row],[FECHA DE FACTURACIÓN]])&gt;PROVEEDORES[[#This Row],[PLAZO Días]],"PAGO VENCIDO")</f>
        <v>0</v>
      </c>
      <c r="C5" s="27">
        <f>+VLOOKUP(PROVEEDORES[[#This Row],[PROVEEDOR]],TERCEROS_INFO[#All],2,FALSE)</f>
        <v>30</v>
      </c>
      <c r="D5" s="37">
        <f>+SUMIFS(PROVEEDORES[Total],PROVEEDORES[PROVEEDOR],PROVEEDORES[[#This Row],[PROVEEDOR]],PROVEEDORES[FECHA DE PAGO],"")</f>
        <v>0</v>
      </c>
      <c r="E5" s="37"/>
      <c r="F5" s="108" t="str">
        <f>+VLOOKUP(PROVEEDORES[[#This Row],[PROVEEDOR]],TERCEROS_INFO[[PROVEEDOR]:[CORREO]],5,FALSE)</f>
        <v/>
      </c>
      <c r="G5" s="143">
        <v>43894</v>
      </c>
      <c r="H5" s="31" t="s">
        <v>248</v>
      </c>
      <c r="I5" s="30">
        <v>43894</v>
      </c>
      <c r="J5" s="58">
        <v>1614636</v>
      </c>
      <c r="K5" s="32">
        <v>529411.76470588241</v>
      </c>
      <c r="L5" s="32"/>
      <c r="M5" s="33">
        <f>(PROVEEDORES[[#This Row],[SUBTOTAL]]-PROVEEDORES[[#This Row],[descuento antes de IVA]])*VLOOKUP(PROVEEDORES[[#This Row],[PROVEEDOR]],TERCEROS_INFO[#All],3,FALSE)</f>
        <v>0</v>
      </c>
      <c r="N5" s="34"/>
      <c r="O5" s="33">
        <f>+PROVEEDORES[[#This Row],[Descuento sobre subtotal %]]*(PROVEEDORES[[#This Row],[SUBTOTAL]]-PROVEEDORES[[#This Row],[descuento antes de IVA]])</f>
        <v>0</v>
      </c>
      <c r="P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" s="33">
        <f>+(PROVEEDORES[[#This Row],[SUBTOTAL]]-PROVEEDORES[[#This Row],[descuento antes de IVA]])*PROVEEDORES[[#This Row],[Rete Fuente %]]</f>
        <v>0</v>
      </c>
      <c r="R5" s="32">
        <f>+PROVEEDORES[[#This Row],[SUBTOTAL]]+PROVEEDORES[[#This Row],[IVA 19%]]-PROVEEDORES[[#This Row],[descuento antes de IVA]]-PROVEEDORES[[#This Row],[Descuento sobre subtotal $]]-PROVEEDORES[[#This Row],[Rete Fuente $]]</f>
        <v>529411.76470588241</v>
      </c>
      <c r="S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" s="40"/>
      <c r="U5" s="97"/>
      <c r="V5" s="36"/>
      <c r="W5" s="36"/>
      <c r="X5" s="36"/>
      <c r="Y5" s="36"/>
      <c r="Z5" s="41"/>
      <c r="AA5" s="42"/>
      <c r="AF5" s="36"/>
      <c r="AG5" s="36"/>
    </row>
    <row r="6" spans="1:33" ht="21.95" hidden="1" customHeight="1" x14ac:dyDescent="0.25">
      <c r="A6" s="39" t="str">
        <f>+IF(PROVEEDORES[[#This Row],[FECHA DE PAGO]]=PROVEEDORES[[#This Row],[FECHA DE FACTURACIÓN]],"DE CONTADO","CRÉDITO")</f>
        <v>CRÉDITO</v>
      </c>
      <c r="B6" s="67" t="str">
        <f>+IF((PROVEEDORES[[#This Row],[FECHA DE PAGO]]-PROVEEDORES[[#This Row],[FECHA DE FACTURACIÓN]])&gt;PROVEEDORES[[#This Row],[PLAZO Días]],"PAGO VENCIDO")</f>
        <v>PAGO VENCIDO</v>
      </c>
      <c r="C6" s="27">
        <f>+VLOOKUP(PROVEEDORES[[#This Row],[PROVEEDOR]],TERCEROS_INFO[#All],2,FALSE)</f>
        <v>30</v>
      </c>
      <c r="D6" s="37">
        <f>+SUMIFS(PROVEEDORES[Total],PROVEEDORES[PROVEEDOR],PROVEEDORES[[#This Row],[PROVEEDOR]],PROVEEDORES[FECHA DE PAGO],"")</f>
        <v>0</v>
      </c>
      <c r="E6" s="37"/>
      <c r="F6" s="108" t="str">
        <f>+VLOOKUP(PROVEEDORES[[#This Row],[PROVEEDOR]],TERCEROS_INFO[[PROVEEDOR]:[CORREO]],5,FALSE)</f>
        <v/>
      </c>
      <c r="G6" s="143">
        <v>43901</v>
      </c>
      <c r="H6" s="38" t="s">
        <v>249</v>
      </c>
      <c r="I6" s="30">
        <v>43837</v>
      </c>
      <c r="J6" s="58" t="s">
        <v>1023</v>
      </c>
      <c r="K6" s="32">
        <v>1242000</v>
      </c>
      <c r="L6" s="32"/>
      <c r="M6" s="33">
        <f>(PROVEEDORES[[#This Row],[SUBTOTAL]]-PROVEEDORES[[#This Row],[descuento antes de IVA]])*VLOOKUP(PROVEEDORES[[#This Row],[PROVEEDOR]],TERCEROS_INFO[#All],3,FALSE)</f>
        <v>0</v>
      </c>
      <c r="N6" s="34"/>
      <c r="O6" s="33">
        <f>+PROVEEDORES[[#This Row],[Descuento sobre subtotal %]]*(PROVEEDORES[[#This Row],[SUBTOTAL]]-PROVEEDORES[[#This Row],[descuento antes de IVA]])</f>
        <v>0</v>
      </c>
      <c r="P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" s="33">
        <f>+(PROVEEDORES[[#This Row],[SUBTOTAL]]-PROVEEDORES[[#This Row],[descuento antes de IVA]])*PROVEEDORES[[#This Row],[Rete Fuente %]]</f>
        <v>0</v>
      </c>
      <c r="R6" s="32">
        <f>+PROVEEDORES[[#This Row],[SUBTOTAL]]+PROVEEDORES[[#This Row],[IVA 19%]]-PROVEEDORES[[#This Row],[descuento antes de IVA]]-PROVEEDORES[[#This Row],[Descuento sobre subtotal $]]-PROVEEDORES[[#This Row],[Rete Fuente $]]</f>
        <v>1242000</v>
      </c>
      <c r="S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" s="40"/>
      <c r="U6" s="97"/>
      <c r="V6" s="36"/>
      <c r="W6" s="36"/>
      <c r="X6" s="36"/>
      <c r="Y6" s="36"/>
      <c r="Z6" s="41"/>
      <c r="AA6" s="42"/>
      <c r="AF6" s="36"/>
      <c r="AG6" s="36"/>
    </row>
    <row r="7" spans="1:33" ht="21.95" hidden="1" customHeight="1" x14ac:dyDescent="0.25">
      <c r="A7" s="39" t="str">
        <f>+IF(PROVEEDORES[[#This Row],[FECHA DE PAGO]]=PROVEEDORES[[#This Row],[FECHA DE FACTURACIÓN]],"DE CONTADO","CRÉDITO")</f>
        <v>CRÉDITO</v>
      </c>
      <c r="B7" s="67" t="str">
        <f>+IF((PROVEEDORES[[#This Row],[FECHA DE PAGO]]-PROVEEDORES[[#This Row],[FECHA DE FACTURACIÓN]])&gt;PROVEEDORES[[#This Row],[PLAZO Días]],"PAGO VENCIDO")</f>
        <v>PAGO VENCIDO</v>
      </c>
      <c r="C7" s="27">
        <f>+VLOOKUP(PROVEEDORES[[#This Row],[PROVEEDOR]],TERCEROS_INFO[#All],2,FALSE)</f>
        <v>30</v>
      </c>
      <c r="D7" s="37">
        <f>+SUMIFS(PROVEEDORES[Total],PROVEEDORES[PROVEEDOR],PROVEEDORES[[#This Row],[PROVEEDOR]],PROVEEDORES[FECHA DE PAGO],"")</f>
        <v>0</v>
      </c>
      <c r="E7" s="37"/>
      <c r="F7" s="108" t="str">
        <f>+VLOOKUP(PROVEEDORES[[#This Row],[PROVEEDOR]],TERCEROS_INFO[[PROVEEDOR]:[CORREO]],5,FALSE)</f>
        <v/>
      </c>
      <c r="G7" s="143">
        <v>43999</v>
      </c>
      <c r="H7" s="38" t="s">
        <v>249</v>
      </c>
      <c r="I7" s="30">
        <v>43900</v>
      </c>
      <c r="J7" s="120" t="s">
        <v>1022</v>
      </c>
      <c r="K7" s="32">
        <v>817500</v>
      </c>
      <c r="L7" s="32"/>
      <c r="M7" s="33">
        <f>(PROVEEDORES[[#This Row],[SUBTOTAL]]-PROVEEDORES[[#This Row],[descuento antes de IVA]])*VLOOKUP(PROVEEDORES[[#This Row],[PROVEEDOR]],TERCEROS_INFO[#All],3,FALSE)</f>
        <v>0</v>
      </c>
      <c r="N7" s="34"/>
      <c r="O7" s="33">
        <f>+PROVEEDORES[[#This Row],[Descuento sobre subtotal %]]*(PROVEEDORES[[#This Row],[SUBTOTAL]]-PROVEEDORES[[#This Row],[descuento antes de IVA]])</f>
        <v>0</v>
      </c>
      <c r="P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" s="33">
        <f>+(PROVEEDORES[[#This Row],[SUBTOTAL]]-PROVEEDORES[[#This Row],[descuento antes de IVA]])*PROVEEDORES[[#This Row],[Rete Fuente %]]</f>
        <v>0</v>
      </c>
      <c r="R7" s="32">
        <f>+PROVEEDORES[[#This Row],[SUBTOTAL]]+PROVEEDORES[[#This Row],[IVA 19%]]-PROVEEDORES[[#This Row],[descuento antes de IVA]]-PROVEEDORES[[#This Row],[Descuento sobre subtotal $]]-PROVEEDORES[[#This Row],[Rete Fuente $]]</f>
        <v>817500</v>
      </c>
      <c r="S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" s="40"/>
      <c r="U7" s="97"/>
      <c r="V7" s="36"/>
      <c r="W7" s="36"/>
      <c r="X7" s="36"/>
      <c r="Y7" s="36"/>
      <c r="Z7" s="41"/>
      <c r="AA7" s="42"/>
      <c r="AF7" s="36"/>
      <c r="AG7" s="36"/>
    </row>
    <row r="8" spans="1:33" ht="21.95" hidden="1" customHeight="1" x14ac:dyDescent="0.25">
      <c r="A8" s="39" t="str">
        <f>+IF(PROVEEDORES[[#This Row],[FECHA DE PAGO]]=PROVEEDORES[[#This Row],[FECHA DE FACTURACIÓN]],"DE CONTADO","CRÉDITO")</f>
        <v>CRÉDITO</v>
      </c>
      <c r="B8" s="67" t="str">
        <f>+IF((PROVEEDORES[[#This Row],[FECHA DE PAGO]]-PROVEEDORES[[#This Row],[FECHA DE FACTURACIÓN]])&gt;PROVEEDORES[[#This Row],[PLAZO Días]],"PAGO VENCIDO")</f>
        <v>PAGO VENCIDO</v>
      </c>
      <c r="C8" s="27">
        <f>+VLOOKUP(PROVEEDORES[[#This Row],[PROVEEDOR]],TERCEROS_INFO[#All],2,FALSE)</f>
        <v>30</v>
      </c>
      <c r="D8" s="37">
        <f>+SUMIFS(PROVEEDORES[Total],PROVEEDORES[PROVEEDOR],PROVEEDORES[[#This Row],[PROVEEDOR]],PROVEEDORES[FECHA DE PAGO],"")</f>
        <v>0</v>
      </c>
      <c r="E8" s="37"/>
      <c r="F8" s="108" t="str">
        <f>+VLOOKUP(PROVEEDORES[[#This Row],[PROVEEDOR]],TERCEROS_INFO[[PROVEEDOR]:[CORREO]],5,FALSE)</f>
        <v/>
      </c>
      <c r="G8" s="143">
        <v>44048</v>
      </c>
      <c r="H8" s="38" t="s">
        <v>249</v>
      </c>
      <c r="I8" s="30">
        <v>43999</v>
      </c>
      <c r="J8" s="58" t="s">
        <v>1067</v>
      </c>
      <c r="K8" s="32">
        <v>679000</v>
      </c>
      <c r="L8" s="32"/>
      <c r="M8" s="33">
        <f>(PROVEEDORES[[#This Row],[SUBTOTAL]]-PROVEEDORES[[#This Row],[descuento antes de IVA]])*VLOOKUP(PROVEEDORES[[#This Row],[PROVEEDOR]],TERCEROS_INFO[#All],3,FALSE)</f>
        <v>0</v>
      </c>
      <c r="N8" s="34"/>
      <c r="O8" s="33">
        <f>+PROVEEDORES[[#This Row],[Descuento sobre subtotal %]]*(PROVEEDORES[[#This Row],[SUBTOTAL]]-PROVEEDORES[[#This Row],[descuento antes de IVA]])</f>
        <v>0</v>
      </c>
      <c r="P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" s="33">
        <f>+(PROVEEDORES[[#This Row],[SUBTOTAL]]-PROVEEDORES[[#This Row],[descuento antes de IVA]])*PROVEEDORES[[#This Row],[Rete Fuente %]]</f>
        <v>0</v>
      </c>
      <c r="R8" s="32">
        <f>+PROVEEDORES[[#This Row],[SUBTOTAL]]+PROVEEDORES[[#This Row],[IVA 19%]]-PROVEEDORES[[#This Row],[descuento antes de IVA]]-PROVEEDORES[[#This Row],[Descuento sobre subtotal $]]-PROVEEDORES[[#This Row],[Rete Fuente $]]</f>
        <v>679000</v>
      </c>
      <c r="S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" s="40"/>
      <c r="U8" s="97"/>
      <c r="V8" s="36"/>
      <c r="W8" s="36"/>
      <c r="X8" s="36"/>
      <c r="Y8" s="36"/>
      <c r="Z8" s="41"/>
      <c r="AA8" s="42"/>
      <c r="AF8" s="36"/>
      <c r="AG8" s="36"/>
    </row>
    <row r="9" spans="1:33" ht="21.95" hidden="1" customHeight="1" x14ac:dyDescent="0.25">
      <c r="A9" s="39" t="str">
        <f>+IF(PROVEEDORES[[#This Row],[FECHA DE PAGO]]=PROVEEDORES[[#This Row],[FECHA DE FACTURACIÓN]],"DE CONTADO","CRÉDITO")</f>
        <v>CRÉDITO</v>
      </c>
      <c r="B9" s="67" t="str">
        <f>+IF((PROVEEDORES[[#This Row],[FECHA DE PAGO]]-PROVEEDORES[[#This Row],[FECHA DE FACTURACIÓN]])&gt;PROVEEDORES[[#This Row],[PLAZO Días]],"PAGO VENCIDO")</f>
        <v>PAGO VENCIDO</v>
      </c>
      <c r="C9" s="27">
        <f>+VLOOKUP(PROVEEDORES[[#This Row],[PROVEEDOR]],TERCEROS_INFO[#All],2,FALSE)</f>
        <v>30</v>
      </c>
      <c r="D9" s="37">
        <f>+SUMIFS(PROVEEDORES[Total],PROVEEDORES[PROVEEDOR],PROVEEDORES[[#This Row],[PROVEEDOR]],PROVEEDORES[FECHA DE PAGO],"")</f>
        <v>0</v>
      </c>
      <c r="E9" s="37"/>
      <c r="F9" s="108" t="str">
        <f>+VLOOKUP(PROVEEDORES[[#This Row],[PROVEEDOR]],TERCEROS_INFO[[PROVEEDOR]:[CORREO]],5,FALSE)</f>
        <v/>
      </c>
      <c r="G9" s="143">
        <v>44082</v>
      </c>
      <c r="H9" s="38" t="s">
        <v>249</v>
      </c>
      <c r="I9" s="30">
        <v>44001</v>
      </c>
      <c r="J9" s="58" t="s">
        <v>1071</v>
      </c>
      <c r="K9" s="32">
        <v>490000</v>
      </c>
      <c r="L9" s="32"/>
      <c r="M9" s="33">
        <f>(PROVEEDORES[[#This Row],[SUBTOTAL]]-PROVEEDORES[[#This Row],[descuento antes de IVA]])*VLOOKUP(PROVEEDORES[[#This Row],[PROVEEDOR]],TERCEROS_INFO[#All],3,FALSE)</f>
        <v>0</v>
      </c>
      <c r="N9" s="34"/>
      <c r="O9" s="33">
        <f>+PROVEEDORES[[#This Row],[Descuento sobre subtotal %]]*(PROVEEDORES[[#This Row],[SUBTOTAL]]-PROVEEDORES[[#This Row],[descuento antes de IVA]])</f>
        <v>0</v>
      </c>
      <c r="P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" s="33">
        <f>+(PROVEEDORES[[#This Row],[SUBTOTAL]]-PROVEEDORES[[#This Row],[descuento antes de IVA]])*PROVEEDORES[[#This Row],[Rete Fuente %]]</f>
        <v>0</v>
      </c>
      <c r="R9" s="32">
        <f>+PROVEEDORES[[#This Row],[SUBTOTAL]]+PROVEEDORES[[#This Row],[IVA 19%]]-PROVEEDORES[[#This Row],[descuento antes de IVA]]-PROVEEDORES[[#This Row],[Descuento sobre subtotal $]]-PROVEEDORES[[#This Row],[Rete Fuente $]]</f>
        <v>490000</v>
      </c>
      <c r="S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" s="40"/>
      <c r="U9" s="97"/>
      <c r="V9" s="36"/>
      <c r="W9" s="36"/>
      <c r="X9" s="36"/>
      <c r="Y9" s="36"/>
      <c r="Z9" s="41"/>
      <c r="AA9" s="42"/>
      <c r="AF9" s="36"/>
      <c r="AG9" s="36"/>
    </row>
    <row r="10" spans="1:33" ht="21.95" hidden="1" customHeight="1" x14ac:dyDescent="0.25">
      <c r="A10" s="39" t="str">
        <f>+IF(PROVEEDORES[[#This Row],[FECHA DE PAGO]]=PROVEEDORES[[#This Row],[FECHA DE FACTURACIÓN]],"DE CONTADO","CRÉDITO")</f>
        <v>CRÉDITO</v>
      </c>
      <c r="B10" s="67" t="str">
        <f>+IF((PROVEEDORES[[#This Row],[FECHA DE PAGO]]-PROVEEDORES[[#This Row],[FECHA DE FACTURACIÓN]])&gt;PROVEEDORES[[#This Row],[PLAZO Días]],"PAGO VENCIDO")</f>
        <v>PAGO VENCIDO</v>
      </c>
      <c r="C10" s="27">
        <f>+VLOOKUP(PROVEEDORES[[#This Row],[PROVEEDOR]],TERCEROS_INFO[#All],2,FALSE)</f>
        <v>30</v>
      </c>
      <c r="D10" s="37">
        <f>+SUMIFS(PROVEEDORES[Total],PROVEEDORES[PROVEEDOR],PROVEEDORES[[#This Row],[PROVEEDOR]],PROVEEDORES[FECHA DE PAGO],"")</f>
        <v>0</v>
      </c>
      <c r="E10" s="37"/>
      <c r="F10" s="108" t="str">
        <f>+VLOOKUP(PROVEEDORES[[#This Row],[PROVEEDOR]],TERCEROS_INFO[[PROVEEDOR]:[CORREO]],5,FALSE)</f>
        <v/>
      </c>
      <c r="G10" s="143">
        <v>44104</v>
      </c>
      <c r="H10" s="38" t="s">
        <v>249</v>
      </c>
      <c r="I10" s="30">
        <v>44048</v>
      </c>
      <c r="J10" s="58">
        <v>1726</v>
      </c>
      <c r="K10" s="32">
        <v>758000</v>
      </c>
      <c r="L10" s="32"/>
      <c r="M10" s="33">
        <f>(PROVEEDORES[[#This Row],[SUBTOTAL]]-PROVEEDORES[[#This Row],[descuento antes de IVA]])*VLOOKUP(PROVEEDORES[[#This Row],[PROVEEDOR]],TERCEROS_INFO[#All],3,FALSE)</f>
        <v>0</v>
      </c>
      <c r="N10" s="34"/>
      <c r="O10" s="33">
        <f>+PROVEEDORES[[#This Row],[Descuento sobre subtotal %]]*(PROVEEDORES[[#This Row],[SUBTOTAL]]-PROVEEDORES[[#This Row],[descuento antes de IVA]])</f>
        <v>0</v>
      </c>
      <c r="P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" s="33">
        <f>+(PROVEEDORES[[#This Row],[SUBTOTAL]]-PROVEEDORES[[#This Row],[descuento antes de IVA]])*PROVEEDORES[[#This Row],[Rete Fuente %]]</f>
        <v>0</v>
      </c>
      <c r="R10" s="32">
        <f>+PROVEEDORES[[#This Row],[SUBTOTAL]]+PROVEEDORES[[#This Row],[IVA 19%]]-PROVEEDORES[[#This Row],[descuento antes de IVA]]-PROVEEDORES[[#This Row],[Descuento sobre subtotal $]]-PROVEEDORES[[#This Row],[Rete Fuente $]]</f>
        <v>758000</v>
      </c>
      <c r="S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" s="40"/>
      <c r="U10" s="97"/>
      <c r="V10" s="36"/>
      <c r="W10" s="36"/>
      <c r="X10" s="36"/>
      <c r="Y10" s="36"/>
      <c r="Z10" s="41"/>
      <c r="AA10" s="42"/>
      <c r="AF10" s="36"/>
      <c r="AG10" s="36"/>
    </row>
    <row r="11" spans="1:33" ht="21.95" hidden="1" customHeight="1" x14ac:dyDescent="0.25">
      <c r="A11" s="39" t="str">
        <f>+IF(PROVEEDORES[[#This Row],[FECHA DE PAGO]]=PROVEEDORES[[#This Row],[FECHA DE FACTURACIÓN]],"DE CONTADO","CRÉDITO")</f>
        <v>CRÉDITO</v>
      </c>
      <c r="B11" s="67" t="str">
        <f>+IF((PROVEEDORES[[#This Row],[FECHA DE PAGO]]-PROVEEDORES[[#This Row],[FECHA DE FACTURACIÓN]])&gt;PROVEEDORES[[#This Row],[PLAZO Días]],"PAGO VENCIDO")</f>
        <v>PAGO VENCIDO</v>
      </c>
      <c r="C11" s="27">
        <f>+VLOOKUP(PROVEEDORES[[#This Row],[PROVEEDOR]],TERCEROS_INFO[#All],2,FALSE)</f>
        <v>30</v>
      </c>
      <c r="D11" s="37">
        <f>+SUMIFS(PROVEEDORES[Total],PROVEEDORES[PROVEEDOR],PROVEEDORES[[#This Row],[PROVEEDOR]],PROVEEDORES[FECHA DE PAGO],"")</f>
        <v>0</v>
      </c>
      <c r="E11" s="37"/>
      <c r="F11" s="108" t="str">
        <f>+VLOOKUP(PROVEEDORES[[#This Row],[PROVEEDOR]],TERCEROS_INFO[[PROVEEDOR]:[CORREO]],5,FALSE)</f>
        <v/>
      </c>
      <c r="G11" s="143">
        <v>44183</v>
      </c>
      <c r="H11" s="38" t="s">
        <v>249</v>
      </c>
      <c r="I11" s="30">
        <v>44102</v>
      </c>
      <c r="J11" s="58">
        <v>91</v>
      </c>
      <c r="K11" s="32">
        <v>1373000</v>
      </c>
      <c r="L11" s="32"/>
      <c r="M11" s="33">
        <f>(PROVEEDORES[[#This Row],[SUBTOTAL]]-PROVEEDORES[[#This Row],[descuento antes de IVA]])*VLOOKUP(PROVEEDORES[[#This Row],[PROVEEDOR]],TERCEROS_INFO[#All],3,FALSE)</f>
        <v>0</v>
      </c>
      <c r="N11" s="34"/>
      <c r="O11" s="33">
        <f>+PROVEEDORES[[#This Row],[Descuento sobre subtotal %]]*(PROVEEDORES[[#This Row],[SUBTOTAL]]-PROVEEDORES[[#This Row],[descuento antes de IVA]])</f>
        <v>0</v>
      </c>
      <c r="P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" s="33">
        <f>+(PROVEEDORES[[#This Row],[SUBTOTAL]]-PROVEEDORES[[#This Row],[descuento antes de IVA]])*PROVEEDORES[[#This Row],[Rete Fuente %]]</f>
        <v>0</v>
      </c>
      <c r="R11" s="32">
        <f>+PROVEEDORES[[#This Row],[SUBTOTAL]]+PROVEEDORES[[#This Row],[IVA 19%]]-PROVEEDORES[[#This Row],[descuento antes de IVA]]-PROVEEDORES[[#This Row],[Descuento sobre subtotal $]]-PROVEEDORES[[#This Row],[Rete Fuente $]]</f>
        <v>1373000</v>
      </c>
      <c r="S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" s="40"/>
      <c r="U11" s="97"/>
      <c r="V11" s="36"/>
      <c r="W11" s="36"/>
      <c r="X11" s="36"/>
      <c r="Y11" s="36"/>
      <c r="Z11" s="41"/>
      <c r="AA11" s="42"/>
      <c r="AF11" s="36"/>
      <c r="AG11" s="36"/>
    </row>
    <row r="12" spans="1:33" ht="21.95" hidden="1" customHeight="1" x14ac:dyDescent="0.25">
      <c r="A12" s="39" t="str">
        <f>+IF(PROVEEDORES[[#This Row],[FECHA DE PAGO]]=PROVEEDORES[[#This Row],[FECHA DE FACTURACIÓN]],"DE CONTADO","CRÉDITO")</f>
        <v>CRÉDITO</v>
      </c>
      <c r="B12" s="67" t="str">
        <f>+IF((PROVEEDORES[[#This Row],[FECHA DE PAGO]]-PROVEEDORES[[#This Row],[FECHA DE FACTURACIÓN]])&gt;PROVEEDORES[[#This Row],[PLAZO Días]],"PAGO VENCIDO")</f>
        <v>PAGO VENCIDO</v>
      </c>
      <c r="C12" s="27">
        <f>+VLOOKUP(PROVEEDORES[[#This Row],[PROVEEDOR]],TERCEROS_INFO[#All],2,FALSE)</f>
        <v>30</v>
      </c>
      <c r="D12" s="37">
        <f>+SUMIFS(PROVEEDORES[Total],PROVEEDORES[PROVEEDOR],PROVEEDORES[[#This Row],[PROVEEDOR]],PROVEEDORES[FECHA DE PAGO],"")</f>
        <v>0</v>
      </c>
      <c r="E12" s="37"/>
      <c r="F12" s="108" t="str">
        <f>+VLOOKUP(PROVEEDORES[[#This Row],[PROVEEDOR]],TERCEROS_INFO[[PROVEEDOR]:[CORREO]],5,FALSE)</f>
        <v/>
      </c>
      <c r="G12" s="143">
        <v>44201</v>
      </c>
      <c r="H12" s="38" t="s">
        <v>249</v>
      </c>
      <c r="I12" s="30">
        <v>44145</v>
      </c>
      <c r="J12" s="58">
        <v>304</v>
      </c>
      <c r="K12" s="32">
        <v>3782500</v>
      </c>
      <c r="L12" s="32"/>
      <c r="M12" s="33">
        <f>(PROVEEDORES[[#This Row],[SUBTOTAL]]-PROVEEDORES[[#This Row],[descuento antes de IVA]])*VLOOKUP(PROVEEDORES[[#This Row],[PROVEEDOR]],TERCEROS_INFO[#All],3,FALSE)</f>
        <v>0</v>
      </c>
      <c r="N12" s="34"/>
      <c r="O12" s="33">
        <f>+PROVEEDORES[[#This Row],[Descuento sobre subtotal %]]*(PROVEEDORES[[#This Row],[SUBTOTAL]]-PROVEEDORES[[#This Row],[descuento antes de IVA]])</f>
        <v>0</v>
      </c>
      <c r="P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" s="33">
        <f>+(PROVEEDORES[[#This Row],[SUBTOTAL]]-PROVEEDORES[[#This Row],[descuento antes de IVA]])*PROVEEDORES[[#This Row],[Rete Fuente %]]</f>
        <v>0</v>
      </c>
      <c r="R12" s="32">
        <f>+PROVEEDORES[[#This Row],[SUBTOTAL]]+PROVEEDORES[[#This Row],[IVA 19%]]-PROVEEDORES[[#This Row],[descuento antes de IVA]]-PROVEEDORES[[#This Row],[Descuento sobre subtotal $]]-PROVEEDORES[[#This Row],[Rete Fuente $]]</f>
        <v>3782500</v>
      </c>
      <c r="S1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" s="40"/>
      <c r="U12" s="97"/>
      <c r="V12" s="36"/>
      <c r="W12" s="36"/>
      <c r="X12" s="36"/>
      <c r="Y12" s="36"/>
      <c r="Z12" s="41"/>
      <c r="AA12" s="42"/>
      <c r="AF12" s="36"/>
      <c r="AG12" s="36"/>
    </row>
    <row r="13" spans="1:33" ht="21.95" hidden="1" customHeight="1" x14ac:dyDescent="0.25">
      <c r="A13" s="88" t="str">
        <f>+IF(PROVEEDORES[[#This Row],[FECHA DE PAGO]]=PROVEEDORES[[#This Row],[FECHA DE FACTURACIÓN]],"DE CONTADO","CRÉDITO")</f>
        <v>CRÉDITO</v>
      </c>
      <c r="B13" s="70" t="str">
        <f>+IF((PROVEEDORES[[#This Row],[FECHA DE PAGO]]-PROVEEDORES[[#This Row],[FECHA DE FACTURACIÓN]])&gt;PROVEEDORES[[#This Row],[PLAZO Días]],"PAGO VENCIDO")</f>
        <v>PAGO VENCIDO</v>
      </c>
      <c r="C13" s="27">
        <f>+VLOOKUP(PROVEEDORES[[#This Row],[PROVEEDOR]],TERCEROS_INFO[#All],2,FALSE)</f>
        <v>30</v>
      </c>
      <c r="D13" s="37">
        <f>+SUMIFS(PROVEEDORES[Total],PROVEEDORES[PROVEEDOR],PROVEEDORES[[#This Row],[PROVEEDOR]],PROVEEDORES[FECHA DE PAGO],"")</f>
        <v>0</v>
      </c>
      <c r="E13" s="37"/>
      <c r="F13" s="108" t="str">
        <f>+VLOOKUP(PROVEEDORES[[#This Row],[PROVEEDOR]],TERCEROS_INFO[[PROVEEDOR]:[CORREO]],5,FALSE)</f>
        <v/>
      </c>
      <c r="G13" s="143">
        <v>44290</v>
      </c>
      <c r="H13" s="38" t="s">
        <v>249</v>
      </c>
      <c r="I13" s="30">
        <v>44183</v>
      </c>
      <c r="J13" s="58">
        <v>537</v>
      </c>
      <c r="K13" s="32">
        <v>1086000</v>
      </c>
      <c r="L13" s="32"/>
      <c r="M13" s="33">
        <f>(PROVEEDORES[[#This Row],[SUBTOTAL]]-PROVEEDORES[[#This Row],[descuento antes de IVA]])*VLOOKUP(PROVEEDORES[[#This Row],[PROVEEDOR]],TERCEROS_INFO[#All],3,FALSE)</f>
        <v>0</v>
      </c>
      <c r="N13" s="34"/>
      <c r="O13" s="33">
        <f>+PROVEEDORES[[#This Row],[Descuento sobre subtotal %]]*(PROVEEDORES[[#This Row],[SUBTOTAL]]-PROVEEDORES[[#This Row],[descuento antes de IVA]])</f>
        <v>0</v>
      </c>
      <c r="P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" s="33">
        <f>+(PROVEEDORES[[#This Row],[SUBTOTAL]]-PROVEEDORES[[#This Row],[descuento antes de IVA]])*PROVEEDORES[[#This Row],[Rete Fuente %]]</f>
        <v>0</v>
      </c>
      <c r="R13" s="32">
        <f>+PROVEEDORES[[#This Row],[SUBTOTAL]]+PROVEEDORES[[#This Row],[IVA 19%]]-PROVEEDORES[[#This Row],[descuento antes de IVA]]-PROVEEDORES[[#This Row],[Descuento sobre subtotal $]]-PROVEEDORES[[#This Row],[Rete Fuente $]]</f>
        <v>1086000</v>
      </c>
      <c r="S1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" s="40"/>
      <c r="U13" s="97"/>
      <c r="V13" s="36"/>
      <c r="W13" s="36"/>
      <c r="X13" s="36"/>
      <c r="Y13" s="36"/>
      <c r="Z13" s="41"/>
      <c r="AA13" s="42"/>
      <c r="AF13" s="36"/>
      <c r="AG13" s="36"/>
    </row>
    <row r="14" spans="1:33" ht="21.95" hidden="1" customHeight="1" x14ac:dyDescent="0.25">
      <c r="A14" s="39" t="str">
        <f>+IF(PROVEEDORES[[#This Row],[FECHA DE PAGO]]=PROVEEDORES[[#This Row],[FECHA DE FACTURACIÓN]],"DE CONTADO","CRÉDITO")</f>
        <v>CRÉDITO</v>
      </c>
      <c r="B14" s="67" t="str">
        <f>+IF((PROVEEDORES[[#This Row],[FECHA DE PAGO]]-PROVEEDORES[[#This Row],[FECHA DE FACTURACIÓN]])&gt;PROVEEDORES[[#This Row],[PLAZO Días]],"PAGO VENCIDO")</f>
        <v>PAGO VENCIDO</v>
      </c>
      <c r="C14" s="27">
        <f>+VLOOKUP(PROVEEDORES[[#This Row],[PROVEEDOR]],TERCEROS_INFO[#All],2,FALSE)</f>
        <v>30</v>
      </c>
      <c r="D14" s="37">
        <f>+SUMIFS(PROVEEDORES[Total],PROVEEDORES[PROVEEDOR],PROVEEDORES[[#This Row],[PROVEEDOR]],PROVEEDORES[FECHA DE PAGO],"")</f>
        <v>0</v>
      </c>
      <c r="E14" s="37"/>
      <c r="F14" s="108" t="str">
        <f>+VLOOKUP(PROVEEDORES[[#This Row],[PROVEEDOR]],TERCEROS_INFO[[PROVEEDOR]:[CORREO]],5,FALSE)</f>
        <v/>
      </c>
      <c r="G14" s="143">
        <v>44271</v>
      </c>
      <c r="H14" s="38" t="s">
        <v>249</v>
      </c>
      <c r="I14" s="30">
        <v>44183</v>
      </c>
      <c r="J14" s="58">
        <v>538</v>
      </c>
      <c r="K14" s="32">
        <v>3268500</v>
      </c>
      <c r="L14" s="32"/>
      <c r="M14" s="33">
        <f>(PROVEEDORES[[#This Row],[SUBTOTAL]]-PROVEEDORES[[#This Row],[descuento antes de IVA]])*VLOOKUP(PROVEEDORES[[#This Row],[PROVEEDOR]],TERCEROS_INFO[#All],3,FALSE)</f>
        <v>0</v>
      </c>
      <c r="N14" s="34"/>
      <c r="O14" s="33">
        <f>+PROVEEDORES[[#This Row],[Descuento sobre subtotal %]]*(PROVEEDORES[[#This Row],[SUBTOTAL]]-PROVEEDORES[[#This Row],[descuento antes de IVA]])</f>
        <v>0</v>
      </c>
      <c r="P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" s="33">
        <f>+(PROVEEDORES[[#This Row],[SUBTOTAL]]-PROVEEDORES[[#This Row],[descuento antes de IVA]])*PROVEEDORES[[#This Row],[Rete Fuente %]]</f>
        <v>0</v>
      </c>
      <c r="R14" s="32">
        <f>+PROVEEDORES[[#This Row],[SUBTOTAL]]+PROVEEDORES[[#This Row],[IVA 19%]]-PROVEEDORES[[#This Row],[descuento antes de IVA]]-PROVEEDORES[[#This Row],[Descuento sobre subtotal $]]-PROVEEDORES[[#This Row],[Rete Fuente $]]</f>
        <v>3268500</v>
      </c>
      <c r="S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" s="40"/>
      <c r="U14" s="97"/>
      <c r="V14" s="36"/>
      <c r="W14" s="36"/>
      <c r="X14" s="36"/>
      <c r="Y14" s="36"/>
      <c r="Z14" s="41"/>
      <c r="AA14" s="42"/>
      <c r="AF14" s="36"/>
      <c r="AG14" s="36"/>
    </row>
    <row r="15" spans="1:33" ht="21.95" hidden="1" customHeight="1" x14ac:dyDescent="0.25">
      <c r="A15" s="103" t="str">
        <f>+IF(PROVEEDORES[[#This Row],[FECHA DE PAGO]]=PROVEEDORES[[#This Row],[FECHA DE FACTURACIÓN]],"DE CONTADO","CRÉDITO")</f>
        <v>CRÉDITO</v>
      </c>
      <c r="B15" s="70" t="str">
        <f>+IF((PROVEEDORES[[#This Row],[FECHA DE PAGO]]-PROVEEDORES[[#This Row],[FECHA DE FACTURACIÓN]])&gt;PROVEEDORES[[#This Row],[PLAZO Días]],"PAGO VENCIDO")</f>
        <v>PAGO VENCIDO</v>
      </c>
      <c r="C15" s="27">
        <f>+VLOOKUP(PROVEEDORES[[#This Row],[PROVEEDOR]],TERCEROS_INFO[#All],2,FALSE)</f>
        <v>30</v>
      </c>
      <c r="D15" s="37">
        <f>+SUMIFS(PROVEEDORES[Total],PROVEEDORES[PROVEEDOR],PROVEEDORES[[#This Row],[PROVEEDOR]],PROVEEDORES[FECHA DE PAGO],"")</f>
        <v>0</v>
      </c>
      <c r="E15" s="37"/>
      <c r="F15" s="108" t="str">
        <f>+VLOOKUP(PROVEEDORES[[#This Row],[PROVEEDOR]],TERCEROS_INFO[[PROVEEDOR]:[CORREO]],5,FALSE)</f>
        <v/>
      </c>
      <c r="G15" s="143">
        <v>44382</v>
      </c>
      <c r="H15" s="38" t="s">
        <v>249</v>
      </c>
      <c r="I15" s="30">
        <v>44299</v>
      </c>
      <c r="J15" s="58" t="s">
        <v>1113</v>
      </c>
      <c r="K15" s="32">
        <v>1584000</v>
      </c>
      <c r="L15" s="32"/>
      <c r="M15" s="33">
        <f>(PROVEEDORES[[#This Row],[SUBTOTAL]]-PROVEEDORES[[#This Row],[descuento antes de IVA]])*VLOOKUP(PROVEEDORES[[#This Row],[PROVEEDOR]],TERCEROS_INFO[#All],3,FALSE)</f>
        <v>0</v>
      </c>
      <c r="N15" s="34"/>
      <c r="O15" s="33">
        <f>+PROVEEDORES[[#This Row],[Descuento sobre subtotal %]]*(PROVEEDORES[[#This Row],[SUBTOTAL]]-PROVEEDORES[[#This Row],[descuento antes de IVA]])</f>
        <v>0</v>
      </c>
      <c r="P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" s="33">
        <f>+(PROVEEDORES[[#This Row],[SUBTOTAL]]-PROVEEDORES[[#This Row],[descuento antes de IVA]])*PROVEEDORES[[#This Row],[Rete Fuente %]]</f>
        <v>0</v>
      </c>
      <c r="R15" s="32">
        <f>+PROVEEDORES[[#This Row],[SUBTOTAL]]+PROVEEDORES[[#This Row],[IVA 19%]]-PROVEEDORES[[#This Row],[descuento antes de IVA]]-PROVEEDORES[[#This Row],[Descuento sobre subtotal $]]-PROVEEDORES[[#This Row],[Rete Fuente $]]</f>
        <v>1584000</v>
      </c>
      <c r="S15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" s="40"/>
      <c r="U15" s="97"/>
      <c r="V15" s="36"/>
      <c r="W15" s="36"/>
      <c r="X15" s="36"/>
      <c r="Y15" s="36"/>
      <c r="Z15" s="41"/>
      <c r="AA15" s="42"/>
      <c r="AF15" s="36"/>
      <c r="AG15" s="36"/>
    </row>
    <row r="16" spans="1:33" ht="21.95" hidden="1" customHeight="1" x14ac:dyDescent="0.25">
      <c r="A16" s="103" t="str">
        <f>+IF(PROVEEDORES[[#This Row],[FECHA DE PAGO]]=PROVEEDORES[[#This Row],[FECHA DE FACTURACIÓN]],"DE CONTADO","CRÉDITO")</f>
        <v>CRÉDITO</v>
      </c>
      <c r="B16" s="70" t="str">
        <f>+IF((PROVEEDORES[[#This Row],[FECHA DE PAGO]]-PROVEEDORES[[#This Row],[FECHA DE FACTURACIÓN]])&gt;PROVEEDORES[[#This Row],[PLAZO Días]],"PAGO VENCIDO")</f>
        <v>PAGO VENCIDO</v>
      </c>
      <c r="C16" s="27">
        <f>+VLOOKUP(PROVEEDORES[[#This Row],[PROVEEDOR]],TERCEROS_INFO[#All],2,FALSE)</f>
        <v>30</v>
      </c>
      <c r="D16" s="37">
        <f>+SUMIFS(PROVEEDORES[Total],PROVEEDORES[PROVEEDOR],PROVEEDORES[[#This Row],[PROVEEDOR]],PROVEEDORES[FECHA DE PAGO],"")</f>
        <v>0</v>
      </c>
      <c r="E16" s="37"/>
      <c r="F16" s="108" t="str">
        <f>+VLOOKUP(PROVEEDORES[[#This Row],[PROVEEDOR]],TERCEROS_INFO[[PROVEEDOR]:[CORREO]],5,FALSE)</f>
        <v/>
      </c>
      <c r="G16" s="143">
        <v>44348</v>
      </c>
      <c r="H16" s="38" t="s">
        <v>249</v>
      </c>
      <c r="I16" s="30">
        <v>44299</v>
      </c>
      <c r="J16" s="58" t="s">
        <v>1114</v>
      </c>
      <c r="K16" s="32">
        <v>2550000</v>
      </c>
      <c r="L16" s="32"/>
      <c r="M16" s="33">
        <f>(PROVEEDORES[[#This Row],[SUBTOTAL]]-PROVEEDORES[[#This Row],[descuento antes de IVA]])*VLOOKUP(PROVEEDORES[[#This Row],[PROVEEDOR]],TERCEROS_INFO[#All],3,FALSE)</f>
        <v>0</v>
      </c>
      <c r="N16" s="34"/>
      <c r="O16" s="33">
        <f>+PROVEEDORES[[#This Row],[Descuento sobre subtotal %]]*(PROVEEDORES[[#This Row],[SUBTOTAL]]-PROVEEDORES[[#This Row],[descuento antes de IVA]])</f>
        <v>0</v>
      </c>
      <c r="P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" s="33">
        <f>+(PROVEEDORES[[#This Row],[SUBTOTAL]]-PROVEEDORES[[#This Row],[descuento antes de IVA]])*PROVEEDORES[[#This Row],[Rete Fuente %]]</f>
        <v>0</v>
      </c>
      <c r="R16" s="32">
        <f>+PROVEEDORES[[#This Row],[SUBTOTAL]]+PROVEEDORES[[#This Row],[IVA 19%]]-PROVEEDORES[[#This Row],[descuento antes de IVA]]-PROVEEDORES[[#This Row],[Descuento sobre subtotal $]]-PROVEEDORES[[#This Row],[Rete Fuente $]]</f>
        <v>2550000</v>
      </c>
      <c r="S16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" s="40"/>
      <c r="U16" s="97"/>
      <c r="V16" s="36"/>
      <c r="W16" s="36"/>
      <c r="X16" s="36"/>
      <c r="Y16" s="36"/>
      <c r="Z16" s="41"/>
      <c r="AA16" s="42"/>
      <c r="AF16" s="36"/>
      <c r="AG16" s="36"/>
    </row>
    <row r="17" spans="1:33" ht="21.95" hidden="1" customHeight="1" x14ac:dyDescent="0.25">
      <c r="A17" s="35" t="str">
        <f>+IF(PROVEEDORES[[#This Row],[FECHA DE PAGO]]=PROVEEDORES[[#This Row],[FECHA DE FACTURACIÓN]],"DE CONTADO","CRÉDITO")</f>
        <v>CRÉDITO</v>
      </c>
      <c r="B17" s="70" t="str">
        <f>+IF((PROVEEDORES[[#This Row],[FECHA DE PAGO]]-PROVEEDORES[[#This Row],[FECHA DE FACTURACIÓN]])&gt;PROVEEDORES[[#This Row],[PLAZO Días]],"PAGO VENCIDO")</f>
        <v>PAGO VENCIDO</v>
      </c>
      <c r="C17" s="27">
        <f>+VLOOKUP(PROVEEDORES[[#This Row],[PROVEEDOR]],TERCEROS_INFO[#All],2,FALSE)</f>
        <v>30</v>
      </c>
      <c r="D17" s="37">
        <f>+SUMIFS(PROVEEDORES[Total],PROVEEDORES[PROVEEDOR],PROVEEDORES[[#This Row],[PROVEEDOR]],PROVEEDORES[FECHA DE PAGO],"")</f>
        <v>0</v>
      </c>
      <c r="E17" s="37"/>
      <c r="F17" s="108" t="str">
        <f>+VLOOKUP(PROVEEDORES[[#This Row],[PROVEEDOR]],TERCEROS_INFO[[PROVEEDOR]:[CORREO]],5,FALSE)</f>
        <v/>
      </c>
      <c r="G17" s="143">
        <v>44382</v>
      </c>
      <c r="H17" s="38" t="s">
        <v>249</v>
      </c>
      <c r="I17" s="30">
        <v>44340</v>
      </c>
      <c r="J17" s="58" t="s">
        <v>1139</v>
      </c>
      <c r="K17" s="32">
        <v>565000</v>
      </c>
      <c r="L17" s="32"/>
      <c r="M17" s="33">
        <f>(PROVEEDORES[[#This Row],[SUBTOTAL]]-PROVEEDORES[[#This Row],[descuento antes de IVA]])*VLOOKUP(PROVEEDORES[[#This Row],[PROVEEDOR]],TERCEROS_INFO[#All],3,FALSE)</f>
        <v>0</v>
      </c>
      <c r="N17" s="34"/>
      <c r="O17" s="33">
        <f>+PROVEEDORES[[#This Row],[Descuento sobre subtotal %]]*(PROVEEDORES[[#This Row],[SUBTOTAL]]-PROVEEDORES[[#This Row],[descuento antes de IVA]])</f>
        <v>0</v>
      </c>
      <c r="P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" s="33">
        <f>+(PROVEEDORES[[#This Row],[SUBTOTAL]]-PROVEEDORES[[#This Row],[descuento antes de IVA]])*PROVEEDORES[[#This Row],[Rete Fuente %]]</f>
        <v>0</v>
      </c>
      <c r="R17" s="32">
        <f>+PROVEEDORES[[#This Row],[SUBTOTAL]]+PROVEEDORES[[#This Row],[IVA 19%]]-PROVEEDORES[[#This Row],[descuento antes de IVA]]-PROVEEDORES[[#This Row],[Descuento sobre subtotal $]]-PROVEEDORES[[#This Row],[Rete Fuente $]]</f>
        <v>565000</v>
      </c>
      <c r="S1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" s="40"/>
      <c r="U17" s="97"/>
      <c r="V17" s="36"/>
      <c r="W17" s="36"/>
      <c r="X17" s="36"/>
      <c r="Y17" s="36"/>
      <c r="Z17" s="41"/>
      <c r="AA17" s="42"/>
      <c r="AF17" s="36"/>
      <c r="AG17" s="36"/>
    </row>
    <row r="18" spans="1:33" ht="21.95" hidden="1" customHeight="1" x14ac:dyDescent="0.25">
      <c r="A18" s="129" t="str">
        <f>+IF(PROVEEDORES[[#This Row],[FECHA DE PAGO]]=PROVEEDORES[[#This Row],[FECHA DE FACTURACIÓN]],"DE CONTADO","CRÉDITO")</f>
        <v>CRÉDITO</v>
      </c>
      <c r="B18" s="70" t="str">
        <f>+IF((PROVEEDORES[[#This Row],[FECHA DE PAGO]]-PROVEEDORES[[#This Row],[FECHA DE FACTURACIÓN]])&gt;PROVEEDORES[[#This Row],[PLAZO Días]],"PAGO VENCIDO")</f>
        <v>PAGO VENCIDO</v>
      </c>
      <c r="C18" s="27">
        <f>+VLOOKUP(PROVEEDORES[[#This Row],[PROVEEDOR]],TERCEROS_INFO[#All],2,FALSE)</f>
        <v>30</v>
      </c>
      <c r="D18" s="37">
        <f>+SUMIFS(PROVEEDORES[Total],PROVEEDORES[PROVEEDOR],PROVEEDORES[[#This Row],[PROVEEDOR]],PROVEEDORES[FECHA DE PAGO],"")</f>
        <v>0</v>
      </c>
      <c r="E18" s="37"/>
      <c r="F18" s="108" t="str">
        <f>+VLOOKUP(PROVEEDORES[[#This Row],[PROVEEDOR]],TERCEROS_INFO[[PROVEEDOR]:[CORREO]],5,FALSE)</f>
        <v/>
      </c>
      <c r="G18" s="143">
        <v>44433</v>
      </c>
      <c r="H18" s="38" t="s">
        <v>249</v>
      </c>
      <c r="I18" s="30">
        <v>44383</v>
      </c>
      <c r="J18" s="58" t="s">
        <v>1180</v>
      </c>
      <c r="K18" s="32">
        <v>2268500</v>
      </c>
      <c r="L18" s="32"/>
      <c r="M18" s="33">
        <f>(PROVEEDORES[[#This Row],[SUBTOTAL]]-PROVEEDORES[[#This Row],[descuento antes de IVA]])*VLOOKUP(PROVEEDORES[[#This Row],[PROVEEDOR]],TERCEROS_INFO[#All],3,FALSE)</f>
        <v>0</v>
      </c>
      <c r="N18" s="34"/>
      <c r="O18" s="33">
        <f>+PROVEEDORES[[#This Row],[Descuento sobre subtotal %]]*(PROVEEDORES[[#This Row],[SUBTOTAL]]-PROVEEDORES[[#This Row],[descuento antes de IVA]])</f>
        <v>0</v>
      </c>
      <c r="P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" s="33">
        <f>+(PROVEEDORES[[#This Row],[SUBTOTAL]]-PROVEEDORES[[#This Row],[descuento antes de IVA]])*PROVEEDORES[[#This Row],[Rete Fuente %]]</f>
        <v>0</v>
      </c>
      <c r="R18" s="32">
        <f>+PROVEEDORES[[#This Row],[SUBTOTAL]]+PROVEEDORES[[#This Row],[IVA 19%]]-PROVEEDORES[[#This Row],[descuento antes de IVA]]-PROVEEDORES[[#This Row],[Descuento sobre subtotal $]]-PROVEEDORES[[#This Row],[Rete Fuente $]]</f>
        <v>2268500</v>
      </c>
      <c r="S18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" s="40"/>
      <c r="U18" s="97"/>
      <c r="V18" s="36"/>
      <c r="W18" s="36"/>
      <c r="X18" s="36"/>
      <c r="Y18" s="36"/>
      <c r="Z18" s="41"/>
      <c r="AA18" s="42"/>
      <c r="AF18" s="36"/>
      <c r="AG18" s="36"/>
    </row>
    <row r="19" spans="1:33" ht="21.95" hidden="1" customHeight="1" x14ac:dyDescent="0.25">
      <c r="A19" s="142" t="str">
        <f>+IF(PROVEEDORES[[#This Row],[FECHA DE PAGO]]=PROVEEDORES[[#This Row],[FECHA DE FACTURACIÓN]],"DE CONTADO","CRÉDITO")</f>
        <v>CRÉDITO</v>
      </c>
      <c r="B19" s="70" t="str">
        <f>+IF((PROVEEDORES[[#This Row],[FECHA DE PAGO]]-PROVEEDORES[[#This Row],[FECHA DE FACTURACIÓN]])&gt;PROVEEDORES[[#This Row],[PLAZO Días]],"PAGO VENCIDO")</f>
        <v>PAGO VENCIDO</v>
      </c>
      <c r="C19" s="27">
        <f>+VLOOKUP(PROVEEDORES[[#This Row],[PROVEEDOR]],TERCEROS_INFO[#All],2,FALSE)</f>
        <v>30</v>
      </c>
      <c r="D19" s="37">
        <f>+SUMIFS(PROVEEDORES[Total],PROVEEDORES[PROVEEDOR],PROVEEDORES[[#This Row],[PROVEEDOR]],PROVEEDORES[FECHA DE PAGO],"")</f>
        <v>0</v>
      </c>
      <c r="E19" s="37"/>
      <c r="F19" s="108" t="str">
        <f>+VLOOKUP(PROVEEDORES[[#This Row],[PROVEEDOR]],TERCEROS_INFO[[PROVEEDOR]:[CORREO]],5,FALSE)</f>
        <v/>
      </c>
      <c r="G19" s="143">
        <v>44494</v>
      </c>
      <c r="H19" s="38" t="s">
        <v>249</v>
      </c>
      <c r="I19" s="30">
        <v>44420</v>
      </c>
      <c r="J19" s="58" t="s">
        <v>1209</v>
      </c>
      <c r="K19" s="32">
        <v>2195400</v>
      </c>
      <c r="L19" s="32"/>
      <c r="M19" s="33">
        <f>(PROVEEDORES[[#This Row],[SUBTOTAL]]-PROVEEDORES[[#This Row],[descuento antes de IVA]])*VLOOKUP(PROVEEDORES[[#This Row],[PROVEEDOR]],TERCEROS_INFO[#All],3,FALSE)</f>
        <v>0</v>
      </c>
      <c r="N19" s="34"/>
      <c r="O19" s="33">
        <f>+PROVEEDORES[[#This Row],[Descuento sobre subtotal %]]*(PROVEEDORES[[#This Row],[SUBTOTAL]]-PROVEEDORES[[#This Row],[descuento antes de IVA]])</f>
        <v>0</v>
      </c>
      <c r="P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" s="33">
        <f>+(PROVEEDORES[[#This Row],[SUBTOTAL]]-PROVEEDORES[[#This Row],[descuento antes de IVA]])*PROVEEDORES[[#This Row],[Rete Fuente %]]</f>
        <v>0</v>
      </c>
      <c r="R19" s="32">
        <f>+PROVEEDORES[[#This Row],[SUBTOTAL]]+PROVEEDORES[[#This Row],[IVA 19%]]-PROVEEDORES[[#This Row],[descuento antes de IVA]]-PROVEEDORES[[#This Row],[Descuento sobre subtotal $]]-PROVEEDORES[[#This Row],[Rete Fuente $]]</f>
        <v>2195400</v>
      </c>
      <c r="S19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" s="40"/>
      <c r="U19" s="97"/>
      <c r="V19" s="36"/>
      <c r="W19" s="36"/>
      <c r="X19" s="36"/>
      <c r="Y19" s="36"/>
      <c r="Z19" s="41"/>
      <c r="AA19" s="42"/>
      <c r="AF19" s="36"/>
      <c r="AG19" s="36"/>
    </row>
    <row r="20" spans="1:33" ht="21.95" hidden="1" customHeight="1" x14ac:dyDescent="0.25">
      <c r="A20" s="161" t="str">
        <f>+IF(PROVEEDORES[[#This Row],[FECHA DE PAGO]]=PROVEEDORES[[#This Row],[FECHA DE FACTURACIÓN]],"DE CONTADO","CRÉDITO")</f>
        <v>CRÉDITO</v>
      </c>
      <c r="B20" s="70" t="str">
        <f>+IF((PROVEEDORES[[#This Row],[FECHA DE PAGO]]-PROVEEDORES[[#This Row],[FECHA DE FACTURACIÓN]])&gt;PROVEEDORES[[#This Row],[PLAZO Días]],"PAGO VENCIDO")</f>
        <v>PAGO VENCIDO</v>
      </c>
      <c r="C20" s="27">
        <f>+VLOOKUP(PROVEEDORES[[#This Row],[PROVEEDOR]],TERCEROS_INFO[#All],2,FALSE)</f>
        <v>30</v>
      </c>
      <c r="D20" s="37">
        <f>+SUMIFS(PROVEEDORES[Total],PROVEEDORES[PROVEEDOR],PROVEEDORES[[#This Row],[PROVEEDOR]],PROVEEDORES[FECHA DE PAGO],"")</f>
        <v>0</v>
      </c>
      <c r="E20" s="37"/>
      <c r="F20" s="108" t="str">
        <f>+VLOOKUP(PROVEEDORES[[#This Row],[PROVEEDOR]],TERCEROS_INFO[[PROVEEDOR]:[CORREO]],5,FALSE)</f>
        <v/>
      </c>
      <c r="G20" s="143">
        <v>44551</v>
      </c>
      <c r="H20" s="38" t="s">
        <v>249</v>
      </c>
      <c r="I20" s="30">
        <v>44495</v>
      </c>
      <c r="J20" s="58" t="s">
        <v>1285</v>
      </c>
      <c r="K20" s="32">
        <v>3345300</v>
      </c>
      <c r="L20" s="32"/>
      <c r="M20" s="33">
        <f>(PROVEEDORES[[#This Row],[SUBTOTAL]]-PROVEEDORES[[#This Row],[descuento antes de IVA]])*VLOOKUP(PROVEEDORES[[#This Row],[PROVEEDOR]],TERCEROS_INFO[#All],3,FALSE)</f>
        <v>0</v>
      </c>
      <c r="N20" s="34"/>
      <c r="O20" s="33">
        <f>+PROVEEDORES[[#This Row],[Descuento sobre subtotal %]]*(PROVEEDORES[[#This Row],[SUBTOTAL]]-PROVEEDORES[[#This Row],[descuento antes de IVA]])</f>
        <v>0</v>
      </c>
      <c r="P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" s="33">
        <f>+(PROVEEDORES[[#This Row],[SUBTOTAL]]-PROVEEDORES[[#This Row],[descuento antes de IVA]])*PROVEEDORES[[#This Row],[Rete Fuente %]]</f>
        <v>0</v>
      </c>
      <c r="R20" s="32">
        <f>+PROVEEDORES[[#This Row],[SUBTOTAL]]+PROVEEDORES[[#This Row],[IVA 19%]]-PROVEEDORES[[#This Row],[descuento antes de IVA]]-PROVEEDORES[[#This Row],[Descuento sobre subtotal $]]-PROVEEDORES[[#This Row],[Rete Fuente $]]</f>
        <v>3345300</v>
      </c>
      <c r="S20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" s="40"/>
      <c r="U20" s="97"/>
      <c r="V20" s="36"/>
      <c r="W20" s="36"/>
      <c r="X20" s="36"/>
      <c r="Y20" s="36"/>
      <c r="Z20" s="41"/>
      <c r="AA20" s="42"/>
      <c r="AF20" s="36"/>
      <c r="AG20" s="36"/>
    </row>
    <row r="21" spans="1:33" ht="21.95" hidden="1" customHeight="1" x14ac:dyDescent="0.25">
      <c r="A21" s="39" t="str">
        <f>+IF(PROVEEDORES[[#This Row],[FECHA DE PAGO]]=PROVEEDORES[[#This Row],[FECHA DE FACTURACIÓN]],"DE CONTADO","CRÉDITO")</f>
        <v>CRÉDITO</v>
      </c>
      <c r="B21" s="67" t="str">
        <f>+IF((PROVEEDORES[[#This Row],[FECHA DE PAGO]]-PROVEEDORES[[#This Row],[FECHA DE FACTURACIÓN]])&gt;PROVEEDORES[[#This Row],[PLAZO Días]],"PAGO VENCIDO")</f>
        <v>PAGO VENCIDO</v>
      </c>
      <c r="C21" s="27">
        <f>+VLOOKUP(PROVEEDORES[[#This Row],[PROVEEDOR]],TERCEROS_INFO[#All],2,FALSE)</f>
        <v>30</v>
      </c>
      <c r="D21" s="37">
        <f>+SUMIFS(PROVEEDORES[Total],PROVEEDORES[PROVEEDOR],PROVEEDORES[[#This Row],[PROVEEDOR]],PROVEEDORES[FECHA DE PAGO],"")</f>
        <v>0</v>
      </c>
      <c r="E21" s="37"/>
      <c r="F21" s="108" t="str">
        <f>+VLOOKUP(PROVEEDORES[[#This Row],[PROVEEDOR]],TERCEROS_INFO[[PROVEEDOR]:[CORREO]],5,FALSE)</f>
        <v/>
      </c>
      <c r="G21" s="143">
        <v>43899</v>
      </c>
      <c r="H21" s="38" t="s">
        <v>509</v>
      </c>
      <c r="I21" s="30">
        <v>43858</v>
      </c>
      <c r="J21" s="58">
        <v>28568</v>
      </c>
      <c r="K21" s="32">
        <v>328907.56302521011</v>
      </c>
      <c r="L21" s="32"/>
      <c r="M21" s="33">
        <f>(PROVEEDORES[[#This Row],[SUBTOTAL]]-PROVEEDORES[[#This Row],[descuento antes de IVA]])*VLOOKUP(PROVEEDORES[[#This Row],[PROVEEDOR]],TERCEROS_INFO[#All],3,FALSE)</f>
        <v>0</v>
      </c>
      <c r="N21" s="34"/>
      <c r="O21" s="33">
        <f>+PROVEEDORES[[#This Row],[Descuento sobre subtotal %]]*(PROVEEDORES[[#This Row],[SUBTOTAL]]-PROVEEDORES[[#This Row],[descuento antes de IVA]])</f>
        <v>0</v>
      </c>
      <c r="P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" s="33">
        <f>+(PROVEEDORES[[#This Row],[SUBTOTAL]]-PROVEEDORES[[#This Row],[descuento antes de IVA]])*PROVEEDORES[[#This Row],[Rete Fuente %]]</f>
        <v>0</v>
      </c>
      <c r="R21" s="32">
        <f>+PROVEEDORES[[#This Row],[SUBTOTAL]]+PROVEEDORES[[#This Row],[IVA 19%]]-PROVEEDORES[[#This Row],[descuento antes de IVA]]-PROVEEDORES[[#This Row],[Descuento sobre subtotal $]]-PROVEEDORES[[#This Row],[Rete Fuente $]]</f>
        <v>328907.56302521011</v>
      </c>
      <c r="S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" s="40"/>
      <c r="U21" s="97"/>
      <c r="V21" s="36"/>
      <c r="W21" s="36"/>
      <c r="X21" s="36"/>
      <c r="Y21" s="36"/>
      <c r="Z21" s="41"/>
      <c r="AA21" s="42"/>
      <c r="AF21" s="36"/>
      <c r="AG21" s="36"/>
    </row>
    <row r="22" spans="1:33" ht="21.95" hidden="1" customHeight="1" x14ac:dyDescent="0.25">
      <c r="A22" s="39" t="str">
        <f>+IF(PROVEEDORES[[#This Row],[FECHA DE PAGO]]=PROVEEDORES[[#This Row],[FECHA DE FACTURACIÓN]],"DE CONTADO","CRÉDITO")</f>
        <v>CRÉDITO</v>
      </c>
      <c r="B22" s="67" t="b">
        <f>+IF((PROVEEDORES[[#This Row],[FECHA DE PAGO]]-PROVEEDORES[[#This Row],[FECHA DE FACTURACIÓN]])&gt;PROVEEDORES[[#This Row],[PLAZO Días]],"PAGO VENCIDO")</f>
        <v>0</v>
      </c>
      <c r="C22" s="27">
        <f>+VLOOKUP(PROVEEDORES[[#This Row],[PROVEEDOR]],TERCEROS_INFO[#All],2,FALSE)</f>
        <v>30</v>
      </c>
      <c r="D22" s="37">
        <f>+SUMIFS(PROVEEDORES[Total],PROVEEDORES[PROVEEDOR],PROVEEDORES[[#This Row],[PROVEEDOR]],PROVEEDORES[FECHA DE PAGO],"")</f>
        <v>0</v>
      </c>
      <c r="E22" s="37"/>
      <c r="F22" s="108" t="str">
        <f>+VLOOKUP(PROVEEDORES[[#This Row],[PROVEEDOR]],TERCEROS_INFO[[PROVEEDOR]:[CORREO]],5,FALSE)</f>
        <v/>
      </c>
      <c r="G22" s="143">
        <v>44146</v>
      </c>
      <c r="H22" s="38" t="s">
        <v>509</v>
      </c>
      <c r="I22" s="30">
        <v>44123</v>
      </c>
      <c r="J22" s="58">
        <v>6976</v>
      </c>
      <c r="K22" s="32">
        <v>1632773.0000000002</v>
      </c>
      <c r="L22" s="32"/>
      <c r="M22" s="33">
        <f>(PROVEEDORES[[#This Row],[SUBTOTAL]]-PROVEEDORES[[#This Row],[descuento antes de IVA]])*VLOOKUP(PROVEEDORES[[#This Row],[PROVEEDOR]],TERCEROS_INFO[#All],3,FALSE)</f>
        <v>0</v>
      </c>
      <c r="N22" s="34"/>
      <c r="O22" s="33">
        <f>+PROVEEDORES[[#This Row],[Descuento sobre subtotal %]]*(PROVEEDORES[[#This Row],[SUBTOTAL]]-PROVEEDORES[[#This Row],[descuento antes de IVA]])</f>
        <v>0</v>
      </c>
      <c r="P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" s="33">
        <f>+(PROVEEDORES[[#This Row],[SUBTOTAL]]-PROVEEDORES[[#This Row],[descuento antes de IVA]])*PROVEEDORES[[#This Row],[Rete Fuente %]]</f>
        <v>0</v>
      </c>
      <c r="R22" s="32">
        <f>+PROVEEDORES[[#This Row],[SUBTOTAL]]+PROVEEDORES[[#This Row],[IVA 19%]]-PROVEEDORES[[#This Row],[descuento antes de IVA]]-PROVEEDORES[[#This Row],[Descuento sobre subtotal $]]-PROVEEDORES[[#This Row],[Rete Fuente $]]</f>
        <v>1632773.0000000002</v>
      </c>
      <c r="S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" s="40"/>
      <c r="U22" s="97"/>
      <c r="V22" s="36"/>
      <c r="W22" s="36"/>
      <c r="X22" s="36"/>
      <c r="Y22" s="36"/>
      <c r="Z22" s="41"/>
      <c r="AA22" s="42"/>
      <c r="AF22" s="36"/>
      <c r="AG22" s="36"/>
    </row>
    <row r="23" spans="1:33" ht="21.95" hidden="1" customHeight="1" x14ac:dyDescent="0.25">
      <c r="A23" s="88" t="str">
        <f>+IF(PROVEEDORES[[#This Row],[FECHA DE PAGO]]=PROVEEDORES[[#This Row],[FECHA DE FACTURACIÓN]],"DE CONTADO","CRÉDITO")</f>
        <v>CRÉDITO</v>
      </c>
      <c r="B23" s="70" t="str">
        <f>+IF((PROVEEDORES[[#This Row],[FECHA DE PAGO]]-PROVEEDORES[[#This Row],[FECHA DE FACTURACIÓN]])&gt;PROVEEDORES[[#This Row],[PLAZO Días]],"PAGO VENCIDO")</f>
        <v>PAGO VENCIDO</v>
      </c>
      <c r="C23" s="27">
        <f>+VLOOKUP(PROVEEDORES[[#This Row],[PROVEEDOR]],TERCEROS_INFO[#All],2,FALSE)</f>
        <v>30</v>
      </c>
      <c r="D23" s="37">
        <f>+SUMIFS(PROVEEDORES[Total],PROVEEDORES[PROVEEDOR],PROVEEDORES[[#This Row],[PROVEEDOR]],PROVEEDORES[FECHA DE PAGO],"")</f>
        <v>0</v>
      </c>
      <c r="E23" s="37"/>
      <c r="F23" s="108" t="str">
        <f>+VLOOKUP(PROVEEDORES[[#This Row],[PROVEEDOR]],TERCEROS_INFO[[PROVEEDOR]:[CORREO]],5,FALSE)</f>
        <v/>
      </c>
      <c r="G23" s="143">
        <v>44340</v>
      </c>
      <c r="H23" s="38" t="s">
        <v>509</v>
      </c>
      <c r="I23" s="30">
        <v>44243</v>
      </c>
      <c r="J23" s="58" t="s">
        <v>1103</v>
      </c>
      <c r="K23" s="32">
        <v>595000</v>
      </c>
      <c r="L23" s="32"/>
      <c r="M23" s="33">
        <f>(PROVEEDORES[[#This Row],[SUBTOTAL]]-PROVEEDORES[[#This Row],[descuento antes de IVA]])*VLOOKUP(PROVEEDORES[[#This Row],[PROVEEDOR]],TERCEROS_INFO[#All],3,FALSE)</f>
        <v>0</v>
      </c>
      <c r="N23" s="34"/>
      <c r="O23" s="33">
        <f>+PROVEEDORES[[#This Row],[Descuento sobre subtotal %]]*(PROVEEDORES[[#This Row],[SUBTOTAL]]-PROVEEDORES[[#This Row],[descuento antes de IVA]])</f>
        <v>0</v>
      </c>
      <c r="P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" s="33">
        <f>+(PROVEEDORES[[#This Row],[SUBTOTAL]]-PROVEEDORES[[#This Row],[descuento antes de IVA]])*PROVEEDORES[[#This Row],[Rete Fuente %]]</f>
        <v>0</v>
      </c>
      <c r="R23" s="32">
        <f>+PROVEEDORES[[#This Row],[SUBTOTAL]]+PROVEEDORES[[#This Row],[IVA 19%]]-PROVEEDORES[[#This Row],[descuento antes de IVA]]-PROVEEDORES[[#This Row],[Descuento sobre subtotal $]]-PROVEEDORES[[#This Row],[Rete Fuente $]]</f>
        <v>595000</v>
      </c>
      <c r="S2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" s="40"/>
      <c r="U23" s="97"/>
      <c r="V23" s="36"/>
      <c r="W23" s="36"/>
      <c r="X23" s="36"/>
      <c r="Y23" s="36"/>
      <c r="Z23" s="41"/>
      <c r="AA23" s="42"/>
      <c r="AF23" s="36"/>
      <c r="AG23" s="36"/>
    </row>
    <row r="24" spans="1:33" ht="21.95" hidden="1" customHeight="1" x14ac:dyDescent="0.25">
      <c r="A24" s="127" t="str">
        <f>+IF(PROVEEDORES[[#This Row],[FECHA DE PAGO]]=PROVEEDORES[[#This Row],[FECHA DE FACTURACIÓN]],"DE CONTADO","CRÉDITO")</f>
        <v>CRÉDITO</v>
      </c>
      <c r="B24" s="70" t="str">
        <f>+IF((PROVEEDORES[[#This Row],[FECHA DE PAGO]]-PROVEEDORES[[#This Row],[FECHA DE FACTURACIÓN]])&gt;PROVEEDORES[[#This Row],[PLAZO Días]],"PAGO VENCIDO")</f>
        <v>PAGO VENCIDO</v>
      </c>
      <c r="C24" s="27">
        <f>+VLOOKUP(PROVEEDORES[[#This Row],[PROVEEDOR]],TERCEROS_INFO[#All],2,FALSE)</f>
        <v>30</v>
      </c>
      <c r="D24" s="37">
        <f>+SUMIFS(PROVEEDORES[Total],PROVEEDORES[PROVEEDOR],PROVEEDORES[[#This Row],[PROVEEDOR]],PROVEEDORES[FECHA DE PAGO],"")</f>
        <v>0</v>
      </c>
      <c r="E24" s="37"/>
      <c r="F24" s="108" t="str">
        <f>+VLOOKUP(PROVEEDORES[[#This Row],[PROVEEDOR]],TERCEROS_INFO[[PROVEEDOR]:[CORREO]],5,FALSE)</f>
        <v/>
      </c>
      <c r="G24" s="143">
        <v>44433</v>
      </c>
      <c r="H24" s="38" t="s">
        <v>509</v>
      </c>
      <c r="I24" s="30">
        <v>44369</v>
      </c>
      <c r="J24" s="58" t="s">
        <v>1167</v>
      </c>
      <c r="K24" s="32">
        <v>1563400</v>
      </c>
      <c r="L24" s="32"/>
      <c r="M24" s="33">
        <f>(PROVEEDORES[[#This Row],[SUBTOTAL]]-PROVEEDORES[[#This Row],[descuento antes de IVA]])*VLOOKUP(PROVEEDORES[[#This Row],[PROVEEDOR]],TERCEROS_INFO[#All],3,FALSE)</f>
        <v>0</v>
      </c>
      <c r="N24" s="34"/>
      <c r="O24" s="33">
        <f>+PROVEEDORES[[#This Row],[Descuento sobre subtotal %]]*(PROVEEDORES[[#This Row],[SUBTOTAL]]-PROVEEDORES[[#This Row],[descuento antes de IVA]])</f>
        <v>0</v>
      </c>
      <c r="P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" s="33">
        <f>+(PROVEEDORES[[#This Row],[SUBTOTAL]]-PROVEEDORES[[#This Row],[descuento antes de IVA]])*PROVEEDORES[[#This Row],[Rete Fuente %]]</f>
        <v>0</v>
      </c>
      <c r="R24" s="32">
        <f>+PROVEEDORES[[#This Row],[SUBTOTAL]]+PROVEEDORES[[#This Row],[IVA 19%]]-PROVEEDORES[[#This Row],[descuento antes de IVA]]-PROVEEDORES[[#This Row],[Descuento sobre subtotal $]]-PROVEEDORES[[#This Row],[Rete Fuente $]]</f>
        <v>1563400</v>
      </c>
      <c r="S24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" s="40"/>
      <c r="U24" s="97"/>
      <c r="V24" s="36"/>
      <c r="W24" s="36"/>
      <c r="X24" s="36"/>
      <c r="Y24" s="36"/>
      <c r="Z24" s="41"/>
      <c r="AA24" s="42"/>
      <c r="AF24" s="36"/>
      <c r="AG24" s="36"/>
    </row>
    <row r="25" spans="1:33" ht="21.95" hidden="1" customHeight="1" x14ac:dyDescent="0.25">
      <c r="A25" s="129" t="str">
        <f>+IF(PROVEEDORES[[#This Row],[FECHA DE PAGO]]=PROVEEDORES[[#This Row],[FECHA DE FACTURACIÓN]],"DE CONTADO","CRÉDITO")</f>
        <v>CRÉDITO</v>
      </c>
      <c r="B25" s="70" t="str">
        <f>+IF((PROVEEDORES[[#This Row],[FECHA DE PAGO]]-PROVEEDORES[[#This Row],[FECHA DE FACTURACIÓN]])&gt;PROVEEDORES[[#This Row],[PLAZO Días]],"PAGO VENCIDO")</f>
        <v>PAGO VENCIDO</v>
      </c>
      <c r="C25" s="27">
        <f>+VLOOKUP(PROVEEDORES[[#This Row],[PROVEEDOR]],TERCEROS_INFO[#All],2,FALSE)</f>
        <v>30</v>
      </c>
      <c r="D25" s="37">
        <f>+SUMIFS(PROVEEDORES[Total],PROVEEDORES[PROVEEDOR],PROVEEDORES[[#This Row],[PROVEEDOR]],PROVEEDORES[FECHA DE PAGO],"")</f>
        <v>0</v>
      </c>
      <c r="E25" s="37"/>
      <c r="F25" s="108" t="str">
        <f>+VLOOKUP(PROVEEDORES[[#This Row],[PROVEEDOR]],TERCEROS_INFO[[PROVEEDOR]:[CORREO]],5,FALSE)</f>
        <v/>
      </c>
      <c r="G25" s="143">
        <v>44433</v>
      </c>
      <c r="H25" s="38" t="s">
        <v>509</v>
      </c>
      <c r="I25" s="30">
        <v>44372</v>
      </c>
      <c r="J25" s="58" t="s">
        <v>1172</v>
      </c>
      <c r="K25" s="32">
        <v>130000</v>
      </c>
      <c r="L25" s="32"/>
      <c r="M25" s="33">
        <f>(PROVEEDORES[[#This Row],[SUBTOTAL]]-PROVEEDORES[[#This Row],[descuento antes de IVA]])*VLOOKUP(PROVEEDORES[[#This Row],[PROVEEDOR]],TERCEROS_INFO[#All],3,FALSE)</f>
        <v>0</v>
      </c>
      <c r="N25" s="34"/>
      <c r="O25" s="33">
        <f>+PROVEEDORES[[#This Row],[Descuento sobre subtotal %]]*(PROVEEDORES[[#This Row],[SUBTOTAL]]-PROVEEDORES[[#This Row],[descuento antes de IVA]])</f>
        <v>0</v>
      </c>
      <c r="P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" s="33">
        <f>+(PROVEEDORES[[#This Row],[SUBTOTAL]]-PROVEEDORES[[#This Row],[descuento antes de IVA]])*PROVEEDORES[[#This Row],[Rete Fuente %]]</f>
        <v>0</v>
      </c>
      <c r="R25" s="32">
        <f>+PROVEEDORES[[#This Row],[SUBTOTAL]]+PROVEEDORES[[#This Row],[IVA 19%]]-PROVEEDORES[[#This Row],[descuento antes de IVA]]-PROVEEDORES[[#This Row],[Descuento sobre subtotal $]]-PROVEEDORES[[#This Row],[Rete Fuente $]]</f>
        <v>130000</v>
      </c>
      <c r="S25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" s="40"/>
      <c r="U25" s="97"/>
      <c r="V25" s="36"/>
      <c r="W25" s="36"/>
      <c r="X25" s="36"/>
      <c r="Y25" s="36"/>
      <c r="Z25" s="41"/>
      <c r="AA25" s="42"/>
      <c r="AF25" s="36"/>
      <c r="AG25" s="36"/>
    </row>
    <row r="26" spans="1:33" ht="21.95" hidden="1" customHeight="1" x14ac:dyDescent="0.25">
      <c r="A26" s="35" t="str">
        <f>+IF(PROVEEDORES[[#This Row],[FECHA DE PAGO]]=PROVEEDORES[[#This Row],[FECHA DE FACTURACIÓN]],"DE CONTADO","CRÉDITO")</f>
        <v>CRÉDITO</v>
      </c>
      <c r="B26" s="70" t="str">
        <f>+IF((PROVEEDORES[[#This Row],[FECHA DE PAGO]]-PROVEEDORES[[#This Row],[FECHA DE FACTURACIÓN]])&gt;PROVEEDORES[[#This Row],[PLAZO Días]],"PAGO VENCIDO")</f>
        <v>PAGO VENCIDO</v>
      </c>
      <c r="C26" s="27">
        <f>+VLOOKUP(PROVEEDORES[[#This Row],[PROVEEDOR]],TERCEROS_INFO[#All],2,FALSE)</f>
        <v>30</v>
      </c>
      <c r="D26" s="37">
        <f>+SUMIFS(PROVEEDORES[Total],PROVEEDORES[PROVEEDOR],PROVEEDORES[[#This Row],[PROVEEDOR]],PROVEEDORES[FECHA DE PAGO],"")</f>
        <v>0</v>
      </c>
      <c r="E26" s="37"/>
      <c r="F26" s="108" t="str">
        <f>+VLOOKUP(PROVEEDORES[[#This Row],[PROVEEDOR]],TERCEROS_INFO[[PROVEEDOR]:[CORREO]],5,FALSE)</f>
        <v/>
      </c>
      <c r="G26" s="143">
        <v>44441</v>
      </c>
      <c r="H26" s="38" t="s">
        <v>509</v>
      </c>
      <c r="I26" s="30">
        <v>44407</v>
      </c>
      <c r="J26" s="58" t="s">
        <v>1191</v>
      </c>
      <c r="K26" s="32">
        <v>124600</v>
      </c>
      <c r="L26" s="32"/>
      <c r="M26" s="33">
        <f>(PROVEEDORES[[#This Row],[SUBTOTAL]]-PROVEEDORES[[#This Row],[descuento antes de IVA]])*VLOOKUP(PROVEEDORES[[#This Row],[PROVEEDOR]],TERCEROS_INFO[#All],3,FALSE)</f>
        <v>0</v>
      </c>
      <c r="N26" s="34"/>
      <c r="O26" s="33">
        <f>+PROVEEDORES[[#This Row],[Descuento sobre subtotal %]]*(PROVEEDORES[[#This Row],[SUBTOTAL]]-PROVEEDORES[[#This Row],[descuento antes de IVA]])</f>
        <v>0</v>
      </c>
      <c r="P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" s="33">
        <f>+(PROVEEDORES[[#This Row],[SUBTOTAL]]-PROVEEDORES[[#This Row],[descuento antes de IVA]])*PROVEEDORES[[#This Row],[Rete Fuente %]]</f>
        <v>0</v>
      </c>
      <c r="R26" s="32">
        <f>+PROVEEDORES[[#This Row],[SUBTOTAL]]+PROVEEDORES[[#This Row],[IVA 19%]]-PROVEEDORES[[#This Row],[descuento antes de IVA]]-PROVEEDORES[[#This Row],[Descuento sobre subtotal $]]-PROVEEDORES[[#This Row],[Rete Fuente $]]</f>
        <v>124600</v>
      </c>
      <c r="S2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" s="40"/>
      <c r="U26" s="97"/>
      <c r="V26" s="36"/>
      <c r="W26" s="36"/>
      <c r="X26" s="36"/>
      <c r="Y26" s="36"/>
      <c r="Z26" s="41"/>
      <c r="AA26" s="42"/>
      <c r="AF26" s="36"/>
      <c r="AG26" s="36"/>
    </row>
    <row r="27" spans="1:33" ht="21.95" hidden="1" customHeight="1" x14ac:dyDescent="0.25">
      <c r="A27" s="148" t="str">
        <f>+IF(PROVEEDORES[[#This Row],[FECHA DE PAGO]]=PROVEEDORES[[#This Row],[FECHA DE FACTURACIÓN]],"DE CONTADO","CRÉDITO")</f>
        <v>DE CONTADO</v>
      </c>
      <c r="B27" s="70" t="b">
        <f>+IF((PROVEEDORES[[#This Row],[FECHA DE PAGO]]-PROVEEDORES[[#This Row],[FECHA DE FACTURACIÓN]])&gt;PROVEEDORES[[#This Row],[PLAZO Días]],"PAGO VENCIDO")</f>
        <v>0</v>
      </c>
      <c r="C27" s="27">
        <f>+VLOOKUP(PROVEEDORES[[#This Row],[PROVEEDOR]],TERCEROS_INFO[#All],2,FALSE)</f>
        <v>30</v>
      </c>
      <c r="D27" s="37">
        <f>+SUMIFS(PROVEEDORES[Total],PROVEEDORES[PROVEEDOR],PROVEEDORES[[#This Row],[PROVEEDOR]],PROVEEDORES[FECHA DE PAGO],"")</f>
        <v>0</v>
      </c>
      <c r="E27" s="37"/>
      <c r="F27" s="108" t="str">
        <f>+VLOOKUP(PROVEEDORES[[#This Row],[PROVEEDOR]],TERCEROS_INFO[[PROVEEDOR]:[CORREO]],5,FALSE)</f>
        <v/>
      </c>
      <c r="G27" s="30">
        <v>44447</v>
      </c>
      <c r="H27" s="38" t="s">
        <v>509</v>
      </c>
      <c r="I27" s="30">
        <v>44447</v>
      </c>
      <c r="J27" s="58" t="s">
        <v>1238</v>
      </c>
      <c r="K27" s="32">
        <v>612000</v>
      </c>
      <c r="L27" s="32"/>
      <c r="M27" s="33">
        <f>(PROVEEDORES[[#This Row],[SUBTOTAL]]-PROVEEDORES[[#This Row],[descuento antes de IVA]])*VLOOKUP(PROVEEDORES[[#This Row],[PROVEEDOR]],TERCEROS_INFO[#All],3,FALSE)</f>
        <v>0</v>
      </c>
      <c r="N27" s="34"/>
      <c r="O27" s="33">
        <f>+PROVEEDORES[[#This Row],[Descuento sobre subtotal %]]*(PROVEEDORES[[#This Row],[SUBTOTAL]]-PROVEEDORES[[#This Row],[descuento antes de IVA]])</f>
        <v>0</v>
      </c>
      <c r="P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" s="33">
        <f>+(PROVEEDORES[[#This Row],[SUBTOTAL]]-PROVEEDORES[[#This Row],[descuento antes de IVA]])*PROVEEDORES[[#This Row],[Rete Fuente %]]</f>
        <v>0</v>
      </c>
      <c r="R27" s="32">
        <f>+PROVEEDORES[[#This Row],[SUBTOTAL]]+PROVEEDORES[[#This Row],[IVA 19%]]-PROVEEDORES[[#This Row],[descuento antes de IVA]]-PROVEEDORES[[#This Row],[Descuento sobre subtotal $]]-PROVEEDORES[[#This Row],[Rete Fuente $]]</f>
        <v>612000</v>
      </c>
      <c r="S27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" s="40"/>
      <c r="U27" s="97"/>
      <c r="V27" s="36"/>
      <c r="W27" s="36"/>
      <c r="X27" s="36"/>
      <c r="Y27" s="36"/>
      <c r="Z27" s="41"/>
      <c r="AA27" s="42"/>
      <c r="AF27" s="36"/>
      <c r="AG27" s="36"/>
    </row>
    <row r="28" spans="1:33" ht="21.95" hidden="1" customHeight="1" x14ac:dyDescent="0.25">
      <c r="A28" s="161" t="str">
        <f>+IF(PROVEEDORES[[#This Row],[FECHA DE PAGO]]=PROVEEDORES[[#This Row],[FECHA DE FACTURACIÓN]],"DE CONTADO","CRÉDITO")</f>
        <v>CRÉDITO</v>
      </c>
      <c r="B28" s="70" t="str">
        <f>+IF((PROVEEDORES[[#This Row],[FECHA DE PAGO]]-PROVEEDORES[[#This Row],[FECHA DE FACTURACIÓN]])&gt;PROVEEDORES[[#This Row],[PLAZO Días]],"PAGO VENCIDO")</f>
        <v>PAGO VENCIDO</v>
      </c>
      <c r="C28" s="27">
        <f>+VLOOKUP(PROVEEDORES[[#This Row],[PROVEEDOR]],TERCEROS_INFO[#All],2,FALSE)</f>
        <v>30</v>
      </c>
      <c r="D28" s="37">
        <f>+SUMIFS(PROVEEDORES[Total],PROVEEDORES[PROVEEDOR],PROVEEDORES[[#This Row],[PROVEEDOR]],PROVEEDORES[FECHA DE PAGO],"")</f>
        <v>0</v>
      </c>
      <c r="E28" s="37"/>
      <c r="F28" s="108" t="str">
        <f>+VLOOKUP(PROVEEDORES[[#This Row],[PROVEEDOR]],TERCEROS_INFO[[PROVEEDOR]:[CORREO]],5,FALSE)</f>
        <v/>
      </c>
      <c r="G28" s="143">
        <v>44557</v>
      </c>
      <c r="H28" s="38" t="s">
        <v>509</v>
      </c>
      <c r="I28" s="30">
        <v>44497</v>
      </c>
      <c r="J28" s="58" t="s">
        <v>1288</v>
      </c>
      <c r="K28" s="32">
        <v>264000</v>
      </c>
      <c r="L28" s="32"/>
      <c r="M28" s="33">
        <f>(PROVEEDORES[[#This Row],[SUBTOTAL]]-PROVEEDORES[[#This Row],[descuento antes de IVA]])*VLOOKUP(PROVEEDORES[[#This Row],[PROVEEDOR]],TERCEROS_INFO[#All],3,FALSE)</f>
        <v>0</v>
      </c>
      <c r="N28" s="34"/>
      <c r="O28" s="33">
        <f>+PROVEEDORES[[#This Row],[Descuento sobre subtotal %]]*(PROVEEDORES[[#This Row],[SUBTOTAL]]-PROVEEDORES[[#This Row],[descuento antes de IVA]])</f>
        <v>0</v>
      </c>
      <c r="P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" s="33">
        <f>+(PROVEEDORES[[#This Row],[SUBTOTAL]]-PROVEEDORES[[#This Row],[descuento antes de IVA]])*PROVEEDORES[[#This Row],[Rete Fuente %]]</f>
        <v>0</v>
      </c>
      <c r="R28" s="32">
        <f>+PROVEEDORES[[#This Row],[SUBTOTAL]]+PROVEEDORES[[#This Row],[IVA 19%]]-PROVEEDORES[[#This Row],[descuento antes de IVA]]-PROVEEDORES[[#This Row],[Descuento sobre subtotal $]]-PROVEEDORES[[#This Row],[Rete Fuente $]]</f>
        <v>264000</v>
      </c>
      <c r="S28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" s="40"/>
      <c r="U28" s="97"/>
      <c r="V28" s="36"/>
      <c r="W28" s="36"/>
      <c r="X28" s="36"/>
      <c r="Y28" s="36"/>
      <c r="Z28" s="41"/>
      <c r="AA28" s="42"/>
      <c r="AF28" s="36"/>
      <c r="AG28" s="36"/>
    </row>
    <row r="29" spans="1:33" ht="21.95" hidden="1" customHeight="1" x14ac:dyDescent="0.25">
      <c r="A29" s="161" t="str">
        <f>+IF(PROVEEDORES[[#This Row],[FECHA DE PAGO]]=PROVEEDORES[[#This Row],[FECHA DE FACTURACIÓN]],"DE CONTADO","CRÉDITO")</f>
        <v>CRÉDITO</v>
      </c>
      <c r="B29" s="70" t="str">
        <f>+IF((PROVEEDORES[[#This Row],[FECHA DE PAGO]]-PROVEEDORES[[#This Row],[FECHA DE FACTURACIÓN]])&gt;PROVEEDORES[[#This Row],[PLAZO Días]],"PAGO VENCIDO")</f>
        <v>PAGO VENCIDO</v>
      </c>
      <c r="C29" s="27">
        <f>+VLOOKUP(PROVEEDORES[[#This Row],[PROVEEDOR]],TERCEROS_INFO[#All],2,FALSE)</f>
        <v>30</v>
      </c>
      <c r="D29" s="37">
        <f>+SUMIFS(PROVEEDORES[Total],PROVEEDORES[PROVEEDOR],PROVEEDORES[[#This Row],[PROVEEDOR]],PROVEEDORES[FECHA DE PAGO],"")</f>
        <v>0</v>
      </c>
      <c r="E29" s="37"/>
      <c r="F29" s="108" t="str">
        <f>+VLOOKUP(PROVEEDORES[[#This Row],[PROVEEDOR]],TERCEROS_INFO[[PROVEEDOR]:[CORREO]],5,FALSE)</f>
        <v/>
      </c>
      <c r="G29" s="143">
        <v>44557</v>
      </c>
      <c r="H29" s="38" t="s">
        <v>509</v>
      </c>
      <c r="I29" s="30">
        <v>44498</v>
      </c>
      <c r="J29" s="58" t="s">
        <v>1290</v>
      </c>
      <c r="K29" s="32">
        <v>168000</v>
      </c>
      <c r="L29" s="32"/>
      <c r="M29" s="33">
        <f>(PROVEEDORES[[#This Row],[SUBTOTAL]]-PROVEEDORES[[#This Row],[descuento antes de IVA]])*VLOOKUP(PROVEEDORES[[#This Row],[PROVEEDOR]],TERCEROS_INFO[#All],3,FALSE)</f>
        <v>0</v>
      </c>
      <c r="N29" s="34"/>
      <c r="O29" s="33">
        <f>+PROVEEDORES[[#This Row],[Descuento sobre subtotal %]]*(PROVEEDORES[[#This Row],[SUBTOTAL]]-PROVEEDORES[[#This Row],[descuento antes de IVA]])</f>
        <v>0</v>
      </c>
      <c r="P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" s="33">
        <f>+(PROVEEDORES[[#This Row],[SUBTOTAL]]-PROVEEDORES[[#This Row],[descuento antes de IVA]])*PROVEEDORES[[#This Row],[Rete Fuente %]]</f>
        <v>0</v>
      </c>
      <c r="R29" s="32">
        <f>+PROVEEDORES[[#This Row],[SUBTOTAL]]+PROVEEDORES[[#This Row],[IVA 19%]]-PROVEEDORES[[#This Row],[descuento antes de IVA]]-PROVEEDORES[[#This Row],[Descuento sobre subtotal $]]-PROVEEDORES[[#This Row],[Rete Fuente $]]</f>
        <v>168000</v>
      </c>
      <c r="S29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" s="40"/>
      <c r="U29" s="97"/>
      <c r="V29" s="36"/>
      <c r="W29" s="36"/>
      <c r="X29" s="36"/>
      <c r="Y29" s="36"/>
      <c r="Z29" s="41"/>
      <c r="AA29" s="42"/>
      <c r="AF29" s="36"/>
      <c r="AG29" s="36"/>
    </row>
    <row r="30" spans="1:33" ht="21.95" hidden="1" customHeight="1" x14ac:dyDescent="0.25">
      <c r="A30" s="167" t="str">
        <f>+IF(PROVEEDORES[[#This Row],[FECHA DE PAGO]]=PROVEEDORES[[#This Row],[FECHA DE FACTURACIÓN]],"DE CONTADO","CRÉDITO")</f>
        <v>CRÉDITO</v>
      </c>
      <c r="B30" s="70" t="str">
        <f>+IF((PROVEEDORES[[#This Row],[FECHA DE PAGO]]-PROVEEDORES[[#This Row],[FECHA DE FACTURACIÓN]])&gt;PROVEEDORES[[#This Row],[PLAZO Días]],"PAGO VENCIDO")</f>
        <v>PAGO VENCIDO</v>
      </c>
      <c r="C30" s="27">
        <f>+VLOOKUP(PROVEEDORES[[#This Row],[PROVEEDOR]],TERCEROS_INFO[#All],2,FALSE)</f>
        <v>30</v>
      </c>
      <c r="D30" s="37">
        <f>+SUMIFS(PROVEEDORES[Total],PROVEEDORES[PROVEEDOR],PROVEEDORES[[#This Row],[PROVEEDOR]],PROVEEDORES[FECHA DE PAGO],"")</f>
        <v>0</v>
      </c>
      <c r="E30" s="37"/>
      <c r="F30" s="108" t="str">
        <f>+VLOOKUP(PROVEEDORES[[#This Row],[PROVEEDOR]],TERCEROS_INFO[[PROVEEDOR]:[CORREO]],5,FALSE)</f>
        <v/>
      </c>
      <c r="G30" s="143">
        <v>44557</v>
      </c>
      <c r="H30" s="38" t="s">
        <v>509</v>
      </c>
      <c r="I30" s="30">
        <v>44523</v>
      </c>
      <c r="J30" s="58" t="s">
        <v>1302</v>
      </c>
      <c r="K30" s="32">
        <v>1796500</v>
      </c>
      <c r="L30" s="32"/>
      <c r="M30" s="33">
        <f>(PROVEEDORES[[#This Row],[SUBTOTAL]]-PROVEEDORES[[#This Row],[descuento antes de IVA]])*VLOOKUP(PROVEEDORES[[#This Row],[PROVEEDOR]],TERCEROS_INFO[#All],3,FALSE)</f>
        <v>0</v>
      </c>
      <c r="N30" s="34"/>
      <c r="O30" s="33">
        <f>+PROVEEDORES[[#This Row],[Descuento sobre subtotal %]]*(PROVEEDORES[[#This Row],[SUBTOTAL]]-PROVEEDORES[[#This Row],[descuento antes de IVA]])</f>
        <v>0</v>
      </c>
      <c r="P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" s="33">
        <f>+(PROVEEDORES[[#This Row],[SUBTOTAL]]-PROVEEDORES[[#This Row],[descuento antes de IVA]])*PROVEEDORES[[#This Row],[Rete Fuente %]]</f>
        <v>0</v>
      </c>
      <c r="R30" s="32">
        <f>+PROVEEDORES[[#This Row],[SUBTOTAL]]+PROVEEDORES[[#This Row],[IVA 19%]]-PROVEEDORES[[#This Row],[descuento antes de IVA]]-PROVEEDORES[[#This Row],[Descuento sobre subtotal $]]-PROVEEDORES[[#This Row],[Rete Fuente $]]</f>
        <v>1796500</v>
      </c>
      <c r="S30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" s="40"/>
      <c r="U30" s="97"/>
      <c r="V30" s="36"/>
      <c r="W30" s="36"/>
      <c r="X30" s="36"/>
      <c r="Y30" s="36"/>
      <c r="Z30" s="41"/>
      <c r="AA30" s="42"/>
      <c r="AF30" s="36"/>
      <c r="AG30" s="36"/>
    </row>
    <row r="31" spans="1:33" ht="21.95" hidden="1" customHeight="1" x14ac:dyDescent="0.25">
      <c r="A31" s="39" t="str">
        <f>+IF(PROVEEDORES[[#This Row],[FECHA DE PAGO]]=PROVEEDORES[[#This Row],[FECHA DE FACTURACIÓN]],"DE CONTADO","CRÉDITO")</f>
        <v>CRÉDITO</v>
      </c>
      <c r="B31" s="67" t="str">
        <f>+IF((PROVEEDORES[[#This Row],[FECHA DE PAGO]]-PROVEEDORES[[#This Row],[FECHA DE FACTURACIÓN]])&gt;PROVEEDORES[[#This Row],[PLAZO Días]],"PAGO VENCIDO")</f>
        <v>PAGO VENCIDO</v>
      </c>
      <c r="C31" s="27">
        <f>+VLOOKUP(PROVEEDORES[[#This Row],[PROVEEDOR]],TERCEROS_INFO[#All],2,FALSE)</f>
        <v>30</v>
      </c>
      <c r="D31" s="37">
        <f>+SUMIFS(PROVEEDORES[Total],PROVEEDORES[PROVEEDOR],PROVEEDORES[[#This Row],[PROVEEDOR]],PROVEEDORES[FECHA DE PAGO],"")</f>
        <v>0</v>
      </c>
      <c r="E31" s="37"/>
      <c r="F31" s="108" t="str">
        <f>+VLOOKUP(PROVEEDORES[[#This Row],[PROVEEDOR]],TERCEROS_INFO[[PROVEEDOR]:[CORREO]],5,FALSE)</f>
        <v/>
      </c>
      <c r="G31" s="143">
        <v>44120</v>
      </c>
      <c r="H31" s="38" t="s">
        <v>250</v>
      </c>
      <c r="I31" s="30">
        <v>43902</v>
      </c>
      <c r="J31" s="58">
        <v>29</v>
      </c>
      <c r="K31" s="32">
        <v>14986000</v>
      </c>
      <c r="L31" s="32"/>
      <c r="M31" s="33">
        <f>(PROVEEDORES[[#This Row],[SUBTOTAL]]-PROVEEDORES[[#This Row],[descuento antes de IVA]])*VLOOKUP(PROVEEDORES[[#This Row],[PROVEEDOR]],TERCEROS_INFO[#All],3,FALSE)</f>
        <v>0</v>
      </c>
      <c r="N31" s="34"/>
      <c r="O31" s="33">
        <f>+PROVEEDORES[[#This Row],[Descuento sobre subtotal %]]*(PROVEEDORES[[#This Row],[SUBTOTAL]]-PROVEEDORES[[#This Row],[descuento antes de IVA]])</f>
        <v>0</v>
      </c>
      <c r="P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" s="33">
        <f>+(PROVEEDORES[[#This Row],[SUBTOTAL]]-PROVEEDORES[[#This Row],[descuento antes de IVA]])*PROVEEDORES[[#This Row],[Rete Fuente %]]</f>
        <v>0</v>
      </c>
      <c r="R31" s="32">
        <f>+PROVEEDORES[[#This Row],[SUBTOTAL]]+PROVEEDORES[[#This Row],[IVA 19%]]-PROVEEDORES[[#This Row],[descuento antes de IVA]]-PROVEEDORES[[#This Row],[Descuento sobre subtotal $]]-PROVEEDORES[[#This Row],[Rete Fuente $]]</f>
        <v>14986000</v>
      </c>
      <c r="S3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" s="40"/>
      <c r="U31" s="97"/>
      <c r="V31" s="36"/>
      <c r="W31" s="36"/>
      <c r="X31" s="36"/>
      <c r="Y31" s="36"/>
      <c r="Z31" s="41"/>
      <c r="AA31" s="42"/>
      <c r="AF31" s="36"/>
      <c r="AG31" s="36"/>
    </row>
    <row r="32" spans="1:33" ht="21.95" hidden="1" customHeight="1" x14ac:dyDescent="0.25">
      <c r="A32" s="161" t="str">
        <f>+IF(PROVEEDORES[[#This Row],[FECHA DE PAGO]]=PROVEEDORES[[#This Row],[FECHA DE FACTURACIÓN]],"DE CONTADO","CRÉDITO")</f>
        <v>CRÉDITO</v>
      </c>
      <c r="B32" s="70" t="str">
        <f>+IF((PROVEEDORES[[#This Row],[FECHA DE PAGO]]-PROVEEDORES[[#This Row],[FECHA DE FACTURACIÓN]])&gt;PROVEEDORES[[#This Row],[PLAZO Días]],"PAGO VENCIDO")</f>
        <v>PAGO VENCIDO</v>
      </c>
      <c r="C32" s="27">
        <f>+VLOOKUP(PROVEEDORES[[#This Row],[PROVEEDOR]],TERCEROS_INFO[#All],2,FALSE)</f>
        <v>30</v>
      </c>
      <c r="D32" s="37">
        <f>+SUMIFS(PROVEEDORES[Total],PROVEEDORES[PROVEEDOR],PROVEEDORES[[#This Row],[PROVEEDOR]],PROVEEDORES[FECHA DE PAGO],"")</f>
        <v>0</v>
      </c>
      <c r="E32" s="37"/>
      <c r="F32" s="108" t="str">
        <f>+VLOOKUP(PROVEEDORES[[#This Row],[PROVEEDOR]],TERCEROS_INFO[[PROVEEDOR]:[CORREO]],5,FALSE)</f>
        <v/>
      </c>
      <c r="G32" s="143">
        <v>44552</v>
      </c>
      <c r="H32" s="38" t="s">
        <v>250</v>
      </c>
      <c r="I32" s="30">
        <v>44494</v>
      </c>
      <c r="J32" s="58" t="s">
        <v>1281</v>
      </c>
      <c r="K32" s="32">
        <v>5036000</v>
      </c>
      <c r="L32" s="32"/>
      <c r="M32" s="33">
        <f>(PROVEEDORES[[#This Row],[SUBTOTAL]]-PROVEEDORES[[#This Row],[descuento antes de IVA]])*VLOOKUP(PROVEEDORES[[#This Row],[PROVEEDOR]],TERCEROS_INFO[#All],3,FALSE)</f>
        <v>0</v>
      </c>
      <c r="N32" s="34">
        <v>0.04</v>
      </c>
      <c r="O32" s="33">
        <f>+PROVEEDORES[[#This Row],[Descuento sobre subtotal %]]*(PROVEEDORES[[#This Row],[SUBTOTAL]]-PROVEEDORES[[#This Row],[descuento antes de IVA]])</f>
        <v>201440</v>
      </c>
      <c r="P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" s="33">
        <f>+(PROVEEDORES[[#This Row],[SUBTOTAL]]-PROVEEDORES[[#This Row],[descuento antes de IVA]])*PROVEEDORES[[#This Row],[Rete Fuente %]]</f>
        <v>0</v>
      </c>
      <c r="R32" s="32">
        <f>+PROVEEDORES[[#This Row],[SUBTOTAL]]+PROVEEDORES[[#This Row],[IVA 19%]]-PROVEEDORES[[#This Row],[descuento antes de IVA]]-PROVEEDORES[[#This Row],[Descuento sobre subtotal $]]-PROVEEDORES[[#This Row],[Rete Fuente $]]</f>
        <v>4834560</v>
      </c>
      <c r="S32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" s="40"/>
      <c r="U32" s="97"/>
      <c r="V32" s="36"/>
      <c r="W32" s="36"/>
      <c r="X32" s="36"/>
      <c r="Y32" s="36"/>
      <c r="Z32" s="41"/>
      <c r="AA32" s="42"/>
      <c r="AF32" s="36"/>
      <c r="AG32" s="36"/>
    </row>
    <row r="33" spans="1:33" ht="21.95" hidden="1" customHeight="1" x14ac:dyDescent="0.25">
      <c r="A33" s="161" t="str">
        <f>+IF(PROVEEDORES[[#This Row],[FECHA DE PAGO]]=PROVEEDORES[[#This Row],[FECHA DE FACTURACIÓN]],"DE CONTADO","CRÉDITO")</f>
        <v>CRÉDITO</v>
      </c>
      <c r="B33" s="70" t="str">
        <f>+IF((PROVEEDORES[[#This Row],[FECHA DE PAGO]]-PROVEEDORES[[#This Row],[FECHA DE FACTURACIÓN]])&gt;PROVEEDORES[[#This Row],[PLAZO Días]],"PAGO VENCIDO")</f>
        <v>PAGO VENCIDO</v>
      </c>
      <c r="C33" s="27">
        <f>+VLOOKUP(PROVEEDORES[[#This Row],[PROVEEDOR]],TERCEROS_INFO[#All],2,FALSE)</f>
        <v>30</v>
      </c>
      <c r="D33" s="37">
        <f>+SUMIFS(PROVEEDORES[Total],PROVEEDORES[PROVEEDOR],PROVEEDORES[[#This Row],[PROVEEDOR]],PROVEEDORES[FECHA DE PAGO],"")</f>
        <v>0</v>
      </c>
      <c r="E33" s="37"/>
      <c r="F33" s="108" t="str">
        <f>+VLOOKUP(PROVEEDORES[[#This Row],[PROVEEDOR]],TERCEROS_INFO[[PROVEEDOR]:[CORREO]],5,FALSE)</f>
        <v/>
      </c>
      <c r="G33" s="143">
        <v>44552</v>
      </c>
      <c r="H33" s="38" t="s">
        <v>250</v>
      </c>
      <c r="I33" s="30">
        <v>44494</v>
      </c>
      <c r="J33" s="58" t="s">
        <v>1282</v>
      </c>
      <c r="K33" s="32">
        <v>4715000</v>
      </c>
      <c r="L33" s="32"/>
      <c r="M33" s="33">
        <f>(PROVEEDORES[[#This Row],[SUBTOTAL]]-PROVEEDORES[[#This Row],[descuento antes de IVA]])*VLOOKUP(PROVEEDORES[[#This Row],[PROVEEDOR]],TERCEROS_INFO[#All],3,FALSE)</f>
        <v>0</v>
      </c>
      <c r="N33" s="34">
        <v>0.1</v>
      </c>
      <c r="O33" s="33">
        <f>+PROVEEDORES[[#This Row],[Descuento sobre subtotal %]]*(PROVEEDORES[[#This Row],[SUBTOTAL]]-PROVEEDORES[[#This Row],[descuento antes de IVA]])</f>
        <v>471500</v>
      </c>
      <c r="P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" s="33">
        <f>+(PROVEEDORES[[#This Row],[SUBTOTAL]]-PROVEEDORES[[#This Row],[descuento antes de IVA]])*PROVEEDORES[[#This Row],[Rete Fuente %]]</f>
        <v>0</v>
      </c>
      <c r="R33" s="32">
        <f>+PROVEEDORES[[#This Row],[SUBTOTAL]]+PROVEEDORES[[#This Row],[IVA 19%]]-PROVEEDORES[[#This Row],[descuento antes de IVA]]-PROVEEDORES[[#This Row],[Descuento sobre subtotal $]]-PROVEEDORES[[#This Row],[Rete Fuente $]]</f>
        <v>4243500</v>
      </c>
      <c r="S33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" s="40"/>
      <c r="U33" s="97"/>
      <c r="V33" s="36"/>
      <c r="W33" s="36"/>
      <c r="X33" s="36"/>
      <c r="Y33" s="36"/>
      <c r="Z33" s="41"/>
      <c r="AA33" s="42"/>
      <c r="AF33" s="36"/>
      <c r="AG33" s="36"/>
    </row>
    <row r="34" spans="1:33" ht="21.95" hidden="1" customHeight="1" x14ac:dyDescent="0.25">
      <c r="A34" s="161" t="str">
        <f>+IF(PROVEEDORES[[#This Row],[FECHA DE PAGO]]=PROVEEDORES[[#This Row],[FECHA DE FACTURACIÓN]],"DE CONTADO","CRÉDITO")</f>
        <v>CRÉDITO</v>
      </c>
      <c r="B34" s="70" t="str">
        <f>+IF((PROVEEDORES[[#This Row],[FECHA DE PAGO]]-PROVEEDORES[[#This Row],[FECHA DE FACTURACIÓN]])&gt;PROVEEDORES[[#This Row],[PLAZO Días]],"PAGO VENCIDO")</f>
        <v>PAGO VENCIDO</v>
      </c>
      <c r="C34" s="27">
        <f>+VLOOKUP(PROVEEDORES[[#This Row],[PROVEEDOR]],TERCEROS_INFO[#All],2,FALSE)</f>
        <v>30</v>
      </c>
      <c r="D34" s="37">
        <f>+SUMIFS(PROVEEDORES[Total],PROVEEDORES[PROVEEDOR],PROVEEDORES[[#This Row],[PROVEEDOR]],PROVEEDORES[FECHA DE PAGO],"")</f>
        <v>0</v>
      </c>
      <c r="E34" s="37"/>
      <c r="F34" s="108" t="str">
        <f>+VLOOKUP(PROVEEDORES[[#This Row],[PROVEEDOR]],TERCEROS_INFO[[PROVEEDOR]:[CORREO]],5,FALSE)</f>
        <v/>
      </c>
      <c r="G34" s="143">
        <v>44552</v>
      </c>
      <c r="H34" s="38" t="s">
        <v>250</v>
      </c>
      <c r="I34" s="30">
        <v>44494</v>
      </c>
      <c r="J34" s="58" t="s">
        <v>1283</v>
      </c>
      <c r="K34" s="32">
        <v>1255000</v>
      </c>
      <c r="L34" s="32"/>
      <c r="M34" s="33">
        <f>(PROVEEDORES[[#This Row],[SUBTOTAL]]-PROVEEDORES[[#This Row],[descuento antes de IVA]])*VLOOKUP(PROVEEDORES[[#This Row],[PROVEEDOR]],TERCEROS_INFO[#All],3,FALSE)</f>
        <v>0</v>
      </c>
      <c r="N34" s="34">
        <v>0.05</v>
      </c>
      <c r="O34" s="33">
        <f>+PROVEEDORES[[#This Row],[Descuento sobre subtotal %]]*(PROVEEDORES[[#This Row],[SUBTOTAL]]-PROVEEDORES[[#This Row],[descuento antes de IVA]])</f>
        <v>62750</v>
      </c>
      <c r="P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" s="33">
        <f>+(PROVEEDORES[[#This Row],[SUBTOTAL]]-PROVEEDORES[[#This Row],[descuento antes de IVA]])*PROVEEDORES[[#This Row],[Rete Fuente %]]</f>
        <v>0</v>
      </c>
      <c r="R34" s="32">
        <f>+PROVEEDORES[[#This Row],[SUBTOTAL]]+PROVEEDORES[[#This Row],[IVA 19%]]-PROVEEDORES[[#This Row],[descuento antes de IVA]]-PROVEEDORES[[#This Row],[Descuento sobre subtotal $]]-PROVEEDORES[[#This Row],[Rete Fuente $]]</f>
        <v>1192250</v>
      </c>
      <c r="S34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" s="40"/>
      <c r="U34" s="97"/>
      <c r="V34" s="36"/>
      <c r="W34" s="36"/>
      <c r="X34" s="36"/>
      <c r="Y34" s="36"/>
      <c r="Z34" s="41"/>
      <c r="AA34" s="42"/>
      <c r="AF34" s="36"/>
      <c r="AG34" s="36"/>
    </row>
    <row r="35" spans="1:33" ht="21.95" hidden="1" customHeight="1" x14ac:dyDescent="0.25">
      <c r="A35" s="35" t="str">
        <f>+IF(PROVEEDORES[[#This Row],[FECHA DE PAGO]]=PROVEEDORES[[#This Row],[FECHA DE FACTURACIÓN]],"DE CONTADO","CRÉDITO")</f>
        <v>CRÉDITO</v>
      </c>
      <c r="B35" s="70" t="str">
        <f>+IF((PROVEEDORES[[#This Row],[FECHA DE PAGO]]-PROVEEDORES[[#This Row],[FECHA DE FACTURACIÓN]])&gt;PROVEEDORES[[#This Row],[PLAZO Días]],"PAGO VENCIDO")</f>
        <v>PAGO VENCIDO</v>
      </c>
      <c r="C35" s="27">
        <f>+VLOOKUP(PROVEEDORES[[#This Row],[PROVEEDOR]],TERCEROS_INFO[#All],2,FALSE)</f>
        <v>0</v>
      </c>
      <c r="D35" s="37">
        <f>+SUMIFS(PROVEEDORES[Total],PROVEEDORES[PROVEEDOR],PROVEEDORES[[#This Row],[PROVEEDOR]],PROVEEDORES[FECHA DE PAGO],"")</f>
        <v>0</v>
      </c>
      <c r="E35" s="37"/>
      <c r="F35" s="108">
        <f>+VLOOKUP(PROVEEDORES[[#This Row],[PROVEEDOR]],TERCEROS_INFO[[PROVEEDOR]:[CORREO]],5,FALSE)</f>
        <v>0</v>
      </c>
      <c r="G35" s="143">
        <v>44377</v>
      </c>
      <c r="H35" s="38" t="s">
        <v>708</v>
      </c>
      <c r="I35" s="30">
        <v>44364</v>
      </c>
      <c r="J35" s="58"/>
      <c r="K35" s="32">
        <v>514870</v>
      </c>
      <c r="L35" s="32"/>
      <c r="M35" s="33">
        <f>(PROVEEDORES[[#This Row],[SUBTOTAL]]-PROVEEDORES[[#This Row],[descuento antes de IVA]])*VLOOKUP(PROVEEDORES[[#This Row],[PROVEEDOR]],TERCEROS_INFO[#All],3,FALSE)</f>
        <v>0</v>
      </c>
      <c r="N35" s="34"/>
      <c r="O35" s="33">
        <f>+PROVEEDORES[[#This Row],[Descuento sobre subtotal %]]*(PROVEEDORES[[#This Row],[SUBTOTAL]]-PROVEEDORES[[#This Row],[descuento antes de IVA]])</f>
        <v>0</v>
      </c>
      <c r="P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" s="33">
        <f>+(PROVEEDORES[[#This Row],[SUBTOTAL]]-PROVEEDORES[[#This Row],[descuento antes de IVA]])*PROVEEDORES[[#This Row],[Rete Fuente %]]</f>
        <v>0</v>
      </c>
      <c r="R35" s="32">
        <f>+PROVEEDORES[[#This Row],[SUBTOTAL]]+PROVEEDORES[[#This Row],[IVA 19%]]-PROVEEDORES[[#This Row],[descuento antes de IVA]]-PROVEEDORES[[#This Row],[Descuento sobre subtotal $]]-PROVEEDORES[[#This Row],[Rete Fuente $]]</f>
        <v>514870</v>
      </c>
      <c r="S3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" s="40"/>
      <c r="U35" s="97"/>
      <c r="V35" s="36"/>
      <c r="W35" s="36"/>
      <c r="X35" s="36"/>
      <c r="Y35" s="36"/>
      <c r="Z35" s="41"/>
      <c r="AA35" s="42"/>
      <c r="AF35" s="36"/>
      <c r="AG35" s="36"/>
    </row>
    <row r="36" spans="1:33" ht="21.95" hidden="1" customHeight="1" x14ac:dyDescent="0.25">
      <c r="A36" s="35" t="str">
        <f>+IF(PROVEEDORES[[#This Row],[FECHA DE PAGO]]=PROVEEDORES[[#This Row],[FECHA DE FACTURACIÓN]],"DE CONTADO","CRÉDITO")</f>
        <v>CRÉDITO</v>
      </c>
      <c r="B36" s="70" t="str">
        <f>+IF((PROVEEDORES[[#This Row],[FECHA DE PAGO]]-PROVEEDORES[[#This Row],[FECHA DE FACTURACIÓN]])&gt;PROVEEDORES[[#This Row],[PLAZO Días]],"PAGO VENCIDO")</f>
        <v>PAGO VENCIDO</v>
      </c>
      <c r="C36" s="27">
        <f>+VLOOKUP(PROVEEDORES[[#This Row],[PROVEEDOR]],TERCEROS_INFO[#All],2,FALSE)</f>
        <v>0</v>
      </c>
      <c r="D36" s="37">
        <f>+SUMIFS(PROVEEDORES[Total],PROVEEDORES[PROVEEDOR],PROVEEDORES[[#This Row],[PROVEEDOR]],PROVEEDORES[FECHA DE PAGO],"")</f>
        <v>0</v>
      </c>
      <c r="E36" s="37"/>
      <c r="F36" s="108">
        <f>+VLOOKUP(PROVEEDORES[[#This Row],[PROVEEDOR]],TERCEROS_INFO[[PROVEEDOR]:[CORREO]],5,FALSE)</f>
        <v>0</v>
      </c>
      <c r="G36" s="143">
        <v>44377</v>
      </c>
      <c r="H36" s="38" t="s">
        <v>708</v>
      </c>
      <c r="I36" s="30">
        <v>44364</v>
      </c>
      <c r="J36" s="58"/>
      <c r="K36" s="32">
        <v>250995</v>
      </c>
      <c r="L36" s="32"/>
      <c r="M36" s="33">
        <f>(PROVEEDORES[[#This Row],[SUBTOTAL]]-PROVEEDORES[[#This Row],[descuento antes de IVA]])*VLOOKUP(PROVEEDORES[[#This Row],[PROVEEDOR]],TERCEROS_INFO[#All],3,FALSE)</f>
        <v>0</v>
      </c>
      <c r="N36" s="34"/>
      <c r="O36" s="33">
        <f>+PROVEEDORES[[#This Row],[Descuento sobre subtotal %]]*(PROVEEDORES[[#This Row],[SUBTOTAL]]-PROVEEDORES[[#This Row],[descuento antes de IVA]])</f>
        <v>0</v>
      </c>
      <c r="P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" s="33">
        <f>+(PROVEEDORES[[#This Row],[SUBTOTAL]]-PROVEEDORES[[#This Row],[descuento antes de IVA]])*PROVEEDORES[[#This Row],[Rete Fuente %]]</f>
        <v>0</v>
      </c>
      <c r="R36" s="32">
        <f>+PROVEEDORES[[#This Row],[SUBTOTAL]]+PROVEEDORES[[#This Row],[IVA 19%]]-PROVEEDORES[[#This Row],[descuento antes de IVA]]-PROVEEDORES[[#This Row],[Descuento sobre subtotal $]]-PROVEEDORES[[#This Row],[Rete Fuente $]]</f>
        <v>250995</v>
      </c>
      <c r="S3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" s="40"/>
      <c r="U36" s="97"/>
      <c r="V36" s="36"/>
      <c r="W36" s="36"/>
      <c r="X36" s="36"/>
      <c r="Y36" s="36"/>
      <c r="Z36" s="41"/>
      <c r="AA36" s="42"/>
      <c r="AF36" s="36"/>
      <c r="AG36" s="36"/>
    </row>
    <row r="37" spans="1:33" ht="21.95" hidden="1" customHeight="1" x14ac:dyDescent="0.25">
      <c r="A37" s="154" t="str">
        <f>+IF(PROVEEDORES[[#This Row],[FECHA DE PAGO]]=PROVEEDORES[[#This Row],[FECHA DE FACTURACIÓN]],"DE CONTADO","CRÉDITO")</f>
        <v>CRÉDITO</v>
      </c>
      <c r="B37" s="70" t="str">
        <f>+IF((PROVEEDORES[[#This Row],[FECHA DE PAGO]]-PROVEEDORES[[#This Row],[FECHA DE FACTURACIÓN]])&gt;PROVEEDORES[[#This Row],[PLAZO Días]],"PAGO VENCIDO")</f>
        <v>PAGO VENCIDO</v>
      </c>
      <c r="C37" s="27">
        <f>+VLOOKUP(PROVEEDORES[[#This Row],[PROVEEDOR]],TERCEROS_INFO[#All],2,FALSE)</f>
        <v>30</v>
      </c>
      <c r="D37" s="37">
        <f>+SUMIFS(PROVEEDORES[Total],PROVEEDORES[PROVEEDOR],PROVEEDORES[[#This Row],[PROVEEDOR]],PROVEEDORES[FECHA DE PAGO],"")</f>
        <v>0</v>
      </c>
      <c r="E37" s="37"/>
      <c r="F37" s="108">
        <f>+VLOOKUP(PROVEEDORES[[#This Row],[PROVEEDOR]],TERCEROS_INFO[[PROVEEDOR]:[CORREO]],5,FALSE)</f>
        <v>0</v>
      </c>
      <c r="G37" s="143">
        <v>44522</v>
      </c>
      <c r="H37" s="38" t="s">
        <v>874</v>
      </c>
      <c r="I37" s="30">
        <v>44457</v>
      </c>
      <c r="J37" s="58" t="s">
        <v>1251</v>
      </c>
      <c r="K37" s="32">
        <v>500000</v>
      </c>
      <c r="L37" s="32"/>
      <c r="M37" s="33">
        <f>(PROVEEDORES[[#This Row],[SUBTOTAL]]-PROVEEDORES[[#This Row],[descuento antes de IVA]])*VLOOKUP(PROVEEDORES[[#This Row],[PROVEEDOR]],TERCEROS_INFO[#All],3,FALSE)</f>
        <v>0</v>
      </c>
      <c r="N37" s="34"/>
      <c r="O37" s="33">
        <f>+PROVEEDORES[[#This Row],[Descuento sobre subtotal %]]*(PROVEEDORES[[#This Row],[SUBTOTAL]]-PROVEEDORES[[#This Row],[descuento antes de IVA]])</f>
        <v>0</v>
      </c>
      <c r="P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" s="33">
        <f>+(PROVEEDORES[[#This Row],[SUBTOTAL]]-PROVEEDORES[[#This Row],[descuento antes de IVA]])*PROVEEDORES[[#This Row],[Rete Fuente %]]</f>
        <v>0</v>
      </c>
      <c r="R37" s="32">
        <f>+PROVEEDORES[[#This Row],[SUBTOTAL]]+PROVEEDORES[[#This Row],[IVA 19%]]-PROVEEDORES[[#This Row],[descuento antes de IVA]]-PROVEEDORES[[#This Row],[Descuento sobre subtotal $]]-PROVEEDORES[[#This Row],[Rete Fuente $]]</f>
        <v>500000</v>
      </c>
      <c r="S37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" s="40"/>
      <c r="U37" s="97"/>
      <c r="V37" s="36"/>
      <c r="W37" s="36"/>
      <c r="X37" s="36"/>
      <c r="Y37" s="36"/>
      <c r="Z37" s="41"/>
      <c r="AA37" s="42"/>
      <c r="AF37" s="36"/>
      <c r="AG37" s="36"/>
    </row>
    <row r="38" spans="1:33" ht="21.95" hidden="1" customHeight="1" x14ac:dyDescent="0.25">
      <c r="A38" s="111" t="str">
        <f>+IF(PROVEEDORES[[#This Row],[FECHA DE PAGO]]=PROVEEDORES[[#This Row],[FECHA DE FACTURACIÓN]],"DE CONTADO","CRÉDITO")</f>
        <v>DE CONTADO</v>
      </c>
      <c r="B38" s="70" t="b">
        <f>+IF((PROVEEDORES[[#This Row],[FECHA DE PAGO]]-PROVEEDORES[[#This Row],[FECHA DE FACTURACIÓN]])&gt;PROVEEDORES[[#This Row],[PLAZO Días]],"PAGO VENCIDO")</f>
        <v>0</v>
      </c>
      <c r="C38" s="27">
        <f>+VLOOKUP(PROVEEDORES[[#This Row],[PROVEEDOR]],TERCEROS_INFO[#All],2,FALSE)</f>
        <v>30</v>
      </c>
      <c r="D38" s="37">
        <f>+SUMIFS(PROVEEDORES[Total],PROVEEDORES[PROVEEDOR],PROVEEDORES[[#This Row],[PROVEEDOR]],PROVEEDORES[FECHA DE PAGO],"")</f>
        <v>0</v>
      </c>
      <c r="E38" s="37"/>
      <c r="F38" s="108">
        <f>+VLOOKUP(PROVEEDORES[[#This Row],[PROVEEDOR]],TERCEROS_INFO[[PROVEEDOR]:[CORREO]],5,FALSE)</f>
        <v>0</v>
      </c>
      <c r="G38" s="143">
        <v>44329</v>
      </c>
      <c r="H38" s="38" t="s">
        <v>680</v>
      </c>
      <c r="I38" s="30">
        <v>44329</v>
      </c>
      <c r="J38" s="58" t="s">
        <v>1128</v>
      </c>
      <c r="K38" s="32">
        <v>224000</v>
      </c>
      <c r="L38" s="32"/>
      <c r="M38" s="33">
        <f>(PROVEEDORES[[#This Row],[SUBTOTAL]]-PROVEEDORES[[#This Row],[descuento antes de IVA]])*VLOOKUP(PROVEEDORES[[#This Row],[PROVEEDOR]],TERCEROS_INFO[#All],3,FALSE)</f>
        <v>0</v>
      </c>
      <c r="N38" s="34"/>
      <c r="O38" s="33">
        <f>+PROVEEDORES[[#This Row],[Descuento sobre subtotal %]]*(PROVEEDORES[[#This Row],[SUBTOTAL]]-PROVEEDORES[[#This Row],[descuento antes de IVA]])</f>
        <v>0</v>
      </c>
      <c r="P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" s="33">
        <f>+(PROVEEDORES[[#This Row],[SUBTOTAL]]-PROVEEDORES[[#This Row],[descuento antes de IVA]])*PROVEEDORES[[#This Row],[Rete Fuente %]]</f>
        <v>0</v>
      </c>
      <c r="R38" s="32">
        <f>+PROVEEDORES[[#This Row],[SUBTOTAL]]+PROVEEDORES[[#This Row],[IVA 19%]]-PROVEEDORES[[#This Row],[descuento antes de IVA]]-PROVEEDORES[[#This Row],[Descuento sobre subtotal $]]-PROVEEDORES[[#This Row],[Rete Fuente $]]</f>
        <v>224000</v>
      </c>
      <c r="S38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" s="40"/>
      <c r="U38" s="97"/>
      <c r="V38" s="36"/>
      <c r="W38" s="36"/>
      <c r="X38" s="36"/>
      <c r="Y38" s="36"/>
      <c r="Z38" s="41"/>
      <c r="AA38" s="42"/>
      <c r="AF38" s="36"/>
      <c r="AG38" s="36"/>
    </row>
    <row r="39" spans="1:33" ht="21.95" hidden="1" customHeight="1" x14ac:dyDescent="0.25">
      <c r="A39" s="39" t="str">
        <f>+IF(PROVEEDORES[[#This Row],[FECHA DE PAGO]]=PROVEEDORES[[#This Row],[FECHA DE FACTURACIÓN]],"DE CONTADO","CRÉDITO")</f>
        <v>CRÉDITO</v>
      </c>
      <c r="B39" s="67" t="str">
        <f>+IF((PROVEEDORES[[#This Row],[FECHA DE PAGO]]-PROVEEDORES[[#This Row],[FECHA DE FACTURACIÓN]])&gt;PROVEEDORES[[#This Row],[PLAZO Días]],"PAGO VENCIDO")</f>
        <v>PAGO VENCIDO</v>
      </c>
      <c r="C39" s="27">
        <f>+VLOOKUP(PROVEEDORES[[#This Row],[PROVEEDOR]],TERCEROS_INFO[#All],2,FALSE)</f>
        <v>30</v>
      </c>
      <c r="D39" s="37">
        <f>+SUMIFS(PROVEEDORES[Total],PROVEEDORES[PROVEEDOR],PROVEEDORES[[#This Row],[PROVEEDOR]],PROVEEDORES[FECHA DE PAGO],"")</f>
        <v>2380000</v>
      </c>
      <c r="E39" s="37"/>
      <c r="F39" s="108" t="str">
        <f>+VLOOKUP(PROVEEDORES[[#This Row],[PROVEEDOR]],TERCEROS_INFO[[PROVEEDOR]:[CORREO]],5,FALSE)</f>
        <v/>
      </c>
      <c r="G39" s="143">
        <v>43885</v>
      </c>
      <c r="H39" s="38" t="s">
        <v>251</v>
      </c>
      <c r="I39" s="30">
        <v>43837</v>
      </c>
      <c r="J39" s="58" t="s">
        <v>1022</v>
      </c>
      <c r="K39" s="32">
        <v>268000</v>
      </c>
      <c r="L39" s="32"/>
      <c r="M39" s="33">
        <f>(PROVEEDORES[[#This Row],[SUBTOTAL]]-PROVEEDORES[[#This Row],[descuento antes de IVA]])*VLOOKUP(PROVEEDORES[[#This Row],[PROVEEDOR]],TERCEROS_INFO[#All],3,FALSE)</f>
        <v>0</v>
      </c>
      <c r="N39" s="34"/>
      <c r="O39" s="33">
        <f>+PROVEEDORES[[#This Row],[Descuento sobre subtotal %]]*(PROVEEDORES[[#This Row],[SUBTOTAL]]-PROVEEDORES[[#This Row],[descuento antes de IVA]])</f>
        <v>0</v>
      </c>
      <c r="P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" s="33">
        <f>+(PROVEEDORES[[#This Row],[SUBTOTAL]]-PROVEEDORES[[#This Row],[descuento antes de IVA]])*PROVEEDORES[[#This Row],[Rete Fuente %]]</f>
        <v>0</v>
      </c>
      <c r="R39" s="32">
        <f>+PROVEEDORES[[#This Row],[SUBTOTAL]]+PROVEEDORES[[#This Row],[IVA 19%]]-PROVEEDORES[[#This Row],[descuento antes de IVA]]-PROVEEDORES[[#This Row],[Descuento sobre subtotal $]]-PROVEEDORES[[#This Row],[Rete Fuente $]]</f>
        <v>268000</v>
      </c>
      <c r="S3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" s="40"/>
      <c r="U39" s="97"/>
      <c r="V39" s="36"/>
      <c r="W39" s="36"/>
      <c r="X39" s="36"/>
      <c r="Y39" s="36"/>
      <c r="Z39" s="41"/>
      <c r="AA39" s="42"/>
      <c r="AF39" s="36"/>
      <c r="AG39" s="36"/>
    </row>
    <row r="40" spans="1:33" ht="21.95" hidden="1" customHeight="1" x14ac:dyDescent="0.25">
      <c r="A40" s="39" t="str">
        <f>+IF(PROVEEDORES[[#This Row],[FECHA DE PAGO]]=PROVEEDORES[[#This Row],[FECHA DE FACTURACIÓN]],"DE CONTADO","CRÉDITO")</f>
        <v>CRÉDITO</v>
      </c>
      <c r="B40" s="67" t="str">
        <f>+IF((PROVEEDORES[[#This Row],[FECHA DE PAGO]]-PROVEEDORES[[#This Row],[FECHA DE FACTURACIÓN]])&gt;PROVEEDORES[[#This Row],[PLAZO Días]],"PAGO VENCIDO")</f>
        <v>PAGO VENCIDO</v>
      </c>
      <c r="C40" s="27">
        <f>+VLOOKUP(PROVEEDORES[[#This Row],[PROVEEDOR]],TERCEROS_INFO[#All],2,FALSE)</f>
        <v>30</v>
      </c>
      <c r="D40" s="37">
        <f>+SUMIFS(PROVEEDORES[Total],PROVEEDORES[PROVEEDOR],PROVEEDORES[[#This Row],[PROVEEDOR]],PROVEEDORES[FECHA DE PAGO],"")</f>
        <v>2380000</v>
      </c>
      <c r="E40" s="37"/>
      <c r="F40" s="108" t="str">
        <f>+VLOOKUP(PROVEEDORES[[#This Row],[PROVEEDOR]],TERCEROS_INFO[[PROVEEDOR]:[CORREO]],5,FALSE)</f>
        <v/>
      </c>
      <c r="G40" s="143">
        <v>43901</v>
      </c>
      <c r="H40" s="38" t="s">
        <v>251</v>
      </c>
      <c r="I40" s="30">
        <v>43838</v>
      </c>
      <c r="J40" s="58" t="s">
        <v>1025</v>
      </c>
      <c r="K40" s="32">
        <v>791000</v>
      </c>
      <c r="L40" s="32"/>
      <c r="M40" s="33">
        <f>(PROVEEDORES[[#This Row],[SUBTOTAL]]-PROVEEDORES[[#This Row],[descuento antes de IVA]])*VLOOKUP(PROVEEDORES[[#This Row],[PROVEEDOR]],TERCEROS_INFO[#All],3,FALSE)</f>
        <v>0</v>
      </c>
      <c r="N40" s="34"/>
      <c r="O40" s="33">
        <f>+PROVEEDORES[[#This Row],[Descuento sobre subtotal %]]*(PROVEEDORES[[#This Row],[SUBTOTAL]]-PROVEEDORES[[#This Row],[descuento antes de IVA]])</f>
        <v>0</v>
      </c>
      <c r="P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" s="33">
        <f>+(PROVEEDORES[[#This Row],[SUBTOTAL]]-PROVEEDORES[[#This Row],[descuento antes de IVA]])*PROVEEDORES[[#This Row],[Rete Fuente %]]</f>
        <v>0</v>
      </c>
      <c r="R40" s="32">
        <f>+PROVEEDORES[[#This Row],[SUBTOTAL]]+PROVEEDORES[[#This Row],[IVA 19%]]-PROVEEDORES[[#This Row],[descuento antes de IVA]]-PROVEEDORES[[#This Row],[Descuento sobre subtotal $]]-PROVEEDORES[[#This Row],[Rete Fuente $]]</f>
        <v>791000</v>
      </c>
      <c r="S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" s="40"/>
      <c r="U40" s="97"/>
      <c r="V40" s="36"/>
      <c r="W40" s="36"/>
      <c r="X40" s="36"/>
      <c r="Y40" s="36"/>
      <c r="Z40" s="41"/>
      <c r="AA40" s="42"/>
      <c r="AF40" s="36"/>
      <c r="AG40" s="36"/>
    </row>
    <row r="41" spans="1:33" ht="21.95" hidden="1" customHeight="1" x14ac:dyDescent="0.25">
      <c r="A41" s="39" t="str">
        <f>+IF(PROVEEDORES[[#This Row],[FECHA DE PAGO]]=PROVEEDORES[[#This Row],[FECHA DE FACTURACIÓN]],"DE CONTADO","CRÉDITO")</f>
        <v>CRÉDITO</v>
      </c>
      <c r="B41" s="67" t="str">
        <f>+IF((PROVEEDORES[[#This Row],[FECHA DE PAGO]]-PROVEEDORES[[#This Row],[FECHA DE FACTURACIÓN]])&gt;PROVEEDORES[[#This Row],[PLAZO Días]],"PAGO VENCIDO")</f>
        <v>PAGO VENCIDO</v>
      </c>
      <c r="C41" s="27">
        <f>+VLOOKUP(PROVEEDORES[[#This Row],[PROVEEDOR]],TERCEROS_INFO[#All],2,FALSE)</f>
        <v>30</v>
      </c>
      <c r="D41" s="37">
        <f>+SUMIFS(PROVEEDORES[Total],PROVEEDORES[PROVEEDOR],PROVEEDORES[[#This Row],[PROVEEDOR]],PROVEEDORES[FECHA DE PAGO],"")</f>
        <v>2380000</v>
      </c>
      <c r="E41" s="37"/>
      <c r="F41" s="108" t="str">
        <f>+VLOOKUP(PROVEEDORES[[#This Row],[PROVEEDOR]],TERCEROS_INFO[[PROVEEDOR]:[CORREO]],5,FALSE)</f>
        <v/>
      </c>
      <c r="G41" s="143">
        <v>43885</v>
      </c>
      <c r="H41" s="38" t="s">
        <v>251</v>
      </c>
      <c r="I41" s="30">
        <v>43853</v>
      </c>
      <c r="J41" s="58" t="s">
        <v>1022</v>
      </c>
      <c r="K41" s="32">
        <v>1925000</v>
      </c>
      <c r="L41" s="32"/>
      <c r="M41" s="33">
        <f>(PROVEEDORES[[#This Row],[SUBTOTAL]]-PROVEEDORES[[#This Row],[descuento antes de IVA]])*VLOOKUP(PROVEEDORES[[#This Row],[PROVEEDOR]],TERCEROS_INFO[#All],3,FALSE)</f>
        <v>0</v>
      </c>
      <c r="N41" s="34"/>
      <c r="O41" s="33">
        <f>+PROVEEDORES[[#This Row],[Descuento sobre subtotal %]]*(PROVEEDORES[[#This Row],[SUBTOTAL]]-PROVEEDORES[[#This Row],[descuento antes de IVA]])</f>
        <v>0</v>
      </c>
      <c r="P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" s="33">
        <f>+(PROVEEDORES[[#This Row],[SUBTOTAL]]-PROVEEDORES[[#This Row],[descuento antes de IVA]])*PROVEEDORES[[#This Row],[Rete Fuente %]]</f>
        <v>0</v>
      </c>
      <c r="R41" s="32">
        <f>+PROVEEDORES[[#This Row],[SUBTOTAL]]+PROVEEDORES[[#This Row],[IVA 19%]]-PROVEEDORES[[#This Row],[descuento antes de IVA]]-PROVEEDORES[[#This Row],[Descuento sobre subtotal $]]-PROVEEDORES[[#This Row],[Rete Fuente $]]</f>
        <v>1925000</v>
      </c>
      <c r="S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" s="40"/>
      <c r="U41" s="97"/>
      <c r="V41" s="36"/>
      <c r="W41" s="36"/>
      <c r="X41" s="36"/>
      <c r="Y41" s="36"/>
      <c r="Z41" s="41"/>
      <c r="AA41" s="42"/>
      <c r="AF41" s="36"/>
      <c r="AG41" s="36"/>
    </row>
    <row r="42" spans="1:33" ht="21.95" hidden="1" customHeight="1" x14ac:dyDescent="0.25">
      <c r="A42" s="39" t="str">
        <f>+IF(PROVEEDORES[[#This Row],[FECHA DE PAGO]]=PROVEEDORES[[#This Row],[FECHA DE FACTURACIÓN]],"DE CONTADO","CRÉDITO")</f>
        <v>CRÉDITO</v>
      </c>
      <c r="B42" s="67" t="str">
        <f>+IF((PROVEEDORES[[#This Row],[FECHA DE PAGO]]-PROVEEDORES[[#This Row],[FECHA DE FACTURACIÓN]])&gt;PROVEEDORES[[#This Row],[PLAZO Días]],"PAGO VENCIDO")</f>
        <v>PAGO VENCIDO</v>
      </c>
      <c r="C42" s="27">
        <f>+VLOOKUP(PROVEEDORES[[#This Row],[PROVEEDOR]],TERCEROS_INFO[#All],2,FALSE)</f>
        <v>30</v>
      </c>
      <c r="D42" s="37">
        <f>+SUMIFS(PROVEEDORES[Total],PROVEEDORES[PROVEEDOR],PROVEEDORES[[#This Row],[PROVEEDOR]],PROVEEDORES[FECHA DE PAGO],"")</f>
        <v>2380000</v>
      </c>
      <c r="E42" s="37"/>
      <c r="F42" s="108" t="str">
        <f>+VLOOKUP(PROVEEDORES[[#This Row],[PROVEEDOR]],TERCEROS_INFO[[PROVEEDOR]:[CORREO]],5,FALSE)</f>
        <v/>
      </c>
      <c r="G42" s="143">
        <v>43999</v>
      </c>
      <c r="H42" s="38" t="s">
        <v>251</v>
      </c>
      <c r="I42" s="30">
        <v>43872</v>
      </c>
      <c r="J42" s="58" t="s">
        <v>1022</v>
      </c>
      <c r="K42" s="32">
        <v>1250000</v>
      </c>
      <c r="L42" s="32"/>
      <c r="M42" s="33">
        <f>(PROVEEDORES[[#This Row],[SUBTOTAL]]-PROVEEDORES[[#This Row],[descuento antes de IVA]])*VLOOKUP(PROVEEDORES[[#This Row],[PROVEEDOR]],TERCEROS_INFO[#All],3,FALSE)</f>
        <v>0</v>
      </c>
      <c r="N42" s="34"/>
      <c r="O42" s="33">
        <f>+PROVEEDORES[[#This Row],[Descuento sobre subtotal %]]*(PROVEEDORES[[#This Row],[SUBTOTAL]]-PROVEEDORES[[#This Row],[descuento antes de IVA]])</f>
        <v>0</v>
      </c>
      <c r="P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" s="33">
        <f>+(PROVEEDORES[[#This Row],[SUBTOTAL]]-PROVEEDORES[[#This Row],[descuento antes de IVA]])*PROVEEDORES[[#This Row],[Rete Fuente %]]</f>
        <v>0</v>
      </c>
      <c r="R42" s="32">
        <f>+PROVEEDORES[[#This Row],[SUBTOTAL]]+PROVEEDORES[[#This Row],[IVA 19%]]-PROVEEDORES[[#This Row],[descuento antes de IVA]]-PROVEEDORES[[#This Row],[Descuento sobre subtotal $]]-PROVEEDORES[[#This Row],[Rete Fuente $]]</f>
        <v>1250000</v>
      </c>
      <c r="S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" s="40"/>
      <c r="U42" s="97"/>
      <c r="V42" s="36"/>
      <c r="W42" s="36"/>
      <c r="X42" s="36"/>
      <c r="Y42" s="36"/>
      <c r="Z42" s="41"/>
      <c r="AA42" s="42"/>
      <c r="AF42" s="36"/>
      <c r="AG42" s="36"/>
    </row>
    <row r="43" spans="1:33" ht="21.95" hidden="1" customHeight="1" x14ac:dyDescent="0.25">
      <c r="A43" s="39" t="str">
        <f>+IF(PROVEEDORES[[#This Row],[FECHA DE PAGO]]=PROVEEDORES[[#This Row],[FECHA DE FACTURACIÓN]],"DE CONTADO","CRÉDITO")</f>
        <v>CRÉDITO</v>
      </c>
      <c r="B43" s="67" t="b">
        <f>+IF((PROVEEDORES[[#This Row],[FECHA DE PAGO]]-PROVEEDORES[[#This Row],[FECHA DE FACTURACIÓN]])&gt;PROVEEDORES[[#This Row],[PLAZO Días]],"PAGO VENCIDO")</f>
        <v>0</v>
      </c>
      <c r="C43" s="27">
        <f>+VLOOKUP(PROVEEDORES[[#This Row],[PROVEEDOR]],TERCEROS_INFO[#All],2,FALSE)</f>
        <v>30</v>
      </c>
      <c r="D43" s="37">
        <f>+SUMIFS(PROVEEDORES[Total],PROVEEDORES[PROVEEDOR],PROVEEDORES[[#This Row],[PROVEEDOR]],PROVEEDORES[FECHA DE PAGO],"")</f>
        <v>2380000</v>
      </c>
      <c r="E43" s="37"/>
      <c r="F43" s="108" t="str">
        <f>+VLOOKUP(PROVEEDORES[[#This Row],[PROVEEDOR]],TERCEROS_INFO[[PROVEEDOR]:[CORREO]],5,FALSE)</f>
        <v/>
      </c>
      <c r="G43" s="143">
        <v>43901</v>
      </c>
      <c r="H43" s="38" t="s">
        <v>251</v>
      </c>
      <c r="I43" s="30">
        <v>43885</v>
      </c>
      <c r="J43" s="58" t="s">
        <v>1022</v>
      </c>
      <c r="K43" s="32">
        <v>790500</v>
      </c>
      <c r="L43" s="32"/>
      <c r="M43" s="33">
        <f>(PROVEEDORES[[#This Row],[SUBTOTAL]]-PROVEEDORES[[#This Row],[descuento antes de IVA]])*VLOOKUP(PROVEEDORES[[#This Row],[PROVEEDOR]],TERCEROS_INFO[#All],3,FALSE)</f>
        <v>0</v>
      </c>
      <c r="N43" s="34"/>
      <c r="O43" s="33">
        <f>+PROVEEDORES[[#This Row],[Descuento sobre subtotal %]]*(PROVEEDORES[[#This Row],[SUBTOTAL]]-PROVEEDORES[[#This Row],[descuento antes de IVA]])</f>
        <v>0</v>
      </c>
      <c r="P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" s="33">
        <f>+(PROVEEDORES[[#This Row],[SUBTOTAL]]-PROVEEDORES[[#This Row],[descuento antes de IVA]])*PROVEEDORES[[#This Row],[Rete Fuente %]]</f>
        <v>0</v>
      </c>
      <c r="R43" s="32">
        <f>+PROVEEDORES[[#This Row],[SUBTOTAL]]+PROVEEDORES[[#This Row],[IVA 19%]]-PROVEEDORES[[#This Row],[descuento antes de IVA]]-PROVEEDORES[[#This Row],[Descuento sobre subtotal $]]-PROVEEDORES[[#This Row],[Rete Fuente $]]</f>
        <v>790500</v>
      </c>
      <c r="S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" s="40"/>
      <c r="U43" s="97"/>
      <c r="V43" s="36"/>
      <c r="W43" s="36"/>
      <c r="X43" s="36"/>
      <c r="Y43" s="36"/>
      <c r="Z43" s="41"/>
      <c r="AA43" s="42"/>
      <c r="AF43" s="36"/>
      <c r="AG43" s="36"/>
    </row>
    <row r="44" spans="1:33" ht="21.95" hidden="1" customHeight="1" x14ac:dyDescent="0.25">
      <c r="A44" s="39" t="str">
        <f>+IF(PROVEEDORES[[#This Row],[FECHA DE PAGO]]=PROVEEDORES[[#This Row],[FECHA DE FACTURACIÓN]],"DE CONTADO","CRÉDITO")</f>
        <v>CRÉDITO</v>
      </c>
      <c r="B44" s="67" t="str">
        <f>+IF((PROVEEDORES[[#This Row],[FECHA DE PAGO]]-PROVEEDORES[[#This Row],[FECHA DE FACTURACIÓN]])&gt;PROVEEDORES[[#This Row],[PLAZO Días]],"PAGO VENCIDO")</f>
        <v>PAGO VENCIDO</v>
      </c>
      <c r="C44" s="27">
        <f>+VLOOKUP(PROVEEDORES[[#This Row],[PROVEEDOR]],TERCEROS_INFO[#All],2,FALSE)</f>
        <v>30</v>
      </c>
      <c r="D44" s="37">
        <f>+SUMIFS(PROVEEDORES[Total],PROVEEDORES[PROVEEDOR],PROVEEDORES[[#This Row],[PROVEEDOR]],PROVEEDORES[FECHA DE PAGO],"")</f>
        <v>2380000</v>
      </c>
      <c r="E44" s="37"/>
      <c r="F44" s="108" t="str">
        <f>+VLOOKUP(PROVEEDORES[[#This Row],[PROVEEDOR]],TERCEROS_INFO[[PROVEEDOR]:[CORREO]],5,FALSE)</f>
        <v/>
      </c>
      <c r="G44" s="143">
        <v>43999</v>
      </c>
      <c r="H44" s="38" t="s">
        <v>251</v>
      </c>
      <c r="I44" s="30">
        <v>43886</v>
      </c>
      <c r="J44" s="58" t="s">
        <v>1022</v>
      </c>
      <c r="K44" s="32">
        <v>350000</v>
      </c>
      <c r="L44" s="32"/>
      <c r="M44" s="33">
        <f>(PROVEEDORES[[#This Row],[SUBTOTAL]]-PROVEEDORES[[#This Row],[descuento antes de IVA]])*VLOOKUP(PROVEEDORES[[#This Row],[PROVEEDOR]],TERCEROS_INFO[#All],3,FALSE)</f>
        <v>0</v>
      </c>
      <c r="N44" s="34"/>
      <c r="O44" s="33">
        <f>+PROVEEDORES[[#This Row],[Descuento sobre subtotal %]]*(PROVEEDORES[[#This Row],[SUBTOTAL]]-PROVEEDORES[[#This Row],[descuento antes de IVA]])</f>
        <v>0</v>
      </c>
      <c r="P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" s="33">
        <f>+(PROVEEDORES[[#This Row],[SUBTOTAL]]-PROVEEDORES[[#This Row],[descuento antes de IVA]])*PROVEEDORES[[#This Row],[Rete Fuente %]]</f>
        <v>0</v>
      </c>
      <c r="R44" s="32">
        <f>+PROVEEDORES[[#This Row],[SUBTOTAL]]+PROVEEDORES[[#This Row],[IVA 19%]]-PROVEEDORES[[#This Row],[descuento antes de IVA]]-PROVEEDORES[[#This Row],[Descuento sobre subtotal $]]-PROVEEDORES[[#This Row],[Rete Fuente $]]</f>
        <v>350000</v>
      </c>
      <c r="S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" s="40"/>
      <c r="U44" s="97"/>
      <c r="V44" s="36"/>
      <c r="W44" s="36"/>
      <c r="X44" s="36"/>
      <c r="Y44" s="36"/>
      <c r="Z44" s="41"/>
      <c r="AA44" s="42"/>
      <c r="AF44" s="36"/>
      <c r="AG44" s="36"/>
    </row>
    <row r="45" spans="1:33" ht="21.95" hidden="1" customHeight="1" x14ac:dyDescent="0.25">
      <c r="A45" s="39" t="str">
        <f>+IF(PROVEEDORES[[#This Row],[FECHA DE PAGO]]=PROVEEDORES[[#This Row],[FECHA DE FACTURACIÓN]],"DE CONTADO","CRÉDITO")</f>
        <v>CRÉDITO</v>
      </c>
      <c r="B45" s="67" t="str">
        <f>+IF((PROVEEDORES[[#This Row],[FECHA DE PAGO]]-PROVEEDORES[[#This Row],[FECHA DE FACTURACIÓN]])&gt;PROVEEDORES[[#This Row],[PLAZO Días]],"PAGO VENCIDO")</f>
        <v>PAGO VENCIDO</v>
      </c>
      <c r="C45" s="27">
        <f>+VLOOKUP(PROVEEDORES[[#This Row],[PROVEEDOR]],TERCEROS_INFO[#All],2,FALSE)</f>
        <v>30</v>
      </c>
      <c r="D45" s="37">
        <f>+SUMIFS(PROVEEDORES[Total],PROVEEDORES[PROVEEDOR],PROVEEDORES[[#This Row],[PROVEEDOR]],PROVEEDORES[FECHA DE PAGO],"")</f>
        <v>2380000</v>
      </c>
      <c r="E45" s="37"/>
      <c r="F45" s="108" t="str">
        <f>+VLOOKUP(PROVEEDORES[[#This Row],[PROVEEDOR]],TERCEROS_INFO[[PROVEEDOR]:[CORREO]],5,FALSE)</f>
        <v/>
      </c>
      <c r="G45" s="143">
        <v>44095</v>
      </c>
      <c r="H45" s="38" t="s">
        <v>251</v>
      </c>
      <c r="I45" s="30">
        <v>44064</v>
      </c>
      <c r="J45" s="58" t="s">
        <v>1022</v>
      </c>
      <c r="K45" s="32">
        <v>1675000</v>
      </c>
      <c r="L45" s="32"/>
      <c r="M45" s="33">
        <f>(PROVEEDORES[[#This Row],[SUBTOTAL]]-PROVEEDORES[[#This Row],[descuento antes de IVA]])*VLOOKUP(PROVEEDORES[[#This Row],[PROVEEDOR]],TERCEROS_INFO[#All],3,FALSE)</f>
        <v>0</v>
      </c>
      <c r="N45" s="34"/>
      <c r="O45" s="33">
        <f>+PROVEEDORES[[#This Row],[Descuento sobre subtotal %]]*(PROVEEDORES[[#This Row],[SUBTOTAL]]-PROVEEDORES[[#This Row],[descuento antes de IVA]])</f>
        <v>0</v>
      </c>
      <c r="P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" s="33">
        <f>+(PROVEEDORES[[#This Row],[SUBTOTAL]]-PROVEEDORES[[#This Row],[descuento antes de IVA]])*PROVEEDORES[[#This Row],[Rete Fuente %]]</f>
        <v>0</v>
      </c>
      <c r="R45" s="32">
        <f>+PROVEEDORES[[#This Row],[SUBTOTAL]]+PROVEEDORES[[#This Row],[IVA 19%]]-PROVEEDORES[[#This Row],[descuento antes de IVA]]-PROVEEDORES[[#This Row],[Descuento sobre subtotal $]]-PROVEEDORES[[#This Row],[Rete Fuente $]]</f>
        <v>1675000</v>
      </c>
      <c r="S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" s="40"/>
      <c r="U45" s="97"/>
      <c r="V45" s="36"/>
      <c r="W45" s="36"/>
      <c r="X45" s="36"/>
      <c r="Y45" s="36"/>
      <c r="Z45" s="41"/>
      <c r="AA45" s="42"/>
      <c r="AF45" s="36"/>
      <c r="AG45" s="36"/>
    </row>
    <row r="46" spans="1:33" ht="21.95" hidden="1" customHeight="1" x14ac:dyDescent="0.25">
      <c r="A46" s="39" t="str">
        <f>+IF(PROVEEDORES[[#This Row],[FECHA DE PAGO]]=PROVEEDORES[[#This Row],[FECHA DE FACTURACIÓN]],"DE CONTADO","CRÉDITO")</f>
        <v>CRÉDITO</v>
      </c>
      <c r="B46" s="67" t="str">
        <f>+IF((PROVEEDORES[[#This Row],[FECHA DE PAGO]]-PROVEEDORES[[#This Row],[FECHA DE FACTURACIÓN]])&gt;PROVEEDORES[[#This Row],[PLAZO Días]],"PAGO VENCIDO")</f>
        <v>PAGO VENCIDO</v>
      </c>
      <c r="C46" s="27">
        <f>+VLOOKUP(PROVEEDORES[[#This Row],[PROVEEDOR]],TERCEROS_INFO[#All],2,FALSE)</f>
        <v>30</v>
      </c>
      <c r="D46" s="37">
        <f>+SUMIFS(PROVEEDORES[Total],PROVEEDORES[PROVEEDOR],PROVEEDORES[[#This Row],[PROVEEDOR]],PROVEEDORES[FECHA DE PAGO],"")</f>
        <v>2380000</v>
      </c>
      <c r="E46" s="37"/>
      <c r="F46" s="108" t="str">
        <f>+VLOOKUP(PROVEEDORES[[#This Row],[PROVEEDOR]],TERCEROS_INFO[[PROVEEDOR]:[CORREO]],5,FALSE)</f>
        <v/>
      </c>
      <c r="G46" s="143">
        <v>44138</v>
      </c>
      <c r="H46" s="38" t="s">
        <v>251</v>
      </c>
      <c r="I46" s="30">
        <v>44082</v>
      </c>
      <c r="J46" s="58">
        <v>1100</v>
      </c>
      <c r="K46" s="32">
        <v>1018000</v>
      </c>
      <c r="L46" s="32"/>
      <c r="M46" s="33">
        <f>(PROVEEDORES[[#This Row],[SUBTOTAL]]-PROVEEDORES[[#This Row],[descuento antes de IVA]])*VLOOKUP(PROVEEDORES[[#This Row],[PROVEEDOR]],TERCEROS_INFO[#All],3,FALSE)</f>
        <v>0</v>
      </c>
      <c r="N46" s="34"/>
      <c r="O46" s="33">
        <f>+PROVEEDORES[[#This Row],[Descuento sobre subtotal %]]*(PROVEEDORES[[#This Row],[SUBTOTAL]]-PROVEEDORES[[#This Row],[descuento antes de IVA]])</f>
        <v>0</v>
      </c>
      <c r="P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" s="33">
        <f>+(PROVEEDORES[[#This Row],[SUBTOTAL]]-PROVEEDORES[[#This Row],[descuento antes de IVA]])*PROVEEDORES[[#This Row],[Rete Fuente %]]</f>
        <v>0</v>
      </c>
      <c r="R46" s="32">
        <f>+PROVEEDORES[[#This Row],[SUBTOTAL]]+PROVEEDORES[[#This Row],[IVA 19%]]-PROVEEDORES[[#This Row],[descuento antes de IVA]]-PROVEEDORES[[#This Row],[Descuento sobre subtotal $]]-PROVEEDORES[[#This Row],[Rete Fuente $]]</f>
        <v>1018000</v>
      </c>
      <c r="S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" s="40"/>
      <c r="U46" s="97"/>
      <c r="V46" s="36"/>
      <c r="W46" s="36"/>
      <c r="X46" s="36"/>
      <c r="Y46" s="36"/>
      <c r="Z46" s="41"/>
      <c r="AA46" s="42"/>
      <c r="AF46" s="36"/>
      <c r="AG46" s="36"/>
    </row>
    <row r="47" spans="1:33" ht="21.95" hidden="1" customHeight="1" x14ac:dyDescent="0.25">
      <c r="A47" s="39" t="str">
        <f>+IF(PROVEEDORES[[#This Row],[FECHA DE PAGO]]=PROVEEDORES[[#This Row],[FECHA DE FACTURACIÓN]],"DE CONTADO","CRÉDITO")</f>
        <v>CRÉDITO</v>
      </c>
      <c r="B47" s="67" t="str">
        <f>+IF((PROVEEDORES[[#This Row],[FECHA DE PAGO]]-PROVEEDORES[[#This Row],[FECHA DE FACTURACIÓN]])&gt;PROVEEDORES[[#This Row],[PLAZO Días]],"PAGO VENCIDO")</f>
        <v>PAGO VENCIDO</v>
      </c>
      <c r="C47" s="27">
        <f>+VLOOKUP(PROVEEDORES[[#This Row],[PROVEEDOR]],TERCEROS_INFO[#All],2,FALSE)</f>
        <v>30</v>
      </c>
      <c r="D47" s="37">
        <f>+SUMIFS(PROVEEDORES[Total],PROVEEDORES[PROVEEDOR],PROVEEDORES[[#This Row],[PROVEEDOR]],PROVEEDORES[FECHA DE PAGO],"")</f>
        <v>2380000</v>
      </c>
      <c r="E47" s="37"/>
      <c r="F47" s="108" t="str">
        <f>+VLOOKUP(PROVEEDORES[[#This Row],[PROVEEDOR]],TERCEROS_INFO[[PROVEEDOR]:[CORREO]],5,FALSE)</f>
        <v/>
      </c>
      <c r="G47" s="143">
        <v>44118</v>
      </c>
      <c r="H47" s="38" t="s">
        <v>251</v>
      </c>
      <c r="I47" s="30">
        <v>44082</v>
      </c>
      <c r="J47" s="58"/>
      <c r="K47" s="32">
        <v>700000</v>
      </c>
      <c r="L47" s="32"/>
      <c r="M47" s="33">
        <f>(PROVEEDORES[[#This Row],[SUBTOTAL]]-PROVEEDORES[[#This Row],[descuento antes de IVA]])*VLOOKUP(PROVEEDORES[[#This Row],[PROVEEDOR]],TERCEROS_INFO[#All],3,FALSE)</f>
        <v>0</v>
      </c>
      <c r="N47" s="34"/>
      <c r="O47" s="33">
        <f>+PROVEEDORES[[#This Row],[Descuento sobre subtotal %]]*(PROVEEDORES[[#This Row],[SUBTOTAL]]-PROVEEDORES[[#This Row],[descuento antes de IVA]])</f>
        <v>0</v>
      </c>
      <c r="P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" s="33">
        <f>+(PROVEEDORES[[#This Row],[SUBTOTAL]]-PROVEEDORES[[#This Row],[descuento antes de IVA]])*PROVEEDORES[[#This Row],[Rete Fuente %]]</f>
        <v>0</v>
      </c>
      <c r="R47" s="32">
        <f>+PROVEEDORES[[#This Row],[SUBTOTAL]]+PROVEEDORES[[#This Row],[IVA 19%]]-PROVEEDORES[[#This Row],[descuento antes de IVA]]-PROVEEDORES[[#This Row],[Descuento sobre subtotal $]]-PROVEEDORES[[#This Row],[Rete Fuente $]]</f>
        <v>700000</v>
      </c>
      <c r="S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" s="40"/>
      <c r="U47" s="97"/>
      <c r="V47" s="36"/>
      <c r="W47" s="36"/>
      <c r="X47" s="36"/>
      <c r="Y47" s="36"/>
      <c r="Z47" s="41"/>
      <c r="AA47" s="42"/>
      <c r="AF47" s="36"/>
      <c r="AG47" s="36"/>
    </row>
    <row r="48" spans="1:33" ht="21.95" hidden="1" customHeight="1" x14ac:dyDescent="0.25">
      <c r="A48" s="39" t="str">
        <f>+IF(PROVEEDORES[[#This Row],[FECHA DE PAGO]]=PROVEEDORES[[#This Row],[FECHA DE FACTURACIÓN]],"DE CONTADO","CRÉDITO")</f>
        <v>CRÉDITO</v>
      </c>
      <c r="B48" s="67" t="str">
        <f>+IF((PROVEEDORES[[#This Row],[FECHA DE PAGO]]-PROVEEDORES[[#This Row],[FECHA DE FACTURACIÓN]])&gt;PROVEEDORES[[#This Row],[PLAZO Días]],"PAGO VENCIDO")</f>
        <v>PAGO VENCIDO</v>
      </c>
      <c r="C48" s="27">
        <f>+VLOOKUP(PROVEEDORES[[#This Row],[PROVEEDOR]],TERCEROS_INFO[#All],2,FALSE)</f>
        <v>30</v>
      </c>
      <c r="D48" s="37">
        <f>+SUMIFS(PROVEEDORES[Total],PROVEEDORES[PROVEEDOR],PROVEEDORES[[#This Row],[PROVEEDOR]],PROVEEDORES[FECHA DE PAGO],"")</f>
        <v>2380000</v>
      </c>
      <c r="E48" s="37"/>
      <c r="F48" s="108" t="str">
        <f>+VLOOKUP(PROVEEDORES[[#This Row],[PROVEEDOR]],TERCEROS_INFO[[PROVEEDOR]:[CORREO]],5,FALSE)</f>
        <v/>
      </c>
      <c r="G48" s="143">
        <v>44165</v>
      </c>
      <c r="H48" s="38" t="s">
        <v>251</v>
      </c>
      <c r="I48" s="30">
        <v>44117</v>
      </c>
      <c r="J48" s="58">
        <v>1133</v>
      </c>
      <c r="K48" s="32">
        <v>2250000</v>
      </c>
      <c r="L48" s="32"/>
      <c r="M48" s="33">
        <f>(PROVEEDORES[[#This Row],[SUBTOTAL]]-PROVEEDORES[[#This Row],[descuento antes de IVA]])*VLOOKUP(PROVEEDORES[[#This Row],[PROVEEDOR]],TERCEROS_INFO[#All],3,FALSE)</f>
        <v>0</v>
      </c>
      <c r="N48" s="34"/>
      <c r="O48" s="33">
        <f>+PROVEEDORES[[#This Row],[Descuento sobre subtotal %]]*(PROVEEDORES[[#This Row],[SUBTOTAL]]-PROVEEDORES[[#This Row],[descuento antes de IVA]])</f>
        <v>0</v>
      </c>
      <c r="P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" s="33">
        <f>+(PROVEEDORES[[#This Row],[SUBTOTAL]]-PROVEEDORES[[#This Row],[descuento antes de IVA]])*PROVEEDORES[[#This Row],[Rete Fuente %]]</f>
        <v>0</v>
      </c>
      <c r="R48" s="32">
        <f>+PROVEEDORES[[#This Row],[SUBTOTAL]]+PROVEEDORES[[#This Row],[IVA 19%]]-PROVEEDORES[[#This Row],[descuento antes de IVA]]-PROVEEDORES[[#This Row],[Descuento sobre subtotal $]]-PROVEEDORES[[#This Row],[Rete Fuente $]]</f>
        <v>2250000</v>
      </c>
      <c r="S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" s="40"/>
      <c r="U48" s="97"/>
      <c r="V48" s="36"/>
      <c r="W48" s="36"/>
      <c r="X48" s="36"/>
      <c r="Y48" s="36"/>
      <c r="Z48" s="41"/>
      <c r="AA48" s="42"/>
      <c r="AF48" s="36"/>
      <c r="AG48" s="36"/>
    </row>
    <row r="49" spans="1:33" ht="21.95" hidden="1" customHeight="1" x14ac:dyDescent="0.25">
      <c r="A49" s="39" t="str">
        <f>+IF(PROVEEDORES[[#This Row],[FECHA DE PAGO]]=PROVEEDORES[[#This Row],[FECHA DE FACTURACIÓN]],"DE CONTADO","CRÉDITO")</f>
        <v>CRÉDITO</v>
      </c>
      <c r="B49" s="67" t="str">
        <f>+IF((PROVEEDORES[[#This Row],[FECHA DE PAGO]]-PROVEEDORES[[#This Row],[FECHA DE FACTURACIÓN]])&gt;PROVEEDORES[[#This Row],[PLAZO Días]],"PAGO VENCIDO")</f>
        <v>PAGO VENCIDO</v>
      </c>
      <c r="C49" s="27">
        <f>+VLOOKUP(PROVEEDORES[[#This Row],[PROVEEDOR]],TERCEROS_INFO[#All],2,FALSE)</f>
        <v>30</v>
      </c>
      <c r="D49" s="37">
        <f>+SUMIFS(PROVEEDORES[Total],PROVEEDORES[PROVEEDOR],PROVEEDORES[[#This Row],[PROVEEDOR]],PROVEEDORES[FECHA DE PAGO],"")</f>
        <v>2380000</v>
      </c>
      <c r="E49" s="37"/>
      <c r="F49" s="108" t="str">
        <f>+VLOOKUP(PROVEEDORES[[#This Row],[PROVEEDOR]],TERCEROS_INFO[[PROVEEDOR]:[CORREO]],5,FALSE)</f>
        <v/>
      </c>
      <c r="G49" s="143">
        <v>44180</v>
      </c>
      <c r="H49" s="38" t="s">
        <v>251</v>
      </c>
      <c r="I49" s="30">
        <v>44140</v>
      </c>
      <c r="J49" s="58"/>
      <c r="K49" s="32">
        <v>2850000</v>
      </c>
      <c r="L49" s="32"/>
      <c r="M49" s="33">
        <f>(PROVEEDORES[[#This Row],[SUBTOTAL]]-PROVEEDORES[[#This Row],[descuento antes de IVA]])*VLOOKUP(PROVEEDORES[[#This Row],[PROVEEDOR]],TERCEROS_INFO[#All],3,FALSE)</f>
        <v>0</v>
      </c>
      <c r="N49" s="34"/>
      <c r="O49" s="33">
        <f>+PROVEEDORES[[#This Row],[Descuento sobre subtotal %]]*(PROVEEDORES[[#This Row],[SUBTOTAL]]-PROVEEDORES[[#This Row],[descuento antes de IVA]])</f>
        <v>0</v>
      </c>
      <c r="P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" s="33">
        <f>+(PROVEEDORES[[#This Row],[SUBTOTAL]]-PROVEEDORES[[#This Row],[descuento antes de IVA]])*PROVEEDORES[[#This Row],[Rete Fuente %]]</f>
        <v>0</v>
      </c>
      <c r="R49" s="32">
        <f>+PROVEEDORES[[#This Row],[SUBTOTAL]]+PROVEEDORES[[#This Row],[IVA 19%]]-PROVEEDORES[[#This Row],[descuento antes de IVA]]-PROVEEDORES[[#This Row],[Descuento sobre subtotal $]]-PROVEEDORES[[#This Row],[Rete Fuente $]]</f>
        <v>2850000</v>
      </c>
      <c r="S4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" s="40"/>
      <c r="U49" s="97"/>
      <c r="V49" s="36"/>
      <c r="W49" s="36"/>
      <c r="X49" s="36"/>
      <c r="Y49" s="36"/>
      <c r="Z49" s="41"/>
      <c r="AA49" s="42"/>
      <c r="AF49" s="36"/>
      <c r="AG49" s="36"/>
    </row>
    <row r="50" spans="1:33" ht="21.95" hidden="1" customHeight="1" x14ac:dyDescent="0.25">
      <c r="A50" s="39" t="str">
        <f>+IF(PROVEEDORES[[#This Row],[FECHA DE PAGO]]=PROVEEDORES[[#This Row],[FECHA DE FACTURACIÓN]],"DE CONTADO","CRÉDITO")</f>
        <v>CRÉDITO</v>
      </c>
      <c r="B50" s="67" t="str">
        <f>+IF((PROVEEDORES[[#This Row],[FECHA DE PAGO]]-PROVEEDORES[[#This Row],[FECHA DE FACTURACIÓN]])&gt;PROVEEDORES[[#This Row],[PLAZO Días]],"PAGO VENCIDO")</f>
        <v>PAGO VENCIDO</v>
      </c>
      <c r="C50" s="27">
        <f>+VLOOKUP(PROVEEDORES[[#This Row],[PROVEEDOR]],TERCEROS_INFO[#All],2,FALSE)</f>
        <v>30</v>
      </c>
      <c r="D50" s="37">
        <f>+SUMIFS(PROVEEDORES[Total],PROVEEDORES[PROVEEDOR],PROVEEDORES[[#This Row],[PROVEEDOR]],PROVEEDORES[FECHA DE PAGO],"")</f>
        <v>2380000</v>
      </c>
      <c r="E50" s="37"/>
      <c r="F50" s="108" t="str">
        <f>+VLOOKUP(PROVEEDORES[[#This Row],[PROVEEDOR]],TERCEROS_INFO[[PROVEEDOR]:[CORREO]],5,FALSE)</f>
        <v/>
      </c>
      <c r="G50" s="143">
        <v>44211</v>
      </c>
      <c r="H50" s="38" t="s">
        <v>251</v>
      </c>
      <c r="I50" s="30">
        <v>44150</v>
      </c>
      <c r="J50" s="58"/>
      <c r="K50" s="32">
        <v>1216000</v>
      </c>
      <c r="L50" s="32"/>
      <c r="M50" s="33">
        <f>(PROVEEDORES[[#This Row],[SUBTOTAL]]-PROVEEDORES[[#This Row],[descuento antes de IVA]])*VLOOKUP(PROVEEDORES[[#This Row],[PROVEEDOR]],TERCEROS_INFO[#All],3,FALSE)</f>
        <v>0</v>
      </c>
      <c r="N50" s="34"/>
      <c r="O50" s="33">
        <f>+PROVEEDORES[[#This Row],[Descuento sobre subtotal %]]*(PROVEEDORES[[#This Row],[SUBTOTAL]]-PROVEEDORES[[#This Row],[descuento antes de IVA]])</f>
        <v>0</v>
      </c>
      <c r="P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" s="33">
        <f>+(PROVEEDORES[[#This Row],[SUBTOTAL]]-PROVEEDORES[[#This Row],[descuento antes de IVA]])*PROVEEDORES[[#This Row],[Rete Fuente %]]</f>
        <v>0</v>
      </c>
      <c r="R50" s="32">
        <f>+PROVEEDORES[[#This Row],[SUBTOTAL]]+PROVEEDORES[[#This Row],[IVA 19%]]-PROVEEDORES[[#This Row],[descuento antes de IVA]]-PROVEEDORES[[#This Row],[Descuento sobre subtotal $]]-PROVEEDORES[[#This Row],[Rete Fuente $]]</f>
        <v>1216000</v>
      </c>
      <c r="S5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" s="40"/>
      <c r="U50" s="97"/>
      <c r="V50" s="36"/>
      <c r="W50" s="36"/>
      <c r="X50" s="36"/>
      <c r="Y50" s="36"/>
      <c r="Z50" s="41"/>
      <c r="AA50" s="42"/>
      <c r="AF50" s="36"/>
      <c r="AG50" s="36"/>
    </row>
    <row r="51" spans="1:33" ht="21.95" hidden="1" customHeight="1" x14ac:dyDescent="0.25">
      <c r="A51" s="39" t="str">
        <f>+IF(PROVEEDORES[[#This Row],[FECHA DE PAGO]]=PROVEEDORES[[#This Row],[FECHA DE FACTURACIÓN]],"DE CONTADO","CRÉDITO")</f>
        <v>CRÉDITO</v>
      </c>
      <c r="B51" s="67" t="str">
        <f>+IF((PROVEEDORES[[#This Row],[FECHA DE PAGO]]-PROVEEDORES[[#This Row],[FECHA DE FACTURACIÓN]])&gt;PROVEEDORES[[#This Row],[PLAZO Días]],"PAGO VENCIDO")</f>
        <v>PAGO VENCIDO</v>
      </c>
      <c r="C51" s="27">
        <f>+VLOOKUP(PROVEEDORES[[#This Row],[PROVEEDOR]],TERCEROS_INFO[#All],2,FALSE)</f>
        <v>30</v>
      </c>
      <c r="D51" s="37">
        <f>+SUMIFS(PROVEEDORES[Total],PROVEEDORES[PROVEEDOR],PROVEEDORES[[#This Row],[PROVEEDOR]],PROVEEDORES[FECHA DE PAGO],"")</f>
        <v>2380000</v>
      </c>
      <c r="E51" s="37"/>
      <c r="F51" s="108" t="str">
        <f>+VLOOKUP(PROVEEDORES[[#This Row],[PROVEEDOR]],TERCEROS_INFO[[PROVEEDOR]:[CORREO]],5,FALSE)</f>
        <v/>
      </c>
      <c r="G51" s="143">
        <v>44210</v>
      </c>
      <c r="H51" s="38" t="s">
        <v>251</v>
      </c>
      <c r="I51" s="30">
        <v>44166</v>
      </c>
      <c r="J51" s="58">
        <v>1231</v>
      </c>
      <c r="K51" s="32">
        <v>884250</v>
      </c>
      <c r="L51" s="32"/>
      <c r="M51" s="33">
        <f>(PROVEEDORES[[#This Row],[SUBTOTAL]]-PROVEEDORES[[#This Row],[descuento antes de IVA]])*VLOOKUP(PROVEEDORES[[#This Row],[PROVEEDOR]],TERCEROS_INFO[#All],3,FALSE)</f>
        <v>0</v>
      </c>
      <c r="N51" s="34"/>
      <c r="O51" s="33">
        <f>+PROVEEDORES[[#This Row],[Descuento sobre subtotal %]]*(PROVEEDORES[[#This Row],[SUBTOTAL]]-PROVEEDORES[[#This Row],[descuento antes de IVA]])</f>
        <v>0</v>
      </c>
      <c r="P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" s="33">
        <f>+(PROVEEDORES[[#This Row],[SUBTOTAL]]-PROVEEDORES[[#This Row],[descuento antes de IVA]])*PROVEEDORES[[#This Row],[Rete Fuente %]]</f>
        <v>0</v>
      </c>
      <c r="R51" s="32">
        <f>+PROVEEDORES[[#This Row],[SUBTOTAL]]+PROVEEDORES[[#This Row],[IVA 19%]]-PROVEEDORES[[#This Row],[descuento antes de IVA]]-PROVEEDORES[[#This Row],[Descuento sobre subtotal $]]-PROVEEDORES[[#This Row],[Rete Fuente $]]</f>
        <v>884250</v>
      </c>
      <c r="S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" s="40"/>
      <c r="U51" s="97"/>
      <c r="V51" s="36"/>
      <c r="W51" s="36"/>
      <c r="X51" s="36"/>
      <c r="Y51" s="36"/>
      <c r="Z51" s="41"/>
      <c r="AA51" s="42"/>
      <c r="AF51" s="36"/>
      <c r="AG51" s="36"/>
    </row>
    <row r="52" spans="1:33" ht="21.95" hidden="1" customHeight="1" x14ac:dyDescent="0.25">
      <c r="A52" s="39" t="str">
        <f>+IF(PROVEEDORES[[#This Row],[FECHA DE PAGO]]=PROVEEDORES[[#This Row],[FECHA DE FACTURACIÓN]],"DE CONTADO","CRÉDITO")</f>
        <v>DE CONTADO</v>
      </c>
      <c r="B52" s="67" t="b">
        <f>+IF((PROVEEDORES[[#This Row],[FECHA DE PAGO]]-PROVEEDORES[[#This Row],[FECHA DE FACTURACIÓN]])&gt;PROVEEDORES[[#This Row],[PLAZO Días]],"PAGO VENCIDO")</f>
        <v>0</v>
      </c>
      <c r="C52" s="27">
        <f>+VLOOKUP(PROVEEDORES[[#This Row],[PROVEEDOR]],TERCEROS_INFO[#All],2,FALSE)</f>
        <v>30</v>
      </c>
      <c r="D52" s="37">
        <f>+SUMIFS(PROVEEDORES[Total],PROVEEDORES[PROVEEDOR],PROVEEDORES[[#This Row],[PROVEEDOR]],PROVEEDORES[FECHA DE PAGO],"")</f>
        <v>2380000</v>
      </c>
      <c r="E52" s="37"/>
      <c r="F52" s="108" t="str">
        <f>+VLOOKUP(PROVEEDORES[[#This Row],[PROVEEDOR]],TERCEROS_INFO[[PROVEEDOR]:[CORREO]],5,FALSE)</f>
        <v/>
      </c>
      <c r="G52" s="143">
        <v>44166</v>
      </c>
      <c r="H52" s="38" t="s">
        <v>251</v>
      </c>
      <c r="I52" s="30">
        <v>44166</v>
      </c>
      <c r="J52" s="58"/>
      <c r="K52" s="32">
        <v>1843000</v>
      </c>
      <c r="L52" s="32"/>
      <c r="M52" s="33">
        <f>(PROVEEDORES[[#This Row],[SUBTOTAL]]-PROVEEDORES[[#This Row],[descuento antes de IVA]])*VLOOKUP(PROVEEDORES[[#This Row],[PROVEEDOR]],TERCEROS_INFO[#All],3,FALSE)</f>
        <v>0</v>
      </c>
      <c r="N52" s="34"/>
      <c r="O52" s="33">
        <f>+PROVEEDORES[[#This Row],[Descuento sobre subtotal %]]*(PROVEEDORES[[#This Row],[SUBTOTAL]]-PROVEEDORES[[#This Row],[descuento antes de IVA]])</f>
        <v>0</v>
      </c>
      <c r="P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" s="33">
        <f>+(PROVEEDORES[[#This Row],[SUBTOTAL]]-PROVEEDORES[[#This Row],[descuento antes de IVA]])*PROVEEDORES[[#This Row],[Rete Fuente %]]</f>
        <v>0</v>
      </c>
      <c r="R52" s="32">
        <f>+PROVEEDORES[[#This Row],[SUBTOTAL]]+PROVEEDORES[[#This Row],[IVA 19%]]-PROVEEDORES[[#This Row],[descuento antes de IVA]]-PROVEEDORES[[#This Row],[Descuento sobre subtotal $]]-PROVEEDORES[[#This Row],[Rete Fuente $]]</f>
        <v>1843000</v>
      </c>
      <c r="S5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" s="40"/>
      <c r="U52" s="97"/>
      <c r="V52" s="36"/>
      <c r="W52" s="36"/>
      <c r="X52" s="36"/>
      <c r="Y52" s="36"/>
      <c r="Z52" s="41"/>
      <c r="AA52" s="42"/>
      <c r="AF52" s="36"/>
      <c r="AG52" s="36"/>
    </row>
    <row r="53" spans="1:33" ht="21.95" hidden="1" customHeight="1" x14ac:dyDescent="0.25">
      <c r="A53" s="39" t="str">
        <f>+IF(PROVEEDORES[[#This Row],[FECHA DE PAGO]]=PROVEEDORES[[#This Row],[FECHA DE FACTURACIÓN]],"DE CONTADO","CRÉDITO")</f>
        <v>CRÉDITO</v>
      </c>
      <c r="B53" s="67" t="b">
        <f>+IF((PROVEEDORES[[#This Row],[FECHA DE PAGO]]-PROVEEDORES[[#This Row],[FECHA DE FACTURACIÓN]])&gt;PROVEEDORES[[#This Row],[PLAZO Días]],"PAGO VENCIDO")</f>
        <v>0</v>
      </c>
      <c r="C53" s="27">
        <f>+VLOOKUP(PROVEEDORES[[#This Row],[PROVEEDOR]],TERCEROS_INFO[#All],2,FALSE)</f>
        <v>30</v>
      </c>
      <c r="D53" s="37">
        <f>+SUMIFS(PROVEEDORES[Total],PROVEEDORES[PROVEEDOR],PROVEEDORES[[#This Row],[PROVEEDOR]],PROVEEDORES[FECHA DE PAGO],"")</f>
        <v>2380000</v>
      </c>
      <c r="E53" s="37"/>
      <c r="F53" s="108" t="str">
        <f>+VLOOKUP(PROVEEDORES[[#This Row],[PROVEEDOR]],TERCEROS_INFO[[PROVEEDOR]:[CORREO]],5,FALSE)</f>
        <v/>
      </c>
      <c r="G53" s="143">
        <v>44198</v>
      </c>
      <c r="H53" s="38" t="s">
        <v>251</v>
      </c>
      <c r="I53" s="30">
        <v>44180</v>
      </c>
      <c r="J53" s="58" t="s">
        <v>1092</v>
      </c>
      <c r="K53" s="32">
        <v>4071500</v>
      </c>
      <c r="L53" s="32"/>
      <c r="M53" s="33">
        <f>(PROVEEDORES[[#This Row],[SUBTOTAL]]-PROVEEDORES[[#This Row],[descuento antes de IVA]])*VLOOKUP(PROVEEDORES[[#This Row],[PROVEEDOR]],TERCEROS_INFO[#All],3,FALSE)</f>
        <v>0</v>
      </c>
      <c r="N53" s="34"/>
      <c r="O53" s="33">
        <f>+PROVEEDORES[[#This Row],[Descuento sobre subtotal %]]*(PROVEEDORES[[#This Row],[SUBTOTAL]]-PROVEEDORES[[#This Row],[descuento antes de IVA]])</f>
        <v>0</v>
      </c>
      <c r="P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" s="33">
        <f>+(PROVEEDORES[[#This Row],[SUBTOTAL]]-PROVEEDORES[[#This Row],[descuento antes de IVA]])*PROVEEDORES[[#This Row],[Rete Fuente %]]</f>
        <v>0</v>
      </c>
      <c r="R53" s="32">
        <f>+PROVEEDORES[[#This Row],[SUBTOTAL]]+PROVEEDORES[[#This Row],[IVA 19%]]-PROVEEDORES[[#This Row],[descuento antes de IVA]]-PROVEEDORES[[#This Row],[Descuento sobre subtotal $]]-PROVEEDORES[[#This Row],[Rete Fuente $]]</f>
        <v>4071500</v>
      </c>
      <c r="S5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" s="40"/>
      <c r="U53" s="97"/>
      <c r="V53" s="36"/>
      <c r="W53" s="36"/>
      <c r="X53" s="36"/>
      <c r="Y53" s="36"/>
      <c r="Z53" s="41"/>
      <c r="AA53" s="42"/>
      <c r="AF53" s="36"/>
      <c r="AG53" s="36"/>
    </row>
    <row r="54" spans="1:33" ht="21.95" hidden="1" customHeight="1" x14ac:dyDescent="0.25">
      <c r="A54" s="39" t="str">
        <f>+IF(PROVEEDORES[[#This Row],[FECHA DE PAGO]]=PROVEEDORES[[#This Row],[FECHA DE FACTURACIÓN]],"DE CONTADO","CRÉDITO")</f>
        <v>CRÉDITO</v>
      </c>
      <c r="B54" s="67" t="str">
        <f>+IF((PROVEEDORES[[#This Row],[FECHA DE PAGO]]-PROVEEDORES[[#This Row],[FECHA DE FACTURACIÓN]])&gt;PROVEEDORES[[#This Row],[PLAZO Días]],"PAGO VENCIDO")</f>
        <v>PAGO VENCIDO</v>
      </c>
      <c r="C54" s="27">
        <f>+VLOOKUP(PROVEEDORES[[#This Row],[PROVEEDOR]],TERCEROS_INFO[#All],2,FALSE)</f>
        <v>30</v>
      </c>
      <c r="D54" s="37">
        <f>+SUMIFS(PROVEEDORES[Total],PROVEEDORES[PROVEEDOR],PROVEEDORES[[#This Row],[PROVEEDOR]],PROVEEDORES[FECHA DE PAGO],"")</f>
        <v>2380000</v>
      </c>
      <c r="E54" s="37"/>
      <c r="F54" s="108" t="str">
        <f>+VLOOKUP(PROVEEDORES[[#This Row],[PROVEEDOR]],TERCEROS_INFO[[PROVEEDOR]:[CORREO]],5,FALSE)</f>
        <v/>
      </c>
      <c r="G54" s="143">
        <v>44264</v>
      </c>
      <c r="H54" s="38" t="s">
        <v>251</v>
      </c>
      <c r="I54" s="30">
        <v>44210</v>
      </c>
      <c r="J54" s="58" t="s">
        <v>1098</v>
      </c>
      <c r="K54" s="32">
        <v>534000</v>
      </c>
      <c r="L54" s="32"/>
      <c r="M54" s="33">
        <f>(PROVEEDORES[[#This Row],[SUBTOTAL]]-PROVEEDORES[[#This Row],[descuento antes de IVA]])*VLOOKUP(PROVEEDORES[[#This Row],[PROVEEDOR]],TERCEROS_INFO[#All],3,FALSE)</f>
        <v>0</v>
      </c>
      <c r="N54" s="34"/>
      <c r="O54" s="33">
        <f>+PROVEEDORES[[#This Row],[Descuento sobre subtotal %]]*(PROVEEDORES[[#This Row],[SUBTOTAL]]-PROVEEDORES[[#This Row],[descuento antes de IVA]])</f>
        <v>0</v>
      </c>
      <c r="P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" s="33">
        <f>+(PROVEEDORES[[#This Row],[SUBTOTAL]]-PROVEEDORES[[#This Row],[descuento antes de IVA]])*PROVEEDORES[[#This Row],[Rete Fuente %]]</f>
        <v>0</v>
      </c>
      <c r="R54" s="32">
        <f>+PROVEEDORES[[#This Row],[SUBTOTAL]]+PROVEEDORES[[#This Row],[IVA 19%]]-PROVEEDORES[[#This Row],[descuento antes de IVA]]-PROVEEDORES[[#This Row],[Descuento sobre subtotal $]]-PROVEEDORES[[#This Row],[Rete Fuente $]]</f>
        <v>534000</v>
      </c>
      <c r="S5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" s="40"/>
      <c r="U54" s="97"/>
      <c r="V54" s="36"/>
      <c r="W54" s="36"/>
      <c r="X54" s="36"/>
      <c r="Y54" s="36"/>
      <c r="Z54" s="41"/>
      <c r="AA54" s="42"/>
      <c r="AF54" s="36"/>
      <c r="AG54" s="36"/>
    </row>
    <row r="55" spans="1:33" ht="21.95" hidden="1" customHeight="1" x14ac:dyDescent="0.25">
      <c r="A55" s="39" t="str">
        <f>+IF(PROVEEDORES[[#This Row],[FECHA DE PAGO]]=PROVEEDORES[[#This Row],[FECHA DE FACTURACIÓN]],"DE CONTADO","CRÉDITO")</f>
        <v>CRÉDITO</v>
      </c>
      <c r="B55" s="67" t="str">
        <f>+IF((PROVEEDORES[[#This Row],[FECHA DE PAGO]]-PROVEEDORES[[#This Row],[FECHA DE FACTURACIÓN]])&gt;PROVEEDORES[[#This Row],[PLAZO Días]],"PAGO VENCIDO")</f>
        <v>PAGO VENCIDO</v>
      </c>
      <c r="C55" s="27">
        <f>+VLOOKUP(PROVEEDORES[[#This Row],[PROVEEDOR]],TERCEROS_INFO[#All],2,FALSE)</f>
        <v>30</v>
      </c>
      <c r="D55" s="37">
        <f>+SUMIFS(PROVEEDORES[Total],PROVEEDORES[PROVEEDOR],PROVEEDORES[[#This Row],[PROVEEDOR]],PROVEEDORES[FECHA DE PAGO],"")</f>
        <v>2380000</v>
      </c>
      <c r="E55" s="37"/>
      <c r="F55" s="108" t="str">
        <f>+VLOOKUP(PROVEEDORES[[#This Row],[PROVEEDOR]],TERCEROS_INFO[[PROVEEDOR]:[CORREO]],5,FALSE)</f>
        <v/>
      </c>
      <c r="G55" s="143">
        <v>44264</v>
      </c>
      <c r="H55" s="38" t="s">
        <v>251</v>
      </c>
      <c r="I55" s="30">
        <v>44217</v>
      </c>
      <c r="J55" s="58">
        <v>1416</v>
      </c>
      <c r="K55" s="32">
        <v>1100000</v>
      </c>
      <c r="L55" s="32"/>
      <c r="M55" s="33">
        <f>(PROVEEDORES[[#This Row],[SUBTOTAL]]-PROVEEDORES[[#This Row],[descuento antes de IVA]])*VLOOKUP(PROVEEDORES[[#This Row],[PROVEEDOR]],TERCEROS_INFO[#All],3,FALSE)</f>
        <v>0</v>
      </c>
      <c r="N55" s="34"/>
      <c r="O55" s="33">
        <f>+PROVEEDORES[[#This Row],[Descuento sobre subtotal %]]*(PROVEEDORES[[#This Row],[SUBTOTAL]]-PROVEEDORES[[#This Row],[descuento antes de IVA]])</f>
        <v>0</v>
      </c>
      <c r="P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" s="33">
        <f>+(PROVEEDORES[[#This Row],[SUBTOTAL]]-PROVEEDORES[[#This Row],[descuento antes de IVA]])*PROVEEDORES[[#This Row],[Rete Fuente %]]</f>
        <v>0</v>
      </c>
      <c r="R55" s="32">
        <f>+PROVEEDORES[[#This Row],[SUBTOTAL]]+PROVEEDORES[[#This Row],[IVA 19%]]-PROVEEDORES[[#This Row],[descuento antes de IVA]]-PROVEEDORES[[#This Row],[Descuento sobre subtotal $]]-PROVEEDORES[[#This Row],[Rete Fuente $]]</f>
        <v>1100000</v>
      </c>
      <c r="S5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" s="40"/>
      <c r="U55" s="97"/>
      <c r="V55" s="36"/>
      <c r="W55" s="36"/>
      <c r="X55" s="36"/>
      <c r="Y55" s="36"/>
      <c r="Z55" s="41"/>
      <c r="AA55" s="42"/>
      <c r="AF55" s="36"/>
      <c r="AG55" s="36"/>
    </row>
    <row r="56" spans="1:33" ht="21.95" hidden="1" customHeight="1" x14ac:dyDescent="0.25">
      <c r="A56" s="88" t="str">
        <f>+IF(PROVEEDORES[[#This Row],[FECHA DE PAGO]]=PROVEEDORES[[#This Row],[FECHA DE FACTURACIÓN]],"DE CONTADO","CRÉDITO")</f>
        <v>CRÉDITO</v>
      </c>
      <c r="B56" s="70" t="str">
        <f>+IF((PROVEEDORES[[#This Row],[FECHA DE PAGO]]-PROVEEDORES[[#This Row],[FECHA DE FACTURACIÓN]])&gt;PROVEEDORES[[#This Row],[PLAZO Días]],"PAGO VENCIDO")</f>
        <v>PAGO VENCIDO</v>
      </c>
      <c r="C56" s="27">
        <f>+VLOOKUP(PROVEEDORES[[#This Row],[PROVEEDOR]],TERCEROS_INFO[#All],2,FALSE)</f>
        <v>30</v>
      </c>
      <c r="D56" s="37">
        <f>+SUMIFS(PROVEEDORES[Total],PROVEEDORES[PROVEEDOR],PROVEEDORES[[#This Row],[PROVEEDOR]],PROVEEDORES[FECHA DE PAGO],"")</f>
        <v>2380000</v>
      </c>
      <c r="E56" s="37"/>
      <c r="F56" s="108" t="str">
        <f>+VLOOKUP(PROVEEDORES[[#This Row],[PROVEEDOR]],TERCEROS_INFO[[PROVEEDOR]:[CORREO]],5,FALSE)</f>
        <v/>
      </c>
      <c r="G56" s="143">
        <v>44290</v>
      </c>
      <c r="H56" s="38" t="s">
        <v>251</v>
      </c>
      <c r="I56" s="30">
        <v>44246</v>
      </c>
      <c r="J56" s="58" t="s">
        <v>1104</v>
      </c>
      <c r="K56" s="32">
        <f>+(1800+480+480)*1000</f>
        <v>2760000</v>
      </c>
      <c r="L56" s="32"/>
      <c r="M56" s="33">
        <f>(PROVEEDORES[[#This Row],[SUBTOTAL]]-PROVEEDORES[[#This Row],[descuento antes de IVA]])*VLOOKUP(PROVEEDORES[[#This Row],[PROVEEDOR]],TERCEROS_INFO[#All],3,FALSE)</f>
        <v>0</v>
      </c>
      <c r="N56" s="34"/>
      <c r="O56" s="33">
        <f>+PROVEEDORES[[#This Row],[Descuento sobre subtotal %]]*(PROVEEDORES[[#This Row],[SUBTOTAL]]-PROVEEDORES[[#This Row],[descuento antes de IVA]])</f>
        <v>0</v>
      </c>
      <c r="P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" s="33">
        <f>+(PROVEEDORES[[#This Row],[SUBTOTAL]]-PROVEEDORES[[#This Row],[descuento antes de IVA]])*PROVEEDORES[[#This Row],[Rete Fuente %]]</f>
        <v>0</v>
      </c>
      <c r="R56" s="32">
        <f>+PROVEEDORES[[#This Row],[SUBTOTAL]]+PROVEEDORES[[#This Row],[IVA 19%]]-PROVEEDORES[[#This Row],[descuento antes de IVA]]-PROVEEDORES[[#This Row],[Descuento sobre subtotal $]]-PROVEEDORES[[#This Row],[Rete Fuente $]]</f>
        <v>2760000</v>
      </c>
      <c r="S5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" s="40"/>
      <c r="U56" s="97"/>
      <c r="V56" s="36"/>
      <c r="W56" s="36"/>
      <c r="X56" s="36"/>
      <c r="Y56" s="36"/>
      <c r="Z56" s="41"/>
      <c r="AA56" s="42"/>
      <c r="AF56" s="36"/>
      <c r="AG56" s="36"/>
    </row>
    <row r="57" spans="1:33" ht="21.95" hidden="1" customHeight="1" x14ac:dyDescent="0.25">
      <c r="A57" s="88" t="str">
        <f>+IF(PROVEEDORES[[#This Row],[FECHA DE PAGO]]=PROVEEDORES[[#This Row],[FECHA DE FACTURACIÓN]],"DE CONTADO","CRÉDITO")</f>
        <v>CRÉDITO</v>
      </c>
      <c r="B57" s="70" t="str">
        <f>+IF((PROVEEDORES[[#This Row],[FECHA DE PAGO]]-PROVEEDORES[[#This Row],[FECHA DE FACTURACIÓN]])&gt;PROVEEDORES[[#This Row],[PLAZO Días]],"PAGO VENCIDO")</f>
        <v>PAGO VENCIDO</v>
      </c>
      <c r="C57" s="27">
        <f>+VLOOKUP(PROVEEDORES[[#This Row],[PROVEEDOR]],TERCEROS_INFO[#All],2,FALSE)</f>
        <v>30</v>
      </c>
      <c r="D57" s="37">
        <f>+SUMIFS(PROVEEDORES[Total],PROVEEDORES[PROVEEDOR],PROVEEDORES[[#This Row],[PROVEEDOR]],PROVEEDORES[FECHA DE PAGO],"")</f>
        <v>2380000</v>
      </c>
      <c r="E57" s="37"/>
      <c r="F57" s="108" t="str">
        <f>+VLOOKUP(PROVEEDORES[[#This Row],[PROVEEDOR]],TERCEROS_INFO[[PROVEEDOR]:[CORREO]],5,FALSE)</f>
        <v/>
      </c>
      <c r="G57" s="143">
        <v>44312</v>
      </c>
      <c r="H57" s="38" t="s">
        <v>251</v>
      </c>
      <c r="I57" s="30">
        <v>44258</v>
      </c>
      <c r="J57" s="58" t="s">
        <v>1107</v>
      </c>
      <c r="K57" s="32">
        <v>1360000</v>
      </c>
      <c r="L57" s="32"/>
      <c r="M57" s="33">
        <f>(PROVEEDORES[[#This Row],[SUBTOTAL]]-PROVEEDORES[[#This Row],[descuento antes de IVA]])*VLOOKUP(PROVEEDORES[[#This Row],[PROVEEDOR]],TERCEROS_INFO[#All],3,FALSE)</f>
        <v>0</v>
      </c>
      <c r="N57" s="34"/>
      <c r="O57" s="33">
        <f>+PROVEEDORES[[#This Row],[Descuento sobre subtotal %]]*(PROVEEDORES[[#This Row],[SUBTOTAL]]-PROVEEDORES[[#This Row],[descuento antes de IVA]])</f>
        <v>0</v>
      </c>
      <c r="P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" s="33">
        <f>+(PROVEEDORES[[#This Row],[SUBTOTAL]]-PROVEEDORES[[#This Row],[descuento antes de IVA]])*PROVEEDORES[[#This Row],[Rete Fuente %]]</f>
        <v>0</v>
      </c>
      <c r="R57" s="32">
        <f>+PROVEEDORES[[#This Row],[SUBTOTAL]]+PROVEEDORES[[#This Row],[IVA 19%]]-PROVEEDORES[[#This Row],[descuento antes de IVA]]-PROVEEDORES[[#This Row],[Descuento sobre subtotal $]]-PROVEEDORES[[#This Row],[Rete Fuente $]]</f>
        <v>1360000</v>
      </c>
      <c r="S57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" s="40"/>
      <c r="U57" s="97"/>
      <c r="V57" s="36"/>
      <c r="W57" s="36"/>
      <c r="X57" s="36"/>
      <c r="Y57" s="36"/>
      <c r="Z57" s="41"/>
      <c r="AA57" s="42"/>
      <c r="AF57" s="36"/>
      <c r="AG57" s="36"/>
    </row>
    <row r="58" spans="1:33" ht="21.95" hidden="1" customHeight="1" x14ac:dyDescent="0.25">
      <c r="A58" s="102" t="str">
        <f>+IF(PROVEEDORES[[#This Row],[FECHA DE PAGO]]=PROVEEDORES[[#This Row],[FECHA DE FACTURACIÓN]],"DE CONTADO","CRÉDITO")</f>
        <v>CRÉDITO</v>
      </c>
      <c r="B58" s="70" t="str">
        <f>+IF((PROVEEDORES[[#This Row],[FECHA DE PAGO]]-PROVEEDORES[[#This Row],[FECHA DE FACTURACIÓN]])&gt;PROVEEDORES[[#This Row],[PLAZO Días]],"PAGO VENCIDO")</f>
        <v>PAGO VENCIDO</v>
      </c>
      <c r="C58" s="27">
        <f>+VLOOKUP(PROVEEDORES[[#This Row],[PROVEEDOR]],TERCEROS_INFO[#All],2,FALSE)</f>
        <v>30</v>
      </c>
      <c r="D58" s="37">
        <f>+SUMIFS(PROVEEDORES[Total],PROVEEDORES[PROVEEDOR],PROVEEDORES[[#This Row],[PROVEEDOR]],PROVEEDORES[FECHA DE PAGO],"")</f>
        <v>2380000</v>
      </c>
      <c r="E58" s="37"/>
      <c r="F58" s="108" t="str">
        <f>+VLOOKUP(PROVEEDORES[[#This Row],[PROVEEDOR]],TERCEROS_INFO[[PROVEEDOR]:[CORREO]],5,FALSE)</f>
        <v/>
      </c>
      <c r="G58" s="143">
        <v>44342</v>
      </c>
      <c r="H58" s="38" t="s">
        <v>251</v>
      </c>
      <c r="I58" s="30">
        <v>44291</v>
      </c>
      <c r="J58" s="58" t="s">
        <v>1111</v>
      </c>
      <c r="K58" s="32">
        <v>3216000</v>
      </c>
      <c r="L58" s="32"/>
      <c r="M58" s="33">
        <f>(PROVEEDORES[[#This Row],[SUBTOTAL]]-PROVEEDORES[[#This Row],[descuento antes de IVA]])*VLOOKUP(PROVEEDORES[[#This Row],[PROVEEDOR]],TERCEROS_INFO[#All],3,FALSE)</f>
        <v>0</v>
      </c>
      <c r="N58" s="34"/>
      <c r="O58" s="33">
        <f>+PROVEEDORES[[#This Row],[Descuento sobre subtotal %]]*(PROVEEDORES[[#This Row],[SUBTOTAL]]-PROVEEDORES[[#This Row],[descuento antes de IVA]])</f>
        <v>0</v>
      </c>
      <c r="P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" s="33">
        <f>+(PROVEEDORES[[#This Row],[SUBTOTAL]]-PROVEEDORES[[#This Row],[descuento antes de IVA]])*PROVEEDORES[[#This Row],[Rete Fuente %]]</f>
        <v>0</v>
      </c>
      <c r="R58" s="32">
        <f>+PROVEEDORES[[#This Row],[SUBTOTAL]]+PROVEEDORES[[#This Row],[IVA 19%]]-PROVEEDORES[[#This Row],[descuento antes de IVA]]-PROVEEDORES[[#This Row],[Descuento sobre subtotal $]]-PROVEEDORES[[#This Row],[Rete Fuente $]]</f>
        <v>3216000</v>
      </c>
      <c r="S58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" s="40"/>
      <c r="U58" s="97"/>
      <c r="V58" s="36"/>
      <c r="W58" s="36"/>
      <c r="X58" s="36"/>
      <c r="Y58" s="36"/>
      <c r="Z58" s="41"/>
      <c r="AA58" s="42"/>
      <c r="AF58" s="36"/>
      <c r="AG58" s="36"/>
    </row>
    <row r="59" spans="1:33" ht="21.95" hidden="1" customHeight="1" x14ac:dyDescent="0.25">
      <c r="A59" s="103" t="str">
        <f>+IF(PROVEEDORES[[#This Row],[FECHA DE PAGO]]=PROVEEDORES[[#This Row],[FECHA DE FACTURACIÓN]],"DE CONTADO","CRÉDITO")</f>
        <v>CRÉDITO</v>
      </c>
      <c r="B59" s="70" t="str">
        <f>+IF((PROVEEDORES[[#This Row],[FECHA DE PAGO]]-PROVEEDORES[[#This Row],[FECHA DE FACTURACIÓN]])&gt;PROVEEDORES[[#This Row],[PLAZO Días]],"PAGO VENCIDO")</f>
        <v>PAGO VENCIDO</v>
      </c>
      <c r="C59" s="27">
        <f>+VLOOKUP(PROVEEDORES[[#This Row],[PROVEEDOR]],TERCEROS_INFO[#All],2,FALSE)</f>
        <v>30</v>
      </c>
      <c r="D59" s="37">
        <f>+SUMIFS(PROVEEDORES[Total],PROVEEDORES[PROVEEDOR],PROVEEDORES[[#This Row],[PROVEEDOR]],PROVEEDORES[FECHA DE PAGO],"")</f>
        <v>2380000</v>
      </c>
      <c r="E59" s="37"/>
      <c r="F59" s="108" t="str">
        <f>+VLOOKUP(PROVEEDORES[[#This Row],[PROVEEDOR]],TERCEROS_INFO[[PROVEEDOR]:[CORREO]],5,FALSE)</f>
        <v/>
      </c>
      <c r="G59" s="143">
        <v>44355</v>
      </c>
      <c r="H59" s="38" t="s">
        <v>251</v>
      </c>
      <c r="I59" s="30">
        <v>44312</v>
      </c>
      <c r="J59" s="58" t="s">
        <v>1116</v>
      </c>
      <c r="K59" s="32">
        <v>1092000</v>
      </c>
      <c r="L59" s="32"/>
      <c r="M59" s="33">
        <f>(PROVEEDORES[[#This Row],[SUBTOTAL]]-PROVEEDORES[[#This Row],[descuento antes de IVA]])*VLOOKUP(PROVEEDORES[[#This Row],[PROVEEDOR]],TERCEROS_INFO[#All],3,FALSE)</f>
        <v>0</v>
      </c>
      <c r="N59" s="34"/>
      <c r="O59" s="33">
        <f>+PROVEEDORES[[#This Row],[Descuento sobre subtotal %]]*(PROVEEDORES[[#This Row],[SUBTOTAL]]-PROVEEDORES[[#This Row],[descuento antes de IVA]])</f>
        <v>0</v>
      </c>
      <c r="P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" s="33">
        <f>+(PROVEEDORES[[#This Row],[SUBTOTAL]]-PROVEEDORES[[#This Row],[descuento antes de IVA]])*PROVEEDORES[[#This Row],[Rete Fuente %]]</f>
        <v>0</v>
      </c>
      <c r="R59" s="32">
        <f>+PROVEEDORES[[#This Row],[SUBTOTAL]]+PROVEEDORES[[#This Row],[IVA 19%]]-PROVEEDORES[[#This Row],[descuento antes de IVA]]-PROVEEDORES[[#This Row],[Descuento sobre subtotal $]]-PROVEEDORES[[#This Row],[Rete Fuente $]]</f>
        <v>1092000</v>
      </c>
      <c r="S59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" s="40"/>
      <c r="U59" s="97"/>
      <c r="V59" s="36"/>
      <c r="W59" s="36"/>
      <c r="X59" s="36"/>
      <c r="Y59" s="36"/>
      <c r="Z59" s="41"/>
      <c r="AA59" s="42"/>
      <c r="AF59" s="36"/>
      <c r="AG59" s="36"/>
    </row>
    <row r="60" spans="1:33" ht="21.95" hidden="1" customHeight="1" x14ac:dyDescent="0.25">
      <c r="A60" s="35" t="str">
        <f>+IF(PROVEEDORES[[#This Row],[FECHA DE PAGO]]=PROVEEDORES[[#This Row],[FECHA DE FACTURACIÓN]],"DE CONTADO","CRÉDITO")</f>
        <v>CRÉDITO</v>
      </c>
      <c r="B60" s="70" t="str">
        <f>+IF((PROVEEDORES[[#This Row],[FECHA DE PAGO]]-PROVEEDORES[[#This Row],[FECHA DE FACTURACIÓN]])&gt;PROVEEDORES[[#This Row],[PLAZO Días]],"PAGO VENCIDO")</f>
        <v>PAGO VENCIDO</v>
      </c>
      <c r="C60" s="27">
        <f>+VLOOKUP(PROVEEDORES[[#This Row],[PROVEEDOR]],TERCEROS_INFO[#All],2,FALSE)</f>
        <v>30</v>
      </c>
      <c r="D60" s="37">
        <f>+SUMIFS(PROVEEDORES[Total],PROVEEDORES[PROVEEDOR],PROVEEDORES[[#This Row],[PROVEEDOR]],PROVEEDORES[FECHA DE PAGO],"")</f>
        <v>2380000</v>
      </c>
      <c r="E60" s="37"/>
      <c r="F60" s="108" t="str">
        <f>+VLOOKUP(PROVEEDORES[[#This Row],[PROVEEDOR]],TERCEROS_INFO[[PROVEEDOR]:[CORREO]],5,FALSE)</f>
        <v/>
      </c>
      <c r="G60" s="143">
        <v>44376</v>
      </c>
      <c r="H60" s="38" t="s">
        <v>251</v>
      </c>
      <c r="I60" s="30">
        <v>44342</v>
      </c>
      <c r="J60" s="58" t="s">
        <v>1141</v>
      </c>
      <c r="K60" s="32">
        <v>1880000</v>
      </c>
      <c r="L60" s="32"/>
      <c r="M60" s="33">
        <f>(PROVEEDORES[[#This Row],[SUBTOTAL]]-PROVEEDORES[[#This Row],[descuento antes de IVA]])*VLOOKUP(PROVEEDORES[[#This Row],[PROVEEDOR]],TERCEROS_INFO[#All],3,FALSE)</f>
        <v>0</v>
      </c>
      <c r="N60" s="34"/>
      <c r="O60" s="33">
        <f>+PROVEEDORES[[#This Row],[Descuento sobre subtotal %]]*(PROVEEDORES[[#This Row],[SUBTOTAL]]-PROVEEDORES[[#This Row],[descuento antes de IVA]])</f>
        <v>0</v>
      </c>
      <c r="P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" s="33">
        <f>+(PROVEEDORES[[#This Row],[SUBTOTAL]]-PROVEEDORES[[#This Row],[descuento antes de IVA]])*PROVEEDORES[[#This Row],[Rete Fuente %]]</f>
        <v>0</v>
      </c>
      <c r="R60" s="32">
        <f>+PROVEEDORES[[#This Row],[SUBTOTAL]]+PROVEEDORES[[#This Row],[IVA 19%]]-PROVEEDORES[[#This Row],[descuento antes de IVA]]-PROVEEDORES[[#This Row],[Descuento sobre subtotal $]]-PROVEEDORES[[#This Row],[Rete Fuente $]]</f>
        <v>1880000</v>
      </c>
      <c r="S6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" s="40"/>
      <c r="U60" s="97"/>
      <c r="V60" s="36"/>
      <c r="W60" s="36"/>
      <c r="X60" s="36"/>
      <c r="Y60" s="36"/>
      <c r="Z60" s="41"/>
      <c r="AA60" s="42"/>
      <c r="AF60" s="36"/>
      <c r="AG60" s="36"/>
    </row>
    <row r="61" spans="1:33" ht="21.95" hidden="1" customHeight="1" x14ac:dyDescent="0.25">
      <c r="A61" s="126" t="str">
        <f>+IF(PROVEEDORES[[#This Row],[FECHA DE PAGO]]=PROVEEDORES[[#This Row],[FECHA DE FACTURACIÓN]],"DE CONTADO","CRÉDITO")</f>
        <v>CRÉDITO</v>
      </c>
      <c r="B61" s="70" t="b">
        <f>+IF((PROVEEDORES[[#This Row],[FECHA DE PAGO]]-PROVEEDORES[[#This Row],[FECHA DE FACTURACIÓN]])&gt;PROVEEDORES[[#This Row],[PLAZO Días]],"PAGO VENCIDO")</f>
        <v>0</v>
      </c>
      <c r="C61" s="27">
        <f>+VLOOKUP(PROVEEDORES[[#This Row],[PROVEEDOR]],TERCEROS_INFO[#All],2,FALSE)</f>
        <v>30</v>
      </c>
      <c r="D61" s="37">
        <f>+SUMIFS(PROVEEDORES[Total],PROVEEDORES[PROVEEDOR],PROVEEDORES[[#This Row],[PROVEEDOR]],PROVEEDORES[FECHA DE PAGO],"")</f>
        <v>2380000</v>
      </c>
      <c r="E61" s="37"/>
      <c r="F61" s="108" t="str">
        <f>+VLOOKUP(PROVEEDORES[[#This Row],[PROVEEDOR]],TERCEROS_INFO[[PROVEEDOR]:[CORREO]],5,FALSE)</f>
        <v/>
      </c>
      <c r="G61" s="143">
        <v>44391</v>
      </c>
      <c r="H61" s="38" t="s">
        <v>251</v>
      </c>
      <c r="I61" s="30">
        <v>44363</v>
      </c>
      <c r="J61" s="58" t="s">
        <v>1155</v>
      </c>
      <c r="K61" s="32">
        <v>1065000</v>
      </c>
      <c r="L61" s="32"/>
      <c r="M61" s="33">
        <f>(PROVEEDORES[[#This Row],[SUBTOTAL]]-PROVEEDORES[[#This Row],[descuento antes de IVA]])*VLOOKUP(PROVEEDORES[[#This Row],[PROVEEDOR]],TERCEROS_INFO[#All],3,FALSE)</f>
        <v>0</v>
      </c>
      <c r="N61" s="34"/>
      <c r="O61" s="33">
        <f>+PROVEEDORES[[#This Row],[Descuento sobre subtotal %]]*(PROVEEDORES[[#This Row],[SUBTOTAL]]-PROVEEDORES[[#This Row],[descuento antes de IVA]])</f>
        <v>0</v>
      </c>
      <c r="P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" s="33">
        <f>+(PROVEEDORES[[#This Row],[SUBTOTAL]]-PROVEEDORES[[#This Row],[descuento antes de IVA]])*PROVEEDORES[[#This Row],[Rete Fuente %]]</f>
        <v>0</v>
      </c>
      <c r="R61" s="32">
        <f>+PROVEEDORES[[#This Row],[SUBTOTAL]]+PROVEEDORES[[#This Row],[IVA 19%]]-PROVEEDORES[[#This Row],[descuento antes de IVA]]-PROVEEDORES[[#This Row],[Descuento sobre subtotal $]]-PROVEEDORES[[#This Row],[Rete Fuente $]]</f>
        <v>1065000</v>
      </c>
      <c r="S61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" s="40"/>
      <c r="U61" s="97"/>
      <c r="V61" s="36"/>
      <c r="W61" s="36"/>
      <c r="X61" s="36"/>
      <c r="Y61" s="36"/>
      <c r="Z61" s="41"/>
      <c r="AA61" s="42"/>
      <c r="AF61" s="36"/>
      <c r="AG61" s="36"/>
    </row>
    <row r="62" spans="1:33" ht="21.95" hidden="1" customHeight="1" x14ac:dyDescent="0.25">
      <c r="A62" s="35" t="str">
        <f>+IF(PROVEEDORES[[#This Row],[FECHA DE PAGO]]=PROVEEDORES[[#This Row],[FECHA DE FACTURACIÓN]],"DE CONTADO","CRÉDITO")</f>
        <v>CRÉDITO</v>
      </c>
      <c r="B62" s="70" t="str">
        <f>+IF((PROVEEDORES[[#This Row],[FECHA DE PAGO]]-PROVEEDORES[[#This Row],[FECHA DE FACTURACIÓN]])&gt;PROVEEDORES[[#This Row],[PLAZO Días]],"PAGO VENCIDO")</f>
        <v>PAGO VENCIDO</v>
      </c>
      <c r="C62" s="27">
        <f>+VLOOKUP(PROVEEDORES[[#This Row],[PROVEEDOR]],TERCEROS_INFO[#All],2,FALSE)</f>
        <v>30</v>
      </c>
      <c r="D62" s="37">
        <f>+SUMIFS(PROVEEDORES[Total],PROVEEDORES[PROVEEDOR],PROVEEDORES[[#This Row],[PROVEEDOR]],PROVEEDORES[FECHA DE PAGO],"")</f>
        <v>2380000</v>
      </c>
      <c r="E62" s="37"/>
      <c r="F62" s="108" t="str">
        <f>+VLOOKUP(PROVEEDORES[[#This Row],[PROVEEDOR]],TERCEROS_INFO[[PROVEEDOR]:[CORREO]],5,FALSE)</f>
        <v/>
      </c>
      <c r="G62" s="143">
        <v>44410</v>
      </c>
      <c r="H62" s="38" t="s">
        <v>251</v>
      </c>
      <c r="I62" s="30">
        <v>44376</v>
      </c>
      <c r="J62" s="58" t="s">
        <v>1174</v>
      </c>
      <c r="K62" s="32">
        <v>1922900</v>
      </c>
      <c r="L62" s="32"/>
      <c r="M62" s="33">
        <f>(PROVEEDORES[[#This Row],[SUBTOTAL]]-PROVEEDORES[[#This Row],[descuento antes de IVA]])*VLOOKUP(PROVEEDORES[[#This Row],[PROVEEDOR]],TERCEROS_INFO[#All],3,FALSE)</f>
        <v>0</v>
      </c>
      <c r="N62" s="34"/>
      <c r="O62" s="33">
        <f>+PROVEEDORES[[#This Row],[Descuento sobre subtotal %]]*(PROVEEDORES[[#This Row],[SUBTOTAL]]-PROVEEDORES[[#This Row],[descuento antes de IVA]])</f>
        <v>0</v>
      </c>
      <c r="P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" s="33">
        <f>+(PROVEEDORES[[#This Row],[SUBTOTAL]]-PROVEEDORES[[#This Row],[descuento antes de IVA]])*PROVEEDORES[[#This Row],[Rete Fuente %]]</f>
        <v>0</v>
      </c>
      <c r="R62" s="32">
        <f>+PROVEEDORES[[#This Row],[SUBTOTAL]]+PROVEEDORES[[#This Row],[IVA 19%]]-PROVEEDORES[[#This Row],[descuento antes de IVA]]-PROVEEDORES[[#This Row],[Descuento sobre subtotal $]]-PROVEEDORES[[#This Row],[Rete Fuente $]]</f>
        <v>1922900</v>
      </c>
      <c r="S6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" s="40"/>
      <c r="U62" s="97"/>
      <c r="V62" s="36"/>
      <c r="W62" s="36"/>
      <c r="X62" s="36"/>
      <c r="Y62" s="36"/>
      <c r="Z62" s="41"/>
      <c r="AA62" s="42"/>
      <c r="AF62" s="36"/>
      <c r="AG62" s="36"/>
    </row>
    <row r="63" spans="1:33" ht="21.95" hidden="1" customHeight="1" x14ac:dyDescent="0.25">
      <c r="A63" s="134" t="str">
        <f>+IF(PROVEEDORES[[#This Row],[FECHA DE PAGO]]=PROVEEDORES[[#This Row],[FECHA DE FACTURACIÓN]],"DE CONTADO","CRÉDITO")</f>
        <v>CRÉDITO</v>
      </c>
      <c r="B63" s="70" t="str">
        <f>+IF((PROVEEDORES[[#This Row],[FECHA DE PAGO]]-PROVEEDORES[[#This Row],[FECHA DE FACTURACIÓN]])&gt;PROVEEDORES[[#This Row],[PLAZO Días]],"PAGO VENCIDO")</f>
        <v>PAGO VENCIDO</v>
      </c>
      <c r="C63" s="27">
        <f>+VLOOKUP(PROVEEDORES[[#This Row],[PROVEEDOR]],TERCEROS_INFO[#All],2,FALSE)</f>
        <v>30</v>
      </c>
      <c r="D63" s="37">
        <f>+SUMIFS(PROVEEDORES[Total],PROVEEDORES[PROVEEDOR],PROVEEDORES[[#This Row],[PROVEEDOR]],PROVEEDORES[FECHA DE PAGO],"")</f>
        <v>2380000</v>
      </c>
      <c r="E63" s="37"/>
      <c r="F63" s="108" t="str">
        <f>+VLOOKUP(PROVEEDORES[[#This Row],[PROVEEDOR]],TERCEROS_INFO[[PROVEEDOR]:[CORREO]],5,FALSE)</f>
        <v/>
      </c>
      <c r="G63" s="143">
        <v>44429</v>
      </c>
      <c r="H63" s="38" t="s">
        <v>251</v>
      </c>
      <c r="I63" s="30">
        <v>44387</v>
      </c>
      <c r="J63" s="58" t="s">
        <v>1182</v>
      </c>
      <c r="K63" s="32">
        <v>1340300</v>
      </c>
      <c r="L63" s="32"/>
      <c r="M63" s="33">
        <f>(PROVEEDORES[[#This Row],[SUBTOTAL]]-PROVEEDORES[[#This Row],[descuento antes de IVA]])*VLOOKUP(PROVEEDORES[[#This Row],[PROVEEDOR]],TERCEROS_INFO[#All],3,FALSE)</f>
        <v>0</v>
      </c>
      <c r="N63" s="34"/>
      <c r="O63" s="33">
        <f>+PROVEEDORES[[#This Row],[Descuento sobre subtotal %]]*(PROVEEDORES[[#This Row],[SUBTOTAL]]-PROVEEDORES[[#This Row],[descuento antes de IVA]])</f>
        <v>0</v>
      </c>
      <c r="P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" s="33">
        <f>+(PROVEEDORES[[#This Row],[SUBTOTAL]]-PROVEEDORES[[#This Row],[descuento antes de IVA]])*PROVEEDORES[[#This Row],[Rete Fuente %]]</f>
        <v>0</v>
      </c>
      <c r="R63" s="32">
        <f>+PROVEEDORES[[#This Row],[SUBTOTAL]]+PROVEEDORES[[#This Row],[IVA 19%]]-PROVEEDORES[[#This Row],[descuento antes de IVA]]-PROVEEDORES[[#This Row],[Descuento sobre subtotal $]]-PROVEEDORES[[#This Row],[Rete Fuente $]]</f>
        <v>1340300</v>
      </c>
      <c r="S63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" s="40"/>
      <c r="U63" s="97"/>
      <c r="V63" s="36"/>
      <c r="W63" s="36"/>
      <c r="X63" s="36"/>
      <c r="Y63" s="36"/>
      <c r="Z63" s="41"/>
      <c r="AA63" s="42"/>
      <c r="AF63" s="36"/>
      <c r="AG63" s="36"/>
    </row>
    <row r="64" spans="1:33" ht="21.95" hidden="1" customHeight="1" x14ac:dyDescent="0.25">
      <c r="A64" s="135" t="str">
        <f>+IF(PROVEEDORES[[#This Row],[FECHA DE PAGO]]=PROVEEDORES[[#This Row],[FECHA DE FACTURACIÓN]],"DE CONTADO","CRÉDITO")</f>
        <v>CRÉDITO</v>
      </c>
      <c r="B64" s="70" t="str">
        <f>+IF((PROVEEDORES[[#This Row],[FECHA DE PAGO]]-PROVEEDORES[[#This Row],[FECHA DE FACTURACIÓN]])&gt;PROVEEDORES[[#This Row],[PLAZO Días]],"PAGO VENCIDO")</f>
        <v>PAGO VENCIDO</v>
      </c>
      <c r="C64" s="27">
        <f>+VLOOKUP(PROVEEDORES[[#This Row],[PROVEEDOR]],TERCEROS_INFO[#All],2,FALSE)</f>
        <v>30</v>
      </c>
      <c r="D64" s="37">
        <f>+SUMIFS(PROVEEDORES[Total],PROVEEDORES[PROVEEDOR],PROVEEDORES[[#This Row],[PROVEEDOR]],PROVEEDORES[FECHA DE PAGO],"")</f>
        <v>2380000</v>
      </c>
      <c r="E64" s="37"/>
      <c r="F64" s="108" t="str">
        <f>+VLOOKUP(PROVEEDORES[[#This Row],[PROVEEDOR]],TERCEROS_INFO[[PROVEEDOR]:[CORREO]],5,FALSE)</f>
        <v/>
      </c>
      <c r="G64" s="143">
        <v>44445</v>
      </c>
      <c r="H64" s="38" t="s">
        <v>251</v>
      </c>
      <c r="I64" s="30">
        <v>44410</v>
      </c>
      <c r="J64" s="58" t="s">
        <v>1198</v>
      </c>
      <c r="K64" s="32">
        <v>3560300</v>
      </c>
      <c r="L64" s="32"/>
      <c r="M64" s="33">
        <f>(PROVEEDORES[[#This Row],[SUBTOTAL]]-PROVEEDORES[[#This Row],[descuento antes de IVA]])*VLOOKUP(PROVEEDORES[[#This Row],[PROVEEDOR]],TERCEROS_INFO[#All],3,FALSE)</f>
        <v>0</v>
      </c>
      <c r="N64" s="34"/>
      <c r="O64" s="33">
        <f>+PROVEEDORES[[#This Row],[Descuento sobre subtotal %]]*(PROVEEDORES[[#This Row],[SUBTOTAL]]-PROVEEDORES[[#This Row],[descuento antes de IVA]])</f>
        <v>0</v>
      </c>
      <c r="P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4" s="33">
        <f>+(PROVEEDORES[[#This Row],[SUBTOTAL]]-PROVEEDORES[[#This Row],[descuento antes de IVA]])*PROVEEDORES[[#This Row],[Rete Fuente %]]</f>
        <v>0</v>
      </c>
      <c r="R64" s="32">
        <f>+PROVEEDORES[[#This Row],[SUBTOTAL]]+PROVEEDORES[[#This Row],[IVA 19%]]-PROVEEDORES[[#This Row],[descuento antes de IVA]]-PROVEEDORES[[#This Row],[Descuento sobre subtotal $]]-PROVEEDORES[[#This Row],[Rete Fuente $]]</f>
        <v>3560300</v>
      </c>
      <c r="S64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" s="40"/>
      <c r="U64" s="97"/>
      <c r="V64" s="36"/>
      <c r="W64" s="36"/>
      <c r="X64" s="36"/>
      <c r="Y64" s="36"/>
      <c r="Z64" s="41"/>
      <c r="AA64" s="42"/>
      <c r="AF64" s="36"/>
      <c r="AG64" s="36"/>
    </row>
    <row r="65" spans="1:33" ht="21.95" hidden="1" customHeight="1" x14ac:dyDescent="0.25">
      <c r="A65" s="148" t="str">
        <f>+IF(PROVEEDORES[[#This Row],[FECHA DE PAGO]]=PROVEEDORES[[#This Row],[FECHA DE FACTURACIÓN]],"DE CONTADO","CRÉDITO")</f>
        <v>CRÉDITO</v>
      </c>
      <c r="B65" s="70" t="str">
        <f>+IF((PROVEEDORES[[#This Row],[FECHA DE PAGO]]-PROVEEDORES[[#This Row],[FECHA DE FACTURACIÓN]])&gt;PROVEEDORES[[#This Row],[PLAZO Días]],"PAGO VENCIDO")</f>
        <v>PAGO VENCIDO</v>
      </c>
      <c r="C65" s="27">
        <f>+VLOOKUP(PROVEEDORES[[#This Row],[PROVEEDOR]],TERCEROS_INFO[#All],2,FALSE)</f>
        <v>30</v>
      </c>
      <c r="D65" s="37">
        <f>+SUMIFS(PROVEEDORES[Total],PROVEEDORES[PROVEEDOR],PROVEEDORES[[#This Row],[PROVEEDOR]],PROVEEDORES[FECHA DE PAGO],"")</f>
        <v>2380000</v>
      </c>
      <c r="E65" s="37"/>
      <c r="F65" s="108" t="str">
        <f>+VLOOKUP(PROVEEDORES[[#This Row],[PROVEEDOR]],TERCEROS_INFO[[PROVEEDOR]:[CORREO]],5,FALSE)</f>
        <v/>
      </c>
      <c r="G65" s="143">
        <v>44448</v>
      </c>
      <c r="H65" s="38" t="s">
        <v>251</v>
      </c>
      <c r="I65" s="30">
        <v>44410</v>
      </c>
      <c r="J65" s="58" t="s">
        <v>1198</v>
      </c>
      <c r="K65" s="32">
        <v>3560300</v>
      </c>
      <c r="L65" s="32"/>
      <c r="M65" s="33">
        <f>(PROVEEDORES[[#This Row],[SUBTOTAL]]-PROVEEDORES[[#This Row],[descuento antes de IVA]])*VLOOKUP(PROVEEDORES[[#This Row],[PROVEEDOR]],TERCEROS_INFO[#All],3,FALSE)</f>
        <v>0</v>
      </c>
      <c r="N65" s="34"/>
      <c r="O65" s="33">
        <f>+PROVEEDORES[[#This Row],[Descuento sobre subtotal %]]*(PROVEEDORES[[#This Row],[SUBTOTAL]]-PROVEEDORES[[#This Row],[descuento antes de IVA]])</f>
        <v>0</v>
      </c>
      <c r="P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5" s="33">
        <f>+(PROVEEDORES[[#This Row],[SUBTOTAL]]-PROVEEDORES[[#This Row],[descuento antes de IVA]])*PROVEEDORES[[#This Row],[Rete Fuente %]]</f>
        <v>0</v>
      </c>
      <c r="R65" s="32">
        <f>+PROVEEDORES[[#This Row],[SUBTOTAL]]+PROVEEDORES[[#This Row],[IVA 19%]]-PROVEEDORES[[#This Row],[descuento antes de IVA]]-PROVEEDORES[[#This Row],[Descuento sobre subtotal $]]-PROVEEDORES[[#This Row],[Rete Fuente $]]</f>
        <v>3560300</v>
      </c>
      <c r="S65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" s="40"/>
      <c r="U65" s="97"/>
      <c r="V65" s="36"/>
      <c r="W65" s="36"/>
      <c r="X65" s="36"/>
      <c r="Y65" s="36"/>
      <c r="Z65" s="41"/>
      <c r="AA65" s="42"/>
      <c r="AF65" s="36"/>
      <c r="AG65" s="36"/>
    </row>
    <row r="66" spans="1:33" ht="21.95" hidden="1" customHeight="1" x14ac:dyDescent="0.25">
      <c r="A66" s="142" t="str">
        <f>+IF(PROVEEDORES[[#This Row],[FECHA DE PAGO]]=PROVEEDORES[[#This Row],[FECHA DE FACTURACIÓN]],"DE CONTADO","CRÉDITO")</f>
        <v>CRÉDITO</v>
      </c>
      <c r="B66" s="70" t="str">
        <f>+IF((PROVEEDORES[[#This Row],[FECHA DE PAGO]]-PROVEEDORES[[#This Row],[FECHA DE FACTURACIÓN]])&gt;PROVEEDORES[[#This Row],[PLAZO Días]],"PAGO VENCIDO")</f>
        <v>PAGO VENCIDO</v>
      </c>
      <c r="C66" s="27">
        <f>+VLOOKUP(PROVEEDORES[[#This Row],[PROVEEDOR]],TERCEROS_INFO[#All],2,FALSE)</f>
        <v>30</v>
      </c>
      <c r="D66" s="37">
        <f>+SUMIFS(PROVEEDORES[Total],PROVEEDORES[PROVEEDOR],PROVEEDORES[[#This Row],[PROVEEDOR]],PROVEEDORES[FECHA DE PAGO],"")</f>
        <v>2380000</v>
      </c>
      <c r="E66" s="37"/>
      <c r="F66" s="108" t="str">
        <f>+VLOOKUP(PROVEEDORES[[#This Row],[PROVEEDOR]],TERCEROS_INFO[[PROVEEDOR]:[CORREO]],5,FALSE)</f>
        <v/>
      </c>
      <c r="G66" s="143">
        <v>44466</v>
      </c>
      <c r="H66" s="38" t="s">
        <v>251</v>
      </c>
      <c r="I66" s="30">
        <v>44425</v>
      </c>
      <c r="J66" s="58" t="s">
        <v>1212</v>
      </c>
      <c r="K66" s="32">
        <v>1019000</v>
      </c>
      <c r="L66" s="32"/>
      <c r="M66" s="33">
        <f>(PROVEEDORES[[#This Row],[SUBTOTAL]]-PROVEEDORES[[#This Row],[descuento antes de IVA]])*VLOOKUP(PROVEEDORES[[#This Row],[PROVEEDOR]],TERCEROS_INFO[#All],3,FALSE)</f>
        <v>0</v>
      </c>
      <c r="N66" s="34"/>
      <c r="O66" s="33">
        <f>+PROVEEDORES[[#This Row],[Descuento sobre subtotal %]]*(PROVEEDORES[[#This Row],[SUBTOTAL]]-PROVEEDORES[[#This Row],[descuento antes de IVA]])</f>
        <v>0</v>
      </c>
      <c r="P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6" s="33">
        <f>+(PROVEEDORES[[#This Row],[SUBTOTAL]]-PROVEEDORES[[#This Row],[descuento antes de IVA]])*PROVEEDORES[[#This Row],[Rete Fuente %]]</f>
        <v>0</v>
      </c>
      <c r="R66" s="32">
        <f>+PROVEEDORES[[#This Row],[SUBTOTAL]]+PROVEEDORES[[#This Row],[IVA 19%]]-PROVEEDORES[[#This Row],[descuento antes de IVA]]-PROVEEDORES[[#This Row],[Descuento sobre subtotal $]]-PROVEEDORES[[#This Row],[Rete Fuente $]]</f>
        <v>1019000</v>
      </c>
      <c r="S66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" s="40"/>
      <c r="U66" s="97"/>
      <c r="V66" s="36"/>
      <c r="W66" s="36"/>
      <c r="X66" s="36"/>
      <c r="Y66" s="36"/>
      <c r="Z66" s="41"/>
      <c r="AA66" s="42"/>
      <c r="AF66" s="36"/>
      <c r="AG66" s="36"/>
    </row>
    <row r="67" spans="1:33" ht="21.95" hidden="1" customHeight="1" x14ac:dyDescent="0.25">
      <c r="A67" s="148" t="str">
        <f>+IF(PROVEEDORES[[#This Row],[FECHA DE PAGO]]=PROVEEDORES[[#This Row],[FECHA DE FACTURACIÓN]],"DE CONTADO","CRÉDITO")</f>
        <v>CRÉDITO</v>
      </c>
      <c r="B67" s="70" t="str">
        <f>+IF((PROVEEDORES[[#This Row],[FECHA DE PAGO]]-PROVEEDORES[[#This Row],[FECHA DE FACTURACIÓN]])&gt;PROVEEDORES[[#This Row],[PLAZO Días]],"PAGO VENCIDO")</f>
        <v>PAGO VENCIDO</v>
      </c>
      <c r="C67" s="27">
        <f>+VLOOKUP(PROVEEDORES[[#This Row],[PROVEEDOR]],TERCEROS_INFO[#All],2,FALSE)</f>
        <v>30</v>
      </c>
      <c r="D67" s="37">
        <f>+SUMIFS(PROVEEDORES[Total],PROVEEDORES[PROVEEDOR],PROVEEDORES[[#This Row],[PROVEEDOR]],PROVEEDORES[FECHA DE PAGO],"")</f>
        <v>2380000</v>
      </c>
      <c r="E67" s="37"/>
      <c r="F67" s="108" t="str">
        <f>+VLOOKUP(PROVEEDORES[[#This Row],[PROVEEDOR]],TERCEROS_INFO[[PROVEEDOR]:[CORREO]],5,FALSE)</f>
        <v/>
      </c>
      <c r="G67" s="143">
        <v>44494</v>
      </c>
      <c r="H67" s="38" t="s">
        <v>251</v>
      </c>
      <c r="I67" s="30">
        <v>44445</v>
      </c>
      <c r="J67" s="58" t="s">
        <v>1235</v>
      </c>
      <c r="K67" s="32">
        <v>75000</v>
      </c>
      <c r="L67" s="32"/>
      <c r="M67" s="33">
        <f>(PROVEEDORES[[#This Row],[SUBTOTAL]]-PROVEEDORES[[#This Row],[descuento antes de IVA]])*VLOOKUP(PROVEEDORES[[#This Row],[PROVEEDOR]],TERCEROS_INFO[#All],3,FALSE)</f>
        <v>0</v>
      </c>
      <c r="N67" s="34"/>
      <c r="O67" s="33">
        <f>+PROVEEDORES[[#This Row],[Descuento sobre subtotal %]]*(PROVEEDORES[[#This Row],[SUBTOTAL]]-PROVEEDORES[[#This Row],[descuento antes de IVA]])</f>
        <v>0</v>
      </c>
      <c r="P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7" s="33">
        <f>+(PROVEEDORES[[#This Row],[SUBTOTAL]]-PROVEEDORES[[#This Row],[descuento antes de IVA]])*PROVEEDORES[[#This Row],[Rete Fuente %]]</f>
        <v>0</v>
      </c>
      <c r="R67" s="32">
        <f>+PROVEEDORES[[#This Row],[SUBTOTAL]]+PROVEEDORES[[#This Row],[IVA 19%]]-PROVEEDORES[[#This Row],[descuento antes de IVA]]-PROVEEDORES[[#This Row],[Descuento sobre subtotal $]]-PROVEEDORES[[#This Row],[Rete Fuente $]]</f>
        <v>75000</v>
      </c>
      <c r="S67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" s="40"/>
      <c r="U67" s="97"/>
      <c r="V67" s="36"/>
      <c r="W67" s="36"/>
      <c r="X67" s="36"/>
      <c r="Y67" s="36"/>
      <c r="Z67" s="41"/>
      <c r="AA67" s="42"/>
      <c r="AF67" s="36"/>
      <c r="AG67" s="36"/>
    </row>
    <row r="68" spans="1:33" ht="21.95" hidden="1" customHeight="1" x14ac:dyDescent="0.25">
      <c r="A68" s="153" t="str">
        <f>+IF(PROVEEDORES[[#This Row],[FECHA DE PAGO]]=PROVEEDORES[[#This Row],[FECHA DE FACTURACIÓN]],"DE CONTADO","CRÉDITO")</f>
        <v>CRÉDITO</v>
      </c>
      <c r="B68" s="70" t="b">
        <f>+IF((PROVEEDORES[[#This Row],[FECHA DE PAGO]]-PROVEEDORES[[#This Row],[FECHA DE FACTURACIÓN]])&gt;PROVEEDORES[[#This Row],[PLAZO Días]],"PAGO VENCIDO")</f>
        <v>0</v>
      </c>
      <c r="C68" s="27">
        <f>+VLOOKUP(PROVEEDORES[[#This Row],[PROVEEDOR]],TERCEROS_INFO[#All],2,FALSE)</f>
        <v>30</v>
      </c>
      <c r="D68" s="37">
        <f>+SUMIFS(PROVEEDORES[Total],PROVEEDORES[PROVEEDOR],PROVEEDORES[[#This Row],[PROVEEDOR]],PROVEEDORES[FECHA DE PAGO],"")</f>
        <v>2380000</v>
      </c>
      <c r="E68" s="37"/>
      <c r="F68" s="108" t="str">
        <f>+VLOOKUP(PROVEEDORES[[#This Row],[PROVEEDOR]],TERCEROS_INFO[[PROVEEDOR]:[CORREO]],5,FALSE)</f>
        <v/>
      </c>
      <c r="G68" s="143">
        <v>44482</v>
      </c>
      <c r="H68" s="38" t="s">
        <v>251</v>
      </c>
      <c r="I68" s="30">
        <v>44456</v>
      </c>
      <c r="J68" s="58" t="s">
        <v>1249</v>
      </c>
      <c r="K68" s="32">
        <v>2180000</v>
      </c>
      <c r="L68" s="32"/>
      <c r="M68" s="33">
        <f>(PROVEEDORES[[#This Row],[SUBTOTAL]]-PROVEEDORES[[#This Row],[descuento antes de IVA]])*VLOOKUP(PROVEEDORES[[#This Row],[PROVEEDOR]],TERCEROS_INFO[#All],3,FALSE)</f>
        <v>0</v>
      </c>
      <c r="N68" s="34"/>
      <c r="O68" s="33">
        <f>+PROVEEDORES[[#This Row],[Descuento sobre subtotal %]]*(PROVEEDORES[[#This Row],[SUBTOTAL]]-PROVEEDORES[[#This Row],[descuento antes de IVA]])</f>
        <v>0</v>
      </c>
      <c r="P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8" s="33">
        <f>+(PROVEEDORES[[#This Row],[SUBTOTAL]]-PROVEEDORES[[#This Row],[descuento antes de IVA]])*PROVEEDORES[[#This Row],[Rete Fuente %]]</f>
        <v>0</v>
      </c>
      <c r="R68" s="32">
        <f>+PROVEEDORES[[#This Row],[SUBTOTAL]]+PROVEEDORES[[#This Row],[IVA 19%]]-PROVEEDORES[[#This Row],[descuento antes de IVA]]-PROVEEDORES[[#This Row],[Descuento sobre subtotal $]]-PROVEEDORES[[#This Row],[Rete Fuente $]]</f>
        <v>2180000</v>
      </c>
      <c r="S68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" s="40"/>
      <c r="U68" s="97"/>
      <c r="V68" s="36"/>
      <c r="W68" s="36"/>
      <c r="X68" s="36"/>
      <c r="Y68" s="36"/>
      <c r="Z68" s="41"/>
      <c r="AA68" s="42"/>
      <c r="AF68" s="36"/>
      <c r="AG68" s="36"/>
    </row>
    <row r="69" spans="1:33" ht="21.95" hidden="1" customHeight="1" x14ac:dyDescent="0.25">
      <c r="A69" s="154" t="str">
        <f>+IF(PROVEEDORES[[#This Row],[FECHA DE PAGO]]=PROVEEDORES[[#This Row],[FECHA DE FACTURACIÓN]],"DE CONTADO","CRÉDITO")</f>
        <v>CRÉDITO</v>
      </c>
      <c r="B69" s="70" t="str">
        <f>+IF((PROVEEDORES[[#This Row],[FECHA DE PAGO]]-PROVEEDORES[[#This Row],[FECHA DE FACTURACIÓN]])&gt;PROVEEDORES[[#This Row],[PLAZO Días]],"PAGO VENCIDO")</f>
        <v>PAGO VENCIDO</v>
      </c>
      <c r="C69" s="27">
        <f>+VLOOKUP(PROVEEDORES[[#This Row],[PROVEEDOR]],TERCEROS_INFO[#All],2,FALSE)</f>
        <v>30</v>
      </c>
      <c r="D69" s="37">
        <f>+SUMIFS(PROVEEDORES[Total],PROVEEDORES[PROVEEDOR],PROVEEDORES[[#This Row],[PROVEEDOR]],PROVEEDORES[FECHA DE PAGO],"")</f>
        <v>2380000</v>
      </c>
      <c r="E69" s="37"/>
      <c r="F69" s="108" t="str">
        <f>+VLOOKUP(PROVEEDORES[[#This Row],[PROVEEDOR]],TERCEROS_INFO[[PROVEEDOR]:[CORREO]],5,FALSE)</f>
        <v/>
      </c>
      <c r="G69" s="143">
        <v>44509</v>
      </c>
      <c r="H69" s="38" t="s">
        <v>251</v>
      </c>
      <c r="I69" s="30">
        <v>44467</v>
      </c>
      <c r="J69" s="58" t="s">
        <v>1258</v>
      </c>
      <c r="K69" s="32">
        <v>2408000</v>
      </c>
      <c r="L69" s="32"/>
      <c r="M69" s="33">
        <f>(PROVEEDORES[[#This Row],[SUBTOTAL]]-PROVEEDORES[[#This Row],[descuento antes de IVA]])*VLOOKUP(PROVEEDORES[[#This Row],[PROVEEDOR]],TERCEROS_INFO[#All],3,FALSE)</f>
        <v>0</v>
      </c>
      <c r="N69" s="34"/>
      <c r="O69" s="33">
        <f>+PROVEEDORES[[#This Row],[Descuento sobre subtotal %]]*(PROVEEDORES[[#This Row],[SUBTOTAL]]-PROVEEDORES[[#This Row],[descuento antes de IVA]])</f>
        <v>0</v>
      </c>
      <c r="P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9" s="33">
        <f>+(PROVEEDORES[[#This Row],[SUBTOTAL]]-PROVEEDORES[[#This Row],[descuento antes de IVA]])*PROVEEDORES[[#This Row],[Rete Fuente %]]</f>
        <v>0</v>
      </c>
      <c r="R69" s="32">
        <f>+PROVEEDORES[[#This Row],[SUBTOTAL]]+PROVEEDORES[[#This Row],[IVA 19%]]-PROVEEDORES[[#This Row],[descuento antes de IVA]]-PROVEEDORES[[#This Row],[Descuento sobre subtotal $]]-PROVEEDORES[[#This Row],[Rete Fuente $]]</f>
        <v>2408000</v>
      </c>
      <c r="S69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" s="40"/>
      <c r="U69" s="97"/>
      <c r="V69" s="36"/>
      <c r="W69" s="36"/>
      <c r="X69" s="36"/>
      <c r="Y69" s="36"/>
      <c r="Z69" s="41"/>
      <c r="AA69" s="42"/>
      <c r="AF69" s="36"/>
      <c r="AG69" s="36"/>
    </row>
    <row r="70" spans="1:33" ht="21.95" hidden="1" customHeight="1" x14ac:dyDescent="0.25">
      <c r="A70" s="161" t="str">
        <f>+IF(PROVEEDORES[[#This Row],[FECHA DE PAGO]]=PROVEEDORES[[#This Row],[FECHA DE FACTURACIÓN]],"DE CONTADO","CRÉDITO")</f>
        <v>CRÉDITO</v>
      </c>
      <c r="B70" s="70" t="str">
        <f>+IF((PROVEEDORES[[#This Row],[FECHA DE PAGO]]-PROVEEDORES[[#This Row],[FECHA DE FACTURACIÓN]])&gt;PROVEEDORES[[#This Row],[PLAZO Días]],"PAGO VENCIDO")</f>
        <v>PAGO VENCIDO</v>
      </c>
      <c r="C70" s="27">
        <f>+VLOOKUP(PROVEEDORES[[#This Row],[PROVEEDOR]],TERCEROS_INFO[#All],2,FALSE)</f>
        <v>30</v>
      </c>
      <c r="D70" s="37">
        <f>+SUMIFS(PROVEEDORES[Total],PROVEEDORES[PROVEEDOR],PROVEEDORES[[#This Row],[PROVEEDOR]],PROVEEDORES[FECHA DE PAGO],"")</f>
        <v>2380000</v>
      </c>
      <c r="E70" s="37"/>
      <c r="F70" s="108" t="str">
        <f>+VLOOKUP(PROVEEDORES[[#This Row],[PROVEEDOR]],TERCEROS_INFO[[PROVEEDOR]:[CORREO]],5,FALSE)</f>
        <v/>
      </c>
      <c r="G70" s="143">
        <v>44539</v>
      </c>
      <c r="H70" s="38" t="s">
        <v>251</v>
      </c>
      <c r="I70" s="30">
        <v>44496</v>
      </c>
      <c r="J70" s="58" t="s">
        <v>1286</v>
      </c>
      <c r="K70" s="32">
        <v>3265000</v>
      </c>
      <c r="L70" s="32"/>
      <c r="M70" s="33">
        <f>(PROVEEDORES[[#This Row],[SUBTOTAL]]-PROVEEDORES[[#This Row],[descuento antes de IVA]])*VLOOKUP(PROVEEDORES[[#This Row],[PROVEEDOR]],TERCEROS_INFO[#All],3,FALSE)</f>
        <v>0</v>
      </c>
      <c r="N70" s="34"/>
      <c r="O70" s="33">
        <f>+PROVEEDORES[[#This Row],[Descuento sobre subtotal %]]*(PROVEEDORES[[#This Row],[SUBTOTAL]]-PROVEEDORES[[#This Row],[descuento antes de IVA]])</f>
        <v>0</v>
      </c>
      <c r="P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" s="33">
        <f>+(PROVEEDORES[[#This Row],[SUBTOTAL]]-PROVEEDORES[[#This Row],[descuento antes de IVA]])*PROVEEDORES[[#This Row],[Rete Fuente %]]</f>
        <v>0</v>
      </c>
      <c r="R70" s="32">
        <f>+PROVEEDORES[[#This Row],[SUBTOTAL]]+PROVEEDORES[[#This Row],[IVA 19%]]-PROVEEDORES[[#This Row],[descuento antes de IVA]]-PROVEEDORES[[#This Row],[Descuento sobre subtotal $]]-PROVEEDORES[[#This Row],[Rete Fuente $]]</f>
        <v>3265000</v>
      </c>
      <c r="S70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" s="40"/>
      <c r="U70" s="97"/>
      <c r="V70" s="36"/>
      <c r="W70" s="36"/>
      <c r="X70" s="36"/>
      <c r="Y70" s="36"/>
      <c r="Z70" s="41"/>
      <c r="AA70" s="42"/>
      <c r="AF70" s="36"/>
      <c r="AG70" s="36"/>
    </row>
    <row r="71" spans="1:33" ht="21.95" hidden="1" customHeight="1" x14ac:dyDescent="0.25">
      <c r="A71" s="35" t="str">
        <f>+IF(PROVEEDORES[[#This Row],[FECHA DE PAGO]]=PROVEEDORES[[#This Row],[FECHA DE FACTURACIÓN]],"DE CONTADO","CRÉDITO")</f>
        <v>CRÉDITO</v>
      </c>
      <c r="B71" s="70" t="b">
        <f>+IF((PROVEEDORES[[#This Row],[FECHA DE PAGO]]-PROVEEDORES[[#This Row],[FECHA DE FACTURACIÓN]])&gt;PROVEEDORES[[#This Row],[PLAZO Días]],"PAGO VENCIDO")</f>
        <v>0</v>
      </c>
      <c r="C71" s="27">
        <f>+VLOOKUP(PROVEEDORES[[#This Row],[PROVEEDOR]],TERCEROS_INFO[#All],2,FALSE)</f>
        <v>30</v>
      </c>
      <c r="D71" s="37">
        <f>+SUMIFS(PROVEEDORES[Total],PROVEEDORES[PROVEEDOR],PROVEEDORES[[#This Row],[PROVEEDOR]],PROVEEDORES[FECHA DE PAGO],"")</f>
        <v>2380000</v>
      </c>
      <c r="E71" s="37"/>
      <c r="F71" s="108" t="str">
        <f>+VLOOKUP(PROVEEDORES[[#This Row],[PROVEEDOR]],TERCEROS_INFO[[PROVEEDOR]:[CORREO]],5,FALSE)</f>
        <v/>
      </c>
      <c r="G71" s="143">
        <v>44200</v>
      </c>
      <c r="H71" s="38" t="s">
        <v>251</v>
      </c>
      <c r="I71" s="30">
        <v>44550</v>
      </c>
      <c r="J71" s="58" t="s">
        <v>1327</v>
      </c>
      <c r="K71" s="32">
        <v>1045000</v>
      </c>
      <c r="L71" s="32"/>
      <c r="M71" s="33">
        <f>(PROVEEDORES[[#This Row],[SUBTOTAL]]-PROVEEDORES[[#This Row],[descuento antes de IVA]])*VLOOKUP(PROVEEDORES[[#This Row],[PROVEEDOR]],TERCEROS_INFO[#All],3,FALSE)</f>
        <v>0</v>
      </c>
      <c r="N71" s="34"/>
      <c r="O71" s="33">
        <f>+PROVEEDORES[[#This Row],[Descuento sobre subtotal %]]*(PROVEEDORES[[#This Row],[SUBTOTAL]]-PROVEEDORES[[#This Row],[descuento antes de IVA]])</f>
        <v>0</v>
      </c>
      <c r="P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" s="33">
        <f>+(PROVEEDORES[[#This Row],[SUBTOTAL]]-PROVEEDORES[[#This Row],[descuento antes de IVA]])*PROVEEDORES[[#This Row],[Rete Fuente %]]</f>
        <v>0</v>
      </c>
      <c r="R71" s="32">
        <f>+PROVEEDORES[[#This Row],[SUBTOTAL]]+PROVEEDORES[[#This Row],[IVA 19%]]-PROVEEDORES[[#This Row],[descuento antes de IVA]]-PROVEEDORES[[#This Row],[Descuento sobre subtotal $]]-PROVEEDORES[[#This Row],[Rete Fuente $]]</f>
        <v>1045000</v>
      </c>
      <c r="S7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" s="40"/>
      <c r="U71" s="97"/>
      <c r="V71" s="36"/>
      <c r="W71" s="36"/>
      <c r="X71" s="36"/>
      <c r="Y71" s="36"/>
      <c r="Z71" s="41"/>
      <c r="AA71" s="42"/>
      <c r="AF71" s="36"/>
      <c r="AG71" s="36"/>
    </row>
    <row r="72" spans="1:33" ht="21.95" hidden="1" customHeight="1" x14ac:dyDescent="0.25">
      <c r="A72" s="35" t="str">
        <f>+IF(PROVEEDORES[[#This Row],[FECHA DE PAGO]]=PROVEEDORES[[#This Row],[FECHA DE FACTURACIÓN]],"DE CONTADO","CRÉDITO")</f>
        <v>CRÉDITO</v>
      </c>
      <c r="B72" s="70" t="b">
        <f>+IF((PROVEEDORES[[#This Row],[FECHA DE PAGO]]-PROVEEDORES[[#This Row],[FECHA DE FACTURACIÓN]])&gt;PROVEEDORES[[#This Row],[PLAZO Días]],"PAGO VENCIDO")</f>
        <v>0</v>
      </c>
      <c r="C72" s="27">
        <f>+VLOOKUP(PROVEEDORES[[#This Row],[PROVEEDOR]],TERCEROS_INFO[#All],2,FALSE)</f>
        <v>30</v>
      </c>
      <c r="D72" s="37">
        <f>+SUMIFS(PROVEEDORES[Total],PROVEEDORES[PROVEEDOR],PROVEEDORES[[#This Row],[PROVEEDOR]],PROVEEDORES[FECHA DE PAGO],"")</f>
        <v>2380000</v>
      </c>
      <c r="E72" s="37"/>
      <c r="F72" s="108" t="str">
        <f>+VLOOKUP(PROVEEDORES[[#This Row],[PROVEEDOR]],TERCEROS_INFO[[PROVEEDOR]:[CORREO]],5,FALSE)</f>
        <v/>
      </c>
      <c r="H72" s="38" t="s">
        <v>251</v>
      </c>
      <c r="I72" s="30">
        <v>44552</v>
      </c>
      <c r="J72" s="58" t="s">
        <v>1328</v>
      </c>
      <c r="K72" s="32">
        <v>2380000</v>
      </c>
      <c r="L72" s="32"/>
      <c r="M72" s="33">
        <f>(PROVEEDORES[[#This Row],[SUBTOTAL]]-PROVEEDORES[[#This Row],[descuento antes de IVA]])*VLOOKUP(PROVEEDORES[[#This Row],[PROVEEDOR]],TERCEROS_INFO[#All],3,FALSE)</f>
        <v>0</v>
      </c>
      <c r="N72" s="34"/>
      <c r="O72" s="33">
        <f>+PROVEEDORES[[#This Row],[Descuento sobre subtotal %]]*(PROVEEDORES[[#This Row],[SUBTOTAL]]-PROVEEDORES[[#This Row],[descuento antes de IVA]])</f>
        <v>0</v>
      </c>
      <c r="P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" s="33">
        <f>+(PROVEEDORES[[#This Row],[SUBTOTAL]]-PROVEEDORES[[#This Row],[descuento antes de IVA]])*PROVEEDORES[[#This Row],[Rete Fuente %]]</f>
        <v>0</v>
      </c>
      <c r="R72" s="32">
        <f>+PROVEEDORES[[#This Row],[SUBTOTAL]]+PROVEEDORES[[#This Row],[IVA 19%]]-PROVEEDORES[[#This Row],[descuento antes de IVA]]-PROVEEDORES[[#This Row],[Descuento sobre subtotal $]]-PROVEEDORES[[#This Row],[Rete Fuente $]]</f>
        <v>2380000</v>
      </c>
      <c r="S72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2" s="40"/>
      <c r="U72" s="97"/>
      <c r="V72" s="36"/>
      <c r="W72" s="36"/>
      <c r="X72" s="36"/>
      <c r="Y72" s="36"/>
      <c r="Z72" s="41"/>
      <c r="AA72" s="42"/>
      <c r="AF72" s="36"/>
      <c r="AG72" s="36"/>
    </row>
    <row r="73" spans="1:33" ht="21.95" hidden="1" customHeight="1" x14ac:dyDescent="0.25">
      <c r="A73" s="39" t="str">
        <f>+IF(PROVEEDORES[[#This Row],[FECHA DE PAGO]]=PROVEEDORES[[#This Row],[FECHA DE FACTURACIÓN]],"DE CONTADO","CRÉDITO")</f>
        <v>CRÉDITO</v>
      </c>
      <c r="B73" s="67" t="str">
        <f>+IF((PROVEEDORES[[#This Row],[FECHA DE PAGO]]-PROVEEDORES[[#This Row],[FECHA DE FACTURACIÓN]])&gt;PROVEEDORES[[#This Row],[PLAZO Días]],"PAGO VENCIDO")</f>
        <v>PAGO VENCIDO</v>
      </c>
      <c r="C73" s="27">
        <f>+VLOOKUP(PROVEEDORES[[#This Row],[PROVEEDOR]],TERCEROS_INFO[#All],2,FALSE)</f>
        <v>30</v>
      </c>
      <c r="D73" s="37">
        <f>+SUMIFS(PROVEEDORES[Total],PROVEEDORES[PROVEEDOR],PROVEEDORES[[#This Row],[PROVEEDOR]],PROVEEDORES[FECHA DE PAGO],"")</f>
        <v>0</v>
      </c>
      <c r="E73" s="37" t="s">
        <v>335</v>
      </c>
      <c r="F73" s="108" t="str">
        <f>+VLOOKUP(PROVEEDORES[[#This Row],[PROVEEDOR]],TERCEROS_INFO[[PROVEEDOR]:[CORREO]],5,FALSE)</f>
        <v/>
      </c>
      <c r="G73" s="143">
        <v>43986</v>
      </c>
      <c r="H73" s="38" t="s">
        <v>252</v>
      </c>
      <c r="I73" s="30">
        <v>43891</v>
      </c>
      <c r="J73" s="58" t="s">
        <v>1057</v>
      </c>
      <c r="K73" s="32">
        <v>585900</v>
      </c>
      <c r="L73" s="32"/>
      <c r="M73" s="33">
        <f>(PROVEEDORES[[#This Row],[SUBTOTAL]]-PROVEEDORES[[#This Row],[descuento antes de IVA]])*VLOOKUP(PROVEEDORES[[#This Row],[PROVEEDOR]],TERCEROS_INFO[#All],3,FALSE)</f>
        <v>0</v>
      </c>
      <c r="N73" s="34"/>
      <c r="O73" s="33">
        <f>+PROVEEDORES[[#This Row],[Descuento sobre subtotal %]]*(PROVEEDORES[[#This Row],[SUBTOTAL]]-PROVEEDORES[[#This Row],[descuento antes de IVA]])</f>
        <v>0</v>
      </c>
      <c r="P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3" s="33">
        <f>+(PROVEEDORES[[#This Row],[SUBTOTAL]]-PROVEEDORES[[#This Row],[descuento antes de IVA]])*PROVEEDORES[[#This Row],[Rete Fuente %]]</f>
        <v>0</v>
      </c>
      <c r="R73" s="32">
        <f>+PROVEEDORES[[#This Row],[SUBTOTAL]]+PROVEEDORES[[#This Row],[IVA 19%]]-PROVEEDORES[[#This Row],[descuento antes de IVA]]-PROVEEDORES[[#This Row],[Descuento sobre subtotal $]]-PROVEEDORES[[#This Row],[Rete Fuente $]]</f>
        <v>585900</v>
      </c>
      <c r="S7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" s="40"/>
      <c r="U73" s="97"/>
      <c r="V73" s="36"/>
      <c r="W73" s="36"/>
      <c r="X73" s="36"/>
      <c r="Y73" s="36"/>
      <c r="Z73" s="41"/>
      <c r="AA73" s="42"/>
      <c r="AF73" s="36"/>
      <c r="AG73" s="36"/>
    </row>
    <row r="74" spans="1:33" ht="21.95" hidden="1" customHeight="1" x14ac:dyDescent="0.25">
      <c r="A74" s="39" t="str">
        <f>+IF(PROVEEDORES[[#This Row],[FECHA DE PAGO]]=PROVEEDORES[[#This Row],[FECHA DE FACTURACIÓN]],"DE CONTADO","CRÉDITO")</f>
        <v>CRÉDITO</v>
      </c>
      <c r="B74" s="67" t="b">
        <f>+IF((PROVEEDORES[[#This Row],[FECHA DE PAGO]]-PROVEEDORES[[#This Row],[FECHA DE FACTURACIÓN]])&gt;PROVEEDORES[[#This Row],[PLAZO Días]],"PAGO VENCIDO")</f>
        <v>0</v>
      </c>
      <c r="C74" s="27">
        <f>+VLOOKUP(PROVEEDORES[[#This Row],[PROVEEDOR]],TERCEROS_INFO[#All],2,FALSE)</f>
        <v>30</v>
      </c>
      <c r="D74" s="37">
        <f>+SUMIFS(PROVEEDORES[Total],PROVEEDORES[PROVEEDOR],PROVEEDORES[[#This Row],[PROVEEDOR]],PROVEEDORES[FECHA DE PAGO],"")</f>
        <v>0</v>
      </c>
      <c r="E74" s="37"/>
      <c r="F74" s="108" t="str">
        <f>+VLOOKUP(PROVEEDORES[[#This Row],[PROVEEDOR]],TERCEROS_INFO[[PROVEEDOR]:[CORREO]],5,FALSE)</f>
        <v/>
      </c>
      <c r="G74" s="143">
        <v>44118</v>
      </c>
      <c r="H74" s="38" t="s">
        <v>252</v>
      </c>
      <c r="I74" s="30">
        <v>44088</v>
      </c>
      <c r="J74" s="58">
        <v>23288</v>
      </c>
      <c r="K74" s="32">
        <v>719100</v>
      </c>
      <c r="L74" s="32"/>
      <c r="M74" s="33">
        <f>(PROVEEDORES[[#This Row],[SUBTOTAL]]-PROVEEDORES[[#This Row],[descuento antes de IVA]])*VLOOKUP(PROVEEDORES[[#This Row],[PROVEEDOR]],TERCEROS_INFO[#All],3,FALSE)</f>
        <v>0</v>
      </c>
      <c r="N74" s="34"/>
      <c r="O74" s="33">
        <f>+PROVEEDORES[[#This Row],[Descuento sobre subtotal %]]*(PROVEEDORES[[#This Row],[SUBTOTAL]]-PROVEEDORES[[#This Row],[descuento antes de IVA]])</f>
        <v>0</v>
      </c>
      <c r="P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4" s="33">
        <f>+(PROVEEDORES[[#This Row],[SUBTOTAL]]-PROVEEDORES[[#This Row],[descuento antes de IVA]])*PROVEEDORES[[#This Row],[Rete Fuente %]]</f>
        <v>0</v>
      </c>
      <c r="R74" s="32">
        <f>+PROVEEDORES[[#This Row],[SUBTOTAL]]+PROVEEDORES[[#This Row],[IVA 19%]]-PROVEEDORES[[#This Row],[descuento antes de IVA]]-PROVEEDORES[[#This Row],[Descuento sobre subtotal $]]-PROVEEDORES[[#This Row],[Rete Fuente $]]</f>
        <v>719100</v>
      </c>
      <c r="S7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" s="40"/>
      <c r="U74" s="97"/>
      <c r="V74" s="36"/>
      <c r="W74" s="36"/>
      <c r="X74" s="36"/>
      <c r="Y74" s="36"/>
      <c r="Z74" s="41"/>
      <c r="AA74" s="42"/>
      <c r="AF74" s="36"/>
      <c r="AG74" s="36"/>
    </row>
    <row r="75" spans="1:33" ht="21.95" hidden="1" customHeight="1" x14ac:dyDescent="0.25">
      <c r="A75" s="39" t="str">
        <f>+IF(PROVEEDORES[[#This Row],[FECHA DE PAGO]]=PROVEEDORES[[#This Row],[FECHA DE FACTURACIÓN]],"DE CONTADO","CRÉDITO")</f>
        <v>DE CONTADO</v>
      </c>
      <c r="B75" s="67" t="b">
        <f>+IF((PROVEEDORES[[#This Row],[FECHA DE PAGO]]-PROVEEDORES[[#This Row],[FECHA DE FACTURACIÓN]])&gt;PROVEEDORES[[#This Row],[PLAZO Días]],"PAGO VENCIDO")</f>
        <v>0</v>
      </c>
      <c r="C75" s="27">
        <f>+VLOOKUP(PROVEEDORES[[#This Row],[PROVEEDOR]],TERCEROS_INFO[#All],2,FALSE)</f>
        <v>30</v>
      </c>
      <c r="D75" s="37">
        <f>+SUMIFS(PROVEEDORES[Total],PROVEEDORES[PROVEEDOR],PROVEEDORES[[#This Row],[PROVEEDOR]],PROVEEDORES[FECHA DE PAGO],"")</f>
        <v>0</v>
      </c>
      <c r="E75" s="37"/>
      <c r="F75" s="108" t="str">
        <f>+VLOOKUP(PROVEEDORES[[#This Row],[PROVEEDOR]],TERCEROS_INFO[[PROVEEDOR]:[CORREO]],5,FALSE)</f>
        <v/>
      </c>
      <c r="G75" s="143">
        <v>44095</v>
      </c>
      <c r="H75" s="38" t="s">
        <v>252</v>
      </c>
      <c r="I75" s="30">
        <v>44095</v>
      </c>
      <c r="J75" s="58" t="s">
        <v>146</v>
      </c>
      <c r="K75" s="32">
        <v>201960</v>
      </c>
      <c r="L75" s="32"/>
      <c r="M75" s="33">
        <f>(PROVEEDORES[[#This Row],[SUBTOTAL]]-PROVEEDORES[[#This Row],[descuento antes de IVA]])*VLOOKUP(PROVEEDORES[[#This Row],[PROVEEDOR]],TERCEROS_INFO[#All],3,FALSE)</f>
        <v>0</v>
      </c>
      <c r="N75" s="34"/>
      <c r="O75" s="33">
        <f>+PROVEEDORES[[#This Row],[Descuento sobre subtotal %]]*(PROVEEDORES[[#This Row],[SUBTOTAL]]-PROVEEDORES[[#This Row],[descuento antes de IVA]])</f>
        <v>0</v>
      </c>
      <c r="P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5" s="33">
        <f>+(PROVEEDORES[[#This Row],[SUBTOTAL]]-PROVEEDORES[[#This Row],[descuento antes de IVA]])*PROVEEDORES[[#This Row],[Rete Fuente %]]</f>
        <v>0</v>
      </c>
      <c r="R75" s="32">
        <f>+PROVEEDORES[[#This Row],[SUBTOTAL]]+PROVEEDORES[[#This Row],[IVA 19%]]-PROVEEDORES[[#This Row],[descuento antes de IVA]]-PROVEEDORES[[#This Row],[Descuento sobre subtotal $]]-PROVEEDORES[[#This Row],[Rete Fuente $]]</f>
        <v>201960</v>
      </c>
      <c r="S7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" s="40"/>
      <c r="U75" s="97"/>
      <c r="V75" s="36"/>
      <c r="W75" s="36"/>
      <c r="X75" s="36"/>
      <c r="Y75" s="36"/>
      <c r="Z75" s="41"/>
      <c r="AA75" s="42"/>
      <c r="AF75" s="36"/>
      <c r="AG75" s="36"/>
    </row>
    <row r="76" spans="1:33" ht="21.95" hidden="1" customHeight="1" x14ac:dyDescent="0.25">
      <c r="A76" s="39" t="str">
        <f>+IF(PROVEEDORES[[#This Row],[FECHA DE PAGO]]=PROVEEDORES[[#This Row],[FECHA DE FACTURACIÓN]],"DE CONTADO","CRÉDITO")</f>
        <v>CRÉDITO</v>
      </c>
      <c r="B76" s="67" t="b">
        <f>+IF((PROVEEDORES[[#This Row],[FECHA DE PAGO]]-PROVEEDORES[[#This Row],[FECHA DE FACTURACIÓN]])&gt;PROVEEDORES[[#This Row],[PLAZO Días]],"PAGO VENCIDO")</f>
        <v>0</v>
      </c>
      <c r="C76" s="27">
        <f>+VLOOKUP(PROVEEDORES[[#This Row],[PROVEEDOR]],TERCEROS_INFO[#All],2,FALSE)</f>
        <v>30</v>
      </c>
      <c r="D76" s="37">
        <f>+SUMIFS(PROVEEDORES[Total],PROVEEDORES[PROVEEDOR],PROVEEDORES[[#This Row],[PROVEEDOR]],PROVEEDORES[FECHA DE PAGO],"")</f>
        <v>0</v>
      </c>
      <c r="E76" s="37"/>
      <c r="F76" s="108" t="str">
        <f>+VLOOKUP(PROVEEDORES[[#This Row],[PROVEEDOR]],TERCEROS_INFO[[PROVEEDOR]:[CORREO]],5,FALSE)</f>
        <v/>
      </c>
      <c r="G76" s="143">
        <v>44168</v>
      </c>
      <c r="H76" s="38" t="s">
        <v>252</v>
      </c>
      <c r="I76" s="30">
        <v>44140</v>
      </c>
      <c r="J76" s="58">
        <v>24045</v>
      </c>
      <c r="K76" s="32">
        <v>434200</v>
      </c>
      <c r="L76" s="32"/>
      <c r="M76" s="33">
        <f>(PROVEEDORES[[#This Row],[SUBTOTAL]]-PROVEEDORES[[#This Row],[descuento antes de IVA]])*VLOOKUP(PROVEEDORES[[#This Row],[PROVEEDOR]],TERCEROS_INFO[#All],3,FALSE)</f>
        <v>0</v>
      </c>
      <c r="N76" s="34"/>
      <c r="O76" s="33">
        <f>+PROVEEDORES[[#This Row],[Descuento sobre subtotal %]]*(PROVEEDORES[[#This Row],[SUBTOTAL]]-PROVEEDORES[[#This Row],[descuento antes de IVA]])</f>
        <v>0</v>
      </c>
      <c r="P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6" s="33">
        <f>+(PROVEEDORES[[#This Row],[SUBTOTAL]]-PROVEEDORES[[#This Row],[descuento antes de IVA]])*PROVEEDORES[[#This Row],[Rete Fuente %]]</f>
        <v>0</v>
      </c>
      <c r="R76" s="32">
        <f>+PROVEEDORES[[#This Row],[SUBTOTAL]]+PROVEEDORES[[#This Row],[IVA 19%]]-PROVEEDORES[[#This Row],[descuento antes de IVA]]-PROVEEDORES[[#This Row],[Descuento sobre subtotal $]]-PROVEEDORES[[#This Row],[Rete Fuente $]]</f>
        <v>434200</v>
      </c>
      <c r="S7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" s="40"/>
      <c r="U76" s="97"/>
      <c r="V76" s="36"/>
      <c r="W76" s="36"/>
      <c r="X76" s="36"/>
      <c r="Y76" s="36"/>
      <c r="Z76" s="41"/>
      <c r="AA76" s="42"/>
      <c r="AF76" s="36"/>
      <c r="AG76" s="36"/>
    </row>
    <row r="77" spans="1:33" ht="21.95" hidden="1" customHeight="1" x14ac:dyDescent="0.25">
      <c r="A77" s="39" t="str">
        <f>+IF(PROVEEDORES[[#This Row],[FECHA DE PAGO]]=PROVEEDORES[[#This Row],[FECHA DE FACTURACIÓN]],"DE CONTADO","CRÉDITO")</f>
        <v>CRÉDITO</v>
      </c>
      <c r="B77" s="67" t="b">
        <f>+IF((PROVEEDORES[[#This Row],[FECHA DE PAGO]]-PROVEEDORES[[#This Row],[FECHA DE FACTURACIÓN]])&gt;PROVEEDORES[[#This Row],[PLAZO Días]],"PAGO VENCIDO")</f>
        <v>0</v>
      </c>
      <c r="C77" s="27">
        <f>+VLOOKUP(PROVEEDORES[[#This Row],[PROVEEDOR]],TERCEROS_INFO[#All],2,FALSE)</f>
        <v>30</v>
      </c>
      <c r="D77" s="37">
        <f>+SUMIFS(PROVEEDORES[Total],PROVEEDORES[PROVEEDOR],PROVEEDORES[[#This Row],[PROVEEDOR]],PROVEEDORES[FECHA DE PAGO],"")</f>
        <v>0</v>
      </c>
      <c r="E77" s="37"/>
      <c r="F77" s="108" t="str">
        <f>+VLOOKUP(PROVEEDORES[[#This Row],[PROVEEDOR]],TERCEROS_INFO[[PROVEEDOR]:[CORREO]],5,FALSE)</f>
        <v/>
      </c>
      <c r="G77" s="143">
        <v>44208</v>
      </c>
      <c r="H77" s="38" t="s">
        <v>252</v>
      </c>
      <c r="I77" s="30">
        <v>44183</v>
      </c>
      <c r="J77" s="58" t="s">
        <v>216</v>
      </c>
      <c r="K77" s="32">
        <v>770400</v>
      </c>
      <c r="L77" s="32"/>
      <c r="M77" s="33">
        <f>(PROVEEDORES[[#This Row],[SUBTOTAL]]-PROVEEDORES[[#This Row],[descuento antes de IVA]])*VLOOKUP(PROVEEDORES[[#This Row],[PROVEEDOR]],TERCEROS_INFO[#All],3,FALSE)</f>
        <v>0</v>
      </c>
      <c r="N77" s="34"/>
      <c r="O77" s="33">
        <f>+PROVEEDORES[[#This Row],[Descuento sobre subtotal %]]*(PROVEEDORES[[#This Row],[SUBTOTAL]]-PROVEEDORES[[#This Row],[descuento antes de IVA]])</f>
        <v>0</v>
      </c>
      <c r="P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7" s="33">
        <f>+(PROVEEDORES[[#This Row],[SUBTOTAL]]-PROVEEDORES[[#This Row],[descuento antes de IVA]])*PROVEEDORES[[#This Row],[Rete Fuente %]]</f>
        <v>0</v>
      </c>
      <c r="R77" s="32">
        <f>+PROVEEDORES[[#This Row],[SUBTOTAL]]+PROVEEDORES[[#This Row],[IVA 19%]]-PROVEEDORES[[#This Row],[descuento antes de IVA]]-PROVEEDORES[[#This Row],[Descuento sobre subtotal $]]-PROVEEDORES[[#This Row],[Rete Fuente $]]</f>
        <v>770400</v>
      </c>
      <c r="S7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" s="40"/>
      <c r="U77" s="97"/>
      <c r="V77" s="36"/>
      <c r="W77" s="36"/>
      <c r="X77" s="36"/>
      <c r="Y77" s="36"/>
      <c r="Z77" s="41"/>
      <c r="AA77" s="42"/>
      <c r="AF77" s="36"/>
      <c r="AG77" s="36"/>
    </row>
    <row r="78" spans="1:33" ht="21.95" hidden="1" customHeight="1" x14ac:dyDescent="0.25">
      <c r="A78" s="129" t="str">
        <f>+IF(PROVEEDORES[[#This Row],[FECHA DE PAGO]]=PROVEEDORES[[#This Row],[FECHA DE FACTURACIÓN]],"DE CONTADO","CRÉDITO")</f>
        <v>CRÉDITO</v>
      </c>
      <c r="B78" s="70" t="str">
        <f>+IF((PROVEEDORES[[#This Row],[FECHA DE PAGO]]-PROVEEDORES[[#This Row],[FECHA DE FACTURACIÓN]])&gt;PROVEEDORES[[#This Row],[PLAZO Días]],"PAGO VENCIDO")</f>
        <v>PAGO VENCIDO</v>
      </c>
      <c r="C78" s="27">
        <f>+VLOOKUP(PROVEEDORES[[#This Row],[PROVEEDOR]],TERCEROS_INFO[#All],2,FALSE)</f>
        <v>30</v>
      </c>
      <c r="D78" s="37">
        <f>+SUMIFS(PROVEEDORES[Total],PROVEEDORES[PROVEEDOR],PROVEEDORES[[#This Row],[PROVEEDOR]],PROVEEDORES[FECHA DE PAGO],"")</f>
        <v>0</v>
      </c>
      <c r="E78" s="37"/>
      <c r="F78" s="108" t="str">
        <f>+VLOOKUP(PROVEEDORES[[#This Row],[PROVEEDOR]],TERCEROS_INFO[[PROVEEDOR]:[CORREO]],5,FALSE)</f>
        <v/>
      </c>
      <c r="G78" s="143">
        <v>44411</v>
      </c>
      <c r="H78" s="38" t="s">
        <v>252</v>
      </c>
      <c r="I78" s="30">
        <v>44380</v>
      </c>
      <c r="J78" s="58" t="s">
        <v>1179</v>
      </c>
      <c r="K78" s="32">
        <v>264000</v>
      </c>
      <c r="L78" s="32"/>
      <c r="M78" s="33">
        <f>(PROVEEDORES[[#This Row],[SUBTOTAL]]-PROVEEDORES[[#This Row],[descuento antes de IVA]])*VLOOKUP(PROVEEDORES[[#This Row],[PROVEEDOR]],TERCEROS_INFO[#All],3,FALSE)</f>
        <v>0</v>
      </c>
      <c r="N78" s="34">
        <v>0.1</v>
      </c>
      <c r="O78" s="33">
        <f>+PROVEEDORES[[#This Row],[Descuento sobre subtotal %]]*(PROVEEDORES[[#This Row],[SUBTOTAL]]-PROVEEDORES[[#This Row],[descuento antes de IVA]])</f>
        <v>26400</v>
      </c>
      <c r="P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8" s="33">
        <f>+(PROVEEDORES[[#This Row],[SUBTOTAL]]-PROVEEDORES[[#This Row],[descuento antes de IVA]])*PROVEEDORES[[#This Row],[Rete Fuente %]]</f>
        <v>0</v>
      </c>
      <c r="R78" s="32">
        <f>+PROVEEDORES[[#This Row],[SUBTOTAL]]+PROVEEDORES[[#This Row],[IVA 19%]]-PROVEEDORES[[#This Row],[descuento antes de IVA]]-PROVEEDORES[[#This Row],[Descuento sobre subtotal $]]-PROVEEDORES[[#This Row],[Rete Fuente $]]</f>
        <v>237600</v>
      </c>
      <c r="S78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" s="40"/>
      <c r="U78" s="97"/>
      <c r="V78" s="36"/>
      <c r="W78" s="36"/>
      <c r="X78" s="36"/>
      <c r="Y78" s="36"/>
      <c r="Z78" s="41"/>
      <c r="AA78" s="42"/>
      <c r="AF78" s="36"/>
      <c r="AG78" s="36"/>
    </row>
    <row r="79" spans="1:33" ht="21.95" hidden="1" customHeight="1" x14ac:dyDescent="0.25">
      <c r="A79" s="135" t="str">
        <f>+IF(PROVEEDORES[[#This Row],[FECHA DE PAGO]]=PROVEEDORES[[#This Row],[FECHA DE FACTURACIÓN]],"DE CONTADO","CRÉDITO")</f>
        <v>CRÉDITO</v>
      </c>
      <c r="B79" s="70" t="str">
        <f>+IF((PROVEEDORES[[#This Row],[FECHA DE PAGO]]-PROVEEDORES[[#This Row],[FECHA DE FACTURACIÓN]])&gt;PROVEEDORES[[#This Row],[PLAZO Días]],"PAGO VENCIDO")</f>
        <v>PAGO VENCIDO</v>
      </c>
      <c r="C79" s="27">
        <f>+VLOOKUP(PROVEEDORES[[#This Row],[PROVEEDOR]],TERCEROS_INFO[#All],2,FALSE)</f>
        <v>30</v>
      </c>
      <c r="D79" s="37">
        <f>+SUMIFS(PROVEEDORES[Total],PROVEEDORES[PROVEEDOR],PROVEEDORES[[#This Row],[PROVEEDOR]],PROVEEDORES[FECHA DE PAGO],"")</f>
        <v>0</v>
      </c>
      <c r="E79" s="37"/>
      <c r="F79" s="108" t="str">
        <f>+VLOOKUP(PROVEEDORES[[#This Row],[PROVEEDOR]],TERCEROS_INFO[[PROVEEDOR]:[CORREO]],5,FALSE)</f>
        <v/>
      </c>
      <c r="G79" s="143">
        <v>44411</v>
      </c>
      <c r="H79" s="38" t="s">
        <v>252</v>
      </c>
      <c r="I79" s="30">
        <v>44380</v>
      </c>
      <c r="J79" s="58" t="s">
        <v>1177</v>
      </c>
      <c r="K79" s="32">
        <v>773200</v>
      </c>
      <c r="L79" s="32"/>
      <c r="M79" s="33">
        <f>(PROVEEDORES[[#This Row],[SUBTOTAL]]-PROVEEDORES[[#This Row],[descuento antes de IVA]])*VLOOKUP(PROVEEDORES[[#This Row],[PROVEEDOR]],TERCEROS_INFO[#All],3,FALSE)</f>
        <v>0</v>
      </c>
      <c r="N79" s="34">
        <v>0.1</v>
      </c>
      <c r="O79" s="33">
        <f>+PROVEEDORES[[#This Row],[Descuento sobre subtotal %]]*(PROVEEDORES[[#This Row],[SUBTOTAL]]-PROVEEDORES[[#This Row],[descuento antes de IVA]])</f>
        <v>77320</v>
      </c>
      <c r="P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9" s="33">
        <f>+(PROVEEDORES[[#This Row],[SUBTOTAL]]-PROVEEDORES[[#This Row],[descuento antes de IVA]])*PROVEEDORES[[#This Row],[Rete Fuente %]]</f>
        <v>0</v>
      </c>
      <c r="R79" s="32">
        <f>+PROVEEDORES[[#This Row],[SUBTOTAL]]+PROVEEDORES[[#This Row],[IVA 19%]]-PROVEEDORES[[#This Row],[descuento antes de IVA]]-PROVEEDORES[[#This Row],[Descuento sobre subtotal $]]-PROVEEDORES[[#This Row],[Rete Fuente $]]</f>
        <v>695880</v>
      </c>
      <c r="S79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" s="40"/>
      <c r="U79" s="97"/>
      <c r="V79" s="36"/>
      <c r="W79" s="36"/>
      <c r="X79" s="36"/>
      <c r="Y79" s="36"/>
      <c r="Z79" s="41"/>
      <c r="AA79" s="42"/>
      <c r="AF79" s="36"/>
      <c r="AG79" s="36"/>
    </row>
    <row r="80" spans="1:33" ht="21.95" hidden="1" customHeight="1" x14ac:dyDescent="0.25">
      <c r="A80" s="159" t="str">
        <f>+IF(PROVEEDORES[[#This Row],[FECHA DE PAGO]]=PROVEEDORES[[#This Row],[FECHA DE FACTURACIÓN]],"DE CONTADO","CRÉDITO")</f>
        <v>CRÉDITO</v>
      </c>
      <c r="B80" s="70" t="str">
        <f>+IF((PROVEEDORES[[#This Row],[FECHA DE PAGO]]-PROVEEDORES[[#This Row],[FECHA DE FACTURACIÓN]])&gt;PROVEEDORES[[#This Row],[PLAZO Días]],"PAGO VENCIDO")</f>
        <v>PAGO VENCIDO</v>
      </c>
      <c r="C80" s="27">
        <f>+VLOOKUP(PROVEEDORES[[#This Row],[PROVEEDOR]],TERCEROS_INFO[#All],2,FALSE)</f>
        <v>30</v>
      </c>
      <c r="D80" s="37">
        <f>+SUMIFS(PROVEEDORES[Total],PROVEEDORES[PROVEEDOR],PROVEEDORES[[#This Row],[PROVEEDOR]],PROVEEDORES[FECHA DE PAGO],"")</f>
        <v>0</v>
      </c>
      <c r="E80" s="37"/>
      <c r="F80" s="108" t="str">
        <f>+VLOOKUP(PROVEEDORES[[#This Row],[PROVEEDOR]],TERCEROS_INFO[[PROVEEDOR]:[CORREO]],5,FALSE)</f>
        <v/>
      </c>
      <c r="G80" s="143">
        <v>44546</v>
      </c>
      <c r="H80" s="38" t="s">
        <v>252</v>
      </c>
      <c r="I80" s="30">
        <v>44494</v>
      </c>
      <c r="J80" s="58" t="s">
        <v>1284</v>
      </c>
      <c r="K80" s="32">
        <v>740200</v>
      </c>
      <c r="L80" s="32"/>
      <c r="M80" s="33">
        <f>(PROVEEDORES[[#This Row],[SUBTOTAL]]-PROVEEDORES[[#This Row],[descuento antes de IVA]])*VLOOKUP(PROVEEDORES[[#This Row],[PROVEEDOR]],TERCEROS_INFO[#All],3,FALSE)</f>
        <v>0</v>
      </c>
      <c r="N80" s="34"/>
      <c r="O80" s="33">
        <f>+PROVEEDORES[[#This Row],[Descuento sobre subtotal %]]*(PROVEEDORES[[#This Row],[SUBTOTAL]]-PROVEEDORES[[#This Row],[descuento antes de IVA]])</f>
        <v>0</v>
      </c>
      <c r="P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0" s="33">
        <f>+(PROVEEDORES[[#This Row],[SUBTOTAL]]-PROVEEDORES[[#This Row],[descuento antes de IVA]])*PROVEEDORES[[#This Row],[Rete Fuente %]]</f>
        <v>0</v>
      </c>
      <c r="R80" s="32">
        <f>+PROVEEDORES[[#This Row],[SUBTOTAL]]+PROVEEDORES[[#This Row],[IVA 19%]]-PROVEEDORES[[#This Row],[descuento antes de IVA]]-PROVEEDORES[[#This Row],[Descuento sobre subtotal $]]-PROVEEDORES[[#This Row],[Rete Fuente $]]</f>
        <v>740200</v>
      </c>
      <c r="S80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" s="40"/>
      <c r="U80" s="97"/>
      <c r="V80" s="36"/>
      <c r="W80" s="36"/>
      <c r="X80" s="36"/>
      <c r="Y80" s="36"/>
      <c r="Z80" s="41"/>
      <c r="AA80" s="42"/>
      <c r="AF80" s="36"/>
      <c r="AG80" s="36"/>
    </row>
    <row r="81" spans="1:33" ht="21.95" hidden="1" customHeight="1" x14ac:dyDescent="0.25">
      <c r="A81" s="161" t="str">
        <f>+IF(PROVEEDORES[[#This Row],[FECHA DE PAGO]]=PROVEEDORES[[#This Row],[FECHA DE FACTURACIÓN]],"DE CONTADO","CRÉDITO")</f>
        <v>CRÉDITO</v>
      </c>
      <c r="B81" s="70" t="str">
        <f>+IF((PROVEEDORES[[#This Row],[FECHA DE PAGO]]-PROVEEDORES[[#This Row],[FECHA DE FACTURACIÓN]])&gt;PROVEEDORES[[#This Row],[PLAZO Días]],"PAGO VENCIDO")</f>
        <v>PAGO VENCIDO</v>
      </c>
      <c r="C81" s="27">
        <f>+VLOOKUP(PROVEEDORES[[#This Row],[PROVEEDOR]],TERCEROS_INFO[#All],2,FALSE)</f>
        <v>30</v>
      </c>
      <c r="D81" s="37">
        <f>+SUMIFS(PROVEEDORES[Total],PROVEEDORES[PROVEEDOR],PROVEEDORES[[#This Row],[PROVEEDOR]],PROVEEDORES[FECHA DE PAGO],"")</f>
        <v>0</v>
      </c>
      <c r="E81" s="37"/>
      <c r="F81" s="108" t="str">
        <f>+VLOOKUP(PROVEEDORES[[#This Row],[PROVEEDOR]],TERCEROS_INFO[[PROVEEDOR]:[CORREO]],5,FALSE)</f>
        <v/>
      </c>
      <c r="G81" s="143">
        <v>44546</v>
      </c>
      <c r="H81" s="38" t="s">
        <v>252</v>
      </c>
      <c r="I81" s="30">
        <v>44498</v>
      </c>
      <c r="J81" s="58" t="s">
        <v>1291</v>
      </c>
      <c r="K81" s="32">
        <v>180800</v>
      </c>
      <c r="L81" s="32"/>
      <c r="M81" s="33">
        <f>(PROVEEDORES[[#This Row],[SUBTOTAL]]-PROVEEDORES[[#This Row],[descuento antes de IVA]])*VLOOKUP(PROVEEDORES[[#This Row],[PROVEEDOR]],TERCEROS_INFO[#All],3,FALSE)</f>
        <v>0</v>
      </c>
      <c r="N81" s="34"/>
      <c r="O81" s="33">
        <f>+PROVEEDORES[[#This Row],[Descuento sobre subtotal %]]*(PROVEEDORES[[#This Row],[SUBTOTAL]]-PROVEEDORES[[#This Row],[descuento antes de IVA]])</f>
        <v>0</v>
      </c>
      <c r="P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1" s="33">
        <f>+(PROVEEDORES[[#This Row],[SUBTOTAL]]-PROVEEDORES[[#This Row],[descuento antes de IVA]])*PROVEEDORES[[#This Row],[Rete Fuente %]]</f>
        <v>0</v>
      </c>
      <c r="R81" s="32">
        <f>+PROVEEDORES[[#This Row],[SUBTOTAL]]+PROVEEDORES[[#This Row],[IVA 19%]]-PROVEEDORES[[#This Row],[descuento antes de IVA]]-PROVEEDORES[[#This Row],[Descuento sobre subtotal $]]-PROVEEDORES[[#This Row],[Rete Fuente $]]</f>
        <v>180800</v>
      </c>
      <c r="S81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" s="40"/>
      <c r="U81" s="97"/>
      <c r="V81" s="36"/>
      <c r="W81" s="36"/>
      <c r="X81" s="36"/>
      <c r="Y81" s="36"/>
      <c r="Z81" s="41"/>
      <c r="AA81" s="42"/>
      <c r="AF81" s="36"/>
      <c r="AG81" s="36"/>
    </row>
    <row r="82" spans="1:33" ht="21.95" hidden="1" customHeight="1" x14ac:dyDescent="0.25">
      <c r="A82" s="39" t="str">
        <f>+IF(PROVEEDORES[[#This Row],[FECHA DE PAGO]]=PROVEEDORES[[#This Row],[FECHA DE FACTURACIÓN]],"DE CONTADO","CRÉDITO")</f>
        <v>DE CONTADO</v>
      </c>
      <c r="B82" s="67" t="b">
        <f>+IF((PROVEEDORES[[#This Row],[FECHA DE PAGO]]-PROVEEDORES[[#This Row],[FECHA DE FACTURACIÓN]])&gt;PROVEEDORES[[#This Row],[PLAZO Días]],"PAGO VENCIDO")</f>
        <v>0</v>
      </c>
      <c r="C82" s="27">
        <f>+VLOOKUP(PROVEEDORES[[#This Row],[PROVEEDOR]],TERCEROS_INFO[#All],2,FALSE)</f>
        <v>30</v>
      </c>
      <c r="D82" s="37">
        <f>+SUMIFS(PROVEEDORES[Total],PROVEEDORES[PROVEEDOR],PROVEEDORES[[#This Row],[PROVEEDOR]],PROVEEDORES[FECHA DE PAGO],"")</f>
        <v>0</v>
      </c>
      <c r="E82" s="37"/>
      <c r="F82" s="108" t="str">
        <f>+VLOOKUP(PROVEEDORES[[#This Row],[PROVEEDOR]],TERCEROS_INFO[[PROVEEDOR]:[CORREO]],5,FALSE)</f>
        <v/>
      </c>
      <c r="G82" s="143">
        <v>43865</v>
      </c>
      <c r="H82" s="38" t="s">
        <v>308</v>
      </c>
      <c r="I82" s="30">
        <v>43865</v>
      </c>
      <c r="J82" s="58" t="s">
        <v>1022</v>
      </c>
      <c r="K82" s="32">
        <v>890000</v>
      </c>
      <c r="L82" s="32"/>
      <c r="M82" s="33">
        <f>(PROVEEDORES[[#This Row],[SUBTOTAL]]-PROVEEDORES[[#This Row],[descuento antes de IVA]])*VLOOKUP(PROVEEDORES[[#This Row],[PROVEEDOR]],TERCEROS_INFO[#All],3,FALSE)</f>
        <v>0</v>
      </c>
      <c r="N82" s="34"/>
      <c r="O82" s="33">
        <f>+PROVEEDORES[[#This Row],[Descuento sobre subtotal %]]*(PROVEEDORES[[#This Row],[SUBTOTAL]]-PROVEEDORES[[#This Row],[descuento antes de IVA]])</f>
        <v>0</v>
      </c>
      <c r="P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2" s="33">
        <f>+(PROVEEDORES[[#This Row],[SUBTOTAL]]-PROVEEDORES[[#This Row],[descuento antes de IVA]])*PROVEEDORES[[#This Row],[Rete Fuente %]]</f>
        <v>0</v>
      </c>
      <c r="R82" s="32">
        <f>+PROVEEDORES[[#This Row],[SUBTOTAL]]+PROVEEDORES[[#This Row],[IVA 19%]]-PROVEEDORES[[#This Row],[descuento antes de IVA]]-PROVEEDORES[[#This Row],[Descuento sobre subtotal $]]-PROVEEDORES[[#This Row],[Rete Fuente $]]</f>
        <v>890000</v>
      </c>
      <c r="S8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" s="40"/>
      <c r="U82" s="97"/>
      <c r="V82" s="36"/>
      <c r="W82" s="36"/>
      <c r="X82" s="36"/>
      <c r="Y82" s="36"/>
      <c r="Z82" s="41"/>
      <c r="AA82" s="42"/>
      <c r="AF82" s="36"/>
      <c r="AG82" s="36"/>
    </row>
    <row r="83" spans="1:33" ht="21.95" hidden="1" customHeight="1" x14ac:dyDescent="0.25">
      <c r="A83" s="39" t="str">
        <f>+IF(PROVEEDORES[[#This Row],[FECHA DE PAGO]]=PROVEEDORES[[#This Row],[FECHA DE FACTURACIÓN]],"DE CONTADO","CRÉDITO")</f>
        <v>CRÉDITO</v>
      </c>
      <c r="B83" s="67" t="str">
        <f>+IF((PROVEEDORES[[#This Row],[FECHA DE PAGO]]-PROVEEDORES[[#This Row],[FECHA DE FACTURACIÓN]])&gt;PROVEEDORES[[#This Row],[PLAZO Días]],"PAGO VENCIDO")</f>
        <v>PAGO VENCIDO</v>
      </c>
      <c r="C83" s="27">
        <f>+VLOOKUP(PROVEEDORES[[#This Row],[PROVEEDOR]],TERCEROS_INFO[#All],2,FALSE)</f>
        <v>30</v>
      </c>
      <c r="D83" s="37">
        <f>+SUMIFS(PROVEEDORES[Total],PROVEEDORES[PROVEEDOR],PROVEEDORES[[#This Row],[PROVEEDOR]],PROVEEDORES[FECHA DE PAGO],"")</f>
        <v>0</v>
      </c>
      <c r="E83" s="37"/>
      <c r="F83" s="108" t="str">
        <f>+VLOOKUP(PROVEEDORES[[#This Row],[PROVEEDOR]],TERCEROS_INFO[[PROVEEDOR]:[CORREO]],5,FALSE)</f>
        <v/>
      </c>
      <c r="G83" s="143">
        <v>44027</v>
      </c>
      <c r="H83" s="38" t="s">
        <v>308</v>
      </c>
      <c r="I83" s="30">
        <v>43906</v>
      </c>
      <c r="J83" s="58">
        <v>1614636</v>
      </c>
      <c r="K83" s="32">
        <v>470000</v>
      </c>
      <c r="L83" s="32"/>
      <c r="M83" s="33">
        <f>(PROVEEDORES[[#This Row],[SUBTOTAL]]-PROVEEDORES[[#This Row],[descuento antes de IVA]])*VLOOKUP(PROVEEDORES[[#This Row],[PROVEEDOR]],TERCEROS_INFO[#All],3,FALSE)</f>
        <v>0</v>
      </c>
      <c r="N83" s="34"/>
      <c r="O83" s="33">
        <f>+PROVEEDORES[[#This Row],[Descuento sobre subtotal %]]*(PROVEEDORES[[#This Row],[SUBTOTAL]]-PROVEEDORES[[#This Row],[descuento antes de IVA]])</f>
        <v>0</v>
      </c>
      <c r="P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3" s="33">
        <f>+(PROVEEDORES[[#This Row],[SUBTOTAL]]-PROVEEDORES[[#This Row],[descuento antes de IVA]])*PROVEEDORES[[#This Row],[Rete Fuente %]]</f>
        <v>0</v>
      </c>
      <c r="R83" s="32">
        <f>+PROVEEDORES[[#This Row],[SUBTOTAL]]+PROVEEDORES[[#This Row],[IVA 19%]]-PROVEEDORES[[#This Row],[descuento antes de IVA]]-PROVEEDORES[[#This Row],[Descuento sobre subtotal $]]-PROVEEDORES[[#This Row],[Rete Fuente $]]</f>
        <v>470000</v>
      </c>
      <c r="S8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" s="40"/>
      <c r="U83" s="97"/>
      <c r="V83" s="36"/>
      <c r="W83" s="36"/>
      <c r="X83" s="36"/>
      <c r="Y83" s="36"/>
      <c r="Z83" s="41"/>
      <c r="AA83" s="42"/>
      <c r="AF83" s="36"/>
      <c r="AG83" s="36"/>
    </row>
    <row r="84" spans="1:33" ht="21.95" hidden="1" customHeight="1" x14ac:dyDescent="0.25">
      <c r="A84" s="39" t="str">
        <f>+IF(PROVEEDORES[[#This Row],[FECHA DE PAGO]]=PROVEEDORES[[#This Row],[FECHA DE FACTURACIÓN]],"DE CONTADO","CRÉDITO")</f>
        <v>CRÉDITO</v>
      </c>
      <c r="B84" s="67" t="str">
        <f>+IF((PROVEEDORES[[#This Row],[FECHA DE PAGO]]-PROVEEDORES[[#This Row],[FECHA DE FACTURACIÓN]])&gt;PROVEEDORES[[#This Row],[PLAZO Días]],"PAGO VENCIDO")</f>
        <v>PAGO VENCIDO</v>
      </c>
      <c r="C84" s="27">
        <f>+VLOOKUP(PROVEEDORES[[#This Row],[PROVEEDOR]],TERCEROS_INFO[#All],2,FALSE)</f>
        <v>30</v>
      </c>
      <c r="D84" s="37">
        <f>+SUMIFS(PROVEEDORES[Total],PROVEEDORES[PROVEEDOR],PROVEEDORES[[#This Row],[PROVEEDOR]],PROVEEDORES[FECHA DE PAGO],"")</f>
        <v>0</v>
      </c>
      <c r="E84" s="37"/>
      <c r="F84" s="108" t="str">
        <f>+VLOOKUP(PROVEEDORES[[#This Row],[PROVEEDOR]],TERCEROS_INFO[[PROVEEDOR]:[CORREO]],5,FALSE)</f>
        <v/>
      </c>
      <c r="G84" s="143">
        <v>44221</v>
      </c>
      <c r="H84" s="38" t="s">
        <v>308</v>
      </c>
      <c r="I84" s="30">
        <v>44168</v>
      </c>
      <c r="J84" s="58"/>
      <c r="K84" s="32">
        <v>785000</v>
      </c>
      <c r="L84" s="32"/>
      <c r="M84" s="33">
        <f>(PROVEEDORES[[#This Row],[SUBTOTAL]]-PROVEEDORES[[#This Row],[descuento antes de IVA]])*VLOOKUP(PROVEEDORES[[#This Row],[PROVEEDOR]],TERCEROS_INFO[#All],3,FALSE)</f>
        <v>0</v>
      </c>
      <c r="N84" s="34"/>
      <c r="O84" s="33">
        <f>+PROVEEDORES[[#This Row],[Descuento sobre subtotal %]]*(PROVEEDORES[[#This Row],[SUBTOTAL]]-PROVEEDORES[[#This Row],[descuento antes de IVA]])</f>
        <v>0</v>
      </c>
      <c r="P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" s="33">
        <f>+(PROVEEDORES[[#This Row],[SUBTOTAL]]-PROVEEDORES[[#This Row],[descuento antes de IVA]])*PROVEEDORES[[#This Row],[Rete Fuente %]]</f>
        <v>0</v>
      </c>
      <c r="R84" s="32">
        <f>+PROVEEDORES[[#This Row],[SUBTOTAL]]+PROVEEDORES[[#This Row],[IVA 19%]]-PROVEEDORES[[#This Row],[descuento antes de IVA]]-PROVEEDORES[[#This Row],[Descuento sobre subtotal $]]-PROVEEDORES[[#This Row],[Rete Fuente $]]</f>
        <v>785000</v>
      </c>
      <c r="S8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" s="40"/>
      <c r="U84" s="97"/>
      <c r="V84" s="36"/>
      <c r="W84" s="36"/>
      <c r="X84" s="36"/>
      <c r="Y84" s="36"/>
      <c r="Z84" s="41"/>
      <c r="AA84" s="42"/>
      <c r="AF84" s="36"/>
      <c r="AG84" s="36"/>
    </row>
    <row r="85" spans="1:33" ht="21.95" hidden="1" customHeight="1" x14ac:dyDescent="0.25">
      <c r="A85" s="39" t="str">
        <f>+IF(PROVEEDORES[[#This Row],[FECHA DE PAGO]]=PROVEEDORES[[#This Row],[FECHA DE FACTURACIÓN]],"DE CONTADO","CRÉDITO")</f>
        <v>DE CONTADO</v>
      </c>
      <c r="B85" s="67" t="b">
        <f>+IF((PROVEEDORES[[#This Row],[FECHA DE PAGO]]-PROVEEDORES[[#This Row],[FECHA DE FACTURACIÓN]])&gt;PROVEEDORES[[#This Row],[PLAZO Días]],"PAGO VENCIDO")</f>
        <v>0</v>
      </c>
      <c r="C85" s="27">
        <f>+VLOOKUP(PROVEEDORES[[#This Row],[PROVEEDOR]],TERCEROS_INFO[#All],2,FALSE)</f>
        <v>30</v>
      </c>
      <c r="D85" s="37">
        <f>+SUMIFS(PROVEEDORES[Total],PROVEEDORES[PROVEEDOR],PROVEEDORES[[#This Row],[PROVEEDOR]],PROVEEDORES[FECHA DE PAGO],"")</f>
        <v>0</v>
      </c>
      <c r="E85" s="37"/>
      <c r="F85" s="108" t="str">
        <f>+VLOOKUP(PROVEEDORES[[#This Row],[PROVEEDOR]],TERCEROS_INFO[[PROVEEDOR]:[CORREO]],5,FALSE)</f>
        <v/>
      </c>
      <c r="G85" s="143">
        <v>43841</v>
      </c>
      <c r="H85" s="38" t="s">
        <v>254</v>
      </c>
      <c r="I85" s="30">
        <v>43841</v>
      </c>
      <c r="J85" s="58" t="s">
        <v>1022</v>
      </c>
      <c r="K85" s="32">
        <v>765000</v>
      </c>
      <c r="L85" s="32"/>
      <c r="M85" s="33">
        <f>(PROVEEDORES[[#This Row],[SUBTOTAL]]-PROVEEDORES[[#This Row],[descuento antes de IVA]])*VLOOKUP(PROVEEDORES[[#This Row],[PROVEEDOR]],TERCEROS_INFO[#All],3,FALSE)</f>
        <v>0</v>
      </c>
      <c r="N85" s="34"/>
      <c r="O85" s="33">
        <f>+PROVEEDORES[[#This Row],[Descuento sobre subtotal %]]*(PROVEEDORES[[#This Row],[SUBTOTAL]]-PROVEEDORES[[#This Row],[descuento antes de IVA]])</f>
        <v>0</v>
      </c>
      <c r="P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" s="33">
        <f>+(PROVEEDORES[[#This Row],[SUBTOTAL]]-PROVEEDORES[[#This Row],[descuento antes de IVA]])*PROVEEDORES[[#This Row],[Rete Fuente %]]</f>
        <v>0</v>
      </c>
      <c r="R85" s="32">
        <f>+PROVEEDORES[[#This Row],[SUBTOTAL]]+PROVEEDORES[[#This Row],[IVA 19%]]-PROVEEDORES[[#This Row],[descuento antes de IVA]]-PROVEEDORES[[#This Row],[Descuento sobre subtotal $]]-PROVEEDORES[[#This Row],[Rete Fuente $]]</f>
        <v>765000</v>
      </c>
      <c r="S8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" s="40"/>
      <c r="U85" s="97"/>
      <c r="V85" s="36"/>
      <c r="W85" s="36"/>
      <c r="X85" s="36"/>
      <c r="Y85" s="36"/>
      <c r="Z85" s="41"/>
      <c r="AA85" s="42"/>
      <c r="AF85" s="36"/>
      <c r="AG85" s="36"/>
    </row>
    <row r="86" spans="1:33" ht="21.95" hidden="1" customHeight="1" x14ac:dyDescent="0.25">
      <c r="A86" s="39" t="str">
        <f>+IF(PROVEEDORES[[#This Row],[FECHA DE PAGO]]=PROVEEDORES[[#This Row],[FECHA DE FACTURACIÓN]],"DE CONTADO","CRÉDITO")</f>
        <v>DE CONTADO</v>
      </c>
      <c r="B86" s="67" t="b">
        <f>+IF((PROVEEDORES[[#This Row],[FECHA DE PAGO]]-PROVEEDORES[[#This Row],[FECHA DE FACTURACIÓN]])&gt;PROVEEDORES[[#This Row],[PLAZO Días]],"PAGO VENCIDO")</f>
        <v>0</v>
      </c>
      <c r="C86" s="27">
        <f>+VLOOKUP(PROVEEDORES[[#This Row],[PROVEEDOR]],TERCEROS_INFO[#All],2,FALSE)</f>
        <v>30</v>
      </c>
      <c r="D86" s="37">
        <f>+SUMIFS(PROVEEDORES[Total],PROVEEDORES[PROVEEDOR],PROVEEDORES[[#This Row],[PROVEEDOR]],PROVEEDORES[FECHA DE PAGO],"")</f>
        <v>0</v>
      </c>
      <c r="E86" s="37"/>
      <c r="F86" s="108" t="str">
        <f>+VLOOKUP(PROVEEDORES[[#This Row],[PROVEEDOR]],TERCEROS_INFO[[PROVEEDOR]:[CORREO]],5,FALSE)</f>
        <v/>
      </c>
      <c r="G86" s="143">
        <v>43869</v>
      </c>
      <c r="H86" s="38" t="s">
        <v>254</v>
      </c>
      <c r="I86" s="30">
        <v>43869</v>
      </c>
      <c r="J86" s="58" t="s">
        <v>1022</v>
      </c>
      <c r="K86" s="32">
        <v>360000</v>
      </c>
      <c r="L86" s="32"/>
      <c r="M86" s="33">
        <f>(PROVEEDORES[[#This Row],[SUBTOTAL]]-PROVEEDORES[[#This Row],[descuento antes de IVA]])*VLOOKUP(PROVEEDORES[[#This Row],[PROVEEDOR]],TERCEROS_INFO[#All],3,FALSE)</f>
        <v>0</v>
      </c>
      <c r="N86" s="34"/>
      <c r="O86" s="33">
        <f>+PROVEEDORES[[#This Row],[Descuento sobre subtotal %]]*(PROVEEDORES[[#This Row],[SUBTOTAL]]-PROVEEDORES[[#This Row],[descuento antes de IVA]])</f>
        <v>0</v>
      </c>
      <c r="P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" s="33">
        <f>+(PROVEEDORES[[#This Row],[SUBTOTAL]]-PROVEEDORES[[#This Row],[descuento antes de IVA]])*PROVEEDORES[[#This Row],[Rete Fuente %]]</f>
        <v>0</v>
      </c>
      <c r="R86" s="32">
        <f>+PROVEEDORES[[#This Row],[SUBTOTAL]]+PROVEEDORES[[#This Row],[IVA 19%]]-PROVEEDORES[[#This Row],[descuento antes de IVA]]-PROVEEDORES[[#This Row],[Descuento sobre subtotal $]]-PROVEEDORES[[#This Row],[Rete Fuente $]]</f>
        <v>360000</v>
      </c>
      <c r="S8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" s="40"/>
      <c r="U86" s="97"/>
      <c r="V86" s="36"/>
      <c r="W86" s="36"/>
      <c r="X86" s="36"/>
      <c r="Y86" s="36"/>
      <c r="Z86" s="41"/>
      <c r="AA86" s="42"/>
      <c r="AF86" s="36"/>
      <c r="AG86" s="36"/>
    </row>
    <row r="87" spans="1:33" ht="21.95" hidden="1" customHeight="1" x14ac:dyDescent="0.25">
      <c r="A87" s="39" t="str">
        <f>+IF(PROVEEDORES[[#This Row],[FECHA DE PAGO]]=PROVEEDORES[[#This Row],[FECHA DE FACTURACIÓN]],"DE CONTADO","CRÉDITO")</f>
        <v>DE CONTADO</v>
      </c>
      <c r="B87" s="67" t="b">
        <f>+IF((PROVEEDORES[[#This Row],[FECHA DE PAGO]]-PROVEEDORES[[#This Row],[FECHA DE FACTURACIÓN]])&gt;PROVEEDORES[[#This Row],[PLAZO Días]],"PAGO VENCIDO")</f>
        <v>0</v>
      </c>
      <c r="C87" s="27">
        <f>+VLOOKUP(PROVEEDORES[[#This Row],[PROVEEDOR]],TERCEROS_INFO[#All],2,FALSE)</f>
        <v>30</v>
      </c>
      <c r="D87" s="37">
        <f>+SUMIFS(PROVEEDORES[Total],PROVEEDORES[PROVEEDOR],PROVEEDORES[[#This Row],[PROVEEDOR]],PROVEEDORES[FECHA DE PAGO],"")</f>
        <v>0</v>
      </c>
      <c r="E87" s="37"/>
      <c r="F87" s="108" t="str">
        <f>+VLOOKUP(PROVEEDORES[[#This Row],[PROVEEDOR]],TERCEROS_INFO[[PROVEEDOR]:[CORREO]],5,FALSE)</f>
        <v/>
      </c>
      <c r="G87" s="143">
        <v>43942</v>
      </c>
      <c r="H87" s="38" t="s">
        <v>254</v>
      </c>
      <c r="I87" s="30">
        <v>43942</v>
      </c>
      <c r="J87" s="58" t="s">
        <v>1022</v>
      </c>
      <c r="K87" s="32">
        <v>270000</v>
      </c>
      <c r="L87" s="32"/>
      <c r="M87" s="33">
        <f>(PROVEEDORES[[#This Row],[SUBTOTAL]]-PROVEEDORES[[#This Row],[descuento antes de IVA]])*VLOOKUP(PROVEEDORES[[#This Row],[PROVEEDOR]],TERCEROS_INFO[#All],3,FALSE)</f>
        <v>0</v>
      </c>
      <c r="N87" s="34"/>
      <c r="O87" s="33">
        <f>+PROVEEDORES[[#This Row],[Descuento sobre subtotal %]]*(PROVEEDORES[[#This Row],[SUBTOTAL]]-PROVEEDORES[[#This Row],[descuento antes de IVA]])</f>
        <v>0</v>
      </c>
      <c r="P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" s="33">
        <f>+(PROVEEDORES[[#This Row],[SUBTOTAL]]-PROVEEDORES[[#This Row],[descuento antes de IVA]])*PROVEEDORES[[#This Row],[Rete Fuente %]]</f>
        <v>0</v>
      </c>
      <c r="R87" s="32">
        <f>+PROVEEDORES[[#This Row],[SUBTOTAL]]+PROVEEDORES[[#This Row],[IVA 19%]]-PROVEEDORES[[#This Row],[descuento antes de IVA]]-PROVEEDORES[[#This Row],[Descuento sobre subtotal $]]-PROVEEDORES[[#This Row],[Rete Fuente $]]</f>
        <v>270000</v>
      </c>
      <c r="S8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" s="40"/>
      <c r="U87" s="97"/>
      <c r="V87" s="36"/>
      <c r="W87" s="36"/>
      <c r="X87" s="36"/>
      <c r="Y87" s="36"/>
      <c r="Z87" s="41"/>
      <c r="AA87" s="42"/>
      <c r="AF87" s="36"/>
      <c r="AG87" s="36"/>
    </row>
    <row r="88" spans="1:33" ht="21.95" hidden="1" customHeight="1" x14ac:dyDescent="0.25">
      <c r="A88" s="39" t="str">
        <f>+IF(PROVEEDORES[[#This Row],[FECHA DE PAGO]]=PROVEEDORES[[#This Row],[FECHA DE FACTURACIÓN]],"DE CONTADO","CRÉDITO")</f>
        <v>CRÉDITO</v>
      </c>
      <c r="B88" s="67" t="b">
        <f>+IF((PROVEEDORES[[#This Row],[FECHA DE PAGO]]-PROVEEDORES[[#This Row],[FECHA DE FACTURACIÓN]])&gt;PROVEEDORES[[#This Row],[PLAZO Días]],"PAGO VENCIDO")</f>
        <v>0</v>
      </c>
      <c r="C88" s="27">
        <f>+VLOOKUP(PROVEEDORES[[#This Row],[PROVEEDOR]],TERCEROS_INFO[#All],2,FALSE)</f>
        <v>30</v>
      </c>
      <c r="D88" s="37">
        <f>+SUMIFS(PROVEEDORES[Total],PROVEEDORES[PROVEEDOR],PROVEEDORES[[#This Row],[PROVEEDOR]],PROVEEDORES[FECHA DE PAGO],"")</f>
        <v>0</v>
      </c>
      <c r="E88" s="37"/>
      <c r="F88" s="108" t="str">
        <f>+VLOOKUP(PROVEEDORES[[#This Row],[PROVEEDOR]],TERCEROS_INFO[[PROVEEDOR]:[CORREO]],5,FALSE)</f>
        <v/>
      </c>
      <c r="G88" s="143">
        <v>43986</v>
      </c>
      <c r="H88" s="38" t="s">
        <v>254</v>
      </c>
      <c r="I88" s="30">
        <v>43959</v>
      </c>
      <c r="J88" s="58" t="s">
        <v>1022</v>
      </c>
      <c r="K88" s="32">
        <v>351000</v>
      </c>
      <c r="L88" s="32"/>
      <c r="M88" s="33">
        <f>(PROVEEDORES[[#This Row],[SUBTOTAL]]-PROVEEDORES[[#This Row],[descuento antes de IVA]])*VLOOKUP(PROVEEDORES[[#This Row],[PROVEEDOR]],TERCEROS_INFO[#All],3,FALSE)</f>
        <v>0</v>
      </c>
      <c r="N88" s="34"/>
      <c r="O88" s="33">
        <f>+PROVEEDORES[[#This Row],[Descuento sobre subtotal %]]*(PROVEEDORES[[#This Row],[SUBTOTAL]]-PROVEEDORES[[#This Row],[descuento antes de IVA]])</f>
        <v>0</v>
      </c>
      <c r="P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" s="33">
        <f>+(PROVEEDORES[[#This Row],[SUBTOTAL]]-PROVEEDORES[[#This Row],[descuento antes de IVA]])*PROVEEDORES[[#This Row],[Rete Fuente %]]</f>
        <v>0</v>
      </c>
      <c r="R88" s="32">
        <f>+PROVEEDORES[[#This Row],[SUBTOTAL]]+PROVEEDORES[[#This Row],[IVA 19%]]-PROVEEDORES[[#This Row],[descuento antes de IVA]]-PROVEEDORES[[#This Row],[Descuento sobre subtotal $]]-PROVEEDORES[[#This Row],[Rete Fuente $]]</f>
        <v>351000</v>
      </c>
      <c r="S8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" s="40"/>
      <c r="U88" s="97"/>
      <c r="V88" s="36"/>
      <c r="W88" s="36"/>
      <c r="X88" s="36"/>
      <c r="Y88" s="36"/>
      <c r="Z88" s="41"/>
      <c r="AA88" s="42"/>
      <c r="AF88" s="36"/>
      <c r="AG88" s="36"/>
    </row>
    <row r="89" spans="1:33" ht="21.95" hidden="1" customHeight="1" x14ac:dyDescent="0.25">
      <c r="A89" s="39" t="str">
        <f>+IF(PROVEEDORES[[#This Row],[FECHA DE PAGO]]=PROVEEDORES[[#This Row],[FECHA DE FACTURACIÓN]],"DE CONTADO","CRÉDITO")</f>
        <v>DE CONTADO</v>
      </c>
      <c r="B89" s="67" t="b">
        <f>+IF((PROVEEDORES[[#This Row],[FECHA DE PAGO]]-PROVEEDORES[[#This Row],[FECHA DE FACTURACIÓN]])&gt;PROVEEDORES[[#This Row],[PLAZO Días]],"PAGO VENCIDO")</f>
        <v>0</v>
      </c>
      <c r="C89" s="27">
        <f>+VLOOKUP(PROVEEDORES[[#This Row],[PROVEEDOR]],TERCEROS_INFO[#All],2,FALSE)</f>
        <v>30</v>
      </c>
      <c r="D89" s="37">
        <f>+SUMIFS(PROVEEDORES[Total],PROVEEDORES[PROVEEDOR],PROVEEDORES[[#This Row],[PROVEEDOR]],PROVEEDORES[FECHA DE PAGO],"")</f>
        <v>0</v>
      </c>
      <c r="E89" s="37"/>
      <c r="F89" s="108" t="str">
        <f>+VLOOKUP(PROVEEDORES[[#This Row],[PROVEEDOR]],TERCEROS_INFO[[PROVEEDOR]:[CORREO]],5,FALSE)</f>
        <v/>
      </c>
      <c r="G89" s="143">
        <v>44018</v>
      </c>
      <c r="H89" s="38" t="s">
        <v>254</v>
      </c>
      <c r="I89" s="30">
        <v>44018</v>
      </c>
      <c r="J89" s="58">
        <v>2142</v>
      </c>
      <c r="K89" s="32">
        <v>540000</v>
      </c>
      <c r="L89" s="32"/>
      <c r="M89" s="33">
        <f>(PROVEEDORES[[#This Row],[SUBTOTAL]]-PROVEEDORES[[#This Row],[descuento antes de IVA]])*VLOOKUP(PROVEEDORES[[#This Row],[PROVEEDOR]],TERCEROS_INFO[#All],3,FALSE)</f>
        <v>0</v>
      </c>
      <c r="N89" s="34"/>
      <c r="O89" s="33">
        <f>+PROVEEDORES[[#This Row],[Descuento sobre subtotal %]]*(PROVEEDORES[[#This Row],[SUBTOTAL]]-PROVEEDORES[[#This Row],[descuento antes de IVA]])</f>
        <v>0</v>
      </c>
      <c r="P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" s="33">
        <f>+(PROVEEDORES[[#This Row],[SUBTOTAL]]-PROVEEDORES[[#This Row],[descuento antes de IVA]])*PROVEEDORES[[#This Row],[Rete Fuente %]]</f>
        <v>0</v>
      </c>
      <c r="R89" s="32">
        <f>+PROVEEDORES[[#This Row],[SUBTOTAL]]+PROVEEDORES[[#This Row],[IVA 19%]]-PROVEEDORES[[#This Row],[descuento antes de IVA]]-PROVEEDORES[[#This Row],[Descuento sobre subtotal $]]-PROVEEDORES[[#This Row],[Rete Fuente $]]</f>
        <v>540000</v>
      </c>
      <c r="S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" s="40"/>
      <c r="U89" s="97"/>
      <c r="V89" s="36"/>
      <c r="W89" s="36"/>
      <c r="X89" s="36"/>
      <c r="Y89" s="36"/>
      <c r="Z89" s="41"/>
      <c r="AA89" s="42"/>
      <c r="AF89" s="36"/>
      <c r="AG89" s="36"/>
    </row>
    <row r="90" spans="1:33" ht="21.95" hidden="1" customHeight="1" x14ac:dyDescent="0.25">
      <c r="A90" s="39" t="str">
        <f>+IF(PROVEEDORES[[#This Row],[FECHA DE PAGO]]=PROVEEDORES[[#This Row],[FECHA DE FACTURACIÓN]],"DE CONTADO","CRÉDITO")</f>
        <v>DE CONTADO</v>
      </c>
      <c r="B90" s="67" t="b">
        <f>+IF((PROVEEDORES[[#This Row],[FECHA DE PAGO]]-PROVEEDORES[[#This Row],[FECHA DE FACTURACIÓN]])&gt;PROVEEDORES[[#This Row],[PLAZO Días]],"PAGO VENCIDO")</f>
        <v>0</v>
      </c>
      <c r="C90" s="27">
        <f>+VLOOKUP(PROVEEDORES[[#This Row],[PROVEEDOR]],TERCEROS_INFO[#All],2,FALSE)</f>
        <v>30</v>
      </c>
      <c r="D90" s="37">
        <f>+SUMIFS(PROVEEDORES[Total],PROVEEDORES[PROVEEDOR],PROVEEDORES[[#This Row],[PROVEEDOR]],PROVEEDORES[FECHA DE PAGO],"")</f>
        <v>0</v>
      </c>
      <c r="E90" s="37"/>
      <c r="F90" s="108" t="str">
        <f>+VLOOKUP(PROVEEDORES[[#This Row],[PROVEEDOR]],TERCEROS_INFO[[PROVEEDOR]:[CORREO]],5,FALSE)</f>
        <v/>
      </c>
      <c r="G90" s="143">
        <v>44163</v>
      </c>
      <c r="H90" s="38" t="s">
        <v>254</v>
      </c>
      <c r="I90" s="30">
        <v>44163</v>
      </c>
      <c r="J90" s="58">
        <v>2188</v>
      </c>
      <c r="K90" s="32">
        <v>575000</v>
      </c>
      <c r="L90" s="32"/>
      <c r="M90" s="33">
        <f>(PROVEEDORES[[#This Row],[SUBTOTAL]]-PROVEEDORES[[#This Row],[descuento antes de IVA]])*VLOOKUP(PROVEEDORES[[#This Row],[PROVEEDOR]],TERCEROS_INFO[#All],3,FALSE)</f>
        <v>0</v>
      </c>
      <c r="N90" s="34"/>
      <c r="O90" s="33">
        <f>+PROVEEDORES[[#This Row],[Descuento sobre subtotal %]]*(PROVEEDORES[[#This Row],[SUBTOTAL]]-PROVEEDORES[[#This Row],[descuento antes de IVA]])</f>
        <v>0</v>
      </c>
      <c r="P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" s="33">
        <f>+(PROVEEDORES[[#This Row],[SUBTOTAL]]-PROVEEDORES[[#This Row],[descuento antes de IVA]])*PROVEEDORES[[#This Row],[Rete Fuente %]]</f>
        <v>0</v>
      </c>
      <c r="R90" s="32">
        <f>+PROVEEDORES[[#This Row],[SUBTOTAL]]+PROVEEDORES[[#This Row],[IVA 19%]]-PROVEEDORES[[#This Row],[descuento antes de IVA]]-PROVEEDORES[[#This Row],[Descuento sobre subtotal $]]-PROVEEDORES[[#This Row],[Rete Fuente $]]</f>
        <v>575000</v>
      </c>
      <c r="S9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" s="40"/>
      <c r="U90" s="97"/>
      <c r="V90" s="36"/>
      <c r="W90" s="36"/>
      <c r="X90" s="36"/>
      <c r="Y90" s="36"/>
      <c r="Z90" s="41"/>
      <c r="AA90" s="42"/>
      <c r="AF90" s="36"/>
      <c r="AG90" s="36"/>
    </row>
    <row r="91" spans="1:33" ht="21.95" hidden="1" customHeight="1" x14ac:dyDescent="0.25">
      <c r="A91" s="39" t="str">
        <f>+IF(PROVEEDORES[[#This Row],[FECHA DE PAGO]]=PROVEEDORES[[#This Row],[FECHA DE FACTURACIÓN]],"DE CONTADO","CRÉDITO")</f>
        <v>DE CONTADO</v>
      </c>
      <c r="B91" s="67" t="b">
        <f>+IF((PROVEEDORES[[#This Row],[FECHA DE PAGO]]-PROVEEDORES[[#This Row],[FECHA DE FACTURACIÓN]])&gt;PROVEEDORES[[#This Row],[PLAZO Días]],"PAGO VENCIDO")</f>
        <v>0</v>
      </c>
      <c r="C91" s="27">
        <f>+VLOOKUP(PROVEEDORES[[#This Row],[PROVEEDOR]],TERCEROS_INFO[#All],2,FALSE)</f>
        <v>30</v>
      </c>
      <c r="D91" s="37">
        <f>+SUMIFS(PROVEEDORES[Total],PROVEEDORES[PROVEEDOR],PROVEEDORES[[#This Row],[PROVEEDOR]],PROVEEDORES[FECHA DE PAGO],"")</f>
        <v>0</v>
      </c>
      <c r="E91" s="37"/>
      <c r="F91" s="108" t="str">
        <f>+VLOOKUP(PROVEEDORES[[#This Row],[PROVEEDOR]],TERCEROS_INFO[[PROVEEDOR]:[CORREO]],5,FALSE)</f>
        <v/>
      </c>
      <c r="G91" s="143">
        <v>44233</v>
      </c>
      <c r="H91" s="38" t="s">
        <v>254</v>
      </c>
      <c r="I91" s="30">
        <v>44233</v>
      </c>
      <c r="J91" s="58"/>
      <c r="K91" s="32">
        <v>880000</v>
      </c>
      <c r="L91" s="32"/>
      <c r="M91" s="33">
        <f>(PROVEEDORES[[#This Row],[SUBTOTAL]]-PROVEEDORES[[#This Row],[descuento antes de IVA]])*VLOOKUP(PROVEEDORES[[#This Row],[PROVEEDOR]],TERCEROS_INFO[#All],3,FALSE)</f>
        <v>0</v>
      </c>
      <c r="N91" s="34"/>
      <c r="O91" s="33">
        <f>+PROVEEDORES[[#This Row],[Descuento sobre subtotal %]]*(PROVEEDORES[[#This Row],[SUBTOTAL]]-PROVEEDORES[[#This Row],[descuento antes de IVA]])</f>
        <v>0</v>
      </c>
      <c r="P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" s="33">
        <f>+(PROVEEDORES[[#This Row],[SUBTOTAL]]-PROVEEDORES[[#This Row],[descuento antes de IVA]])*PROVEEDORES[[#This Row],[Rete Fuente %]]</f>
        <v>0</v>
      </c>
      <c r="R91" s="32">
        <f>+PROVEEDORES[[#This Row],[SUBTOTAL]]+PROVEEDORES[[#This Row],[IVA 19%]]-PROVEEDORES[[#This Row],[descuento antes de IVA]]-PROVEEDORES[[#This Row],[Descuento sobre subtotal $]]-PROVEEDORES[[#This Row],[Rete Fuente $]]</f>
        <v>880000</v>
      </c>
      <c r="S9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" s="40"/>
      <c r="U91" s="97"/>
      <c r="V91" s="36"/>
      <c r="W91" s="36"/>
      <c r="X91" s="36"/>
      <c r="Y91" s="36"/>
      <c r="Z91" s="41"/>
      <c r="AA91" s="42"/>
      <c r="AF91" s="36"/>
      <c r="AG91" s="36"/>
    </row>
    <row r="92" spans="1:33" ht="21.95" hidden="1" customHeight="1" x14ac:dyDescent="0.25">
      <c r="A92" s="101" t="str">
        <f>+IF(PROVEEDORES[[#This Row],[FECHA DE PAGO]]=PROVEEDORES[[#This Row],[FECHA DE FACTURACIÓN]],"DE CONTADO","CRÉDITO")</f>
        <v>DE CONTADO</v>
      </c>
      <c r="B92" s="70" t="b">
        <f>+IF((PROVEEDORES[[#This Row],[FECHA DE PAGO]]-PROVEEDORES[[#This Row],[FECHA DE FACTURACIÓN]])&gt;PROVEEDORES[[#This Row],[PLAZO Días]],"PAGO VENCIDO")</f>
        <v>0</v>
      </c>
      <c r="C92" s="27">
        <f>+VLOOKUP(PROVEEDORES[[#This Row],[PROVEEDOR]],TERCEROS_INFO[#All],2,FALSE)</f>
        <v>30</v>
      </c>
      <c r="D92" s="37">
        <f>+SUMIFS(PROVEEDORES[Total],PROVEEDORES[PROVEEDOR],PROVEEDORES[[#This Row],[PROVEEDOR]],PROVEEDORES[FECHA DE PAGO],"")</f>
        <v>0</v>
      </c>
      <c r="E92" s="37"/>
      <c r="F92" s="108" t="str">
        <f>+VLOOKUP(PROVEEDORES[[#This Row],[PROVEEDOR]],TERCEROS_INFO[[PROVEEDOR]:[CORREO]],5,FALSE)</f>
        <v/>
      </c>
      <c r="G92" s="143">
        <v>44247</v>
      </c>
      <c r="H92" s="38" t="s">
        <v>254</v>
      </c>
      <c r="I92" s="30">
        <v>44247</v>
      </c>
      <c r="J92" s="58">
        <v>2218</v>
      </c>
      <c r="K92" s="32">
        <v>540000</v>
      </c>
      <c r="L92" s="32"/>
      <c r="M92" s="33">
        <f>(PROVEEDORES[[#This Row],[SUBTOTAL]]-PROVEEDORES[[#This Row],[descuento antes de IVA]])*VLOOKUP(PROVEEDORES[[#This Row],[PROVEEDOR]],TERCEROS_INFO[#All],3,FALSE)</f>
        <v>0</v>
      </c>
      <c r="N92" s="34"/>
      <c r="O92" s="33">
        <f>+PROVEEDORES[[#This Row],[Descuento sobre subtotal %]]*(PROVEEDORES[[#This Row],[SUBTOTAL]]-PROVEEDORES[[#This Row],[descuento antes de IVA]])</f>
        <v>0</v>
      </c>
      <c r="P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" s="33">
        <f>+(PROVEEDORES[[#This Row],[SUBTOTAL]]-PROVEEDORES[[#This Row],[descuento antes de IVA]])*PROVEEDORES[[#This Row],[Rete Fuente %]]</f>
        <v>0</v>
      </c>
      <c r="R92" s="32">
        <f>+PROVEEDORES[[#This Row],[SUBTOTAL]]+PROVEEDORES[[#This Row],[IVA 19%]]-PROVEEDORES[[#This Row],[descuento antes de IVA]]-PROVEEDORES[[#This Row],[Descuento sobre subtotal $]]-PROVEEDORES[[#This Row],[Rete Fuente $]]</f>
        <v>540000</v>
      </c>
      <c r="S92" s="10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" s="40"/>
      <c r="U92" s="97"/>
      <c r="V92" s="36"/>
      <c r="W92" s="36"/>
      <c r="X92" s="36"/>
      <c r="Y92" s="36"/>
      <c r="Z92" s="41"/>
      <c r="AA92" s="42"/>
      <c r="AF92" s="36"/>
      <c r="AG92" s="36"/>
    </row>
    <row r="93" spans="1:33" ht="21.95" hidden="1" customHeight="1" x14ac:dyDescent="0.25">
      <c r="A93" s="119" t="str">
        <f>+IF(PROVEEDORES[[#This Row],[FECHA DE PAGO]]=PROVEEDORES[[#This Row],[FECHA DE FACTURACIÓN]],"DE CONTADO","CRÉDITO")</f>
        <v>DE CONTADO</v>
      </c>
      <c r="B93" s="70" t="b">
        <f>+IF((PROVEEDORES[[#This Row],[FECHA DE PAGO]]-PROVEEDORES[[#This Row],[FECHA DE FACTURACIÓN]])&gt;PROVEEDORES[[#This Row],[PLAZO Días]],"PAGO VENCIDO")</f>
        <v>0</v>
      </c>
      <c r="C93" s="27">
        <f>+VLOOKUP(PROVEEDORES[[#This Row],[PROVEEDOR]],TERCEROS_INFO[#All],2,FALSE)</f>
        <v>30</v>
      </c>
      <c r="D93" s="37">
        <f>+SUMIFS(PROVEEDORES[Total],PROVEEDORES[PROVEEDOR],PROVEEDORES[[#This Row],[PROVEEDOR]],PROVEEDORES[FECHA DE PAGO],"")</f>
        <v>0</v>
      </c>
      <c r="E93" s="37"/>
      <c r="F93" s="108" t="str">
        <f>+VLOOKUP(PROVEEDORES[[#This Row],[PROVEEDOR]],TERCEROS_INFO[[PROVEEDOR]:[CORREO]],5,FALSE)</f>
        <v/>
      </c>
      <c r="G93" s="143">
        <v>44350</v>
      </c>
      <c r="H93" s="38" t="s">
        <v>254</v>
      </c>
      <c r="I93" s="30">
        <v>44350</v>
      </c>
      <c r="J93" s="58" t="s">
        <v>1148</v>
      </c>
      <c r="K93" s="32">
        <v>510000</v>
      </c>
      <c r="L93" s="32"/>
      <c r="M93" s="33">
        <f>(PROVEEDORES[[#This Row],[SUBTOTAL]]-PROVEEDORES[[#This Row],[descuento antes de IVA]])*VLOOKUP(PROVEEDORES[[#This Row],[PROVEEDOR]],TERCEROS_INFO[#All],3,FALSE)</f>
        <v>0</v>
      </c>
      <c r="N93" s="34"/>
      <c r="O93" s="33">
        <f>+PROVEEDORES[[#This Row],[Descuento sobre subtotal %]]*(PROVEEDORES[[#This Row],[SUBTOTAL]]-PROVEEDORES[[#This Row],[descuento antes de IVA]])</f>
        <v>0</v>
      </c>
      <c r="P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" s="33">
        <f>+(PROVEEDORES[[#This Row],[SUBTOTAL]]-PROVEEDORES[[#This Row],[descuento antes de IVA]])*PROVEEDORES[[#This Row],[Rete Fuente %]]</f>
        <v>0</v>
      </c>
      <c r="R93" s="32">
        <f>+PROVEEDORES[[#This Row],[SUBTOTAL]]+PROVEEDORES[[#This Row],[IVA 19%]]-PROVEEDORES[[#This Row],[descuento antes de IVA]]-PROVEEDORES[[#This Row],[Descuento sobre subtotal $]]-PROVEEDORES[[#This Row],[Rete Fuente $]]</f>
        <v>510000</v>
      </c>
      <c r="S93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" s="40"/>
      <c r="U93" s="97"/>
      <c r="V93" s="36"/>
      <c r="W93" s="36"/>
      <c r="X93" s="36"/>
      <c r="Y93" s="36"/>
      <c r="Z93" s="41"/>
      <c r="AA93" s="42"/>
      <c r="AF93" s="36"/>
      <c r="AG93" s="36"/>
    </row>
    <row r="94" spans="1:33" ht="21.95" hidden="1" customHeight="1" x14ac:dyDescent="0.25">
      <c r="A94" s="129" t="str">
        <f>+IF(PROVEEDORES[[#This Row],[FECHA DE PAGO]]=PROVEEDORES[[#This Row],[FECHA DE FACTURACIÓN]],"DE CONTADO","CRÉDITO")</f>
        <v>DE CONTADO</v>
      </c>
      <c r="B94" s="70" t="b">
        <f>+IF((PROVEEDORES[[#This Row],[FECHA DE PAGO]]-PROVEEDORES[[#This Row],[FECHA DE FACTURACIÓN]])&gt;PROVEEDORES[[#This Row],[PLAZO Días]],"PAGO VENCIDO")</f>
        <v>0</v>
      </c>
      <c r="C94" s="27">
        <f>+VLOOKUP(PROVEEDORES[[#This Row],[PROVEEDOR]],TERCEROS_INFO[#All],2,FALSE)</f>
        <v>30</v>
      </c>
      <c r="D94" s="37">
        <f>+SUMIFS(PROVEEDORES[Total],PROVEEDORES[PROVEEDOR],PROVEEDORES[[#This Row],[PROVEEDOR]],PROVEEDORES[FECHA DE PAGO],"")</f>
        <v>0</v>
      </c>
      <c r="E94" s="37"/>
      <c r="F94" s="108" t="str">
        <f>+VLOOKUP(PROVEEDORES[[#This Row],[PROVEEDOR]],TERCEROS_INFO[[PROVEEDOR]:[CORREO]],5,FALSE)</f>
        <v/>
      </c>
      <c r="G94" s="143">
        <v>44367</v>
      </c>
      <c r="H94" s="38" t="s">
        <v>254</v>
      </c>
      <c r="I94" s="30">
        <v>44367</v>
      </c>
      <c r="J94" s="58" t="s">
        <v>1165</v>
      </c>
      <c r="K94" s="32">
        <v>800000</v>
      </c>
      <c r="L94" s="32"/>
      <c r="M94" s="33">
        <f>(PROVEEDORES[[#This Row],[SUBTOTAL]]-PROVEEDORES[[#This Row],[descuento antes de IVA]])*VLOOKUP(PROVEEDORES[[#This Row],[PROVEEDOR]],TERCEROS_INFO[#All],3,FALSE)</f>
        <v>0</v>
      </c>
      <c r="N94" s="34"/>
      <c r="O94" s="33">
        <f>+PROVEEDORES[[#This Row],[Descuento sobre subtotal %]]*(PROVEEDORES[[#This Row],[SUBTOTAL]]-PROVEEDORES[[#This Row],[descuento antes de IVA]])</f>
        <v>0</v>
      </c>
      <c r="P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" s="33">
        <f>+(PROVEEDORES[[#This Row],[SUBTOTAL]]-PROVEEDORES[[#This Row],[descuento antes de IVA]])*PROVEEDORES[[#This Row],[Rete Fuente %]]</f>
        <v>0</v>
      </c>
      <c r="R94" s="32">
        <f>+PROVEEDORES[[#This Row],[SUBTOTAL]]+PROVEEDORES[[#This Row],[IVA 19%]]-PROVEEDORES[[#This Row],[descuento antes de IVA]]-PROVEEDORES[[#This Row],[Descuento sobre subtotal $]]-PROVEEDORES[[#This Row],[Rete Fuente $]]</f>
        <v>800000</v>
      </c>
      <c r="S94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" s="40"/>
      <c r="U94" s="97"/>
      <c r="V94" s="36"/>
      <c r="W94" s="36"/>
      <c r="X94" s="36"/>
      <c r="Y94" s="36"/>
      <c r="Z94" s="41"/>
      <c r="AA94" s="42"/>
      <c r="AF94" s="36"/>
      <c r="AG94" s="36"/>
    </row>
    <row r="95" spans="1:33" ht="21.95" hidden="1" customHeight="1" x14ac:dyDescent="0.25">
      <c r="A95" s="135" t="str">
        <f>+IF(PROVEEDORES[[#This Row],[FECHA DE PAGO]]=PROVEEDORES[[#This Row],[FECHA DE FACTURACIÓN]],"DE CONTADO","CRÉDITO")</f>
        <v>DE CONTADO</v>
      </c>
      <c r="B95" s="70" t="b">
        <f>+IF((PROVEEDORES[[#This Row],[FECHA DE PAGO]]-PROVEEDORES[[#This Row],[FECHA DE FACTURACIÓN]])&gt;PROVEEDORES[[#This Row],[PLAZO Días]],"PAGO VENCIDO")</f>
        <v>0</v>
      </c>
      <c r="C95" s="27">
        <f>+VLOOKUP(PROVEEDORES[[#This Row],[PROVEEDOR]],TERCEROS_INFO[#All],2,FALSE)</f>
        <v>30</v>
      </c>
      <c r="D95" s="37">
        <f>+SUMIFS(PROVEEDORES[Total],PROVEEDORES[PROVEEDOR],PROVEEDORES[[#This Row],[PROVEEDOR]],PROVEEDORES[FECHA DE PAGO],"")</f>
        <v>0</v>
      </c>
      <c r="E95" s="37"/>
      <c r="F95" s="108" t="str">
        <f>+VLOOKUP(PROVEEDORES[[#This Row],[PROVEEDOR]],TERCEROS_INFO[[PROVEEDOR]:[CORREO]],5,FALSE)</f>
        <v/>
      </c>
      <c r="G95" s="30">
        <v>44408</v>
      </c>
      <c r="H95" s="38" t="s">
        <v>254</v>
      </c>
      <c r="I95" s="30">
        <v>44408</v>
      </c>
      <c r="J95" s="58" t="s">
        <v>1196</v>
      </c>
      <c r="K95" s="32">
        <v>410000</v>
      </c>
      <c r="L95" s="32"/>
      <c r="M95" s="33">
        <f>(PROVEEDORES[[#This Row],[SUBTOTAL]]-PROVEEDORES[[#This Row],[descuento antes de IVA]])*VLOOKUP(PROVEEDORES[[#This Row],[PROVEEDOR]],TERCEROS_INFO[#All],3,FALSE)</f>
        <v>0</v>
      </c>
      <c r="N95" s="34"/>
      <c r="O95" s="33">
        <f>+PROVEEDORES[[#This Row],[Descuento sobre subtotal %]]*(PROVEEDORES[[#This Row],[SUBTOTAL]]-PROVEEDORES[[#This Row],[descuento antes de IVA]])</f>
        <v>0</v>
      </c>
      <c r="P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" s="33">
        <f>+(PROVEEDORES[[#This Row],[SUBTOTAL]]-PROVEEDORES[[#This Row],[descuento antes de IVA]])*PROVEEDORES[[#This Row],[Rete Fuente %]]</f>
        <v>0</v>
      </c>
      <c r="R95" s="32">
        <f>+PROVEEDORES[[#This Row],[SUBTOTAL]]+PROVEEDORES[[#This Row],[IVA 19%]]-PROVEEDORES[[#This Row],[descuento antes de IVA]]-PROVEEDORES[[#This Row],[Descuento sobre subtotal $]]-PROVEEDORES[[#This Row],[Rete Fuente $]]</f>
        <v>410000</v>
      </c>
      <c r="S95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" s="40"/>
      <c r="U95" s="97"/>
      <c r="V95" s="36"/>
      <c r="W95" s="36"/>
      <c r="X95" s="36"/>
      <c r="Y95" s="36"/>
      <c r="Z95" s="41"/>
      <c r="AA95" s="42"/>
      <c r="AF95" s="36"/>
      <c r="AG95" s="36"/>
    </row>
    <row r="96" spans="1:33" ht="21.95" hidden="1" customHeight="1" x14ac:dyDescent="0.25">
      <c r="A96" s="148" t="str">
        <f>+IF(PROVEEDORES[[#This Row],[FECHA DE PAGO]]=PROVEEDORES[[#This Row],[FECHA DE FACTURACIÓN]],"DE CONTADO","CRÉDITO")</f>
        <v>DE CONTADO</v>
      </c>
      <c r="B96" s="70" t="b">
        <f>+IF((PROVEEDORES[[#This Row],[FECHA DE PAGO]]-PROVEEDORES[[#This Row],[FECHA DE FACTURACIÓN]])&gt;PROVEEDORES[[#This Row],[PLAZO Días]],"PAGO VENCIDO")</f>
        <v>0</v>
      </c>
      <c r="C96" s="27">
        <f>+VLOOKUP(PROVEEDORES[[#This Row],[PROVEEDOR]],TERCEROS_INFO[#All],2,FALSE)</f>
        <v>30</v>
      </c>
      <c r="D96" s="37">
        <f>+SUMIFS(PROVEEDORES[Total],PROVEEDORES[PROVEEDOR],PROVEEDORES[[#This Row],[PROVEEDOR]],PROVEEDORES[FECHA DE PAGO],"")</f>
        <v>0</v>
      </c>
      <c r="E96" s="37"/>
      <c r="F96" s="108" t="str">
        <f>+VLOOKUP(PROVEEDORES[[#This Row],[PROVEEDOR]],TERCEROS_INFO[[PROVEEDOR]:[CORREO]],5,FALSE)</f>
        <v/>
      </c>
      <c r="G96" s="30">
        <v>44447</v>
      </c>
      <c r="H96" s="38" t="s">
        <v>254</v>
      </c>
      <c r="I96" s="30">
        <v>44447</v>
      </c>
      <c r="J96" s="58" t="s">
        <v>1239</v>
      </c>
      <c r="K96" s="32">
        <v>510000</v>
      </c>
      <c r="L96" s="32"/>
      <c r="M96" s="33">
        <f>(PROVEEDORES[[#This Row],[SUBTOTAL]]-PROVEEDORES[[#This Row],[descuento antes de IVA]])*VLOOKUP(PROVEEDORES[[#This Row],[PROVEEDOR]],TERCEROS_INFO[#All],3,FALSE)</f>
        <v>0</v>
      </c>
      <c r="N96" s="34"/>
      <c r="O96" s="33">
        <f>+PROVEEDORES[[#This Row],[Descuento sobre subtotal %]]*(PROVEEDORES[[#This Row],[SUBTOTAL]]-PROVEEDORES[[#This Row],[descuento antes de IVA]])</f>
        <v>0</v>
      </c>
      <c r="P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" s="33">
        <f>+(PROVEEDORES[[#This Row],[SUBTOTAL]]-PROVEEDORES[[#This Row],[descuento antes de IVA]])*PROVEEDORES[[#This Row],[Rete Fuente %]]</f>
        <v>0</v>
      </c>
      <c r="R96" s="32">
        <f>+PROVEEDORES[[#This Row],[SUBTOTAL]]+PROVEEDORES[[#This Row],[IVA 19%]]-PROVEEDORES[[#This Row],[descuento antes de IVA]]-PROVEEDORES[[#This Row],[Descuento sobre subtotal $]]-PROVEEDORES[[#This Row],[Rete Fuente $]]</f>
        <v>510000</v>
      </c>
      <c r="S96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" s="40"/>
      <c r="U96" s="97"/>
      <c r="V96" s="36"/>
      <c r="W96" s="36"/>
      <c r="X96" s="36"/>
      <c r="Y96" s="36"/>
      <c r="Z96" s="41"/>
      <c r="AA96" s="42"/>
      <c r="AF96" s="36"/>
      <c r="AG96" s="36"/>
    </row>
    <row r="97" spans="1:33" ht="21.95" hidden="1" customHeight="1" x14ac:dyDescent="0.25">
      <c r="A97" s="156" t="str">
        <f>+IF(PROVEEDORES[[#This Row],[FECHA DE PAGO]]=PROVEEDORES[[#This Row],[FECHA DE FACTURACIÓN]],"DE CONTADO","CRÉDITO")</f>
        <v>DE CONTADO</v>
      </c>
      <c r="B97" s="70" t="b">
        <f>+IF((PROVEEDORES[[#This Row],[FECHA DE PAGO]]-PROVEEDORES[[#This Row],[FECHA DE FACTURACIÓN]])&gt;PROVEEDORES[[#This Row],[PLAZO Días]],"PAGO VENCIDO")</f>
        <v>0</v>
      </c>
      <c r="C97" s="27">
        <f>+VLOOKUP(PROVEEDORES[[#This Row],[PROVEEDOR]],TERCEROS_INFO[#All],2,FALSE)</f>
        <v>30</v>
      </c>
      <c r="D97" s="37">
        <f>+SUMIFS(PROVEEDORES[Total],PROVEEDORES[PROVEEDOR],PROVEEDORES[[#This Row],[PROVEEDOR]],PROVEEDORES[FECHA DE PAGO],"")</f>
        <v>0</v>
      </c>
      <c r="E97" s="37"/>
      <c r="F97" s="108" t="str">
        <f>+VLOOKUP(PROVEEDORES[[#This Row],[PROVEEDOR]],TERCEROS_INFO[[PROVEEDOR]:[CORREO]],5,FALSE)</f>
        <v/>
      </c>
      <c r="G97" s="143">
        <v>44478</v>
      </c>
      <c r="H97" s="38" t="s">
        <v>254</v>
      </c>
      <c r="I97" s="143">
        <v>44478</v>
      </c>
      <c r="J97" s="58" t="s">
        <v>1272</v>
      </c>
      <c r="K97" s="32">
        <v>485000</v>
      </c>
      <c r="L97" s="32"/>
      <c r="M97" s="33">
        <f>(PROVEEDORES[[#This Row],[SUBTOTAL]]-PROVEEDORES[[#This Row],[descuento antes de IVA]])*VLOOKUP(PROVEEDORES[[#This Row],[PROVEEDOR]],TERCEROS_INFO[#All],3,FALSE)</f>
        <v>0</v>
      </c>
      <c r="N97" s="34"/>
      <c r="O97" s="33">
        <f>+PROVEEDORES[[#This Row],[Descuento sobre subtotal %]]*(PROVEEDORES[[#This Row],[SUBTOTAL]]-PROVEEDORES[[#This Row],[descuento antes de IVA]])</f>
        <v>0</v>
      </c>
      <c r="P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" s="33">
        <f>+(PROVEEDORES[[#This Row],[SUBTOTAL]]-PROVEEDORES[[#This Row],[descuento antes de IVA]])*PROVEEDORES[[#This Row],[Rete Fuente %]]</f>
        <v>0</v>
      </c>
      <c r="R97" s="32">
        <f>+PROVEEDORES[[#This Row],[SUBTOTAL]]+PROVEEDORES[[#This Row],[IVA 19%]]-PROVEEDORES[[#This Row],[descuento antes de IVA]]-PROVEEDORES[[#This Row],[Descuento sobre subtotal $]]-PROVEEDORES[[#This Row],[Rete Fuente $]]</f>
        <v>485000</v>
      </c>
      <c r="S97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" s="40"/>
      <c r="U97" s="97"/>
      <c r="V97" s="36"/>
      <c r="W97" s="36"/>
      <c r="X97" s="36"/>
      <c r="Y97" s="36"/>
      <c r="Z97" s="41"/>
      <c r="AA97" s="42"/>
      <c r="AF97" s="36"/>
      <c r="AG97" s="36"/>
    </row>
    <row r="98" spans="1:33" ht="21.95" hidden="1" customHeight="1" x14ac:dyDescent="0.25">
      <c r="A98" s="165" t="str">
        <f>+IF(PROVEEDORES[[#This Row],[FECHA DE PAGO]]=PROVEEDORES[[#This Row],[FECHA DE FACTURACIÓN]],"DE CONTADO","CRÉDITO")</f>
        <v>DE CONTADO</v>
      </c>
      <c r="B98" s="70" t="b">
        <f>+IF((PROVEEDORES[[#This Row],[FECHA DE PAGO]]-PROVEEDORES[[#This Row],[FECHA DE FACTURACIÓN]])&gt;PROVEEDORES[[#This Row],[PLAZO Días]],"PAGO VENCIDO")</f>
        <v>0</v>
      </c>
      <c r="C98" s="27">
        <f>+VLOOKUP(PROVEEDORES[[#This Row],[PROVEEDOR]],TERCEROS_INFO[#All],2,FALSE)</f>
        <v>30</v>
      </c>
      <c r="D98" s="37">
        <f>+SUMIFS(PROVEEDORES[Total],PROVEEDORES[PROVEEDOR],PROVEEDORES[[#This Row],[PROVEEDOR]],PROVEEDORES[FECHA DE PAGO],"")</f>
        <v>0</v>
      </c>
      <c r="E98" s="37"/>
      <c r="F98" s="108" t="str">
        <f>+VLOOKUP(PROVEEDORES[[#This Row],[PROVEEDOR]],TERCEROS_INFO[[PROVEEDOR]:[CORREO]],5,FALSE)</f>
        <v/>
      </c>
      <c r="G98" s="30">
        <v>44513</v>
      </c>
      <c r="H98" s="38" t="s">
        <v>254</v>
      </c>
      <c r="I98" s="30">
        <v>44513</v>
      </c>
      <c r="J98" s="58" t="s">
        <v>962</v>
      </c>
      <c r="K98" s="32">
        <v>990000</v>
      </c>
      <c r="L98" s="32"/>
      <c r="M98" s="33">
        <f>(PROVEEDORES[[#This Row],[SUBTOTAL]]-PROVEEDORES[[#This Row],[descuento antes de IVA]])*VLOOKUP(PROVEEDORES[[#This Row],[PROVEEDOR]],TERCEROS_INFO[#All],3,FALSE)</f>
        <v>0</v>
      </c>
      <c r="N98" s="34"/>
      <c r="O98" s="33">
        <f>+PROVEEDORES[[#This Row],[Descuento sobre subtotal %]]*(PROVEEDORES[[#This Row],[SUBTOTAL]]-PROVEEDORES[[#This Row],[descuento antes de IVA]])</f>
        <v>0</v>
      </c>
      <c r="P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" s="33">
        <f>+(PROVEEDORES[[#This Row],[SUBTOTAL]]-PROVEEDORES[[#This Row],[descuento antes de IVA]])*PROVEEDORES[[#This Row],[Rete Fuente %]]</f>
        <v>0</v>
      </c>
      <c r="R98" s="32">
        <f>+PROVEEDORES[[#This Row],[SUBTOTAL]]+PROVEEDORES[[#This Row],[IVA 19%]]-PROVEEDORES[[#This Row],[descuento antes de IVA]]-PROVEEDORES[[#This Row],[Descuento sobre subtotal $]]-PROVEEDORES[[#This Row],[Rete Fuente $]]</f>
        <v>990000</v>
      </c>
      <c r="S98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" s="40"/>
      <c r="U98" s="97"/>
      <c r="V98" s="36"/>
      <c r="W98" s="36"/>
      <c r="X98" s="36"/>
      <c r="Y98" s="36"/>
      <c r="Z98" s="41"/>
      <c r="AA98" s="42"/>
      <c r="AF98" s="36"/>
      <c r="AG98" s="36"/>
    </row>
    <row r="99" spans="1:33" ht="21.95" hidden="1" customHeight="1" x14ac:dyDescent="0.25">
      <c r="A99" s="35" t="str">
        <f>+IF(PROVEEDORES[[#This Row],[FECHA DE PAGO]]=PROVEEDORES[[#This Row],[FECHA DE FACTURACIÓN]],"DE CONTADO","CRÉDITO")</f>
        <v>DE CONTADO</v>
      </c>
      <c r="B99" s="70" t="b">
        <f>+IF((PROVEEDORES[[#This Row],[FECHA DE PAGO]]-PROVEEDORES[[#This Row],[FECHA DE FACTURACIÓN]])&gt;PROVEEDORES[[#This Row],[PLAZO Días]],"PAGO VENCIDO")</f>
        <v>0</v>
      </c>
      <c r="C99" s="27">
        <f>+VLOOKUP(PROVEEDORES[[#This Row],[PROVEEDOR]],TERCEROS_INFO[#All],2,FALSE)</f>
        <v>30</v>
      </c>
      <c r="D99" s="37">
        <f>+SUMIFS(PROVEEDORES[Total],PROVEEDORES[PROVEEDOR],PROVEEDORES[[#This Row],[PROVEEDOR]],PROVEEDORES[FECHA DE PAGO],"")</f>
        <v>0</v>
      </c>
      <c r="E99" s="37"/>
      <c r="F99" s="108" t="str">
        <f>+VLOOKUP(PROVEEDORES[[#This Row],[PROVEEDOR]],TERCEROS_INFO[[PROVEEDOR]:[CORREO]],5,FALSE)</f>
        <v/>
      </c>
      <c r="G99" s="143">
        <v>44550</v>
      </c>
      <c r="H99" s="38" t="s">
        <v>254</v>
      </c>
      <c r="I99" s="30">
        <v>44550</v>
      </c>
      <c r="J99" s="58" t="s">
        <v>1342</v>
      </c>
      <c r="K99" s="32">
        <v>610000</v>
      </c>
      <c r="L99" s="32"/>
      <c r="M99" s="33">
        <f>(PROVEEDORES[[#This Row],[SUBTOTAL]]-PROVEEDORES[[#This Row],[descuento antes de IVA]])*VLOOKUP(PROVEEDORES[[#This Row],[PROVEEDOR]],TERCEROS_INFO[#All],3,FALSE)</f>
        <v>0</v>
      </c>
      <c r="N99" s="34"/>
      <c r="O99" s="33">
        <f>+PROVEEDORES[[#This Row],[Descuento sobre subtotal %]]*(PROVEEDORES[[#This Row],[SUBTOTAL]]-PROVEEDORES[[#This Row],[descuento antes de IVA]])</f>
        <v>0</v>
      </c>
      <c r="P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" s="33">
        <f>+(PROVEEDORES[[#This Row],[SUBTOTAL]]-PROVEEDORES[[#This Row],[descuento antes de IVA]])*PROVEEDORES[[#This Row],[Rete Fuente %]]</f>
        <v>0</v>
      </c>
      <c r="R99" s="32">
        <f>+PROVEEDORES[[#This Row],[SUBTOTAL]]+PROVEEDORES[[#This Row],[IVA 19%]]-PROVEEDORES[[#This Row],[descuento antes de IVA]]-PROVEEDORES[[#This Row],[Descuento sobre subtotal $]]-PROVEEDORES[[#This Row],[Rete Fuente $]]</f>
        <v>610000</v>
      </c>
      <c r="S9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" s="40"/>
      <c r="U99" s="97"/>
      <c r="V99" s="36"/>
      <c r="W99" s="36"/>
      <c r="X99" s="36"/>
      <c r="Y99" s="36"/>
      <c r="Z99" s="41"/>
      <c r="AA99" s="42"/>
      <c r="AF99" s="36"/>
      <c r="AG99" s="36"/>
    </row>
    <row r="100" spans="1:33" ht="21.95" hidden="1" customHeight="1" x14ac:dyDescent="0.25">
      <c r="A100" s="39" t="str">
        <f>+IF(PROVEEDORES[[#This Row],[FECHA DE PAGO]]=PROVEEDORES[[#This Row],[FECHA DE FACTURACIÓN]],"DE CONTADO","CRÉDITO")</f>
        <v>CRÉDITO</v>
      </c>
      <c r="B100" s="67" t="b">
        <f>+IF((PROVEEDORES[[#This Row],[FECHA DE PAGO]]-PROVEEDORES[[#This Row],[FECHA DE FACTURACIÓN]])&gt;PROVEEDORES[[#This Row],[PLAZO Días]],"PAGO VENCIDO")</f>
        <v>0</v>
      </c>
      <c r="C100" s="27">
        <f>+VLOOKUP(PROVEEDORES[[#This Row],[PROVEEDOR]],TERCEROS_INFO[#All],2,FALSE)</f>
        <v>30</v>
      </c>
      <c r="D100" s="37">
        <f>+SUMIFS(PROVEEDORES[Total],PROVEEDORES[PROVEEDOR],PROVEEDORES[[#This Row],[PROVEEDOR]],PROVEEDORES[FECHA DE PAGO],"")</f>
        <v>0</v>
      </c>
      <c r="E100" s="37"/>
      <c r="F100" s="108" t="str">
        <f>+VLOOKUP(PROVEEDORES[[#This Row],[PROVEEDOR]],TERCEROS_INFO[[PROVEEDOR]:[CORREO]],5,FALSE)</f>
        <v/>
      </c>
      <c r="G100" s="143">
        <v>44063</v>
      </c>
      <c r="H100" s="38" t="s">
        <v>309</v>
      </c>
      <c r="I100" s="30">
        <v>44044</v>
      </c>
      <c r="J100" s="58" t="s">
        <v>1077</v>
      </c>
      <c r="K100" s="32">
        <v>255000</v>
      </c>
      <c r="L100" s="32"/>
      <c r="M100" s="33">
        <f>(PROVEEDORES[[#This Row],[SUBTOTAL]]-PROVEEDORES[[#This Row],[descuento antes de IVA]])*VLOOKUP(PROVEEDORES[[#This Row],[PROVEEDOR]],TERCEROS_INFO[#All],3,FALSE)</f>
        <v>0</v>
      </c>
      <c r="N100" s="34"/>
      <c r="O100" s="33">
        <f>+PROVEEDORES[[#This Row],[Descuento sobre subtotal %]]*(PROVEEDORES[[#This Row],[SUBTOTAL]]-PROVEEDORES[[#This Row],[descuento antes de IVA]])</f>
        <v>0</v>
      </c>
      <c r="P1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" s="33">
        <f>+(PROVEEDORES[[#This Row],[SUBTOTAL]]-PROVEEDORES[[#This Row],[descuento antes de IVA]])*PROVEEDORES[[#This Row],[Rete Fuente %]]</f>
        <v>0</v>
      </c>
      <c r="R100" s="32">
        <f>+PROVEEDORES[[#This Row],[SUBTOTAL]]+PROVEEDORES[[#This Row],[IVA 19%]]-PROVEEDORES[[#This Row],[descuento antes de IVA]]-PROVEEDORES[[#This Row],[Descuento sobre subtotal $]]-PROVEEDORES[[#This Row],[Rete Fuente $]]</f>
        <v>255000</v>
      </c>
      <c r="S10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" s="40"/>
      <c r="U100" s="97"/>
      <c r="V100" s="36"/>
      <c r="W100" s="36"/>
      <c r="X100" s="36"/>
      <c r="Y100" s="36"/>
      <c r="Z100" s="41"/>
      <c r="AA100" s="42"/>
      <c r="AF100" s="36"/>
      <c r="AG100" s="36"/>
    </row>
    <row r="101" spans="1:33" ht="21.95" hidden="1" customHeight="1" x14ac:dyDescent="0.25">
      <c r="A101" s="39" t="str">
        <f>+IF(PROVEEDORES[[#This Row],[FECHA DE PAGO]]=PROVEEDORES[[#This Row],[FECHA DE FACTURACIÓN]],"DE CONTADO","CRÉDITO")</f>
        <v>CRÉDITO</v>
      </c>
      <c r="B101" s="67" t="b">
        <f>+IF((PROVEEDORES[[#This Row],[FECHA DE PAGO]]-PROVEEDORES[[#This Row],[FECHA DE FACTURACIÓN]])&gt;PROVEEDORES[[#This Row],[PLAZO Días]],"PAGO VENCIDO")</f>
        <v>0</v>
      </c>
      <c r="C101" s="27">
        <f>+VLOOKUP(PROVEEDORES[[#This Row],[PROVEEDOR]],TERCEROS_INFO[#All],2,FALSE)</f>
        <v>30</v>
      </c>
      <c r="D101" s="37">
        <f>+SUMIFS(PROVEEDORES[Total],PROVEEDORES[PROVEEDOR],PROVEEDORES[[#This Row],[PROVEEDOR]],PROVEEDORES[FECHA DE PAGO],"")</f>
        <v>0</v>
      </c>
      <c r="E101" s="37"/>
      <c r="F101" s="108" t="str">
        <f>+VLOOKUP(PROVEEDORES[[#This Row],[PROVEEDOR]],TERCEROS_INFO[[PROVEEDOR]:[CORREO]],5,FALSE)</f>
        <v/>
      </c>
      <c r="G101" s="143">
        <v>44078</v>
      </c>
      <c r="H101" s="38" t="s">
        <v>309</v>
      </c>
      <c r="I101" s="30">
        <v>44074</v>
      </c>
      <c r="J101" s="58" t="s">
        <v>1080</v>
      </c>
      <c r="K101" s="32">
        <v>505000</v>
      </c>
      <c r="L101" s="32"/>
      <c r="M101" s="33">
        <f>(PROVEEDORES[[#This Row],[SUBTOTAL]]-PROVEEDORES[[#This Row],[descuento antes de IVA]])*VLOOKUP(PROVEEDORES[[#This Row],[PROVEEDOR]],TERCEROS_INFO[#All],3,FALSE)</f>
        <v>0</v>
      </c>
      <c r="N101" s="34"/>
      <c r="O101" s="33">
        <f>+PROVEEDORES[[#This Row],[Descuento sobre subtotal %]]*(PROVEEDORES[[#This Row],[SUBTOTAL]]-PROVEEDORES[[#This Row],[descuento antes de IVA]])</f>
        <v>0</v>
      </c>
      <c r="P1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1" s="33">
        <f>+(PROVEEDORES[[#This Row],[SUBTOTAL]]-PROVEEDORES[[#This Row],[descuento antes de IVA]])*PROVEEDORES[[#This Row],[Rete Fuente %]]</f>
        <v>0</v>
      </c>
      <c r="R101" s="32">
        <f>+PROVEEDORES[[#This Row],[SUBTOTAL]]+PROVEEDORES[[#This Row],[IVA 19%]]-PROVEEDORES[[#This Row],[descuento antes de IVA]]-PROVEEDORES[[#This Row],[Descuento sobre subtotal $]]-PROVEEDORES[[#This Row],[Rete Fuente $]]</f>
        <v>505000</v>
      </c>
      <c r="S10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" s="40"/>
      <c r="U101" s="97"/>
      <c r="V101" s="36"/>
      <c r="W101" s="36"/>
      <c r="X101" s="36"/>
      <c r="Y101" s="36"/>
      <c r="Z101" s="41"/>
      <c r="AA101" s="42"/>
      <c r="AF101" s="36"/>
      <c r="AG101" s="36"/>
    </row>
    <row r="102" spans="1:33" ht="21.95" hidden="1" customHeight="1" x14ac:dyDescent="0.25">
      <c r="A102" s="39" t="str">
        <f>+IF(PROVEEDORES[[#This Row],[FECHA DE PAGO]]=PROVEEDORES[[#This Row],[FECHA DE FACTURACIÓN]],"DE CONTADO","CRÉDITO")</f>
        <v>CRÉDITO</v>
      </c>
      <c r="B102" s="67" t="b">
        <f>+IF((PROVEEDORES[[#This Row],[FECHA DE PAGO]]-PROVEEDORES[[#This Row],[FECHA DE FACTURACIÓN]])&gt;PROVEEDORES[[#This Row],[PLAZO Días]],"PAGO VENCIDO")</f>
        <v>0</v>
      </c>
      <c r="C102" s="27">
        <f>+VLOOKUP(PROVEEDORES[[#This Row],[PROVEEDOR]],TERCEROS_INFO[#All],2,FALSE)</f>
        <v>30</v>
      </c>
      <c r="D102" s="37">
        <f>+SUMIFS(PROVEEDORES[Total],PROVEEDORES[PROVEEDOR],PROVEEDORES[[#This Row],[PROVEEDOR]],PROVEEDORES[FECHA DE PAGO],"")</f>
        <v>0</v>
      </c>
      <c r="E102" s="37"/>
      <c r="F102" s="108" t="str">
        <f>+VLOOKUP(PROVEEDORES[[#This Row],[PROVEEDOR]],TERCEROS_INFO[[PROVEEDOR]:[CORREO]],5,FALSE)</f>
        <v/>
      </c>
      <c r="G102" s="143">
        <v>44083</v>
      </c>
      <c r="H102" s="38" t="s">
        <v>309</v>
      </c>
      <c r="I102" s="30">
        <v>44082</v>
      </c>
      <c r="J102" s="58"/>
      <c r="K102" s="32">
        <v>350000</v>
      </c>
      <c r="L102" s="32"/>
      <c r="M102" s="33">
        <f>(PROVEEDORES[[#This Row],[SUBTOTAL]]-PROVEEDORES[[#This Row],[descuento antes de IVA]])*VLOOKUP(PROVEEDORES[[#This Row],[PROVEEDOR]],TERCEROS_INFO[#All],3,FALSE)</f>
        <v>0</v>
      </c>
      <c r="N102" s="34"/>
      <c r="O102" s="33">
        <f>+PROVEEDORES[[#This Row],[Descuento sobre subtotal %]]*(PROVEEDORES[[#This Row],[SUBTOTAL]]-PROVEEDORES[[#This Row],[descuento antes de IVA]])</f>
        <v>0</v>
      </c>
      <c r="P1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2" s="33">
        <f>+(PROVEEDORES[[#This Row],[SUBTOTAL]]-PROVEEDORES[[#This Row],[descuento antes de IVA]])*PROVEEDORES[[#This Row],[Rete Fuente %]]</f>
        <v>0</v>
      </c>
      <c r="R102" s="32">
        <f>+PROVEEDORES[[#This Row],[SUBTOTAL]]+PROVEEDORES[[#This Row],[IVA 19%]]-PROVEEDORES[[#This Row],[descuento antes de IVA]]-PROVEEDORES[[#This Row],[Descuento sobre subtotal $]]-PROVEEDORES[[#This Row],[Rete Fuente $]]</f>
        <v>350000</v>
      </c>
      <c r="S10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" s="40"/>
      <c r="U102" s="97"/>
      <c r="V102" s="36"/>
      <c r="W102" s="36"/>
      <c r="X102" s="36"/>
      <c r="Y102" s="36"/>
      <c r="Z102" s="41"/>
      <c r="AA102" s="42"/>
      <c r="AF102" s="36"/>
      <c r="AG102" s="36"/>
    </row>
    <row r="103" spans="1:33" ht="21.95" hidden="1" customHeight="1" x14ac:dyDescent="0.25">
      <c r="A103" s="39" t="str">
        <f>+IF(PROVEEDORES[[#This Row],[FECHA DE PAGO]]=PROVEEDORES[[#This Row],[FECHA DE FACTURACIÓN]],"DE CONTADO","CRÉDITO")</f>
        <v>DE CONTADO</v>
      </c>
      <c r="B103" s="67" t="b">
        <f>+IF((PROVEEDORES[[#This Row],[FECHA DE PAGO]]-PROVEEDORES[[#This Row],[FECHA DE FACTURACIÓN]])&gt;PROVEEDORES[[#This Row],[PLAZO Días]],"PAGO VENCIDO")</f>
        <v>0</v>
      </c>
      <c r="C103" s="27">
        <f>+VLOOKUP(PROVEEDORES[[#This Row],[PROVEEDOR]],TERCEROS_INFO[#All],2,FALSE)</f>
        <v>30</v>
      </c>
      <c r="D103" s="37">
        <f>+SUMIFS(PROVEEDORES[Total],PROVEEDORES[PROVEEDOR],PROVEEDORES[[#This Row],[PROVEEDOR]],PROVEEDORES[FECHA DE PAGO],"")</f>
        <v>0</v>
      </c>
      <c r="E103" s="37"/>
      <c r="F103" s="108" t="str">
        <f>+VLOOKUP(PROVEEDORES[[#This Row],[PROVEEDOR]],TERCEROS_INFO[[PROVEEDOR]:[CORREO]],5,FALSE)</f>
        <v/>
      </c>
      <c r="G103" s="143">
        <v>44083</v>
      </c>
      <c r="H103" s="38" t="s">
        <v>309</v>
      </c>
      <c r="I103" s="30">
        <v>44083</v>
      </c>
      <c r="J103" s="58"/>
      <c r="K103" s="32">
        <v>360000</v>
      </c>
      <c r="L103" s="32"/>
      <c r="M103" s="33">
        <f>(PROVEEDORES[[#This Row],[SUBTOTAL]]-PROVEEDORES[[#This Row],[descuento antes de IVA]])*VLOOKUP(PROVEEDORES[[#This Row],[PROVEEDOR]],TERCEROS_INFO[#All],3,FALSE)</f>
        <v>0</v>
      </c>
      <c r="N103" s="34"/>
      <c r="O103" s="33">
        <f>+PROVEEDORES[[#This Row],[Descuento sobre subtotal %]]*(PROVEEDORES[[#This Row],[SUBTOTAL]]-PROVEEDORES[[#This Row],[descuento antes de IVA]])</f>
        <v>0</v>
      </c>
      <c r="P1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" s="33">
        <f>+(PROVEEDORES[[#This Row],[SUBTOTAL]]-PROVEEDORES[[#This Row],[descuento antes de IVA]])*PROVEEDORES[[#This Row],[Rete Fuente %]]</f>
        <v>0</v>
      </c>
      <c r="R103" s="32">
        <f>+PROVEEDORES[[#This Row],[SUBTOTAL]]+PROVEEDORES[[#This Row],[IVA 19%]]-PROVEEDORES[[#This Row],[descuento antes de IVA]]-PROVEEDORES[[#This Row],[Descuento sobre subtotal $]]-PROVEEDORES[[#This Row],[Rete Fuente $]]</f>
        <v>360000</v>
      </c>
      <c r="S10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" s="40"/>
      <c r="U103" s="97"/>
      <c r="V103" s="36"/>
      <c r="W103" s="36"/>
      <c r="X103" s="36"/>
      <c r="Y103" s="36"/>
      <c r="Z103" s="41"/>
      <c r="AA103" s="42"/>
      <c r="AF103" s="36"/>
      <c r="AG103" s="36"/>
    </row>
    <row r="104" spans="1:33" ht="21.95" hidden="1" customHeight="1" x14ac:dyDescent="0.25">
      <c r="A104" s="39" t="str">
        <f>+IF(PROVEEDORES[[#This Row],[FECHA DE PAGO]]=PROVEEDORES[[#This Row],[FECHA DE FACTURACIÓN]],"DE CONTADO","CRÉDITO")</f>
        <v>CRÉDITO</v>
      </c>
      <c r="B104" s="67" t="b">
        <f>+IF((PROVEEDORES[[#This Row],[FECHA DE PAGO]]-PROVEEDORES[[#This Row],[FECHA DE FACTURACIÓN]])&gt;PROVEEDORES[[#This Row],[PLAZO Días]],"PAGO VENCIDO")</f>
        <v>0</v>
      </c>
      <c r="C104" s="27">
        <f>+VLOOKUP(PROVEEDORES[[#This Row],[PROVEEDOR]],TERCEROS_INFO[#All],2,FALSE)</f>
        <v>30</v>
      </c>
      <c r="D104" s="37">
        <f>+SUMIFS(PROVEEDORES[Total],PROVEEDORES[PROVEEDOR],PROVEEDORES[[#This Row],[PROVEEDOR]],PROVEEDORES[FECHA DE PAGO],"")</f>
        <v>0</v>
      </c>
      <c r="E104" s="37"/>
      <c r="F104" s="108" t="str">
        <f>+VLOOKUP(PROVEEDORES[[#This Row],[PROVEEDOR]],TERCEROS_INFO[[PROVEEDOR]:[CORREO]],5,FALSE)</f>
        <v/>
      </c>
      <c r="G104" s="143">
        <v>44099</v>
      </c>
      <c r="H104" s="38" t="s">
        <v>309</v>
      </c>
      <c r="I104" s="30">
        <v>44086</v>
      </c>
      <c r="J104" s="58">
        <v>303</v>
      </c>
      <c r="K104" s="32">
        <v>275000</v>
      </c>
      <c r="L104" s="32"/>
      <c r="M104" s="33">
        <f>(PROVEEDORES[[#This Row],[SUBTOTAL]]-PROVEEDORES[[#This Row],[descuento antes de IVA]])*VLOOKUP(PROVEEDORES[[#This Row],[PROVEEDOR]],TERCEROS_INFO[#All],3,FALSE)</f>
        <v>0</v>
      </c>
      <c r="N104" s="34"/>
      <c r="O104" s="33">
        <f>+PROVEEDORES[[#This Row],[Descuento sobre subtotal %]]*(PROVEEDORES[[#This Row],[SUBTOTAL]]-PROVEEDORES[[#This Row],[descuento antes de IVA]])</f>
        <v>0</v>
      </c>
      <c r="P1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4" s="33">
        <f>+(PROVEEDORES[[#This Row],[SUBTOTAL]]-PROVEEDORES[[#This Row],[descuento antes de IVA]])*PROVEEDORES[[#This Row],[Rete Fuente %]]</f>
        <v>0</v>
      </c>
      <c r="R104" s="32">
        <f>+PROVEEDORES[[#This Row],[SUBTOTAL]]+PROVEEDORES[[#This Row],[IVA 19%]]-PROVEEDORES[[#This Row],[descuento antes de IVA]]-PROVEEDORES[[#This Row],[Descuento sobre subtotal $]]-PROVEEDORES[[#This Row],[Rete Fuente $]]</f>
        <v>275000</v>
      </c>
      <c r="S10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4" s="40"/>
      <c r="U104" s="97"/>
      <c r="V104" s="36"/>
      <c r="W104" s="36"/>
      <c r="X104" s="36"/>
      <c r="Y104" s="36"/>
      <c r="Z104" s="41"/>
      <c r="AA104" s="42"/>
      <c r="AF104" s="36"/>
      <c r="AG104" s="36"/>
    </row>
    <row r="105" spans="1:33" ht="21.95" hidden="1" customHeight="1" x14ac:dyDescent="0.25">
      <c r="A105" s="39" t="str">
        <f>+IF(PROVEEDORES[[#This Row],[FECHA DE PAGO]]=PROVEEDORES[[#This Row],[FECHA DE FACTURACIÓN]],"DE CONTADO","CRÉDITO")</f>
        <v>CRÉDITO</v>
      </c>
      <c r="B105" s="67" t="b">
        <f>+IF((PROVEEDORES[[#This Row],[FECHA DE PAGO]]-PROVEEDORES[[#This Row],[FECHA DE FACTURACIÓN]])&gt;PROVEEDORES[[#This Row],[PLAZO Días]],"PAGO VENCIDO")</f>
        <v>0</v>
      </c>
      <c r="C105" s="27">
        <f>+VLOOKUP(PROVEEDORES[[#This Row],[PROVEEDOR]],TERCEROS_INFO[#All],2,FALSE)</f>
        <v>30</v>
      </c>
      <c r="D105" s="37">
        <f>+SUMIFS(PROVEEDORES[Total],PROVEEDORES[PROVEEDOR],PROVEEDORES[[#This Row],[PROVEEDOR]],PROVEEDORES[FECHA DE PAGO],"")</f>
        <v>0</v>
      </c>
      <c r="E105" s="37"/>
      <c r="F105" s="108" t="str">
        <f>+VLOOKUP(PROVEEDORES[[#This Row],[PROVEEDOR]],TERCEROS_INFO[[PROVEEDOR]:[CORREO]],5,FALSE)</f>
        <v/>
      </c>
      <c r="G105" s="143">
        <v>44118</v>
      </c>
      <c r="H105" s="38" t="s">
        <v>309</v>
      </c>
      <c r="I105" s="30">
        <v>44103</v>
      </c>
      <c r="J105" s="58">
        <v>304</v>
      </c>
      <c r="K105" s="32">
        <v>350000</v>
      </c>
      <c r="L105" s="32"/>
      <c r="M105" s="33">
        <f>(PROVEEDORES[[#This Row],[SUBTOTAL]]-PROVEEDORES[[#This Row],[descuento antes de IVA]])*VLOOKUP(PROVEEDORES[[#This Row],[PROVEEDOR]],TERCEROS_INFO[#All],3,FALSE)</f>
        <v>0</v>
      </c>
      <c r="N105" s="34"/>
      <c r="O105" s="33">
        <f>+PROVEEDORES[[#This Row],[Descuento sobre subtotal %]]*(PROVEEDORES[[#This Row],[SUBTOTAL]]-PROVEEDORES[[#This Row],[descuento antes de IVA]])</f>
        <v>0</v>
      </c>
      <c r="P1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5" s="33">
        <f>+(PROVEEDORES[[#This Row],[SUBTOTAL]]-PROVEEDORES[[#This Row],[descuento antes de IVA]])*PROVEEDORES[[#This Row],[Rete Fuente %]]</f>
        <v>0</v>
      </c>
      <c r="R105" s="32">
        <f>+PROVEEDORES[[#This Row],[SUBTOTAL]]+PROVEEDORES[[#This Row],[IVA 19%]]-PROVEEDORES[[#This Row],[descuento antes de IVA]]-PROVEEDORES[[#This Row],[Descuento sobre subtotal $]]-PROVEEDORES[[#This Row],[Rete Fuente $]]</f>
        <v>350000</v>
      </c>
      <c r="S1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5" s="40"/>
      <c r="U105" s="97"/>
      <c r="V105" s="36"/>
      <c r="W105" s="36"/>
      <c r="X105" s="36"/>
      <c r="Y105" s="36"/>
      <c r="Z105" s="41"/>
      <c r="AA105" s="42"/>
      <c r="AF105" s="36"/>
      <c r="AG105" s="36"/>
    </row>
    <row r="106" spans="1:33" ht="21.95" hidden="1" customHeight="1" x14ac:dyDescent="0.25">
      <c r="A106" s="39" t="str">
        <f>+IF(PROVEEDORES[[#This Row],[FECHA DE PAGO]]=PROVEEDORES[[#This Row],[FECHA DE FACTURACIÓN]],"DE CONTADO","CRÉDITO")</f>
        <v>CRÉDITO</v>
      </c>
      <c r="B106" s="67" t="b">
        <f>+IF((PROVEEDORES[[#This Row],[FECHA DE PAGO]]-PROVEEDORES[[#This Row],[FECHA DE FACTURACIÓN]])&gt;PROVEEDORES[[#This Row],[PLAZO Días]],"PAGO VENCIDO")</f>
        <v>0</v>
      </c>
      <c r="C106" s="27">
        <f>+VLOOKUP(PROVEEDORES[[#This Row],[PROVEEDOR]],TERCEROS_INFO[#All],2,FALSE)</f>
        <v>30</v>
      </c>
      <c r="D106" s="37">
        <f>+SUMIFS(PROVEEDORES[Total],PROVEEDORES[PROVEEDOR],PROVEEDORES[[#This Row],[PROVEEDOR]],PROVEEDORES[FECHA DE PAGO],"")</f>
        <v>0</v>
      </c>
      <c r="E106" s="37"/>
      <c r="F106" s="108" t="str">
        <f>+VLOOKUP(PROVEEDORES[[#This Row],[PROVEEDOR]],TERCEROS_INFO[[PROVEEDOR]:[CORREO]],5,FALSE)</f>
        <v/>
      </c>
      <c r="G106" s="143">
        <v>44133</v>
      </c>
      <c r="H106" s="38" t="s">
        <v>309</v>
      </c>
      <c r="I106" s="30">
        <v>44127</v>
      </c>
      <c r="J106" s="58">
        <v>307</v>
      </c>
      <c r="K106" s="32">
        <v>276000</v>
      </c>
      <c r="L106" s="32"/>
      <c r="M106" s="33">
        <f>(PROVEEDORES[[#This Row],[SUBTOTAL]]-PROVEEDORES[[#This Row],[descuento antes de IVA]])*VLOOKUP(PROVEEDORES[[#This Row],[PROVEEDOR]],TERCEROS_INFO[#All],3,FALSE)</f>
        <v>0</v>
      </c>
      <c r="N106" s="34"/>
      <c r="O106" s="33">
        <f>+PROVEEDORES[[#This Row],[Descuento sobre subtotal %]]*(PROVEEDORES[[#This Row],[SUBTOTAL]]-PROVEEDORES[[#This Row],[descuento antes de IVA]])</f>
        <v>0</v>
      </c>
      <c r="P1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6" s="33">
        <f>+(PROVEEDORES[[#This Row],[SUBTOTAL]]-PROVEEDORES[[#This Row],[descuento antes de IVA]])*PROVEEDORES[[#This Row],[Rete Fuente %]]</f>
        <v>0</v>
      </c>
      <c r="R106" s="32">
        <f>+PROVEEDORES[[#This Row],[SUBTOTAL]]+PROVEEDORES[[#This Row],[IVA 19%]]-PROVEEDORES[[#This Row],[descuento antes de IVA]]-PROVEEDORES[[#This Row],[Descuento sobre subtotal $]]-PROVEEDORES[[#This Row],[Rete Fuente $]]</f>
        <v>276000</v>
      </c>
      <c r="S1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6" s="40"/>
      <c r="U106" s="97"/>
      <c r="V106" s="36"/>
      <c r="W106" s="36"/>
      <c r="X106" s="36"/>
      <c r="Y106" s="36"/>
      <c r="Z106" s="41"/>
      <c r="AA106" s="42"/>
      <c r="AF106" s="36"/>
      <c r="AG106" s="36"/>
    </row>
    <row r="107" spans="1:33" ht="21.95" hidden="1" customHeight="1" x14ac:dyDescent="0.25">
      <c r="A107" s="39" t="str">
        <f>+IF(PROVEEDORES[[#This Row],[FECHA DE PAGO]]=PROVEEDORES[[#This Row],[FECHA DE FACTURACIÓN]],"DE CONTADO","CRÉDITO")</f>
        <v>CRÉDITO</v>
      </c>
      <c r="B107" s="67" t="b">
        <f>+IF((PROVEEDORES[[#This Row],[FECHA DE PAGO]]-PROVEEDORES[[#This Row],[FECHA DE FACTURACIÓN]])&gt;PROVEEDORES[[#This Row],[PLAZO Días]],"PAGO VENCIDO")</f>
        <v>0</v>
      </c>
      <c r="C107" s="27">
        <f>+VLOOKUP(PROVEEDORES[[#This Row],[PROVEEDOR]],TERCEROS_INFO[#All],2,FALSE)</f>
        <v>30</v>
      </c>
      <c r="D107" s="37">
        <f>+SUMIFS(PROVEEDORES[Total],PROVEEDORES[PROVEEDOR],PROVEEDORES[[#This Row],[PROVEEDOR]],PROVEEDORES[FECHA DE PAGO],"")</f>
        <v>0</v>
      </c>
      <c r="E107" s="37"/>
      <c r="F107" s="108" t="str">
        <f>+VLOOKUP(PROVEEDORES[[#This Row],[PROVEEDOR]],TERCEROS_INFO[[PROVEEDOR]:[CORREO]],5,FALSE)</f>
        <v/>
      </c>
      <c r="G107" s="143">
        <v>44138</v>
      </c>
      <c r="H107" s="38" t="s">
        <v>309</v>
      </c>
      <c r="I107" s="30">
        <v>44127</v>
      </c>
      <c r="J107" s="58"/>
      <c r="K107" s="32">
        <v>350000</v>
      </c>
      <c r="L107" s="32"/>
      <c r="M107" s="33">
        <f>(PROVEEDORES[[#This Row],[SUBTOTAL]]-PROVEEDORES[[#This Row],[descuento antes de IVA]])*VLOOKUP(PROVEEDORES[[#This Row],[PROVEEDOR]],TERCEROS_INFO[#All],3,FALSE)</f>
        <v>0</v>
      </c>
      <c r="N107" s="34"/>
      <c r="O107" s="33">
        <f>+PROVEEDORES[[#This Row],[Descuento sobre subtotal %]]*(PROVEEDORES[[#This Row],[SUBTOTAL]]-PROVEEDORES[[#This Row],[descuento antes de IVA]])</f>
        <v>0</v>
      </c>
      <c r="P1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7" s="33">
        <f>+(PROVEEDORES[[#This Row],[SUBTOTAL]]-PROVEEDORES[[#This Row],[descuento antes de IVA]])*PROVEEDORES[[#This Row],[Rete Fuente %]]</f>
        <v>0</v>
      </c>
      <c r="R107" s="32">
        <f>+PROVEEDORES[[#This Row],[SUBTOTAL]]+PROVEEDORES[[#This Row],[IVA 19%]]-PROVEEDORES[[#This Row],[descuento antes de IVA]]-PROVEEDORES[[#This Row],[Descuento sobre subtotal $]]-PROVEEDORES[[#This Row],[Rete Fuente $]]</f>
        <v>350000</v>
      </c>
      <c r="S1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7" s="40"/>
      <c r="U107" s="97"/>
      <c r="V107" s="36"/>
      <c r="W107" s="36"/>
      <c r="X107" s="36"/>
      <c r="Y107" s="36"/>
      <c r="Z107" s="41"/>
      <c r="AA107" s="42"/>
      <c r="AF107" s="36"/>
      <c r="AG107" s="36"/>
    </row>
    <row r="108" spans="1:33" ht="21.95" hidden="1" customHeight="1" x14ac:dyDescent="0.25">
      <c r="A108" s="39" t="str">
        <f>+IF(PROVEEDORES[[#This Row],[FECHA DE PAGO]]=PROVEEDORES[[#This Row],[FECHA DE FACTURACIÓN]],"DE CONTADO","CRÉDITO")</f>
        <v>CRÉDITO</v>
      </c>
      <c r="B108" s="67" t="b">
        <f>+IF((PROVEEDORES[[#This Row],[FECHA DE PAGO]]-PROVEEDORES[[#This Row],[FECHA DE FACTURACIÓN]])&gt;PROVEEDORES[[#This Row],[PLAZO Días]],"PAGO VENCIDO")</f>
        <v>0</v>
      </c>
      <c r="C108" s="27">
        <f>+VLOOKUP(PROVEEDORES[[#This Row],[PROVEEDOR]],TERCEROS_INFO[#All],2,FALSE)</f>
        <v>30</v>
      </c>
      <c r="D108" s="37">
        <f>+SUMIFS(PROVEEDORES[Total],PROVEEDORES[PROVEEDOR],PROVEEDORES[[#This Row],[PROVEEDOR]],PROVEEDORES[FECHA DE PAGO],"")</f>
        <v>0</v>
      </c>
      <c r="E108" s="37"/>
      <c r="F108" s="108" t="str">
        <f>+VLOOKUP(PROVEEDORES[[#This Row],[PROVEEDOR]],TERCEROS_INFO[[PROVEEDOR]:[CORREO]],5,FALSE)</f>
        <v/>
      </c>
      <c r="G108" s="143">
        <v>44168</v>
      </c>
      <c r="H108" s="38" t="s">
        <v>309</v>
      </c>
      <c r="I108" s="30">
        <v>44153</v>
      </c>
      <c r="J108" s="58"/>
      <c r="K108" s="32">
        <v>225000</v>
      </c>
      <c r="L108" s="32"/>
      <c r="M108" s="33">
        <f>(PROVEEDORES[[#This Row],[SUBTOTAL]]-PROVEEDORES[[#This Row],[descuento antes de IVA]])*VLOOKUP(PROVEEDORES[[#This Row],[PROVEEDOR]],TERCEROS_INFO[#All],3,FALSE)</f>
        <v>0</v>
      </c>
      <c r="N108" s="34"/>
      <c r="O108" s="33">
        <f>+PROVEEDORES[[#This Row],[Descuento sobre subtotal %]]*(PROVEEDORES[[#This Row],[SUBTOTAL]]-PROVEEDORES[[#This Row],[descuento antes de IVA]])</f>
        <v>0</v>
      </c>
      <c r="P1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" s="33">
        <f>+(PROVEEDORES[[#This Row],[SUBTOTAL]]-PROVEEDORES[[#This Row],[descuento antes de IVA]])*PROVEEDORES[[#This Row],[Rete Fuente %]]</f>
        <v>0</v>
      </c>
      <c r="R108" s="32">
        <f>+PROVEEDORES[[#This Row],[SUBTOTAL]]+PROVEEDORES[[#This Row],[IVA 19%]]-PROVEEDORES[[#This Row],[descuento antes de IVA]]-PROVEEDORES[[#This Row],[Descuento sobre subtotal $]]-PROVEEDORES[[#This Row],[Rete Fuente $]]</f>
        <v>225000</v>
      </c>
      <c r="S1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8" s="40"/>
      <c r="U108" s="97"/>
      <c r="V108" s="36"/>
      <c r="W108" s="36"/>
      <c r="X108" s="36"/>
      <c r="Y108" s="36"/>
      <c r="Z108" s="41"/>
      <c r="AA108" s="42"/>
      <c r="AF108" s="36"/>
      <c r="AG108" s="36"/>
    </row>
    <row r="109" spans="1:33" ht="21.95" hidden="1" customHeight="1" x14ac:dyDescent="0.25">
      <c r="A109" s="39" t="str">
        <f>+IF(PROVEEDORES[[#This Row],[FECHA DE PAGO]]=PROVEEDORES[[#This Row],[FECHA DE FACTURACIÓN]],"DE CONTADO","CRÉDITO")</f>
        <v>CRÉDITO</v>
      </c>
      <c r="B109" s="67" t="b">
        <f>+IF((PROVEEDORES[[#This Row],[FECHA DE PAGO]]-PROVEEDORES[[#This Row],[FECHA DE FACTURACIÓN]])&gt;PROVEEDORES[[#This Row],[PLAZO Días]],"PAGO VENCIDO")</f>
        <v>0</v>
      </c>
      <c r="C109" s="27">
        <f>+VLOOKUP(PROVEEDORES[[#This Row],[PROVEEDOR]],TERCEROS_INFO[#All],2,FALSE)</f>
        <v>30</v>
      </c>
      <c r="D109" s="37">
        <f>+SUMIFS(PROVEEDORES[Total],PROVEEDORES[PROVEEDOR],PROVEEDORES[[#This Row],[PROVEEDOR]],PROVEEDORES[FECHA DE PAGO],"")</f>
        <v>0</v>
      </c>
      <c r="E109" s="37"/>
      <c r="F109" s="108" t="str">
        <f>+VLOOKUP(PROVEEDORES[[#This Row],[PROVEEDOR]],TERCEROS_INFO[[PROVEEDOR]:[CORREO]],5,FALSE)</f>
        <v/>
      </c>
      <c r="G109" s="143">
        <v>44181</v>
      </c>
      <c r="H109" s="38" t="s">
        <v>309</v>
      </c>
      <c r="I109" s="30">
        <v>44168</v>
      </c>
      <c r="J109" s="58"/>
      <c r="K109" s="32">
        <v>150000</v>
      </c>
      <c r="L109" s="32"/>
      <c r="M109" s="33">
        <f>(PROVEEDORES[[#This Row],[SUBTOTAL]]-PROVEEDORES[[#This Row],[descuento antes de IVA]])*VLOOKUP(PROVEEDORES[[#This Row],[PROVEEDOR]],TERCEROS_INFO[#All],3,FALSE)</f>
        <v>0</v>
      </c>
      <c r="N109" s="34"/>
      <c r="O109" s="33">
        <f>+PROVEEDORES[[#This Row],[Descuento sobre subtotal %]]*(PROVEEDORES[[#This Row],[SUBTOTAL]]-PROVEEDORES[[#This Row],[descuento antes de IVA]])</f>
        <v>0</v>
      </c>
      <c r="P1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" s="33">
        <f>+(PROVEEDORES[[#This Row],[SUBTOTAL]]-PROVEEDORES[[#This Row],[descuento antes de IVA]])*PROVEEDORES[[#This Row],[Rete Fuente %]]</f>
        <v>0</v>
      </c>
      <c r="R109" s="32">
        <f>+PROVEEDORES[[#This Row],[SUBTOTAL]]+PROVEEDORES[[#This Row],[IVA 19%]]-PROVEEDORES[[#This Row],[descuento antes de IVA]]-PROVEEDORES[[#This Row],[Descuento sobre subtotal $]]-PROVEEDORES[[#This Row],[Rete Fuente $]]</f>
        <v>150000</v>
      </c>
      <c r="S1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9" s="40"/>
      <c r="U109" s="97"/>
      <c r="V109" s="36"/>
      <c r="W109" s="36"/>
      <c r="X109" s="36"/>
      <c r="Y109" s="36"/>
      <c r="Z109" s="41"/>
      <c r="AA109" s="42"/>
      <c r="AF109" s="36"/>
      <c r="AG109" s="36"/>
    </row>
    <row r="110" spans="1:33" ht="21.95" hidden="1" customHeight="1" x14ac:dyDescent="0.25">
      <c r="A110" s="39" t="str">
        <f>+IF(PROVEEDORES[[#This Row],[FECHA DE PAGO]]=PROVEEDORES[[#This Row],[FECHA DE FACTURACIÓN]],"DE CONTADO","CRÉDITO")</f>
        <v>CRÉDITO</v>
      </c>
      <c r="B110" s="67" t="str">
        <f>+IF((PROVEEDORES[[#This Row],[FECHA DE PAGO]]-PROVEEDORES[[#This Row],[FECHA DE FACTURACIÓN]])&gt;PROVEEDORES[[#This Row],[PLAZO Días]],"PAGO VENCIDO")</f>
        <v>PAGO VENCIDO</v>
      </c>
      <c r="C110" s="27">
        <f>+VLOOKUP(PROVEEDORES[[#This Row],[PROVEEDOR]],TERCEROS_INFO[#All],2,FALSE)</f>
        <v>30</v>
      </c>
      <c r="D110" s="37">
        <f>+SUMIFS(PROVEEDORES[Total],PROVEEDORES[PROVEEDOR],PROVEEDORES[[#This Row],[PROVEEDOR]],PROVEEDORES[FECHA DE PAGO],"")</f>
        <v>0</v>
      </c>
      <c r="E110" s="37"/>
      <c r="F110" s="108" t="str">
        <f>+VLOOKUP(PROVEEDORES[[#This Row],[PROVEEDOR]],TERCEROS_INFO[[PROVEEDOR]:[CORREO]],5,FALSE)</f>
        <v/>
      </c>
      <c r="G110" s="143">
        <v>44210</v>
      </c>
      <c r="H110" s="38" t="s">
        <v>309</v>
      </c>
      <c r="I110" s="30">
        <v>44175</v>
      </c>
      <c r="J110" s="58">
        <v>312</v>
      </c>
      <c r="K110" s="32">
        <v>115000</v>
      </c>
      <c r="L110" s="32"/>
      <c r="M110" s="33">
        <f>(PROVEEDORES[[#This Row],[SUBTOTAL]]-PROVEEDORES[[#This Row],[descuento antes de IVA]])*VLOOKUP(PROVEEDORES[[#This Row],[PROVEEDOR]],TERCEROS_INFO[#All],3,FALSE)</f>
        <v>0</v>
      </c>
      <c r="N110" s="34"/>
      <c r="O110" s="33">
        <f>+PROVEEDORES[[#This Row],[Descuento sobre subtotal %]]*(PROVEEDORES[[#This Row],[SUBTOTAL]]-PROVEEDORES[[#This Row],[descuento antes de IVA]])</f>
        <v>0</v>
      </c>
      <c r="P1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" s="33">
        <f>+(PROVEEDORES[[#This Row],[SUBTOTAL]]-PROVEEDORES[[#This Row],[descuento antes de IVA]])*PROVEEDORES[[#This Row],[Rete Fuente %]]</f>
        <v>0</v>
      </c>
      <c r="R110" s="32">
        <f>+PROVEEDORES[[#This Row],[SUBTOTAL]]+PROVEEDORES[[#This Row],[IVA 19%]]-PROVEEDORES[[#This Row],[descuento antes de IVA]]-PROVEEDORES[[#This Row],[Descuento sobre subtotal $]]-PROVEEDORES[[#This Row],[Rete Fuente $]]</f>
        <v>115000</v>
      </c>
      <c r="S1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0" s="40"/>
      <c r="U110" s="97"/>
      <c r="V110" s="36"/>
      <c r="W110" s="36"/>
      <c r="X110" s="36"/>
      <c r="Y110" s="36"/>
      <c r="Z110" s="41"/>
      <c r="AA110" s="42"/>
      <c r="AF110" s="36"/>
      <c r="AG110" s="36"/>
    </row>
    <row r="111" spans="1:33" ht="21.95" hidden="1" customHeight="1" x14ac:dyDescent="0.25">
      <c r="A111" s="39" t="str">
        <f>+IF(PROVEEDORES[[#This Row],[FECHA DE PAGO]]=PROVEEDORES[[#This Row],[FECHA DE FACTURACIÓN]],"DE CONTADO","CRÉDITO")</f>
        <v>CRÉDITO</v>
      </c>
      <c r="B111" s="67" t="b">
        <f>+IF((PROVEEDORES[[#This Row],[FECHA DE PAGO]]-PROVEEDORES[[#This Row],[FECHA DE FACTURACIÓN]])&gt;PROVEEDORES[[#This Row],[PLAZO Días]],"PAGO VENCIDO")</f>
        <v>0</v>
      </c>
      <c r="C111" s="27">
        <f>+VLOOKUP(PROVEEDORES[[#This Row],[PROVEEDOR]],TERCEROS_INFO[#All],2,FALSE)</f>
        <v>30</v>
      </c>
      <c r="D111" s="37">
        <f>+SUMIFS(PROVEEDORES[Total],PROVEEDORES[PROVEEDOR],PROVEEDORES[[#This Row],[PROVEEDOR]],PROVEEDORES[FECHA DE PAGO],"")</f>
        <v>0</v>
      </c>
      <c r="E111" s="37"/>
      <c r="F111" s="108" t="str">
        <f>+VLOOKUP(PROVEEDORES[[#This Row],[PROVEEDOR]],TERCEROS_INFO[[PROVEEDOR]:[CORREO]],5,FALSE)</f>
        <v/>
      </c>
      <c r="G111" s="143">
        <v>44182</v>
      </c>
      <c r="H111" s="38" t="s">
        <v>309</v>
      </c>
      <c r="I111" s="30">
        <v>44178</v>
      </c>
      <c r="J111" s="58"/>
      <c r="K111" s="32">
        <v>70000</v>
      </c>
      <c r="L111" s="32"/>
      <c r="M111" s="33">
        <f>(PROVEEDORES[[#This Row],[SUBTOTAL]]-PROVEEDORES[[#This Row],[descuento antes de IVA]])*VLOOKUP(PROVEEDORES[[#This Row],[PROVEEDOR]],TERCEROS_INFO[#All],3,FALSE)</f>
        <v>0</v>
      </c>
      <c r="N111" s="34"/>
      <c r="O111" s="33">
        <f>+PROVEEDORES[[#This Row],[Descuento sobre subtotal %]]*(PROVEEDORES[[#This Row],[SUBTOTAL]]-PROVEEDORES[[#This Row],[descuento antes de IVA]])</f>
        <v>0</v>
      </c>
      <c r="P1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1" s="33">
        <f>+(PROVEEDORES[[#This Row],[SUBTOTAL]]-PROVEEDORES[[#This Row],[descuento antes de IVA]])*PROVEEDORES[[#This Row],[Rete Fuente %]]</f>
        <v>0</v>
      </c>
      <c r="R111" s="32">
        <f>+PROVEEDORES[[#This Row],[SUBTOTAL]]+PROVEEDORES[[#This Row],[IVA 19%]]-PROVEEDORES[[#This Row],[descuento antes de IVA]]-PROVEEDORES[[#This Row],[Descuento sobre subtotal $]]-PROVEEDORES[[#This Row],[Rete Fuente $]]</f>
        <v>70000</v>
      </c>
      <c r="S1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1" s="40"/>
      <c r="U111" s="97"/>
      <c r="V111" s="36"/>
      <c r="W111" s="36"/>
      <c r="X111" s="36"/>
      <c r="Y111" s="36"/>
      <c r="Z111" s="41"/>
      <c r="AA111" s="42"/>
      <c r="AF111" s="36"/>
      <c r="AG111" s="36"/>
    </row>
    <row r="112" spans="1:33" ht="21.95" hidden="1" customHeight="1" x14ac:dyDescent="0.25">
      <c r="A112" s="39" t="str">
        <f>+IF(PROVEEDORES[[#This Row],[FECHA DE PAGO]]=PROVEEDORES[[#This Row],[FECHA DE FACTURACIÓN]],"DE CONTADO","CRÉDITO")</f>
        <v>CRÉDITO</v>
      </c>
      <c r="B112" s="67" t="b">
        <f>+IF((PROVEEDORES[[#This Row],[FECHA DE PAGO]]-PROVEEDORES[[#This Row],[FECHA DE FACTURACIÓN]])&gt;PROVEEDORES[[#This Row],[PLAZO Días]],"PAGO VENCIDO")</f>
        <v>0</v>
      </c>
      <c r="C112" s="27">
        <f>+VLOOKUP(PROVEEDORES[[#This Row],[PROVEEDOR]],TERCEROS_INFO[#All],2,FALSE)</f>
        <v>30</v>
      </c>
      <c r="D112" s="37">
        <f>+SUMIFS(PROVEEDORES[Total],PROVEEDORES[PROVEEDOR],PROVEEDORES[[#This Row],[PROVEEDOR]],PROVEEDORES[FECHA DE PAGO],"")</f>
        <v>0</v>
      </c>
      <c r="E112" s="37"/>
      <c r="F112" s="108" t="str">
        <f>+VLOOKUP(PROVEEDORES[[#This Row],[PROVEEDOR]],TERCEROS_INFO[[PROVEEDOR]:[CORREO]],5,FALSE)</f>
        <v/>
      </c>
      <c r="G112" s="143">
        <v>44201</v>
      </c>
      <c r="H112" s="38" t="s">
        <v>309</v>
      </c>
      <c r="I112" s="30">
        <v>44187</v>
      </c>
      <c r="J112" s="58"/>
      <c r="K112" s="32">
        <v>90000</v>
      </c>
      <c r="L112" s="32"/>
      <c r="M112" s="33">
        <f>(PROVEEDORES[[#This Row],[SUBTOTAL]]-PROVEEDORES[[#This Row],[descuento antes de IVA]])*VLOOKUP(PROVEEDORES[[#This Row],[PROVEEDOR]],TERCEROS_INFO[#All],3,FALSE)</f>
        <v>0</v>
      </c>
      <c r="N112" s="34"/>
      <c r="O112" s="33">
        <f>+PROVEEDORES[[#This Row],[Descuento sobre subtotal %]]*(PROVEEDORES[[#This Row],[SUBTOTAL]]-PROVEEDORES[[#This Row],[descuento antes de IVA]])</f>
        <v>0</v>
      </c>
      <c r="P1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2" s="33">
        <f>+(PROVEEDORES[[#This Row],[SUBTOTAL]]-PROVEEDORES[[#This Row],[descuento antes de IVA]])*PROVEEDORES[[#This Row],[Rete Fuente %]]</f>
        <v>0</v>
      </c>
      <c r="R112" s="32">
        <f>+PROVEEDORES[[#This Row],[SUBTOTAL]]+PROVEEDORES[[#This Row],[IVA 19%]]-PROVEEDORES[[#This Row],[descuento antes de IVA]]-PROVEEDORES[[#This Row],[Descuento sobre subtotal $]]-PROVEEDORES[[#This Row],[Rete Fuente $]]</f>
        <v>90000</v>
      </c>
      <c r="S11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2" s="40"/>
      <c r="U112" s="97"/>
      <c r="V112" s="36"/>
      <c r="W112" s="36"/>
      <c r="X112" s="36"/>
      <c r="Y112" s="36"/>
      <c r="Z112" s="41"/>
      <c r="AA112" s="42"/>
      <c r="AF112" s="36"/>
      <c r="AG112" s="36"/>
    </row>
    <row r="113" spans="1:33" ht="21.95" hidden="1" customHeight="1" x14ac:dyDescent="0.25">
      <c r="A113" s="39" t="str">
        <f>+IF(PROVEEDORES[[#This Row],[FECHA DE PAGO]]=PROVEEDORES[[#This Row],[FECHA DE FACTURACIÓN]],"DE CONTADO","CRÉDITO")</f>
        <v>CRÉDITO</v>
      </c>
      <c r="B113" s="67" t="b">
        <f>+IF((PROVEEDORES[[#This Row],[FECHA DE PAGO]]-PROVEEDORES[[#This Row],[FECHA DE FACTURACIÓN]])&gt;PROVEEDORES[[#This Row],[PLAZO Días]],"PAGO VENCIDO")</f>
        <v>0</v>
      </c>
      <c r="C113" s="27">
        <f>+VLOOKUP(PROVEEDORES[[#This Row],[PROVEEDOR]],TERCEROS_INFO[#All],2,FALSE)</f>
        <v>30</v>
      </c>
      <c r="D113" s="37">
        <f>+SUMIFS(PROVEEDORES[Total],PROVEEDORES[PROVEEDOR],PROVEEDORES[[#This Row],[PROVEEDOR]],PROVEEDORES[FECHA DE PAGO],"")</f>
        <v>0</v>
      </c>
      <c r="E113" s="37"/>
      <c r="F113" s="108" t="str">
        <f>+VLOOKUP(PROVEEDORES[[#This Row],[PROVEEDOR]],TERCEROS_INFO[[PROVEEDOR]:[CORREO]],5,FALSE)</f>
        <v/>
      </c>
      <c r="G113" s="143">
        <v>44201</v>
      </c>
      <c r="H113" s="38" t="s">
        <v>309</v>
      </c>
      <c r="I113" s="30">
        <v>44189</v>
      </c>
      <c r="J113" s="58"/>
      <c r="K113" s="32">
        <v>265000</v>
      </c>
      <c r="L113" s="32"/>
      <c r="M113" s="33">
        <f>(PROVEEDORES[[#This Row],[SUBTOTAL]]-PROVEEDORES[[#This Row],[descuento antes de IVA]])*VLOOKUP(PROVEEDORES[[#This Row],[PROVEEDOR]],TERCEROS_INFO[#All],3,FALSE)</f>
        <v>0</v>
      </c>
      <c r="N113" s="34"/>
      <c r="O113" s="33">
        <f>+PROVEEDORES[[#This Row],[Descuento sobre subtotal %]]*(PROVEEDORES[[#This Row],[SUBTOTAL]]-PROVEEDORES[[#This Row],[descuento antes de IVA]])</f>
        <v>0</v>
      </c>
      <c r="P1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3" s="33">
        <f>+(PROVEEDORES[[#This Row],[SUBTOTAL]]-PROVEEDORES[[#This Row],[descuento antes de IVA]])*PROVEEDORES[[#This Row],[Rete Fuente %]]</f>
        <v>0</v>
      </c>
      <c r="R113" s="32">
        <f>+PROVEEDORES[[#This Row],[SUBTOTAL]]+PROVEEDORES[[#This Row],[IVA 19%]]-PROVEEDORES[[#This Row],[descuento antes de IVA]]-PROVEEDORES[[#This Row],[Descuento sobre subtotal $]]-PROVEEDORES[[#This Row],[Rete Fuente $]]</f>
        <v>265000</v>
      </c>
      <c r="S11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3" s="40"/>
      <c r="U113" s="97"/>
      <c r="V113" s="36"/>
      <c r="W113" s="36"/>
      <c r="X113" s="36"/>
      <c r="Y113" s="36"/>
      <c r="Z113" s="41"/>
      <c r="AA113" s="42"/>
      <c r="AF113" s="36"/>
      <c r="AG113" s="36"/>
    </row>
    <row r="114" spans="1:33" ht="21.95" hidden="1" customHeight="1" x14ac:dyDescent="0.25">
      <c r="A114" s="39" t="str">
        <f>+IF(PROVEEDORES[[#This Row],[FECHA DE PAGO]]=PROVEEDORES[[#This Row],[FECHA DE FACTURACIÓN]],"DE CONTADO","CRÉDITO")</f>
        <v>DE CONTADO</v>
      </c>
      <c r="B114" s="67" t="b">
        <f>+IF((PROVEEDORES[[#This Row],[FECHA DE PAGO]]-PROVEEDORES[[#This Row],[FECHA DE FACTURACIÓN]])&gt;PROVEEDORES[[#This Row],[PLAZO Días]],"PAGO VENCIDO")</f>
        <v>0</v>
      </c>
      <c r="C114" s="27">
        <f>+VLOOKUP(PROVEEDORES[[#This Row],[PROVEEDOR]],TERCEROS_INFO[#All],2,FALSE)</f>
        <v>30</v>
      </c>
      <c r="D114" s="37">
        <f>+SUMIFS(PROVEEDORES[Total],PROVEEDORES[PROVEEDOR],PROVEEDORES[[#This Row],[PROVEEDOR]],PROVEEDORES[FECHA DE PAGO],"")</f>
        <v>0</v>
      </c>
      <c r="E114" s="37"/>
      <c r="F114" s="108" t="str">
        <f>+VLOOKUP(PROVEEDORES[[#This Row],[PROVEEDOR]],TERCEROS_INFO[[PROVEEDOR]:[CORREO]],5,FALSE)</f>
        <v/>
      </c>
      <c r="G114" s="143">
        <v>44229</v>
      </c>
      <c r="H114" s="38" t="s">
        <v>309</v>
      </c>
      <c r="I114" s="30">
        <v>44229</v>
      </c>
      <c r="J114" s="58"/>
      <c r="K114" s="32">
        <v>385000</v>
      </c>
      <c r="L114" s="32"/>
      <c r="M114" s="33">
        <f>(PROVEEDORES[[#This Row],[SUBTOTAL]]-PROVEEDORES[[#This Row],[descuento antes de IVA]])*VLOOKUP(PROVEEDORES[[#This Row],[PROVEEDOR]],TERCEROS_INFO[#All],3,FALSE)</f>
        <v>0</v>
      </c>
      <c r="N114" s="34"/>
      <c r="O114" s="33">
        <f>+PROVEEDORES[[#This Row],[Descuento sobre subtotal %]]*(PROVEEDORES[[#This Row],[SUBTOTAL]]-PROVEEDORES[[#This Row],[descuento antes de IVA]])</f>
        <v>0</v>
      </c>
      <c r="P1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4" s="33">
        <f>+(PROVEEDORES[[#This Row],[SUBTOTAL]]-PROVEEDORES[[#This Row],[descuento antes de IVA]])*PROVEEDORES[[#This Row],[Rete Fuente %]]</f>
        <v>0</v>
      </c>
      <c r="R114" s="32">
        <f>+PROVEEDORES[[#This Row],[SUBTOTAL]]+PROVEEDORES[[#This Row],[IVA 19%]]-PROVEEDORES[[#This Row],[descuento antes de IVA]]-PROVEEDORES[[#This Row],[Descuento sobre subtotal $]]-PROVEEDORES[[#This Row],[Rete Fuente $]]</f>
        <v>385000</v>
      </c>
      <c r="S1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4" s="40"/>
      <c r="U114" s="97"/>
      <c r="V114" s="36"/>
      <c r="W114" s="36"/>
      <c r="X114" s="36"/>
      <c r="Y114" s="36"/>
      <c r="Z114" s="41"/>
      <c r="AA114" s="42"/>
      <c r="AF114" s="36"/>
      <c r="AG114" s="36"/>
    </row>
    <row r="115" spans="1:33" ht="21.95" hidden="1" customHeight="1" x14ac:dyDescent="0.25">
      <c r="A115" s="39" t="str">
        <f>+IF(PROVEEDORES[[#This Row],[FECHA DE PAGO]]=PROVEEDORES[[#This Row],[FECHA DE FACTURACIÓN]],"DE CONTADO","CRÉDITO")</f>
        <v>DE CONTADO</v>
      </c>
      <c r="B115" s="67" t="b">
        <f>+IF((PROVEEDORES[[#This Row],[FECHA DE PAGO]]-PROVEEDORES[[#This Row],[FECHA DE FACTURACIÓN]])&gt;PROVEEDORES[[#This Row],[PLAZO Días]],"PAGO VENCIDO")</f>
        <v>0</v>
      </c>
      <c r="C115" s="27">
        <f>+VLOOKUP(PROVEEDORES[[#This Row],[PROVEEDOR]],TERCEROS_INFO[#All],2,FALSE)</f>
        <v>30</v>
      </c>
      <c r="D115" s="37">
        <f>+SUMIFS(PROVEEDORES[Total],PROVEEDORES[PROVEEDOR],PROVEEDORES[[#This Row],[PROVEEDOR]],PROVEEDORES[FECHA DE PAGO],"")</f>
        <v>0</v>
      </c>
      <c r="E115" s="37"/>
      <c r="F115" s="108" t="str">
        <f>+VLOOKUP(PROVEEDORES[[#This Row],[PROVEEDOR]],TERCEROS_INFO[[PROVEEDOR]:[CORREO]],5,FALSE)</f>
        <v/>
      </c>
      <c r="G115" s="143">
        <v>43977</v>
      </c>
      <c r="H115" s="38" t="s">
        <v>256</v>
      </c>
      <c r="I115" s="30">
        <v>43977</v>
      </c>
      <c r="J115" s="58" t="s">
        <v>1022</v>
      </c>
      <c r="K115" s="32">
        <v>102000</v>
      </c>
      <c r="L115" s="32"/>
      <c r="M115" s="33">
        <f>(PROVEEDORES[[#This Row],[SUBTOTAL]]-PROVEEDORES[[#This Row],[descuento antes de IVA]])*VLOOKUP(PROVEEDORES[[#This Row],[PROVEEDOR]],TERCEROS_INFO[#All],3,FALSE)</f>
        <v>0</v>
      </c>
      <c r="N115" s="34"/>
      <c r="O115" s="33">
        <f>+PROVEEDORES[[#This Row],[Descuento sobre subtotal %]]*(PROVEEDORES[[#This Row],[SUBTOTAL]]-PROVEEDORES[[#This Row],[descuento antes de IVA]])</f>
        <v>0</v>
      </c>
      <c r="P1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5" s="33">
        <f>+(PROVEEDORES[[#This Row],[SUBTOTAL]]-PROVEEDORES[[#This Row],[descuento antes de IVA]])*PROVEEDORES[[#This Row],[Rete Fuente %]]</f>
        <v>0</v>
      </c>
      <c r="R115" s="32">
        <f>+PROVEEDORES[[#This Row],[SUBTOTAL]]+PROVEEDORES[[#This Row],[IVA 19%]]-PROVEEDORES[[#This Row],[descuento antes de IVA]]-PROVEEDORES[[#This Row],[Descuento sobre subtotal $]]-PROVEEDORES[[#This Row],[Rete Fuente $]]</f>
        <v>102000</v>
      </c>
      <c r="S1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5" s="40"/>
      <c r="U115" s="97"/>
      <c r="V115" s="36"/>
      <c r="W115" s="36"/>
      <c r="X115" s="36"/>
      <c r="Y115" s="36"/>
      <c r="Z115" s="41"/>
      <c r="AA115" s="42"/>
      <c r="AF115" s="36"/>
      <c r="AG115" s="36"/>
    </row>
    <row r="116" spans="1:33" ht="21.95" hidden="1" customHeight="1" x14ac:dyDescent="0.25">
      <c r="A116" s="39" t="str">
        <f>+IF(PROVEEDORES[[#This Row],[FECHA DE PAGO]]=PROVEEDORES[[#This Row],[FECHA DE FACTURACIÓN]],"DE CONTADO","CRÉDITO")</f>
        <v>CRÉDITO</v>
      </c>
      <c r="B116" s="67" t="b">
        <f>+IF((PROVEEDORES[[#This Row],[FECHA DE PAGO]]-PROVEEDORES[[#This Row],[FECHA DE FACTURACIÓN]])&gt;PROVEEDORES[[#This Row],[PLAZO Días]],"PAGO VENCIDO")</f>
        <v>0</v>
      </c>
      <c r="C116" s="27">
        <f>+VLOOKUP(PROVEEDORES[[#This Row],[PROVEEDOR]],TERCEROS_INFO[#All],2,FALSE)</f>
        <v>30</v>
      </c>
      <c r="D116" s="37">
        <f>+SUMIFS(PROVEEDORES[Total],PROVEEDORES[PROVEEDOR],PROVEEDORES[[#This Row],[PROVEEDOR]],PROVEEDORES[FECHA DE PAGO],"")</f>
        <v>0</v>
      </c>
      <c r="E116" s="37" t="s">
        <v>347</v>
      </c>
      <c r="F116" s="108" t="str">
        <f>+VLOOKUP(PROVEEDORES[[#This Row],[PROVEEDOR]],TERCEROS_INFO[[PROVEEDOR]:[CORREO]],5,FALSE)</f>
        <v/>
      </c>
      <c r="G116" s="143">
        <v>43846</v>
      </c>
      <c r="H116" s="38" t="s">
        <v>385</v>
      </c>
      <c r="I116" s="30">
        <v>43845</v>
      </c>
      <c r="J116" s="58" t="s">
        <v>25</v>
      </c>
      <c r="K116" s="32">
        <v>79007</v>
      </c>
      <c r="L116" s="32"/>
      <c r="M116" s="33">
        <f>(PROVEEDORES[[#This Row],[SUBTOTAL]]-PROVEEDORES[[#This Row],[descuento antes de IVA]])*VLOOKUP(PROVEEDORES[[#This Row],[PROVEEDOR]],TERCEROS_INFO[#All],3,FALSE)</f>
        <v>0</v>
      </c>
      <c r="N116" s="34"/>
      <c r="O116" s="33">
        <f>+PROVEEDORES[[#This Row],[Descuento sobre subtotal %]]*(PROVEEDORES[[#This Row],[SUBTOTAL]]-PROVEEDORES[[#This Row],[descuento antes de IVA]])</f>
        <v>0</v>
      </c>
      <c r="P1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6" s="33">
        <f>+(PROVEEDORES[[#This Row],[SUBTOTAL]]-PROVEEDORES[[#This Row],[descuento antes de IVA]])*PROVEEDORES[[#This Row],[Rete Fuente %]]</f>
        <v>0</v>
      </c>
      <c r="R116" s="32">
        <f>+PROVEEDORES[[#This Row],[SUBTOTAL]]+PROVEEDORES[[#This Row],[IVA 19%]]-PROVEEDORES[[#This Row],[descuento antes de IVA]]-PROVEEDORES[[#This Row],[Descuento sobre subtotal $]]-PROVEEDORES[[#This Row],[Rete Fuente $]]</f>
        <v>79007</v>
      </c>
      <c r="S1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6" s="40"/>
      <c r="U116" s="97"/>
      <c r="V116" s="36"/>
      <c r="W116" s="36"/>
      <c r="X116" s="36"/>
      <c r="Y116" s="36"/>
      <c r="Z116" s="41"/>
      <c r="AA116" s="42"/>
      <c r="AF116" s="36"/>
      <c r="AG116" s="36"/>
    </row>
    <row r="117" spans="1:33" ht="21.95" hidden="1" customHeight="1" x14ac:dyDescent="0.25">
      <c r="A117" s="39" t="str">
        <f>+IF(PROVEEDORES[[#This Row],[FECHA DE PAGO]]=PROVEEDORES[[#This Row],[FECHA DE FACTURACIÓN]],"DE CONTADO","CRÉDITO")</f>
        <v>CRÉDITO</v>
      </c>
      <c r="B117" s="67" t="b">
        <f>+IF((PROVEEDORES[[#This Row],[FECHA DE PAGO]]-PROVEEDORES[[#This Row],[FECHA DE FACTURACIÓN]])&gt;PROVEEDORES[[#This Row],[PLAZO Días]],"PAGO VENCIDO")</f>
        <v>0</v>
      </c>
      <c r="C117" s="27">
        <f>+VLOOKUP(PROVEEDORES[[#This Row],[PROVEEDOR]],TERCEROS_INFO[#All],2,FALSE)</f>
        <v>30</v>
      </c>
      <c r="D117" s="37">
        <f>+SUMIFS(PROVEEDORES[Total],PROVEEDORES[PROVEEDOR],PROVEEDORES[[#This Row],[PROVEEDOR]],PROVEEDORES[FECHA DE PAGO],"")</f>
        <v>0</v>
      </c>
      <c r="E117" s="37" t="s">
        <v>347</v>
      </c>
      <c r="F117" s="108" t="str">
        <f>+VLOOKUP(PROVEEDORES[[#This Row],[PROVEEDOR]],TERCEROS_INFO[[PROVEEDOR]:[CORREO]],5,FALSE)</f>
        <v/>
      </c>
      <c r="G117" s="143">
        <v>43847</v>
      </c>
      <c r="H117" s="38" t="s">
        <v>385</v>
      </c>
      <c r="I117" s="30">
        <v>43846</v>
      </c>
      <c r="J117" s="58" t="s">
        <v>25</v>
      </c>
      <c r="K117" s="32">
        <v>85886</v>
      </c>
      <c r="L117" s="32"/>
      <c r="M117" s="33">
        <f>(PROVEEDORES[[#This Row],[SUBTOTAL]]-PROVEEDORES[[#This Row],[descuento antes de IVA]])*VLOOKUP(PROVEEDORES[[#This Row],[PROVEEDOR]],TERCEROS_INFO[#All],3,FALSE)</f>
        <v>0</v>
      </c>
      <c r="N117" s="34"/>
      <c r="O117" s="33">
        <f>+PROVEEDORES[[#This Row],[Descuento sobre subtotal %]]*(PROVEEDORES[[#This Row],[SUBTOTAL]]-PROVEEDORES[[#This Row],[descuento antes de IVA]])</f>
        <v>0</v>
      </c>
      <c r="P1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7" s="33">
        <f>+(PROVEEDORES[[#This Row],[SUBTOTAL]]-PROVEEDORES[[#This Row],[descuento antes de IVA]])*PROVEEDORES[[#This Row],[Rete Fuente %]]</f>
        <v>0</v>
      </c>
      <c r="R117" s="32">
        <f>+PROVEEDORES[[#This Row],[SUBTOTAL]]+PROVEEDORES[[#This Row],[IVA 19%]]-PROVEEDORES[[#This Row],[descuento antes de IVA]]-PROVEEDORES[[#This Row],[Descuento sobre subtotal $]]-PROVEEDORES[[#This Row],[Rete Fuente $]]</f>
        <v>85886</v>
      </c>
      <c r="S11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7" s="40"/>
      <c r="U117" s="97"/>
      <c r="V117" s="36"/>
      <c r="W117" s="36"/>
      <c r="X117" s="36"/>
      <c r="Y117" s="36"/>
      <c r="Z117" s="41"/>
      <c r="AA117" s="42"/>
      <c r="AF117" s="36"/>
      <c r="AG117" s="36"/>
    </row>
    <row r="118" spans="1:33" ht="21.95" hidden="1" customHeight="1" x14ac:dyDescent="0.25">
      <c r="A118" s="39" t="str">
        <f>+IF(PROVEEDORES[[#This Row],[FECHA DE PAGO]]=PROVEEDORES[[#This Row],[FECHA DE FACTURACIÓN]],"DE CONTADO","CRÉDITO")</f>
        <v>CRÉDITO</v>
      </c>
      <c r="B118" s="67" t="b">
        <f>+IF((PROVEEDORES[[#This Row],[FECHA DE PAGO]]-PROVEEDORES[[#This Row],[FECHA DE FACTURACIÓN]])&gt;PROVEEDORES[[#This Row],[PLAZO Días]],"PAGO VENCIDO")</f>
        <v>0</v>
      </c>
      <c r="C118" s="27">
        <f>+VLOOKUP(PROVEEDORES[[#This Row],[PROVEEDOR]],TERCEROS_INFO[#All],2,FALSE)</f>
        <v>30</v>
      </c>
      <c r="D118" s="37">
        <f>+SUMIFS(PROVEEDORES[Total],PROVEEDORES[PROVEEDOR],PROVEEDORES[[#This Row],[PROVEEDOR]],PROVEEDORES[FECHA DE PAGO],"")</f>
        <v>0</v>
      </c>
      <c r="E118" s="37" t="s">
        <v>347</v>
      </c>
      <c r="F118" s="108" t="str">
        <f>+VLOOKUP(PROVEEDORES[[#This Row],[PROVEEDOR]],TERCEROS_INFO[[PROVEEDOR]:[CORREO]],5,FALSE)</f>
        <v/>
      </c>
      <c r="G118" s="143">
        <v>43889</v>
      </c>
      <c r="H118" s="38" t="s">
        <v>385</v>
      </c>
      <c r="I118" s="30">
        <v>43873</v>
      </c>
      <c r="J118" s="58" t="s">
        <v>25</v>
      </c>
      <c r="K118" s="32">
        <v>5705000</v>
      </c>
      <c r="L118" s="32"/>
      <c r="M118" s="33">
        <f>(PROVEEDORES[[#This Row],[SUBTOTAL]]-PROVEEDORES[[#This Row],[descuento antes de IVA]])*VLOOKUP(PROVEEDORES[[#This Row],[PROVEEDOR]],TERCEROS_INFO[#All],3,FALSE)</f>
        <v>0</v>
      </c>
      <c r="N118" s="34"/>
      <c r="O118" s="33">
        <f>+PROVEEDORES[[#This Row],[Descuento sobre subtotal %]]*(PROVEEDORES[[#This Row],[SUBTOTAL]]-PROVEEDORES[[#This Row],[descuento antes de IVA]])</f>
        <v>0</v>
      </c>
      <c r="P1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8" s="33">
        <f>+(PROVEEDORES[[#This Row],[SUBTOTAL]]-PROVEEDORES[[#This Row],[descuento antes de IVA]])*PROVEEDORES[[#This Row],[Rete Fuente %]]</f>
        <v>0</v>
      </c>
      <c r="R118" s="32">
        <f>+PROVEEDORES[[#This Row],[SUBTOTAL]]+PROVEEDORES[[#This Row],[IVA 19%]]-PROVEEDORES[[#This Row],[descuento antes de IVA]]-PROVEEDORES[[#This Row],[Descuento sobre subtotal $]]-PROVEEDORES[[#This Row],[Rete Fuente $]]</f>
        <v>5705000</v>
      </c>
      <c r="S1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8" s="40"/>
      <c r="U118" s="97"/>
      <c r="V118" s="36"/>
      <c r="W118" s="36"/>
      <c r="X118" s="36"/>
      <c r="Y118" s="36"/>
      <c r="Z118" s="41"/>
      <c r="AA118" s="42"/>
      <c r="AF118" s="36"/>
      <c r="AG118" s="36"/>
    </row>
    <row r="119" spans="1:33" ht="21.95" hidden="1" customHeight="1" x14ac:dyDescent="0.25">
      <c r="A119" s="39" t="str">
        <f>+IF(PROVEEDORES[[#This Row],[FECHA DE PAGO]]=PROVEEDORES[[#This Row],[FECHA DE FACTURACIÓN]],"DE CONTADO","CRÉDITO")</f>
        <v>CRÉDITO</v>
      </c>
      <c r="B119" s="67" t="b">
        <f>+IF((PROVEEDORES[[#This Row],[FECHA DE PAGO]]-PROVEEDORES[[#This Row],[FECHA DE FACTURACIÓN]])&gt;PROVEEDORES[[#This Row],[PLAZO Días]],"PAGO VENCIDO")</f>
        <v>0</v>
      </c>
      <c r="C119" s="27">
        <f>+VLOOKUP(PROVEEDORES[[#This Row],[PROVEEDOR]],TERCEROS_INFO[#All],2,FALSE)</f>
        <v>30</v>
      </c>
      <c r="D119" s="37">
        <f>+SUMIFS(PROVEEDORES[Total],PROVEEDORES[PROVEEDOR],PROVEEDORES[[#This Row],[PROVEEDOR]],PROVEEDORES[FECHA DE PAGO],"")</f>
        <v>0</v>
      </c>
      <c r="E119" s="37" t="s">
        <v>334</v>
      </c>
      <c r="F119" s="108" t="str">
        <f>+VLOOKUP(PROVEEDORES[[#This Row],[PROVEEDOR]],TERCEROS_INFO[[PROVEEDOR]:[CORREO]],5,FALSE)</f>
        <v/>
      </c>
      <c r="G119" s="143">
        <v>43986</v>
      </c>
      <c r="H119" s="38" t="s">
        <v>385</v>
      </c>
      <c r="I119" s="30">
        <v>43964</v>
      </c>
      <c r="J119" s="58" t="s">
        <v>1063</v>
      </c>
      <c r="K119" s="32">
        <v>3070000</v>
      </c>
      <c r="L119" s="32"/>
      <c r="M119" s="33">
        <f>(PROVEEDORES[[#This Row],[SUBTOTAL]]-PROVEEDORES[[#This Row],[descuento antes de IVA]])*VLOOKUP(PROVEEDORES[[#This Row],[PROVEEDOR]],TERCEROS_INFO[#All],3,FALSE)</f>
        <v>0</v>
      </c>
      <c r="N119" s="34"/>
      <c r="O119" s="33">
        <f>+PROVEEDORES[[#This Row],[Descuento sobre subtotal %]]*(PROVEEDORES[[#This Row],[SUBTOTAL]]-PROVEEDORES[[#This Row],[descuento antes de IVA]])</f>
        <v>0</v>
      </c>
      <c r="P1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9" s="33">
        <f>+(PROVEEDORES[[#This Row],[SUBTOTAL]]-PROVEEDORES[[#This Row],[descuento antes de IVA]])*PROVEEDORES[[#This Row],[Rete Fuente %]]</f>
        <v>0</v>
      </c>
      <c r="R119" s="32">
        <f>+PROVEEDORES[[#This Row],[SUBTOTAL]]+PROVEEDORES[[#This Row],[IVA 19%]]-PROVEEDORES[[#This Row],[descuento antes de IVA]]-PROVEEDORES[[#This Row],[Descuento sobre subtotal $]]-PROVEEDORES[[#This Row],[Rete Fuente $]]</f>
        <v>3070000</v>
      </c>
      <c r="S11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9" s="40"/>
      <c r="U119" s="97"/>
      <c r="V119" s="36"/>
      <c r="W119" s="36"/>
      <c r="X119" s="36"/>
      <c r="Y119" s="36"/>
      <c r="Z119" s="41"/>
      <c r="AA119" s="42"/>
      <c r="AF119" s="36"/>
      <c r="AG119" s="36"/>
    </row>
    <row r="120" spans="1:33" ht="21.95" hidden="1" customHeight="1" x14ac:dyDescent="0.25">
      <c r="A120" s="39" t="str">
        <f>+IF(PROVEEDORES[[#This Row],[FECHA DE PAGO]]=PROVEEDORES[[#This Row],[FECHA DE FACTURACIÓN]],"DE CONTADO","CRÉDITO")</f>
        <v>CRÉDITO</v>
      </c>
      <c r="B120" s="67" t="b">
        <f>+IF((PROVEEDORES[[#This Row],[FECHA DE PAGO]]-PROVEEDORES[[#This Row],[FECHA DE FACTURACIÓN]])&gt;PROVEEDORES[[#This Row],[PLAZO Días]],"PAGO VENCIDO")</f>
        <v>0</v>
      </c>
      <c r="C120" s="27">
        <f>+VLOOKUP(PROVEEDORES[[#This Row],[PROVEEDOR]],TERCEROS_INFO[#All],2,FALSE)</f>
        <v>30</v>
      </c>
      <c r="D120" s="37">
        <f>+SUMIFS(PROVEEDORES[Total],PROVEEDORES[PROVEEDOR],PROVEEDORES[[#This Row],[PROVEEDOR]],PROVEEDORES[FECHA DE PAGO],"")</f>
        <v>0</v>
      </c>
      <c r="E120" s="37"/>
      <c r="F120" s="108" t="str">
        <f>+VLOOKUP(PROVEEDORES[[#This Row],[PROVEEDOR]],TERCEROS_INFO[[PROVEEDOR]:[CORREO]],5,FALSE)</f>
        <v/>
      </c>
      <c r="G120" s="143">
        <v>44019</v>
      </c>
      <c r="H120" s="38" t="s">
        <v>385</v>
      </c>
      <c r="I120" s="30">
        <v>44018</v>
      </c>
      <c r="J120" s="58"/>
      <c r="K120" s="32">
        <v>1755000</v>
      </c>
      <c r="L120" s="32"/>
      <c r="M120" s="33">
        <f>(PROVEEDORES[[#This Row],[SUBTOTAL]]-PROVEEDORES[[#This Row],[descuento antes de IVA]])*VLOOKUP(PROVEEDORES[[#This Row],[PROVEEDOR]],TERCEROS_INFO[#All],3,FALSE)</f>
        <v>0</v>
      </c>
      <c r="N120" s="34"/>
      <c r="O120" s="33">
        <f>+PROVEEDORES[[#This Row],[Descuento sobre subtotal %]]*(PROVEEDORES[[#This Row],[SUBTOTAL]]-PROVEEDORES[[#This Row],[descuento antes de IVA]])</f>
        <v>0</v>
      </c>
      <c r="P1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0" s="33">
        <f>+(PROVEEDORES[[#This Row],[SUBTOTAL]]-PROVEEDORES[[#This Row],[descuento antes de IVA]])*PROVEEDORES[[#This Row],[Rete Fuente %]]</f>
        <v>0</v>
      </c>
      <c r="R120" s="32">
        <f>+PROVEEDORES[[#This Row],[SUBTOTAL]]+PROVEEDORES[[#This Row],[IVA 19%]]-PROVEEDORES[[#This Row],[descuento antes de IVA]]-PROVEEDORES[[#This Row],[Descuento sobre subtotal $]]-PROVEEDORES[[#This Row],[Rete Fuente $]]</f>
        <v>1755000</v>
      </c>
      <c r="S1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0" s="40"/>
      <c r="U120" s="97"/>
      <c r="V120" s="36"/>
      <c r="W120" s="36"/>
      <c r="X120" s="36"/>
      <c r="Y120" s="36"/>
      <c r="Z120" s="41"/>
      <c r="AA120" s="42"/>
      <c r="AF120" s="36"/>
      <c r="AG120" s="36"/>
    </row>
    <row r="121" spans="1:33" ht="21.95" hidden="1" customHeight="1" x14ac:dyDescent="0.25">
      <c r="A121" s="39" t="str">
        <f>+IF(PROVEEDORES[[#This Row],[FECHA DE PAGO]]=PROVEEDORES[[#This Row],[FECHA DE FACTURACIÓN]],"DE CONTADO","CRÉDITO")</f>
        <v>CRÉDITO</v>
      </c>
      <c r="B121" s="67" t="b">
        <f>+IF((PROVEEDORES[[#This Row],[FECHA DE PAGO]]-PROVEEDORES[[#This Row],[FECHA DE FACTURACIÓN]])&gt;PROVEEDORES[[#This Row],[PLAZO Días]],"PAGO VENCIDO")</f>
        <v>0</v>
      </c>
      <c r="C121" s="27">
        <f>+VLOOKUP(PROVEEDORES[[#This Row],[PROVEEDOR]],TERCEROS_INFO[#All],2,FALSE)</f>
        <v>30</v>
      </c>
      <c r="D121" s="37">
        <f>+SUMIFS(PROVEEDORES[Total],PROVEEDORES[PROVEEDOR],PROVEEDORES[[#This Row],[PROVEEDOR]],PROVEEDORES[FECHA DE PAGO],"")</f>
        <v>0</v>
      </c>
      <c r="E121" s="37" t="s">
        <v>348</v>
      </c>
      <c r="F121" s="108" t="str">
        <f>+VLOOKUP(PROVEEDORES[[#This Row],[PROVEEDOR]],TERCEROS_INFO[[PROVEEDOR]:[CORREO]],5,FALSE)</f>
        <v/>
      </c>
      <c r="G121" s="143">
        <v>44063</v>
      </c>
      <c r="H121" s="38" t="s">
        <v>385</v>
      </c>
      <c r="I121" s="30">
        <v>44062</v>
      </c>
      <c r="J121" s="58" t="s">
        <v>1079</v>
      </c>
      <c r="K121" s="32">
        <v>492400</v>
      </c>
      <c r="L121" s="32"/>
      <c r="M121" s="33">
        <f>(PROVEEDORES[[#This Row],[SUBTOTAL]]-PROVEEDORES[[#This Row],[descuento antes de IVA]])*VLOOKUP(PROVEEDORES[[#This Row],[PROVEEDOR]],TERCEROS_INFO[#All],3,FALSE)</f>
        <v>0</v>
      </c>
      <c r="N121" s="34"/>
      <c r="O121" s="33">
        <f>+PROVEEDORES[[#This Row],[Descuento sobre subtotal %]]*(PROVEEDORES[[#This Row],[SUBTOTAL]]-PROVEEDORES[[#This Row],[descuento antes de IVA]])</f>
        <v>0</v>
      </c>
      <c r="P1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" s="33">
        <f>+(PROVEEDORES[[#This Row],[SUBTOTAL]]-PROVEEDORES[[#This Row],[descuento antes de IVA]])*PROVEEDORES[[#This Row],[Rete Fuente %]]</f>
        <v>0</v>
      </c>
      <c r="R121" s="32">
        <f>+PROVEEDORES[[#This Row],[SUBTOTAL]]+PROVEEDORES[[#This Row],[IVA 19%]]-PROVEEDORES[[#This Row],[descuento antes de IVA]]-PROVEEDORES[[#This Row],[Descuento sobre subtotal $]]-PROVEEDORES[[#This Row],[Rete Fuente $]]</f>
        <v>492400</v>
      </c>
      <c r="S1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1" s="40"/>
      <c r="U121" s="97"/>
      <c r="V121" s="36"/>
      <c r="W121" s="36"/>
      <c r="X121" s="36"/>
      <c r="Y121" s="36"/>
      <c r="Z121" s="41"/>
      <c r="AA121" s="42"/>
      <c r="AF121" s="36"/>
      <c r="AG121" s="36"/>
    </row>
    <row r="122" spans="1:33" ht="21.95" hidden="1" customHeight="1" x14ac:dyDescent="0.25">
      <c r="A122" s="39" t="str">
        <f>+IF(PROVEEDORES[[#This Row],[FECHA DE PAGO]]=PROVEEDORES[[#This Row],[FECHA DE FACTURACIÓN]],"DE CONTADO","CRÉDITO")</f>
        <v>CRÉDITO</v>
      </c>
      <c r="B122" s="67" t="b">
        <f>+IF((PROVEEDORES[[#This Row],[FECHA DE PAGO]]-PROVEEDORES[[#This Row],[FECHA DE FACTURACIÓN]])&gt;PROVEEDORES[[#This Row],[PLAZO Días]],"PAGO VENCIDO")</f>
        <v>0</v>
      </c>
      <c r="C122" s="27">
        <f>+VLOOKUP(PROVEEDORES[[#This Row],[PROVEEDOR]],TERCEROS_INFO[#All],2,FALSE)</f>
        <v>30</v>
      </c>
      <c r="D122" s="37">
        <f>+SUMIFS(PROVEEDORES[Total],PROVEEDORES[PROVEEDOR],PROVEEDORES[[#This Row],[PROVEEDOR]],PROVEEDORES[FECHA DE PAGO],"")</f>
        <v>0</v>
      </c>
      <c r="E122" s="37"/>
      <c r="F122" s="108" t="str">
        <f>+VLOOKUP(PROVEEDORES[[#This Row],[PROVEEDOR]],TERCEROS_INFO[[PROVEEDOR]:[CORREO]],5,FALSE)</f>
        <v/>
      </c>
      <c r="G122" s="143">
        <v>44104</v>
      </c>
      <c r="H122" s="38" t="s">
        <v>385</v>
      </c>
      <c r="I122" s="30">
        <v>44102</v>
      </c>
      <c r="J122" s="58"/>
      <c r="K122" s="32">
        <v>8416000</v>
      </c>
      <c r="L122" s="32"/>
      <c r="M122" s="33">
        <f>(PROVEEDORES[[#This Row],[SUBTOTAL]]-PROVEEDORES[[#This Row],[descuento antes de IVA]])*VLOOKUP(PROVEEDORES[[#This Row],[PROVEEDOR]],TERCEROS_INFO[#All],3,FALSE)</f>
        <v>0</v>
      </c>
      <c r="N122" s="34"/>
      <c r="O122" s="33">
        <f>+PROVEEDORES[[#This Row],[Descuento sobre subtotal %]]*(PROVEEDORES[[#This Row],[SUBTOTAL]]-PROVEEDORES[[#This Row],[descuento antes de IVA]])</f>
        <v>0</v>
      </c>
      <c r="P1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" s="33">
        <f>+(PROVEEDORES[[#This Row],[SUBTOTAL]]-PROVEEDORES[[#This Row],[descuento antes de IVA]])*PROVEEDORES[[#This Row],[Rete Fuente %]]</f>
        <v>0</v>
      </c>
      <c r="R122" s="32">
        <f>+PROVEEDORES[[#This Row],[SUBTOTAL]]+PROVEEDORES[[#This Row],[IVA 19%]]-PROVEEDORES[[#This Row],[descuento antes de IVA]]-PROVEEDORES[[#This Row],[Descuento sobre subtotal $]]-PROVEEDORES[[#This Row],[Rete Fuente $]]</f>
        <v>8416000</v>
      </c>
      <c r="S1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2" s="40"/>
      <c r="U122" s="97"/>
      <c r="V122" s="36"/>
      <c r="W122" s="36"/>
      <c r="X122" s="36"/>
      <c r="Y122" s="36"/>
      <c r="Z122" s="41"/>
      <c r="AA122" s="42"/>
      <c r="AF122" s="36"/>
      <c r="AG122" s="36"/>
    </row>
    <row r="123" spans="1:33" ht="21.95" hidden="1" customHeight="1" x14ac:dyDescent="0.25">
      <c r="A123" s="39" t="str">
        <f>+IF(PROVEEDORES[[#This Row],[FECHA DE PAGO]]=PROVEEDORES[[#This Row],[FECHA DE FACTURACIÓN]],"DE CONTADO","CRÉDITO")</f>
        <v>CRÉDITO</v>
      </c>
      <c r="B123" s="67" t="b">
        <f>+IF((PROVEEDORES[[#This Row],[FECHA DE PAGO]]-PROVEEDORES[[#This Row],[FECHA DE FACTURACIÓN]])&gt;PROVEEDORES[[#This Row],[PLAZO Días]],"PAGO VENCIDO")</f>
        <v>0</v>
      </c>
      <c r="C123" s="27">
        <f>+VLOOKUP(PROVEEDORES[[#This Row],[PROVEEDOR]],TERCEROS_INFO[#All],2,FALSE)</f>
        <v>30</v>
      </c>
      <c r="D123" s="37">
        <f>+SUMIFS(PROVEEDORES[Total],PROVEEDORES[PROVEEDOR],PROVEEDORES[[#This Row],[PROVEEDOR]],PROVEEDORES[FECHA DE PAGO],"")</f>
        <v>0</v>
      </c>
      <c r="E123" s="37"/>
      <c r="F123" s="108" t="str">
        <f>+VLOOKUP(PROVEEDORES[[#This Row],[PROVEEDOR]],TERCEROS_INFO[[PROVEEDOR]:[CORREO]],5,FALSE)</f>
        <v/>
      </c>
      <c r="G123" s="143">
        <v>44131</v>
      </c>
      <c r="H123" s="38" t="s">
        <v>385</v>
      </c>
      <c r="I123" s="30">
        <v>44130</v>
      </c>
      <c r="J123" s="58" t="s">
        <v>1084</v>
      </c>
      <c r="K123" s="32">
        <v>7513800</v>
      </c>
      <c r="L123" s="32"/>
      <c r="M123" s="33">
        <f>(PROVEEDORES[[#This Row],[SUBTOTAL]]-PROVEEDORES[[#This Row],[descuento antes de IVA]])*VLOOKUP(PROVEEDORES[[#This Row],[PROVEEDOR]],TERCEROS_INFO[#All],3,FALSE)</f>
        <v>0</v>
      </c>
      <c r="N123" s="34"/>
      <c r="O123" s="33">
        <f>+PROVEEDORES[[#This Row],[Descuento sobre subtotal %]]*(PROVEEDORES[[#This Row],[SUBTOTAL]]-PROVEEDORES[[#This Row],[descuento antes de IVA]])</f>
        <v>0</v>
      </c>
      <c r="P1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" s="33">
        <f>+(PROVEEDORES[[#This Row],[SUBTOTAL]]-PROVEEDORES[[#This Row],[descuento antes de IVA]])*PROVEEDORES[[#This Row],[Rete Fuente %]]</f>
        <v>0</v>
      </c>
      <c r="R123" s="32">
        <f>+PROVEEDORES[[#This Row],[SUBTOTAL]]+PROVEEDORES[[#This Row],[IVA 19%]]-PROVEEDORES[[#This Row],[descuento antes de IVA]]-PROVEEDORES[[#This Row],[Descuento sobre subtotal $]]-PROVEEDORES[[#This Row],[Rete Fuente $]]</f>
        <v>7513800</v>
      </c>
      <c r="S1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3" s="40"/>
      <c r="U123" s="97"/>
      <c r="V123" s="36"/>
      <c r="W123" s="36"/>
      <c r="X123" s="36"/>
      <c r="Y123" s="36"/>
      <c r="Z123" s="41"/>
      <c r="AA123" s="42"/>
      <c r="AF123" s="36"/>
      <c r="AG123" s="36"/>
    </row>
    <row r="124" spans="1:33" ht="21.95" hidden="1" customHeight="1" x14ac:dyDescent="0.25">
      <c r="A124" s="39" t="str">
        <f>+IF(PROVEEDORES[[#This Row],[FECHA DE PAGO]]=PROVEEDORES[[#This Row],[FECHA DE FACTURACIÓN]],"DE CONTADO","CRÉDITO")</f>
        <v>DE CONTADO</v>
      </c>
      <c r="B124" s="67" t="b">
        <f>+IF((PROVEEDORES[[#This Row],[FECHA DE PAGO]]-PROVEEDORES[[#This Row],[FECHA DE FACTURACIÓN]])&gt;PROVEEDORES[[#This Row],[PLAZO Días]],"PAGO VENCIDO")</f>
        <v>0</v>
      </c>
      <c r="C124" s="27">
        <f>+VLOOKUP(PROVEEDORES[[#This Row],[PROVEEDOR]],TERCEROS_INFO[#All],2,FALSE)</f>
        <v>30</v>
      </c>
      <c r="D124" s="37">
        <f>+SUMIFS(PROVEEDORES[Total],PROVEEDORES[PROVEEDOR],PROVEEDORES[[#This Row],[PROVEEDOR]],PROVEEDORES[FECHA DE PAGO],"")</f>
        <v>0</v>
      </c>
      <c r="E124" s="37"/>
      <c r="F124" s="108" t="str">
        <f>+VLOOKUP(PROVEEDORES[[#This Row],[PROVEEDOR]],TERCEROS_INFO[[PROVEEDOR]:[CORREO]],5,FALSE)</f>
        <v/>
      </c>
      <c r="G124" s="143">
        <v>44153</v>
      </c>
      <c r="H124" s="38" t="s">
        <v>385</v>
      </c>
      <c r="I124" s="30">
        <v>44153</v>
      </c>
      <c r="J124" s="58"/>
      <c r="K124" s="32">
        <v>3619000</v>
      </c>
      <c r="L124" s="32"/>
      <c r="M124" s="33">
        <f>(PROVEEDORES[[#This Row],[SUBTOTAL]]-PROVEEDORES[[#This Row],[descuento antes de IVA]])*VLOOKUP(PROVEEDORES[[#This Row],[PROVEEDOR]],TERCEROS_INFO[#All],3,FALSE)</f>
        <v>0</v>
      </c>
      <c r="N124" s="34"/>
      <c r="O124" s="33">
        <f>+PROVEEDORES[[#This Row],[Descuento sobre subtotal %]]*(PROVEEDORES[[#This Row],[SUBTOTAL]]-PROVEEDORES[[#This Row],[descuento antes de IVA]])</f>
        <v>0</v>
      </c>
      <c r="P1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4" s="33">
        <f>+(PROVEEDORES[[#This Row],[SUBTOTAL]]-PROVEEDORES[[#This Row],[descuento antes de IVA]])*PROVEEDORES[[#This Row],[Rete Fuente %]]</f>
        <v>0</v>
      </c>
      <c r="R124" s="32">
        <f>+PROVEEDORES[[#This Row],[SUBTOTAL]]+PROVEEDORES[[#This Row],[IVA 19%]]-PROVEEDORES[[#This Row],[descuento antes de IVA]]-PROVEEDORES[[#This Row],[Descuento sobre subtotal $]]-PROVEEDORES[[#This Row],[Rete Fuente $]]</f>
        <v>3619000</v>
      </c>
      <c r="S1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4" s="40"/>
      <c r="U124" s="97"/>
      <c r="V124" s="36"/>
      <c r="W124" s="36"/>
      <c r="X124" s="36"/>
      <c r="Y124" s="36"/>
      <c r="Z124" s="41"/>
      <c r="AA124" s="42"/>
      <c r="AF124" s="36"/>
      <c r="AG124" s="36"/>
    </row>
    <row r="125" spans="1:33" ht="21.95" hidden="1" customHeight="1" x14ac:dyDescent="0.25">
      <c r="A125" s="39" t="str">
        <f>+IF(PROVEEDORES[[#This Row],[FECHA DE PAGO]]=PROVEEDORES[[#This Row],[FECHA DE FACTURACIÓN]],"DE CONTADO","CRÉDITO")</f>
        <v>DE CONTADO</v>
      </c>
      <c r="B125" s="67" t="b">
        <f>+IF((PROVEEDORES[[#This Row],[FECHA DE PAGO]]-PROVEEDORES[[#This Row],[FECHA DE FACTURACIÓN]])&gt;PROVEEDORES[[#This Row],[PLAZO Días]],"PAGO VENCIDO")</f>
        <v>0</v>
      </c>
      <c r="C125" s="27">
        <f>+VLOOKUP(PROVEEDORES[[#This Row],[PROVEEDOR]],TERCEROS_INFO[#All],2,FALSE)</f>
        <v>30</v>
      </c>
      <c r="D125" s="37">
        <f>+SUMIFS(PROVEEDORES[Total],PROVEEDORES[PROVEEDOR],PROVEEDORES[[#This Row],[PROVEEDOR]],PROVEEDORES[FECHA DE PAGO],"")</f>
        <v>0</v>
      </c>
      <c r="E125" s="37"/>
      <c r="F125" s="108" t="str">
        <f>+VLOOKUP(PROVEEDORES[[#This Row],[PROVEEDOR]],TERCEROS_INFO[[PROVEEDOR]:[CORREO]],5,FALSE)</f>
        <v/>
      </c>
      <c r="G125" s="143">
        <v>44153</v>
      </c>
      <c r="H125" s="38" t="s">
        <v>385</v>
      </c>
      <c r="I125" s="30">
        <v>44153</v>
      </c>
      <c r="J125" s="58"/>
      <c r="K125" s="32">
        <v>250000</v>
      </c>
      <c r="L125" s="32"/>
      <c r="M125" s="33">
        <f>(PROVEEDORES[[#This Row],[SUBTOTAL]]-PROVEEDORES[[#This Row],[descuento antes de IVA]])*VLOOKUP(PROVEEDORES[[#This Row],[PROVEEDOR]],TERCEROS_INFO[#All],3,FALSE)</f>
        <v>0</v>
      </c>
      <c r="N125" s="34"/>
      <c r="O125" s="33">
        <f>+PROVEEDORES[[#This Row],[Descuento sobre subtotal %]]*(PROVEEDORES[[#This Row],[SUBTOTAL]]-PROVEEDORES[[#This Row],[descuento antes de IVA]])</f>
        <v>0</v>
      </c>
      <c r="P1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5" s="33">
        <f>+(PROVEEDORES[[#This Row],[SUBTOTAL]]-PROVEEDORES[[#This Row],[descuento antes de IVA]])*PROVEEDORES[[#This Row],[Rete Fuente %]]</f>
        <v>0</v>
      </c>
      <c r="R125" s="32">
        <f>+PROVEEDORES[[#This Row],[SUBTOTAL]]+PROVEEDORES[[#This Row],[IVA 19%]]-PROVEEDORES[[#This Row],[descuento antes de IVA]]-PROVEEDORES[[#This Row],[Descuento sobre subtotal $]]-PROVEEDORES[[#This Row],[Rete Fuente $]]</f>
        <v>250000</v>
      </c>
      <c r="S1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5" s="40"/>
      <c r="U125" s="97"/>
      <c r="V125" s="36"/>
      <c r="W125" s="36"/>
      <c r="X125" s="36"/>
      <c r="Y125" s="36"/>
      <c r="Z125" s="41"/>
      <c r="AA125" s="42"/>
      <c r="AF125" s="36"/>
      <c r="AG125" s="36"/>
    </row>
    <row r="126" spans="1:33" ht="21.95" hidden="1" customHeight="1" x14ac:dyDescent="0.25">
      <c r="A126" s="39" t="str">
        <f>+IF(PROVEEDORES[[#This Row],[FECHA DE PAGO]]=PROVEEDORES[[#This Row],[FECHA DE FACTURACIÓN]],"DE CONTADO","CRÉDITO")</f>
        <v>CRÉDITO</v>
      </c>
      <c r="B126" s="67" t="b">
        <f>+IF((PROVEEDORES[[#This Row],[FECHA DE PAGO]]-PROVEEDORES[[#This Row],[FECHA DE FACTURACIÓN]])&gt;PROVEEDORES[[#This Row],[PLAZO Días]],"PAGO VENCIDO")</f>
        <v>0</v>
      </c>
      <c r="C126" s="27">
        <f>+VLOOKUP(PROVEEDORES[[#This Row],[PROVEEDOR]],TERCEROS_INFO[#All],2,FALSE)</f>
        <v>30</v>
      </c>
      <c r="D126" s="37">
        <f>+SUMIFS(PROVEEDORES[Total],PROVEEDORES[PROVEEDOR],PROVEEDORES[[#This Row],[PROVEEDOR]],PROVEEDORES[FECHA DE PAGO],"")</f>
        <v>0</v>
      </c>
      <c r="E126" s="37"/>
      <c r="F126" s="108" t="str">
        <f>+VLOOKUP(PROVEEDORES[[#This Row],[PROVEEDOR]],TERCEROS_INFO[[PROVEEDOR]:[CORREO]],5,FALSE)</f>
        <v/>
      </c>
      <c r="G126" s="143">
        <v>44184</v>
      </c>
      <c r="H126" s="38" t="s">
        <v>385</v>
      </c>
      <c r="I126" s="30">
        <v>44183</v>
      </c>
      <c r="J126" s="58"/>
      <c r="K126" s="32">
        <v>3338800</v>
      </c>
      <c r="L126" s="32"/>
      <c r="M126" s="33">
        <f>(PROVEEDORES[[#This Row],[SUBTOTAL]]-PROVEEDORES[[#This Row],[descuento antes de IVA]])*VLOOKUP(PROVEEDORES[[#This Row],[PROVEEDOR]],TERCEROS_INFO[#All],3,FALSE)</f>
        <v>0</v>
      </c>
      <c r="N126" s="34"/>
      <c r="O126" s="33">
        <f>+PROVEEDORES[[#This Row],[Descuento sobre subtotal %]]*(PROVEEDORES[[#This Row],[SUBTOTAL]]-PROVEEDORES[[#This Row],[descuento antes de IVA]])</f>
        <v>0</v>
      </c>
      <c r="P1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6" s="33">
        <f>+(PROVEEDORES[[#This Row],[SUBTOTAL]]-PROVEEDORES[[#This Row],[descuento antes de IVA]])*PROVEEDORES[[#This Row],[Rete Fuente %]]</f>
        <v>0</v>
      </c>
      <c r="R126" s="32">
        <f>+PROVEEDORES[[#This Row],[SUBTOTAL]]+PROVEEDORES[[#This Row],[IVA 19%]]-PROVEEDORES[[#This Row],[descuento antes de IVA]]-PROVEEDORES[[#This Row],[Descuento sobre subtotal $]]-PROVEEDORES[[#This Row],[Rete Fuente $]]</f>
        <v>3338800</v>
      </c>
      <c r="S12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6" s="40"/>
      <c r="U126" s="97"/>
      <c r="V126" s="36"/>
      <c r="W126" s="36"/>
      <c r="X126" s="36"/>
      <c r="Y126" s="36"/>
      <c r="Z126" s="41"/>
      <c r="AA126" s="42"/>
      <c r="AF126" s="36"/>
      <c r="AG126" s="36"/>
    </row>
    <row r="127" spans="1:33" ht="21.95" hidden="1" customHeight="1" x14ac:dyDescent="0.25">
      <c r="A127" s="35" t="str">
        <f>+IF(PROVEEDORES[[#This Row],[FECHA DE PAGO]]=PROVEEDORES[[#This Row],[FECHA DE FACTURACIÓN]],"DE CONTADO","CRÉDITO")</f>
        <v>DE CONTADO</v>
      </c>
      <c r="B127" s="67" t="b">
        <f>+IF((PROVEEDORES[[#This Row],[FECHA DE PAGO]]-PROVEEDORES[[#This Row],[FECHA DE FACTURACIÓN]])&gt;PROVEEDORES[[#This Row],[PLAZO Días]],"PAGO VENCIDO")</f>
        <v>0</v>
      </c>
      <c r="C127" s="27">
        <f>+VLOOKUP(PROVEEDORES[[#This Row],[PROVEEDOR]],TERCEROS_INFO[#All],2,FALSE)</f>
        <v>30</v>
      </c>
      <c r="D127" s="37">
        <f>+SUMIFS(PROVEEDORES[Total],PROVEEDORES[PROVEEDOR],PROVEEDORES[[#This Row],[PROVEEDOR]],PROVEEDORES[FECHA DE PAGO],"")</f>
        <v>0</v>
      </c>
      <c r="E127" s="37"/>
      <c r="F127" s="108" t="str">
        <f>+VLOOKUP(PROVEEDORES[[#This Row],[PROVEEDOR]],TERCEROS_INFO[[PROVEEDOR]:[CORREO]],5,FALSE)</f>
        <v/>
      </c>
      <c r="G127" s="143">
        <v>44223</v>
      </c>
      <c r="H127" s="38" t="s">
        <v>385</v>
      </c>
      <c r="I127" s="30">
        <v>44223</v>
      </c>
      <c r="J127" s="58"/>
      <c r="K127" s="32">
        <v>2645000</v>
      </c>
      <c r="L127" s="32"/>
      <c r="M127" s="33">
        <f>(PROVEEDORES[[#This Row],[SUBTOTAL]]-PROVEEDORES[[#This Row],[descuento antes de IVA]])*VLOOKUP(PROVEEDORES[[#This Row],[PROVEEDOR]],TERCEROS_INFO[#All],3,FALSE)</f>
        <v>0</v>
      </c>
      <c r="N127" s="34"/>
      <c r="O127" s="33">
        <f>+PROVEEDORES[[#This Row],[Descuento sobre subtotal %]]*(PROVEEDORES[[#This Row],[SUBTOTAL]]-PROVEEDORES[[#This Row],[descuento antes de IVA]])</f>
        <v>0</v>
      </c>
      <c r="P1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7" s="33">
        <f>+(PROVEEDORES[[#This Row],[SUBTOTAL]]-PROVEEDORES[[#This Row],[descuento antes de IVA]])*PROVEEDORES[[#This Row],[Rete Fuente %]]</f>
        <v>0</v>
      </c>
      <c r="R127" s="32">
        <f>+PROVEEDORES[[#This Row],[SUBTOTAL]]+PROVEEDORES[[#This Row],[IVA 19%]]-PROVEEDORES[[#This Row],[descuento antes de IVA]]-PROVEEDORES[[#This Row],[Descuento sobre subtotal $]]-PROVEEDORES[[#This Row],[Rete Fuente $]]</f>
        <v>2645000</v>
      </c>
      <c r="S12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7" s="40"/>
      <c r="U127" s="97"/>
      <c r="V127" s="36"/>
      <c r="W127" s="36"/>
      <c r="X127" s="36"/>
      <c r="Y127" s="36"/>
      <c r="Z127" s="41"/>
      <c r="AA127" s="42"/>
      <c r="AF127" s="36"/>
      <c r="AG127" s="36"/>
    </row>
    <row r="128" spans="1:33" ht="21.95" hidden="1" customHeight="1" x14ac:dyDescent="0.25">
      <c r="A128" s="66" t="str">
        <f>+IF(PROVEEDORES[[#This Row],[FECHA DE PAGO]]=PROVEEDORES[[#This Row],[FECHA DE FACTURACIÓN]],"DE CONTADO","CRÉDITO")</f>
        <v>CRÉDITO</v>
      </c>
      <c r="B128" s="68" t="b">
        <f>+IF((PROVEEDORES[[#This Row],[FECHA DE PAGO]]-PROVEEDORES[[#This Row],[FECHA DE FACTURACIÓN]])&gt;PROVEEDORES[[#This Row],[PLAZO Días]],"PAGO VENCIDO")</f>
        <v>0</v>
      </c>
      <c r="C128" s="27">
        <f>+VLOOKUP(PROVEEDORES[[#This Row],[PROVEEDOR]],TERCEROS_INFO[#All],2,FALSE)</f>
        <v>30</v>
      </c>
      <c r="D128" s="37">
        <f>+SUMIFS(PROVEEDORES[Total],PROVEEDORES[PROVEEDOR],PROVEEDORES[[#This Row],[PROVEEDOR]],PROVEEDORES[FECHA DE PAGO],"")</f>
        <v>0</v>
      </c>
      <c r="E128" s="37"/>
      <c r="F128" s="108" t="str">
        <f>+VLOOKUP(PROVEEDORES[[#This Row],[PROVEEDOR]],TERCEROS_INFO[[PROVEEDOR]:[CORREO]],5,FALSE)</f>
        <v/>
      </c>
      <c r="G128" s="143">
        <v>44237</v>
      </c>
      <c r="H128" s="38" t="s">
        <v>385</v>
      </c>
      <c r="I128" s="30">
        <v>44228</v>
      </c>
      <c r="J128" s="58" t="s">
        <v>1099</v>
      </c>
      <c r="K128" s="32">
        <v>3313000</v>
      </c>
      <c r="L128" s="32"/>
      <c r="M128" s="33">
        <f>(PROVEEDORES[[#This Row],[SUBTOTAL]]-PROVEEDORES[[#This Row],[descuento antes de IVA]])*VLOOKUP(PROVEEDORES[[#This Row],[PROVEEDOR]],TERCEROS_INFO[#All],3,FALSE)</f>
        <v>0</v>
      </c>
      <c r="N128" s="34"/>
      <c r="O128" s="33">
        <f>+PROVEEDORES[[#This Row],[Descuento sobre subtotal %]]*(PROVEEDORES[[#This Row],[SUBTOTAL]]-PROVEEDORES[[#This Row],[descuento antes de IVA]])</f>
        <v>0</v>
      </c>
      <c r="P1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8" s="33">
        <f>+(PROVEEDORES[[#This Row],[SUBTOTAL]]-PROVEEDORES[[#This Row],[descuento antes de IVA]])*PROVEEDORES[[#This Row],[Rete Fuente %]]</f>
        <v>0</v>
      </c>
      <c r="R128" s="32">
        <f>+PROVEEDORES[[#This Row],[SUBTOTAL]]+PROVEEDORES[[#This Row],[IVA 19%]]-PROVEEDORES[[#This Row],[descuento antes de IVA]]-PROVEEDORES[[#This Row],[Descuento sobre subtotal $]]-PROVEEDORES[[#This Row],[Rete Fuente $]]</f>
        <v>3313000</v>
      </c>
      <c r="S128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8" s="40"/>
      <c r="U128" s="97"/>
      <c r="V128" s="36"/>
      <c r="W128" s="36"/>
      <c r="X128" s="36"/>
      <c r="Y128" s="36"/>
      <c r="Z128" s="41"/>
      <c r="AA128" s="42"/>
      <c r="AF128" s="36"/>
      <c r="AG128" s="36"/>
    </row>
    <row r="129" spans="1:33" ht="21.95" hidden="1" customHeight="1" x14ac:dyDescent="0.25">
      <c r="A129" s="88" t="str">
        <f>+IF(PROVEEDORES[[#This Row],[FECHA DE PAGO]]=PROVEEDORES[[#This Row],[FECHA DE FACTURACIÓN]],"DE CONTADO","CRÉDITO")</f>
        <v>DE CONTADO</v>
      </c>
      <c r="B129" s="70" t="b">
        <f>+IF((PROVEEDORES[[#This Row],[FECHA DE PAGO]]-PROVEEDORES[[#This Row],[FECHA DE FACTURACIÓN]])&gt;PROVEEDORES[[#This Row],[PLAZO Días]],"PAGO VENCIDO")</f>
        <v>0</v>
      </c>
      <c r="C129" s="27">
        <f>+VLOOKUP(PROVEEDORES[[#This Row],[PROVEEDOR]],TERCEROS_INFO[#All],2,FALSE)</f>
        <v>30</v>
      </c>
      <c r="D129" s="37">
        <f>+SUMIFS(PROVEEDORES[Total],PROVEEDORES[PROVEEDOR],PROVEEDORES[[#This Row],[PROVEEDOR]],PROVEEDORES[FECHA DE PAGO],"")</f>
        <v>0</v>
      </c>
      <c r="E129" s="37"/>
      <c r="F129" s="108" t="str">
        <f>+VLOOKUP(PROVEEDORES[[#This Row],[PROVEEDOR]],TERCEROS_INFO[[PROVEEDOR]:[CORREO]],5,FALSE)</f>
        <v/>
      </c>
      <c r="G129" s="143">
        <v>44257</v>
      </c>
      <c r="H129" s="38" t="s">
        <v>385</v>
      </c>
      <c r="I129" s="30">
        <v>44257</v>
      </c>
      <c r="J129" s="58" t="s">
        <v>1106</v>
      </c>
      <c r="K129" s="32">
        <v>1711000</v>
      </c>
      <c r="L129" s="32"/>
      <c r="M129" s="33">
        <f>(PROVEEDORES[[#This Row],[SUBTOTAL]]-PROVEEDORES[[#This Row],[descuento antes de IVA]])*VLOOKUP(PROVEEDORES[[#This Row],[PROVEEDOR]],TERCEROS_INFO[#All],3,FALSE)</f>
        <v>0</v>
      </c>
      <c r="N129" s="34"/>
      <c r="O129" s="33">
        <f>+PROVEEDORES[[#This Row],[Descuento sobre subtotal %]]*(PROVEEDORES[[#This Row],[SUBTOTAL]]-PROVEEDORES[[#This Row],[descuento antes de IVA]])</f>
        <v>0</v>
      </c>
      <c r="P1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9" s="33">
        <f>+(PROVEEDORES[[#This Row],[SUBTOTAL]]-PROVEEDORES[[#This Row],[descuento antes de IVA]])*PROVEEDORES[[#This Row],[Rete Fuente %]]</f>
        <v>0</v>
      </c>
      <c r="R129" s="32">
        <f>+PROVEEDORES[[#This Row],[SUBTOTAL]]+PROVEEDORES[[#This Row],[IVA 19%]]-PROVEEDORES[[#This Row],[descuento antes de IVA]]-PROVEEDORES[[#This Row],[Descuento sobre subtotal $]]-PROVEEDORES[[#This Row],[Rete Fuente $]]</f>
        <v>1711000</v>
      </c>
      <c r="S12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9" s="40"/>
      <c r="U129" s="97"/>
      <c r="V129" s="36"/>
      <c r="W129" s="36"/>
      <c r="X129" s="36"/>
      <c r="Y129" s="36"/>
      <c r="Z129" s="41"/>
      <c r="AA129" s="42"/>
      <c r="AF129" s="36"/>
      <c r="AG129" s="36"/>
    </row>
    <row r="130" spans="1:33" ht="21.95" hidden="1" customHeight="1" x14ac:dyDescent="0.25">
      <c r="A130" s="88" t="str">
        <f>+IF(PROVEEDORES[[#This Row],[FECHA DE PAGO]]=PROVEEDORES[[#This Row],[FECHA DE FACTURACIÓN]],"DE CONTADO","CRÉDITO")</f>
        <v>CRÉDITO</v>
      </c>
      <c r="B130" s="70" t="b">
        <f>+IF((PROVEEDORES[[#This Row],[FECHA DE PAGO]]-PROVEEDORES[[#This Row],[FECHA DE FACTURACIÓN]])&gt;PROVEEDORES[[#This Row],[PLAZO Días]],"PAGO VENCIDO")</f>
        <v>0</v>
      </c>
      <c r="C130" s="27">
        <f>+VLOOKUP(PROVEEDORES[[#This Row],[PROVEEDOR]],TERCEROS_INFO[#All],2,FALSE)</f>
        <v>30</v>
      </c>
      <c r="D130" s="37">
        <f>+SUMIFS(PROVEEDORES[Total],PROVEEDORES[PROVEEDOR],PROVEEDORES[[#This Row],[PROVEEDOR]],PROVEEDORES[FECHA DE PAGO],"")</f>
        <v>0</v>
      </c>
      <c r="E130" s="37"/>
      <c r="F130" s="108" t="str">
        <f>+VLOOKUP(PROVEEDORES[[#This Row],[PROVEEDOR]],TERCEROS_INFO[[PROVEEDOR]:[CORREO]],5,FALSE)</f>
        <v/>
      </c>
      <c r="G130" s="143">
        <v>44280</v>
      </c>
      <c r="H130" s="38" t="s">
        <v>385</v>
      </c>
      <c r="I130" s="30">
        <v>44279</v>
      </c>
      <c r="J130" s="58"/>
      <c r="K130" s="32">
        <v>3686000</v>
      </c>
      <c r="L130" s="32"/>
      <c r="M130" s="33">
        <f>(PROVEEDORES[[#This Row],[SUBTOTAL]]-PROVEEDORES[[#This Row],[descuento antes de IVA]])*VLOOKUP(PROVEEDORES[[#This Row],[PROVEEDOR]],TERCEROS_INFO[#All],3,FALSE)</f>
        <v>0</v>
      </c>
      <c r="N130" s="34"/>
      <c r="O130" s="33">
        <f>+PROVEEDORES[[#This Row],[Descuento sobre subtotal %]]*(PROVEEDORES[[#This Row],[SUBTOTAL]]-PROVEEDORES[[#This Row],[descuento antes de IVA]])</f>
        <v>0</v>
      </c>
      <c r="P1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0" s="33">
        <f>+(PROVEEDORES[[#This Row],[SUBTOTAL]]-PROVEEDORES[[#This Row],[descuento antes de IVA]])*PROVEEDORES[[#This Row],[Rete Fuente %]]</f>
        <v>0</v>
      </c>
      <c r="R130" s="32">
        <f>+PROVEEDORES[[#This Row],[SUBTOTAL]]+PROVEEDORES[[#This Row],[IVA 19%]]-PROVEEDORES[[#This Row],[descuento antes de IVA]]-PROVEEDORES[[#This Row],[Descuento sobre subtotal $]]-PROVEEDORES[[#This Row],[Rete Fuente $]]</f>
        <v>3686000</v>
      </c>
      <c r="S130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0" s="40"/>
      <c r="U130" s="97"/>
      <c r="V130" s="36"/>
      <c r="W130" s="36"/>
      <c r="X130" s="36"/>
      <c r="Y130" s="36"/>
      <c r="Z130" s="41"/>
      <c r="AA130" s="42"/>
      <c r="AF130" s="36"/>
      <c r="AG130" s="36"/>
    </row>
    <row r="131" spans="1:33" ht="21.95" hidden="1" customHeight="1" x14ac:dyDescent="0.25">
      <c r="A131" s="103" t="str">
        <f>+IF(PROVEEDORES[[#This Row],[FECHA DE PAGO]]=PROVEEDORES[[#This Row],[FECHA DE FACTURACIÓN]],"DE CONTADO","CRÉDITO")</f>
        <v>CRÉDITO</v>
      </c>
      <c r="B131" s="70" t="b">
        <f>+IF((PROVEEDORES[[#This Row],[FECHA DE PAGO]]-PROVEEDORES[[#This Row],[FECHA DE FACTURACIÓN]])&gt;PROVEEDORES[[#This Row],[PLAZO Días]],"PAGO VENCIDO")</f>
        <v>0</v>
      </c>
      <c r="C131" s="27">
        <f>+VLOOKUP(PROVEEDORES[[#This Row],[PROVEEDOR]],TERCEROS_INFO[#All],2,FALSE)</f>
        <v>30</v>
      </c>
      <c r="D131" s="37">
        <f>+SUMIFS(PROVEEDORES[Total],PROVEEDORES[PROVEEDOR],PROVEEDORES[[#This Row],[PROVEEDOR]],PROVEEDORES[FECHA DE PAGO],"")</f>
        <v>0</v>
      </c>
      <c r="E131" s="37"/>
      <c r="F131" s="108" t="str">
        <f>+VLOOKUP(PROVEEDORES[[#This Row],[PROVEEDOR]],TERCEROS_INFO[[PROVEEDOR]:[CORREO]],5,FALSE)</f>
        <v/>
      </c>
      <c r="G131" s="143">
        <v>44306</v>
      </c>
      <c r="H131" s="38" t="s">
        <v>385</v>
      </c>
      <c r="I131" s="30">
        <v>44305</v>
      </c>
      <c r="J131" s="58" t="s">
        <v>1115</v>
      </c>
      <c r="K131" s="32">
        <v>3351000</v>
      </c>
      <c r="L131" s="32"/>
      <c r="M131" s="33">
        <f>(PROVEEDORES[[#This Row],[SUBTOTAL]]-PROVEEDORES[[#This Row],[descuento antes de IVA]])*VLOOKUP(PROVEEDORES[[#This Row],[PROVEEDOR]],TERCEROS_INFO[#All],3,FALSE)</f>
        <v>0</v>
      </c>
      <c r="N131" s="34"/>
      <c r="O131" s="33">
        <f>+PROVEEDORES[[#This Row],[Descuento sobre subtotal %]]*(PROVEEDORES[[#This Row],[SUBTOTAL]]-PROVEEDORES[[#This Row],[descuento antes de IVA]])</f>
        <v>0</v>
      </c>
      <c r="P1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1" s="33">
        <f>+(PROVEEDORES[[#This Row],[SUBTOTAL]]-PROVEEDORES[[#This Row],[descuento antes de IVA]])*PROVEEDORES[[#This Row],[Rete Fuente %]]</f>
        <v>0</v>
      </c>
      <c r="R131" s="32">
        <f>+PROVEEDORES[[#This Row],[SUBTOTAL]]+PROVEEDORES[[#This Row],[IVA 19%]]-PROVEEDORES[[#This Row],[descuento antes de IVA]]-PROVEEDORES[[#This Row],[Descuento sobre subtotal $]]-PROVEEDORES[[#This Row],[Rete Fuente $]]</f>
        <v>3351000</v>
      </c>
      <c r="S131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1" s="40"/>
      <c r="U131" s="97"/>
      <c r="V131" s="36"/>
      <c r="W131" s="36"/>
      <c r="X131" s="36"/>
      <c r="Y131" s="36"/>
      <c r="Z131" s="41"/>
      <c r="AA131" s="42"/>
      <c r="AF131" s="36"/>
      <c r="AG131" s="36"/>
    </row>
    <row r="132" spans="1:33" ht="21.95" hidden="1" customHeight="1" x14ac:dyDescent="0.25">
      <c r="A132" s="111" t="str">
        <f>+IF(PROVEEDORES[[#This Row],[FECHA DE PAGO]]=PROVEEDORES[[#This Row],[FECHA DE FACTURACIÓN]],"DE CONTADO","CRÉDITO")</f>
        <v>DE CONTADO</v>
      </c>
      <c r="B132" s="70" t="b">
        <f>+IF((PROVEEDORES[[#This Row],[FECHA DE PAGO]]-PROVEEDORES[[#This Row],[FECHA DE FACTURACIÓN]])&gt;PROVEEDORES[[#This Row],[PLAZO Días]],"PAGO VENCIDO")</f>
        <v>0</v>
      </c>
      <c r="C132" s="27">
        <f>+VLOOKUP(PROVEEDORES[[#This Row],[PROVEEDOR]],TERCEROS_INFO[#All],2,FALSE)</f>
        <v>30</v>
      </c>
      <c r="D132" s="37">
        <f>+SUMIFS(PROVEEDORES[Total],PROVEEDORES[PROVEEDOR],PROVEEDORES[[#This Row],[PROVEEDOR]],PROVEEDORES[FECHA DE PAGO],"")</f>
        <v>0</v>
      </c>
      <c r="E132" s="37"/>
      <c r="F132" s="108" t="str">
        <f>+VLOOKUP(PROVEEDORES[[#This Row],[PROVEEDOR]],TERCEROS_INFO[[PROVEEDOR]:[CORREO]],5,FALSE)</f>
        <v/>
      </c>
      <c r="G132" s="143">
        <v>44335</v>
      </c>
      <c r="H132" s="38" t="s">
        <v>385</v>
      </c>
      <c r="I132" s="30">
        <v>44335</v>
      </c>
      <c r="J132" s="58" t="s">
        <v>1131</v>
      </c>
      <c r="K132" s="32">
        <v>4819000</v>
      </c>
      <c r="L132" s="32"/>
      <c r="M132" s="33">
        <f>(PROVEEDORES[[#This Row],[SUBTOTAL]]-PROVEEDORES[[#This Row],[descuento antes de IVA]])*VLOOKUP(PROVEEDORES[[#This Row],[PROVEEDOR]],TERCEROS_INFO[#All],3,FALSE)</f>
        <v>0</v>
      </c>
      <c r="N132" s="34"/>
      <c r="O132" s="33">
        <f>+PROVEEDORES[[#This Row],[Descuento sobre subtotal %]]*(PROVEEDORES[[#This Row],[SUBTOTAL]]-PROVEEDORES[[#This Row],[descuento antes de IVA]])</f>
        <v>0</v>
      </c>
      <c r="P1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2" s="33">
        <f>+(PROVEEDORES[[#This Row],[SUBTOTAL]]-PROVEEDORES[[#This Row],[descuento antes de IVA]])*PROVEEDORES[[#This Row],[Rete Fuente %]]</f>
        <v>0</v>
      </c>
      <c r="R132" s="32">
        <f>+PROVEEDORES[[#This Row],[SUBTOTAL]]+PROVEEDORES[[#This Row],[IVA 19%]]-PROVEEDORES[[#This Row],[descuento antes de IVA]]-PROVEEDORES[[#This Row],[Descuento sobre subtotal $]]-PROVEEDORES[[#This Row],[Rete Fuente $]]</f>
        <v>4819000</v>
      </c>
      <c r="S132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2" s="40"/>
      <c r="U132" s="97"/>
      <c r="V132" s="36"/>
      <c r="W132" s="36"/>
      <c r="X132" s="36"/>
      <c r="Y132" s="36"/>
      <c r="Z132" s="41"/>
      <c r="AA132" s="42"/>
      <c r="AF132" s="36"/>
      <c r="AG132" s="36"/>
    </row>
    <row r="133" spans="1:33" ht="21.95" hidden="1" customHeight="1" x14ac:dyDescent="0.25">
      <c r="A133" s="127" t="str">
        <f>+IF(PROVEEDORES[[#This Row],[FECHA DE PAGO]]=PROVEEDORES[[#This Row],[FECHA DE FACTURACIÓN]],"DE CONTADO","CRÉDITO")</f>
        <v>DE CONTADO</v>
      </c>
      <c r="B133" s="70" t="b">
        <f>+IF((PROVEEDORES[[#This Row],[FECHA DE PAGO]]-PROVEEDORES[[#This Row],[FECHA DE FACTURACIÓN]])&gt;PROVEEDORES[[#This Row],[PLAZO Días]],"PAGO VENCIDO")</f>
        <v>0</v>
      </c>
      <c r="C133" s="27">
        <f>+VLOOKUP(PROVEEDORES[[#This Row],[PROVEEDOR]],TERCEROS_INFO[#All],2,FALSE)</f>
        <v>30</v>
      </c>
      <c r="D133" s="37">
        <f>+SUMIFS(PROVEEDORES[Total],PROVEEDORES[PROVEEDOR],PROVEEDORES[[#This Row],[PROVEEDOR]],PROVEEDORES[FECHA DE PAGO],"")</f>
        <v>0</v>
      </c>
      <c r="E133" s="37"/>
      <c r="F133" s="108" t="str">
        <f>+VLOOKUP(PROVEEDORES[[#This Row],[PROVEEDOR]],TERCEROS_INFO[[PROVEEDOR]:[CORREO]],5,FALSE)</f>
        <v/>
      </c>
      <c r="G133" s="143">
        <v>44370</v>
      </c>
      <c r="H133" s="38" t="s">
        <v>719</v>
      </c>
      <c r="I133" s="30">
        <v>44370</v>
      </c>
      <c r="J133" s="58" t="s">
        <v>1170</v>
      </c>
      <c r="K133" s="32">
        <v>3057000</v>
      </c>
      <c r="L133" s="32"/>
      <c r="M133" s="33">
        <f>(PROVEEDORES[[#This Row],[SUBTOTAL]]-PROVEEDORES[[#This Row],[descuento antes de IVA]])*VLOOKUP(PROVEEDORES[[#This Row],[PROVEEDOR]],TERCEROS_INFO[#All],3,FALSE)</f>
        <v>0</v>
      </c>
      <c r="N133" s="34"/>
      <c r="O133" s="33">
        <f>+PROVEEDORES[[#This Row],[Descuento sobre subtotal %]]*(PROVEEDORES[[#This Row],[SUBTOTAL]]-PROVEEDORES[[#This Row],[descuento antes de IVA]])</f>
        <v>0</v>
      </c>
      <c r="P1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" s="33">
        <f>+(PROVEEDORES[[#This Row],[SUBTOTAL]]-PROVEEDORES[[#This Row],[descuento antes de IVA]])*PROVEEDORES[[#This Row],[Rete Fuente %]]</f>
        <v>0</v>
      </c>
      <c r="R133" s="32">
        <f>+PROVEEDORES[[#This Row],[SUBTOTAL]]+PROVEEDORES[[#This Row],[IVA 19%]]-PROVEEDORES[[#This Row],[descuento antes de IVA]]-PROVEEDORES[[#This Row],[Descuento sobre subtotal $]]-PROVEEDORES[[#This Row],[Rete Fuente $]]</f>
        <v>3057000</v>
      </c>
      <c r="S133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3" s="40"/>
      <c r="U133" s="97"/>
      <c r="V133" s="36"/>
      <c r="W133" s="36"/>
      <c r="X133" s="36"/>
      <c r="Y133" s="36"/>
      <c r="Z133" s="41"/>
      <c r="AA133" s="42"/>
      <c r="AF133" s="36"/>
      <c r="AG133" s="36"/>
    </row>
    <row r="134" spans="1:33" ht="21.95" hidden="1" customHeight="1" x14ac:dyDescent="0.25">
      <c r="A134" s="134" t="str">
        <f>+IF(PROVEEDORES[[#This Row],[FECHA DE PAGO]]=PROVEEDORES[[#This Row],[FECHA DE FACTURACIÓN]],"DE CONTADO","CRÉDITO")</f>
        <v>CRÉDITO</v>
      </c>
      <c r="B134" s="70" t="b">
        <f>+IF((PROVEEDORES[[#This Row],[FECHA DE PAGO]]-PROVEEDORES[[#This Row],[FECHA DE FACTURACIÓN]])&gt;PROVEEDORES[[#This Row],[PLAZO Días]],"PAGO VENCIDO")</f>
        <v>0</v>
      </c>
      <c r="C134" s="27">
        <f>+VLOOKUP(PROVEEDORES[[#This Row],[PROVEEDOR]],TERCEROS_INFO[#All],2,FALSE)</f>
        <v>30</v>
      </c>
      <c r="D134" s="37">
        <f>+SUMIFS(PROVEEDORES[Total],PROVEEDORES[PROVEEDOR],PROVEEDORES[[#This Row],[PROVEEDOR]],PROVEEDORES[FECHA DE PAGO],"")</f>
        <v>0</v>
      </c>
      <c r="E134" s="37"/>
      <c r="F134" s="108" t="str">
        <f>+VLOOKUP(PROVEEDORES[[#This Row],[PROVEEDOR]],TERCEROS_INFO[[PROVEEDOR]:[CORREO]],5,FALSE)</f>
        <v/>
      </c>
      <c r="G134" s="143">
        <v>44391</v>
      </c>
      <c r="H134" s="38" t="s">
        <v>719</v>
      </c>
      <c r="I134" s="30">
        <v>44390</v>
      </c>
      <c r="J134" s="58" t="s">
        <v>1183</v>
      </c>
      <c r="K134" s="32">
        <v>2097000</v>
      </c>
      <c r="L134" s="32"/>
      <c r="M134" s="33">
        <f>(PROVEEDORES[[#This Row],[SUBTOTAL]]-PROVEEDORES[[#This Row],[descuento antes de IVA]])*VLOOKUP(PROVEEDORES[[#This Row],[PROVEEDOR]],TERCEROS_INFO[#All],3,FALSE)</f>
        <v>0</v>
      </c>
      <c r="N134" s="34"/>
      <c r="O134" s="33">
        <f>+PROVEEDORES[[#This Row],[Descuento sobre subtotal %]]*(PROVEEDORES[[#This Row],[SUBTOTAL]]-PROVEEDORES[[#This Row],[descuento antes de IVA]])</f>
        <v>0</v>
      </c>
      <c r="P1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" s="33">
        <f>+(PROVEEDORES[[#This Row],[SUBTOTAL]]-PROVEEDORES[[#This Row],[descuento antes de IVA]])*PROVEEDORES[[#This Row],[Rete Fuente %]]</f>
        <v>0</v>
      </c>
      <c r="R134" s="32">
        <f>+PROVEEDORES[[#This Row],[SUBTOTAL]]+PROVEEDORES[[#This Row],[IVA 19%]]-PROVEEDORES[[#This Row],[descuento antes de IVA]]-PROVEEDORES[[#This Row],[Descuento sobre subtotal $]]-PROVEEDORES[[#This Row],[Rete Fuente $]]</f>
        <v>2097000</v>
      </c>
      <c r="S134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4" s="40"/>
      <c r="U134" s="97"/>
      <c r="V134" s="36"/>
      <c r="W134" s="36"/>
      <c r="X134" s="36"/>
      <c r="Y134" s="36"/>
      <c r="Z134" s="41"/>
      <c r="AA134" s="42"/>
      <c r="AF134" s="36"/>
      <c r="AG134" s="36"/>
    </row>
    <row r="135" spans="1:33" ht="21.95" hidden="1" customHeight="1" x14ac:dyDescent="0.25">
      <c r="A135" s="140" t="str">
        <f>+IF(PROVEEDORES[[#This Row],[FECHA DE PAGO]]=PROVEEDORES[[#This Row],[FECHA DE FACTURACIÓN]],"DE CONTADO","CRÉDITO")</f>
        <v>CRÉDITO</v>
      </c>
      <c r="B135" s="70" t="b">
        <f>+IF((PROVEEDORES[[#This Row],[FECHA DE PAGO]]-PROVEEDORES[[#This Row],[FECHA DE FACTURACIÓN]])&gt;PROVEEDORES[[#This Row],[PLAZO Días]],"PAGO VENCIDO")</f>
        <v>0</v>
      </c>
      <c r="C135" s="27">
        <f>+VLOOKUP(PROVEEDORES[[#This Row],[PROVEEDOR]],TERCEROS_INFO[#All],2,FALSE)</f>
        <v>30</v>
      </c>
      <c r="D135" s="37">
        <f>+SUMIFS(PROVEEDORES[Total],PROVEEDORES[PROVEEDOR],PROVEEDORES[[#This Row],[PROVEEDOR]],PROVEEDORES[FECHA DE PAGO],"")</f>
        <v>0</v>
      </c>
      <c r="E135" s="37"/>
      <c r="F135" s="108" t="str">
        <f>+VLOOKUP(PROVEEDORES[[#This Row],[PROVEEDOR]],TERCEROS_INFO[[PROVEEDOR]:[CORREO]],5,FALSE)</f>
        <v/>
      </c>
      <c r="G135" s="143">
        <v>44413</v>
      </c>
      <c r="H135" s="38" t="s">
        <v>385</v>
      </c>
      <c r="I135" s="30">
        <v>44414</v>
      </c>
      <c r="J135" s="58" t="s">
        <v>1206</v>
      </c>
      <c r="K135" s="32">
        <v>1758000</v>
      </c>
      <c r="L135" s="32"/>
      <c r="M135" s="33">
        <f>(PROVEEDORES[[#This Row],[SUBTOTAL]]-PROVEEDORES[[#This Row],[descuento antes de IVA]])*VLOOKUP(PROVEEDORES[[#This Row],[PROVEEDOR]],TERCEROS_INFO[#All],3,FALSE)</f>
        <v>0</v>
      </c>
      <c r="N135" s="34"/>
      <c r="O135" s="33">
        <f>+PROVEEDORES[[#This Row],[Descuento sobre subtotal %]]*(PROVEEDORES[[#This Row],[SUBTOTAL]]-PROVEEDORES[[#This Row],[descuento antes de IVA]])</f>
        <v>0</v>
      </c>
      <c r="P1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5" s="33">
        <f>+(PROVEEDORES[[#This Row],[SUBTOTAL]]-PROVEEDORES[[#This Row],[descuento antes de IVA]])*PROVEEDORES[[#This Row],[Rete Fuente %]]</f>
        <v>0</v>
      </c>
      <c r="R135" s="32">
        <f>+PROVEEDORES[[#This Row],[SUBTOTAL]]+PROVEEDORES[[#This Row],[IVA 19%]]-PROVEEDORES[[#This Row],[descuento antes de IVA]]-PROVEEDORES[[#This Row],[Descuento sobre subtotal $]]-PROVEEDORES[[#This Row],[Rete Fuente $]]</f>
        <v>1758000</v>
      </c>
      <c r="S135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5" s="40"/>
      <c r="U135" s="97"/>
      <c r="V135" s="36"/>
      <c r="W135" s="36"/>
      <c r="X135" s="36"/>
      <c r="Y135" s="36"/>
      <c r="Z135" s="41"/>
      <c r="AA135" s="42"/>
      <c r="AF135" s="36"/>
      <c r="AG135" s="36"/>
    </row>
    <row r="136" spans="1:33" ht="21.95" hidden="1" customHeight="1" x14ac:dyDescent="0.25">
      <c r="A136" s="142" t="str">
        <f>+IF(PROVEEDORES[[#This Row],[FECHA DE PAGO]]=PROVEEDORES[[#This Row],[FECHA DE FACTURACIÓN]],"DE CONTADO","CRÉDITO")</f>
        <v>DE CONTADO</v>
      </c>
      <c r="B136" s="70" t="b">
        <f>+IF((PROVEEDORES[[#This Row],[FECHA DE PAGO]]-PROVEEDORES[[#This Row],[FECHA DE FACTURACIÓN]])&gt;PROVEEDORES[[#This Row],[PLAZO Días]],"PAGO VENCIDO")</f>
        <v>0</v>
      </c>
      <c r="C136" s="27">
        <f>+VLOOKUP(PROVEEDORES[[#This Row],[PROVEEDOR]],TERCEROS_INFO[#All],2,FALSE)</f>
        <v>30</v>
      </c>
      <c r="D136" s="37">
        <f>+SUMIFS(PROVEEDORES[Total],PROVEEDORES[PROVEEDOR],PROVEEDORES[[#This Row],[PROVEEDOR]],PROVEEDORES[FECHA DE PAGO],"")</f>
        <v>0</v>
      </c>
      <c r="E136" s="37"/>
      <c r="F136" s="108" t="str">
        <f>+VLOOKUP(PROVEEDORES[[#This Row],[PROVEEDOR]],TERCEROS_INFO[[PROVEEDOR]:[CORREO]],5,FALSE)</f>
        <v/>
      </c>
      <c r="G136" s="143">
        <v>44431</v>
      </c>
      <c r="H136" s="38" t="s">
        <v>385</v>
      </c>
      <c r="I136" s="30">
        <v>44431</v>
      </c>
      <c r="J136" s="58" t="s">
        <v>1221</v>
      </c>
      <c r="K136" s="32">
        <v>8149000</v>
      </c>
      <c r="L136" s="32"/>
      <c r="M136" s="33">
        <f>(PROVEEDORES[[#This Row],[SUBTOTAL]]-PROVEEDORES[[#This Row],[descuento antes de IVA]])*VLOOKUP(PROVEEDORES[[#This Row],[PROVEEDOR]],TERCEROS_INFO[#All],3,FALSE)</f>
        <v>0</v>
      </c>
      <c r="N136" s="34"/>
      <c r="O136" s="33">
        <f>+PROVEEDORES[[#This Row],[Descuento sobre subtotal %]]*(PROVEEDORES[[#This Row],[SUBTOTAL]]-PROVEEDORES[[#This Row],[descuento antes de IVA]])</f>
        <v>0</v>
      </c>
      <c r="P1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6" s="33">
        <f>+(PROVEEDORES[[#This Row],[SUBTOTAL]]-PROVEEDORES[[#This Row],[descuento antes de IVA]])*PROVEEDORES[[#This Row],[Rete Fuente %]]</f>
        <v>0</v>
      </c>
      <c r="R136" s="32">
        <f>+PROVEEDORES[[#This Row],[SUBTOTAL]]+PROVEEDORES[[#This Row],[IVA 19%]]-PROVEEDORES[[#This Row],[descuento antes de IVA]]-PROVEEDORES[[#This Row],[Descuento sobre subtotal $]]-PROVEEDORES[[#This Row],[Rete Fuente $]]</f>
        <v>8149000</v>
      </c>
      <c r="S136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6" s="40"/>
      <c r="U136" s="97"/>
      <c r="V136" s="36"/>
      <c r="W136" s="36"/>
      <c r="X136" s="36"/>
      <c r="Y136" s="36"/>
      <c r="Z136" s="41"/>
      <c r="AA136" s="42"/>
      <c r="AF136" s="36"/>
      <c r="AG136" s="36"/>
    </row>
    <row r="137" spans="1:33" ht="21.95" hidden="1" customHeight="1" x14ac:dyDescent="0.25">
      <c r="A137" s="151" t="str">
        <f>+IF(PROVEEDORES[[#This Row],[FECHA DE PAGO]]=PROVEEDORES[[#This Row],[FECHA DE FACTURACIÓN]],"DE CONTADO","CRÉDITO")</f>
        <v>CRÉDITO</v>
      </c>
      <c r="B137" s="70" t="b">
        <f>+IF((PROVEEDORES[[#This Row],[FECHA DE PAGO]]-PROVEEDORES[[#This Row],[FECHA DE FACTURACIÓN]])&gt;PROVEEDORES[[#This Row],[PLAZO Días]],"PAGO VENCIDO")</f>
        <v>0</v>
      </c>
      <c r="C137" s="27">
        <f>+VLOOKUP(PROVEEDORES[[#This Row],[PROVEEDOR]],TERCEROS_INFO[#All],2,FALSE)</f>
        <v>30</v>
      </c>
      <c r="D137" s="37">
        <f>+SUMIFS(PROVEEDORES[Total],PROVEEDORES[PROVEEDOR],PROVEEDORES[[#This Row],[PROVEEDOR]],PROVEEDORES[FECHA DE PAGO],"")</f>
        <v>0</v>
      </c>
      <c r="E137" s="37"/>
      <c r="F137" s="108" t="str">
        <f>+VLOOKUP(PROVEEDORES[[#This Row],[PROVEEDOR]],TERCEROS_INFO[[PROVEEDOR]:[CORREO]],5,FALSE)</f>
        <v/>
      </c>
      <c r="G137" s="143">
        <v>44454</v>
      </c>
      <c r="H137" s="38" t="s">
        <v>385</v>
      </c>
      <c r="I137" s="30">
        <v>44453</v>
      </c>
      <c r="J137" s="58" t="s">
        <v>1247</v>
      </c>
      <c r="K137" s="32">
        <v>1106000</v>
      </c>
      <c r="L137" s="32"/>
      <c r="M137" s="33">
        <f>(PROVEEDORES[[#This Row],[SUBTOTAL]]-PROVEEDORES[[#This Row],[descuento antes de IVA]])*VLOOKUP(PROVEEDORES[[#This Row],[PROVEEDOR]],TERCEROS_INFO[#All],3,FALSE)</f>
        <v>0</v>
      </c>
      <c r="N137" s="34"/>
      <c r="O137" s="33">
        <f>+PROVEEDORES[[#This Row],[Descuento sobre subtotal %]]*(PROVEEDORES[[#This Row],[SUBTOTAL]]-PROVEEDORES[[#This Row],[descuento antes de IVA]])</f>
        <v>0</v>
      </c>
      <c r="P1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7" s="33">
        <f>+(PROVEEDORES[[#This Row],[SUBTOTAL]]-PROVEEDORES[[#This Row],[descuento antes de IVA]])*PROVEEDORES[[#This Row],[Rete Fuente %]]</f>
        <v>0</v>
      </c>
      <c r="R137" s="32">
        <f>+PROVEEDORES[[#This Row],[SUBTOTAL]]+PROVEEDORES[[#This Row],[IVA 19%]]-PROVEEDORES[[#This Row],[descuento antes de IVA]]-PROVEEDORES[[#This Row],[Descuento sobre subtotal $]]-PROVEEDORES[[#This Row],[Rete Fuente $]]</f>
        <v>1106000</v>
      </c>
      <c r="S137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7" s="40"/>
      <c r="U137" s="97"/>
      <c r="V137" s="36"/>
      <c r="W137" s="36"/>
      <c r="X137" s="36"/>
      <c r="Y137" s="36"/>
      <c r="Z137" s="41"/>
      <c r="AA137" s="42"/>
      <c r="AF137" s="36"/>
      <c r="AG137" s="36"/>
    </row>
    <row r="138" spans="1:33" ht="21.95" hidden="1" customHeight="1" x14ac:dyDescent="0.25">
      <c r="A138" s="154" t="str">
        <f>+IF(PROVEEDORES[[#This Row],[FECHA DE PAGO]]=PROVEEDORES[[#This Row],[FECHA DE FACTURACIÓN]],"DE CONTADO","CRÉDITO")</f>
        <v>CRÉDITO</v>
      </c>
      <c r="B138" s="70" t="b">
        <f>+IF((PROVEEDORES[[#This Row],[FECHA DE PAGO]]-PROVEEDORES[[#This Row],[FECHA DE FACTURACIÓN]])&gt;PROVEEDORES[[#This Row],[PLAZO Días]],"PAGO VENCIDO")</f>
        <v>0</v>
      </c>
      <c r="C138" s="27">
        <f>+VLOOKUP(PROVEEDORES[[#This Row],[PROVEEDOR]],TERCEROS_INFO[#All],2,FALSE)</f>
        <v>30</v>
      </c>
      <c r="D138" s="37">
        <f>+SUMIFS(PROVEEDORES[Total],PROVEEDORES[PROVEEDOR],PROVEEDORES[[#This Row],[PROVEEDOR]],PROVEEDORES[FECHA DE PAGO],"")</f>
        <v>0</v>
      </c>
      <c r="E138" s="37"/>
      <c r="F138" s="108" t="str">
        <f>+VLOOKUP(PROVEEDORES[[#This Row],[PROVEEDOR]],TERCEROS_INFO[[PROVEEDOR]:[CORREO]],5,FALSE)</f>
        <v/>
      </c>
      <c r="G138" s="30">
        <v>44468</v>
      </c>
      <c r="H138" s="38" t="s">
        <v>385</v>
      </c>
      <c r="I138" s="30">
        <v>44467</v>
      </c>
      <c r="J138" s="58" t="s">
        <v>1259</v>
      </c>
      <c r="K138" s="32">
        <f>520.36*3900</f>
        <v>2029404</v>
      </c>
      <c r="L138" s="32"/>
      <c r="M138" s="33">
        <f>(PROVEEDORES[[#This Row],[SUBTOTAL]]-PROVEEDORES[[#This Row],[descuento antes de IVA]])*VLOOKUP(PROVEEDORES[[#This Row],[PROVEEDOR]],TERCEROS_INFO[#All],3,FALSE)</f>
        <v>0</v>
      </c>
      <c r="N138" s="34"/>
      <c r="O138" s="33">
        <f>+PROVEEDORES[[#This Row],[Descuento sobre subtotal %]]*(PROVEEDORES[[#This Row],[SUBTOTAL]]-PROVEEDORES[[#This Row],[descuento antes de IVA]])</f>
        <v>0</v>
      </c>
      <c r="P1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" s="33">
        <f>+(PROVEEDORES[[#This Row],[SUBTOTAL]]-PROVEEDORES[[#This Row],[descuento antes de IVA]])*PROVEEDORES[[#This Row],[Rete Fuente %]]</f>
        <v>0</v>
      </c>
      <c r="R138" s="32">
        <f>+PROVEEDORES[[#This Row],[SUBTOTAL]]+PROVEEDORES[[#This Row],[IVA 19%]]-PROVEEDORES[[#This Row],[descuento antes de IVA]]-PROVEEDORES[[#This Row],[Descuento sobre subtotal $]]-PROVEEDORES[[#This Row],[Rete Fuente $]]</f>
        <v>2029404</v>
      </c>
      <c r="S138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8" s="40"/>
      <c r="U138" s="97"/>
      <c r="V138" s="36"/>
      <c r="W138" s="36"/>
      <c r="X138" s="36"/>
      <c r="Y138" s="36"/>
      <c r="Z138" s="41"/>
      <c r="AA138" s="42"/>
      <c r="AF138" s="36"/>
      <c r="AG138" s="36"/>
    </row>
    <row r="139" spans="1:33" ht="21.95" hidden="1" customHeight="1" x14ac:dyDescent="0.25">
      <c r="A139" s="161" t="str">
        <f>+IF(PROVEEDORES[[#This Row],[FECHA DE PAGO]]=PROVEEDORES[[#This Row],[FECHA DE FACTURACIÓN]],"DE CONTADO","CRÉDITO")</f>
        <v>CRÉDITO</v>
      </c>
      <c r="B139" s="70" t="b">
        <f>+IF((PROVEEDORES[[#This Row],[FECHA DE PAGO]]-PROVEEDORES[[#This Row],[FECHA DE FACTURACIÓN]])&gt;PROVEEDORES[[#This Row],[PLAZO Días]],"PAGO VENCIDO")</f>
        <v>0</v>
      </c>
      <c r="C139" s="27">
        <f>+VLOOKUP(PROVEEDORES[[#This Row],[PROVEEDOR]],TERCEROS_INFO[#All],2,FALSE)</f>
        <v>30</v>
      </c>
      <c r="D139" s="37">
        <f>+SUMIFS(PROVEEDORES[Total],PROVEEDORES[PROVEEDOR],PROVEEDORES[[#This Row],[PROVEEDOR]],PROVEEDORES[FECHA DE PAGO],"")</f>
        <v>0</v>
      </c>
      <c r="E139" s="37"/>
      <c r="F139" s="108" t="str">
        <f>+VLOOKUP(PROVEEDORES[[#This Row],[PROVEEDOR]],TERCEROS_INFO[[PROVEEDOR]:[CORREO]],5,FALSE)</f>
        <v/>
      </c>
      <c r="G139" s="143">
        <v>44498</v>
      </c>
      <c r="H139" s="38" t="s">
        <v>385</v>
      </c>
      <c r="I139" s="30">
        <v>44497</v>
      </c>
      <c r="J139" s="58" t="s">
        <v>1289</v>
      </c>
      <c r="K139" s="32">
        <v>3984500</v>
      </c>
      <c r="L139" s="32"/>
      <c r="M139" s="33">
        <f>(PROVEEDORES[[#This Row],[SUBTOTAL]]-PROVEEDORES[[#This Row],[descuento antes de IVA]])*VLOOKUP(PROVEEDORES[[#This Row],[PROVEEDOR]],TERCEROS_INFO[#All],3,FALSE)</f>
        <v>0</v>
      </c>
      <c r="N139" s="34"/>
      <c r="O139" s="33">
        <f>+PROVEEDORES[[#This Row],[Descuento sobre subtotal %]]*(PROVEEDORES[[#This Row],[SUBTOTAL]]-PROVEEDORES[[#This Row],[descuento antes de IVA]])</f>
        <v>0</v>
      </c>
      <c r="P1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" s="33">
        <f>+(PROVEEDORES[[#This Row],[SUBTOTAL]]-PROVEEDORES[[#This Row],[descuento antes de IVA]])*PROVEEDORES[[#This Row],[Rete Fuente %]]</f>
        <v>0</v>
      </c>
      <c r="R139" s="32">
        <f>+PROVEEDORES[[#This Row],[SUBTOTAL]]+PROVEEDORES[[#This Row],[IVA 19%]]-PROVEEDORES[[#This Row],[descuento antes de IVA]]-PROVEEDORES[[#This Row],[Descuento sobre subtotal $]]-PROVEEDORES[[#This Row],[Rete Fuente $]]</f>
        <v>3984500</v>
      </c>
      <c r="S139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9" s="40"/>
      <c r="U139" s="97"/>
      <c r="V139" s="36"/>
      <c r="W139" s="36"/>
      <c r="X139" s="36"/>
      <c r="Y139" s="36"/>
      <c r="Z139" s="41"/>
      <c r="AA139" s="42"/>
      <c r="AF139" s="36"/>
      <c r="AG139" s="36"/>
    </row>
    <row r="140" spans="1:33" ht="21.95" hidden="1" customHeight="1" x14ac:dyDescent="0.25">
      <c r="A140" s="164" t="str">
        <f>+IF(PROVEEDORES[[#This Row],[FECHA DE PAGO]]=PROVEEDORES[[#This Row],[FECHA DE FACTURACIÓN]],"DE CONTADO","CRÉDITO")</f>
        <v>CRÉDITO</v>
      </c>
      <c r="B140" s="70" t="b">
        <f>+IF((PROVEEDORES[[#This Row],[FECHA DE PAGO]]-PROVEEDORES[[#This Row],[FECHA DE FACTURACIÓN]])&gt;PROVEEDORES[[#This Row],[PLAZO Días]],"PAGO VENCIDO")</f>
        <v>0</v>
      </c>
      <c r="C140" s="27">
        <f>+VLOOKUP(PROVEEDORES[[#This Row],[PROVEEDOR]],TERCEROS_INFO[#All],2,FALSE)</f>
        <v>30</v>
      </c>
      <c r="D140" s="37">
        <f>+SUMIFS(PROVEEDORES[Total],PROVEEDORES[PROVEEDOR],PROVEEDORES[[#This Row],[PROVEEDOR]],PROVEEDORES[FECHA DE PAGO],"")</f>
        <v>0</v>
      </c>
      <c r="E140" s="37"/>
      <c r="F140" s="108" t="str">
        <f>+VLOOKUP(PROVEEDORES[[#This Row],[PROVEEDOR]],TERCEROS_INFO[[PROVEEDOR]:[CORREO]],5,FALSE)</f>
        <v/>
      </c>
      <c r="G140" s="143">
        <v>44512</v>
      </c>
      <c r="H140" s="38" t="s">
        <v>385</v>
      </c>
      <c r="I140" s="30">
        <v>44511</v>
      </c>
      <c r="J140" s="58" t="s">
        <v>948</v>
      </c>
      <c r="K140" s="32">
        <v>3847000</v>
      </c>
      <c r="L140" s="32"/>
      <c r="M140" s="33">
        <f>(PROVEEDORES[[#This Row],[SUBTOTAL]]-PROVEEDORES[[#This Row],[descuento antes de IVA]])*VLOOKUP(PROVEEDORES[[#This Row],[PROVEEDOR]],TERCEROS_INFO[#All],3,FALSE)</f>
        <v>0</v>
      </c>
      <c r="N140" s="34"/>
      <c r="O140" s="33">
        <f>+PROVEEDORES[[#This Row],[Descuento sobre subtotal %]]*(PROVEEDORES[[#This Row],[SUBTOTAL]]-PROVEEDORES[[#This Row],[descuento antes de IVA]])</f>
        <v>0</v>
      </c>
      <c r="P1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" s="33">
        <f>+(PROVEEDORES[[#This Row],[SUBTOTAL]]-PROVEEDORES[[#This Row],[descuento antes de IVA]])*PROVEEDORES[[#This Row],[Rete Fuente %]]</f>
        <v>0</v>
      </c>
      <c r="R140" s="32">
        <f>+PROVEEDORES[[#This Row],[SUBTOTAL]]+PROVEEDORES[[#This Row],[IVA 19%]]-PROVEEDORES[[#This Row],[descuento antes de IVA]]-PROVEEDORES[[#This Row],[Descuento sobre subtotal $]]-PROVEEDORES[[#This Row],[Rete Fuente $]]</f>
        <v>3847000</v>
      </c>
      <c r="S140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0" s="40"/>
      <c r="U140" s="97"/>
      <c r="V140" s="36"/>
      <c r="W140" s="36"/>
      <c r="X140" s="36"/>
      <c r="Y140" s="36"/>
      <c r="Z140" s="41"/>
      <c r="AA140" s="42"/>
      <c r="AF140" s="36"/>
      <c r="AG140" s="36"/>
    </row>
    <row r="141" spans="1:33" ht="21.95" hidden="1" customHeight="1" x14ac:dyDescent="0.25">
      <c r="A141" s="167" t="str">
        <f>+IF(PROVEEDORES[[#This Row],[FECHA DE PAGO]]=PROVEEDORES[[#This Row],[FECHA DE FACTURACIÓN]],"DE CONTADO","CRÉDITO")</f>
        <v>CRÉDITO</v>
      </c>
      <c r="B141" s="70" t="b">
        <f>+IF((PROVEEDORES[[#This Row],[FECHA DE PAGO]]-PROVEEDORES[[#This Row],[FECHA DE FACTURACIÓN]])&gt;PROVEEDORES[[#This Row],[PLAZO Días]],"PAGO VENCIDO")</f>
        <v>0</v>
      </c>
      <c r="C141" s="27">
        <f>+VLOOKUP(PROVEEDORES[[#This Row],[PROVEEDOR]],TERCEROS_INFO[#All],2,FALSE)</f>
        <v>30</v>
      </c>
      <c r="D141" s="37">
        <f>+SUMIFS(PROVEEDORES[Total],PROVEEDORES[PROVEEDOR],PROVEEDORES[[#This Row],[PROVEEDOR]],PROVEEDORES[FECHA DE PAGO],"")</f>
        <v>0</v>
      </c>
      <c r="E141" s="37"/>
      <c r="F141" s="108" t="str">
        <f>+VLOOKUP(PROVEEDORES[[#This Row],[PROVEEDOR]],TERCEROS_INFO[[PROVEEDOR]:[CORREO]],5,FALSE)</f>
        <v/>
      </c>
      <c r="G141" s="143">
        <v>44527</v>
      </c>
      <c r="H141" s="38" t="s">
        <v>385</v>
      </c>
      <c r="I141" s="30">
        <v>44525</v>
      </c>
      <c r="J141" s="58" t="s">
        <v>1305</v>
      </c>
      <c r="K141" s="32">
        <v>636000</v>
      </c>
      <c r="L141" s="32"/>
      <c r="M141" s="33">
        <f>(PROVEEDORES[[#This Row],[SUBTOTAL]]-PROVEEDORES[[#This Row],[descuento antes de IVA]])*VLOOKUP(PROVEEDORES[[#This Row],[PROVEEDOR]],TERCEROS_INFO[#All],3,FALSE)</f>
        <v>0</v>
      </c>
      <c r="N141" s="34"/>
      <c r="O141" s="33">
        <f>+PROVEEDORES[[#This Row],[Descuento sobre subtotal %]]*(PROVEEDORES[[#This Row],[SUBTOTAL]]-PROVEEDORES[[#This Row],[descuento antes de IVA]])</f>
        <v>0</v>
      </c>
      <c r="P1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" s="33">
        <f>+(PROVEEDORES[[#This Row],[SUBTOTAL]]-PROVEEDORES[[#This Row],[descuento antes de IVA]])*PROVEEDORES[[#This Row],[Rete Fuente %]]</f>
        <v>0</v>
      </c>
      <c r="R141" s="32">
        <f>+PROVEEDORES[[#This Row],[SUBTOTAL]]+PROVEEDORES[[#This Row],[IVA 19%]]-PROVEEDORES[[#This Row],[descuento antes de IVA]]-PROVEEDORES[[#This Row],[Descuento sobre subtotal $]]-PROVEEDORES[[#This Row],[Rete Fuente $]]</f>
        <v>636000</v>
      </c>
      <c r="S141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1" s="40"/>
      <c r="U141" s="97"/>
      <c r="V141" s="36"/>
      <c r="W141" s="36"/>
      <c r="X141" s="36"/>
      <c r="Y141" s="36"/>
      <c r="Z141" s="41"/>
      <c r="AA141" s="42"/>
      <c r="AF141" s="36"/>
      <c r="AG141" s="36"/>
    </row>
    <row r="142" spans="1:33" ht="21.95" hidden="1" customHeight="1" x14ac:dyDescent="0.25">
      <c r="A142" s="35" t="str">
        <f>+IF(PROVEEDORES[[#This Row],[FECHA DE PAGO]]=PROVEEDORES[[#This Row],[FECHA DE FACTURACIÓN]],"DE CONTADO","CRÉDITO")</f>
        <v>CRÉDITO</v>
      </c>
      <c r="B142" s="70" t="b">
        <f>+IF((PROVEEDORES[[#This Row],[FECHA DE PAGO]]-PROVEEDORES[[#This Row],[FECHA DE FACTURACIÓN]])&gt;PROVEEDORES[[#This Row],[PLAZO Días]],"PAGO VENCIDO")</f>
        <v>0</v>
      </c>
      <c r="C142" s="27">
        <f>+VLOOKUP(PROVEEDORES[[#This Row],[PROVEEDOR]],TERCEROS_INFO[#All],2,FALSE)</f>
        <v>30</v>
      </c>
      <c r="D142" s="37">
        <f>+SUMIFS(PROVEEDORES[Total],PROVEEDORES[PROVEEDOR],PROVEEDORES[[#This Row],[PROVEEDOR]],PROVEEDORES[FECHA DE PAGO],"")</f>
        <v>0</v>
      </c>
      <c r="E142" s="37"/>
      <c r="F142" s="108" t="str">
        <f>+VLOOKUP(PROVEEDORES[[#This Row],[PROVEEDOR]],TERCEROS_INFO[[PROVEEDOR]:[CORREO]],5,FALSE)</f>
        <v/>
      </c>
      <c r="G142" s="143">
        <v>44540</v>
      </c>
      <c r="H142" s="38" t="s">
        <v>385</v>
      </c>
      <c r="I142" s="30">
        <v>44539</v>
      </c>
      <c r="J142" s="58" t="s">
        <v>1319</v>
      </c>
      <c r="K142" s="32">
        <v>7237400</v>
      </c>
      <c r="L142" s="32"/>
      <c r="M142" s="33">
        <f>(PROVEEDORES[[#This Row],[SUBTOTAL]]-PROVEEDORES[[#This Row],[descuento antes de IVA]])*VLOOKUP(PROVEEDORES[[#This Row],[PROVEEDOR]],TERCEROS_INFO[#All],3,FALSE)</f>
        <v>0</v>
      </c>
      <c r="N142" s="34"/>
      <c r="O142" s="33">
        <f>+PROVEEDORES[[#This Row],[Descuento sobre subtotal %]]*(PROVEEDORES[[#This Row],[SUBTOTAL]]-PROVEEDORES[[#This Row],[descuento antes de IVA]])</f>
        <v>0</v>
      </c>
      <c r="P1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" s="33">
        <f>+(PROVEEDORES[[#This Row],[SUBTOTAL]]-PROVEEDORES[[#This Row],[descuento antes de IVA]])*PROVEEDORES[[#This Row],[Rete Fuente %]]</f>
        <v>0</v>
      </c>
      <c r="R142" s="32">
        <f>+PROVEEDORES[[#This Row],[SUBTOTAL]]+PROVEEDORES[[#This Row],[IVA 19%]]-PROVEEDORES[[#This Row],[descuento antes de IVA]]-PROVEEDORES[[#This Row],[Descuento sobre subtotal $]]-PROVEEDORES[[#This Row],[Rete Fuente $]]</f>
        <v>7237400</v>
      </c>
      <c r="S14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2" s="40"/>
      <c r="U142" s="97"/>
      <c r="V142" s="36"/>
      <c r="W142" s="36"/>
      <c r="X142" s="36"/>
      <c r="Y142" s="36"/>
      <c r="Z142" s="41"/>
      <c r="AA142" s="42"/>
      <c r="AF142" s="36"/>
      <c r="AG142" s="36"/>
    </row>
    <row r="143" spans="1:33" ht="21.95" hidden="1" customHeight="1" x14ac:dyDescent="0.25">
      <c r="A143" s="169" t="str">
        <f>+IF(PROVEEDORES[[#This Row],[FECHA DE PAGO]]=PROVEEDORES[[#This Row],[FECHA DE FACTURACIÓN]],"DE CONTADO","CRÉDITO")</f>
        <v>CRÉDITO</v>
      </c>
      <c r="B143" s="70" t="b">
        <f>+IF((PROVEEDORES[[#This Row],[FECHA DE PAGO]]-PROVEEDORES[[#This Row],[FECHA DE FACTURACIÓN]])&gt;PROVEEDORES[[#This Row],[PLAZO Días]],"PAGO VENCIDO")</f>
        <v>0</v>
      </c>
      <c r="C143" s="27">
        <f>+VLOOKUP(PROVEEDORES[[#This Row],[PROVEEDOR]],TERCEROS_INFO[#All],2,FALSE)</f>
        <v>30</v>
      </c>
      <c r="D143" s="37">
        <f>+SUMIFS(PROVEEDORES[Total],PROVEEDORES[PROVEEDOR],PROVEEDORES[[#This Row],[PROVEEDOR]],PROVEEDORES[FECHA DE PAGO],"")</f>
        <v>0</v>
      </c>
      <c r="E143" s="37"/>
      <c r="F143" s="108" t="str">
        <f>+VLOOKUP(PROVEEDORES[[#This Row],[PROVEEDOR]],TERCEROS_INFO[[PROVEEDOR]:[CORREO]],5,FALSE)</f>
        <v/>
      </c>
      <c r="G143" s="143">
        <v>44557</v>
      </c>
      <c r="H143" s="38" t="s">
        <v>385</v>
      </c>
      <c r="I143" s="30">
        <v>44540</v>
      </c>
      <c r="J143" s="58" t="s">
        <v>1335</v>
      </c>
      <c r="K143" s="32">
        <v>1444000</v>
      </c>
      <c r="L143" s="32"/>
      <c r="M143" s="33">
        <f>(PROVEEDORES[[#This Row],[SUBTOTAL]]-PROVEEDORES[[#This Row],[descuento antes de IVA]])*VLOOKUP(PROVEEDORES[[#This Row],[PROVEEDOR]],TERCEROS_INFO[#All],3,FALSE)</f>
        <v>0</v>
      </c>
      <c r="N143" s="34"/>
      <c r="O143" s="33">
        <f>+PROVEEDORES[[#This Row],[Descuento sobre subtotal %]]*(PROVEEDORES[[#This Row],[SUBTOTAL]]-PROVEEDORES[[#This Row],[descuento antes de IVA]])</f>
        <v>0</v>
      </c>
      <c r="P1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3" s="33">
        <f>+(PROVEEDORES[[#This Row],[SUBTOTAL]]-PROVEEDORES[[#This Row],[descuento antes de IVA]])*PROVEEDORES[[#This Row],[Rete Fuente %]]</f>
        <v>0</v>
      </c>
      <c r="R143" s="32">
        <f>+PROVEEDORES[[#This Row],[SUBTOTAL]]+PROVEEDORES[[#This Row],[IVA 19%]]-PROVEEDORES[[#This Row],[descuento antes de IVA]]-PROVEEDORES[[#This Row],[Descuento sobre subtotal $]]-PROVEEDORES[[#This Row],[Rete Fuente $]]</f>
        <v>1444000</v>
      </c>
      <c r="S143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3" s="40"/>
      <c r="U143" s="97"/>
      <c r="V143" s="36"/>
      <c r="W143" s="36"/>
      <c r="X143" s="36"/>
      <c r="Y143" s="36"/>
      <c r="Z143" s="41"/>
      <c r="AA143" s="42"/>
      <c r="AF143" s="36"/>
      <c r="AG143" s="36"/>
    </row>
    <row r="144" spans="1:33" ht="21.95" hidden="1" customHeight="1" x14ac:dyDescent="0.25">
      <c r="A144" s="35" t="str">
        <f>+IF(PROVEEDORES[[#This Row],[FECHA DE PAGO]]=PROVEEDORES[[#This Row],[FECHA DE FACTURACIÓN]],"DE CONTADO","CRÉDITO")</f>
        <v>DE CONTADO</v>
      </c>
      <c r="B144" s="70" t="b">
        <f>+IF((PROVEEDORES[[#This Row],[FECHA DE PAGO]]-PROVEEDORES[[#This Row],[FECHA DE FACTURACIÓN]])&gt;PROVEEDORES[[#This Row],[PLAZO Días]],"PAGO VENCIDO")</f>
        <v>0</v>
      </c>
      <c r="C144" s="27">
        <f>+VLOOKUP(PROVEEDORES[[#This Row],[PROVEEDOR]],TERCEROS_INFO[#All],2,FALSE)</f>
        <v>30</v>
      </c>
      <c r="D144" s="37">
        <f>+SUMIFS(PROVEEDORES[Total],PROVEEDORES[PROVEEDOR],PROVEEDORES[[#This Row],[PROVEEDOR]],PROVEEDORES[FECHA DE PAGO],"")</f>
        <v>0</v>
      </c>
      <c r="E144" s="37"/>
      <c r="F144" s="108">
        <f>+VLOOKUP(PROVEEDORES[[#This Row],[PROVEEDOR]],TERCEROS_INFO[[PROVEEDOR]:[CORREO]],5,FALSE)</f>
        <v>0</v>
      </c>
      <c r="G144" s="30">
        <v>44547</v>
      </c>
      <c r="H144" s="57" t="s">
        <v>1016</v>
      </c>
      <c r="I144" s="30">
        <v>44547</v>
      </c>
      <c r="J144" s="58" t="s">
        <v>1017</v>
      </c>
      <c r="K144" s="32">
        <v>320000</v>
      </c>
      <c r="L144" s="32"/>
      <c r="M144" s="33">
        <f>(PROVEEDORES[[#This Row],[SUBTOTAL]]-PROVEEDORES[[#This Row],[descuento antes de IVA]])*VLOOKUP(PROVEEDORES[[#This Row],[PROVEEDOR]],TERCEROS_INFO[#All],3,FALSE)</f>
        <v>0</v>
      </c>
      <c r="N144" s="34"/>
      <c r="O144" s="33">
        <f>+PROVEEDORES[[#This Row],[Descuento sobre subtotal %]]*(PROVEEDORES[[#This Row],[SUBTOTAL]]-PROVEEDORES[[#This Row],[descuento antes de IVA]])</f>
        <v>0</v>
      </c>
      <c r="P1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4" s="33">
        <f>+(PROVEEDORES[[#This Row],[SUBTOTAL]]-PROVEEDORES[[#This Row],[descuento antes de IVA]])*PROVEEDORES[[#This Row],[Rete Fuente %]]</f>
        <v>0</v>
      </c>
      <c r="R144" s="32">
        <f>+PROVEEDORES[[#This Row],[SUBTOTAL]]+PROVEEDORES[[#This Row],[IVA 19%]]-PROVEEDORES[[#This Row],[descuento antes de IVA]]-PROVEEDORES[[#This Row],[Descuento sobre subtotal $]]-PROVEEDORES[[#This Row],[Rete Fuente $]]</f>
        <v>320000</v>
      </c>
      <c r="S14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4" s="40"/>
      <c r="U144" s="97"/>
      <c r="V144" s="36"/>
      <c r="W144" s="36"/>
      <c r="X144" s="36"/>
      <c r="Y144" s="36"/>
      <c r="Z144" s="41"/>
      <c r="AA144" s="42"/>
      <c r="AF144" s="36"/>
      <c r="AG144" s="36"/>
    </row>
    <row r="145" spans="1:33" ht="21.95" hidden="1" customHeight="1" x14ac:dyDescent="0.25">
      <c r="A145" s="35" t="str">
        <f>+IF(PROVEEDORES[[#This Row],[FECHA DE PAGO]]=PROVEEDORES[[#This Row],[FECHA DE FACTURACIÓN]],"DE CONTADO","CRÉDITO")</f>
        <v>DE CONTADO</v>
      </c>
      <c r="B145" s="70" t="b">
        <f>+IF((PROVEEDORES[[#This Row],[FECHA DE PAGO]]-PROVEEDORES[[#This Row],[FECHA DE FACTURACIÓN]])&gt;PROVEEDORES[[#This Row],[PLAZO Días]],"PAGO VENCIDO")</f>
        <v>0</v>
      </c>
      <c r="C145" s="27">
        <f>+VLOOKUP(PROVEEDORES[[#This Row],[PROVEEDOR]],TERCEROS_INFO[#All],2,FALSE)</f>
        <v>30</v>
      </c>
      <c r="D145" s="37">
        <f>+SUMIFS(PROVEEDORES[Total],PROVEEDORES[PROVEEDOR],PROVEEDORES[[#This Row],[PROVEEDOR]],PROVEEDORES[FECHA DE PAGO],"")</f>
        <v>0</v>
      </c>
      <c r="E145" s="37"/>
      <c r="F145" s="108">
        <f>+VLOOKUP(PROVEEDORES[[#This Row],[PROVEEDOR]],TERCEROS_INFO[[PROVEEDOR]:[CORREO]],5,FALSE)</f>
        <v>0</v>
      </c>
      <c r="G145" s="30">
        <v>44547</v>
      </c>
      <c r="H145" s="57" t="s">
        <v>1016</v>
      </c>
      <c r="I145" s="30">
        <v>44547</v>
      </c>
      <c r="J145" s="58" t="s">
        <v>1018</v>
      </c>
      <c r="K145" s="32">
        <v>963000</v>
      </c>
      <c r="L145" s="32"/>
      <c r="M145" s="33">
        <f>(PROVEEDORES[[#This Row],[SUBTOTAL]]-PROVEEDORES[[#This Row],[descuento antes de IVA]])*VLOOKUP(PROVEEDORES[[#This Row],[PROVEEDOR]],TERCEROS_INFO[#All],3,FALSE)</f>
        <v>0</v>
      </c>
      <c r="N145" s="34"/>
      <c r="O145" s="33">
        <f>+PROVEEDORES[[#This Row],[Descuento sobre subtotal %]]*(PROVEEDORES[[#This Row],[SUBTOTAL]]-PROVEEDORES[[#This Row],[descuento antes de IVA]])</f>
        <v>0</v>
      </c>
      <c r="P1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5" s="33">
        <f>+(PROVEEDORES[[#This Row],[SUBTOTAL]]-PROVEEDORES[[#This Row],[descuento antes de IVA]])*PROVEEDORES[[#This Row],[Rete Fuente %]]</f>
        <v>0</v>
      </c>
      <c r="R145" s="32">
        <f>+PROVEEDORES[[#This Row],[SUBTOTAL]]+PROVEEDORES[[#This Row],[IVA 19%]]-PROVEEDORES[[#This Row],[descuento antes de IVA]]-PROVEEDORES[[#This Row],[Descuento sobre subtotal $]]-PROVEEDORES[[#This Row],[Rete Fuente $]]</f>
        <v>963000</v>
      </c>
      <c r="S14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5" s="40"/>
      <c r="U145" s="97"/>
      <c r="V145" s="36"/>
      <c r="W145" s="36"/>
      <c r="X145" s="36"/>
      <c r="Y145" s="36"/>
      <c r="Z145" s="41"/>
      <c r="AA145" s="42"/>
      <c r="AF145" s="36"/>
      <c r="AG145" s="36"/>
    </row>
    <row r="146" spans="1:33" ht="21.95" hidden="1" customHeight="1" x14ac:dyDescent="0.25">
      <c r="A146" s="39" t="str">
        <f>+IF(PROVEEDORES[[#This Row],[FECHA DE PAGO]]=PROVEEDORES[[#This Row],[FECHA DE FACTURACIÓN]],"DE CONTADO","CRÉDITO")</f>
        <v>DE CONTADO</v>
      </c>
      <c r="B146" s="67" t="b">
        <f>+IF((PROVEEDORES[[#This Row],[FECHA DE PAGO]]-PROVEEDORES[[#This Row],[FECHA DE FACTURACIÓN]])&gt;PROVEEDORES[[#This Row],[PLAZO Días]],"PAGO VENCIDO")</f>
        <v>0</v>
      </c>
      <c r="C146" s="27">
        <f>+VLOOKUP(PROVEEDORES[[#This Row],[PROVEEDOR]],TERCEROS_INFO[#All],2,FALSE)</f>
        <v>30</v>
      </c>
      <c r="D146" s="37">
        <f>+SUMIFS(PROVEEDORES[Total],PROVEEDORES[PROVEEDOR],PROVEEDORES[[#This Row],[PROVEEDOR]],PROVEEDORES[FECHA DE PAGO],"")</f>
        <v>0</v>
      </c>
      <c r="E146" s="37"/>
      <c r="F146" s="108" t="str">
        <f>+VLOOKUP(PROVEEDORES[[#This Row],[PROVEEDOR]],TERCEROS_INFO[[PROVEEDOR]:[CORREO]],5,FALSE)</f>
        <v/>
      </c>
      <c r="G146" s="143">
        <v>44104</v>
      </c>
      <c r="H146" s="38" t="s">
        <v>310</v>
      </c>
      <c r="I146" s="30">
        <v>44104</v>
      </c>
      <c r="J146" s="58" t="s">
        <v>1081</v>
      </c>
      <c r="K146" s="32">
        <v>90000</v>
      </c>
      <c r="L146" s="32"/>
      <c r="M146" s="33">
        <f>(PROVEEDORES[[#This Row],[SUBTOTAL]]-PROVEEDORES[[#This Row],[descuento antes de IVA]])*VLOOKUP(PROVEEDORES[[#This Row],[PROVEEDOR]],TERCEROS_INFO[#All],3,FALSE)</f>
        <v>0</v>
      </c>
      <c r="N146" s="34"/>
      <c r="O146" s="33">
        <f>+PROVEEDORES[[#This Row],[Descuento sobre subtotal %]]*(PROVEEDORES[[#This Row],[SUBTOTAL]]-PROVEEDORES[[#This Row],[descuento antes de IVA]])</f>
        <v>0</v>
      </c>
      <c r="P1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6" s="33">
        <f>+(PROVEEDORES[[#This Row],[SUBTOTAL]]-PROVEEDORES[[#This Row],[descuento antes de IVA]])*PROVEEDORES[[#This Row],[Rete Fuente %]]</f>
        <v>0</v>
      </c>
      <c r="R146" s="32">
        <f>+PROVEEDORES[[#This Row],[SUBTOTAL]]+PROVEEDORES[[#This Row],[IVA 19%]]-PROVEEDORES[[#This Row],[descuento antes de IVA]]-PROVEEDORES[[#This Row],[Descuento sobre subtotal $]]-PROVEEDORES[[#This Row],[Rete Fuente $]]</f>
        <v>90000</v>
      </c>
      <c r="S1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6" s="40"/>
      <c r="U146" s="97"/>
      <c r="V146" s="36"/>
      <c r="W146" s="36"/>
      <c r="X146" s="36"/>
      <c r="Y146" s="36"/>
      <c r="Z146" s="41"/>
      <c r="AA146" s="42"/>
      <c r="AF146" s="36"/>
      <c r="AG146" s="36"/>
    </row>
    <row r="147" spans="1:33" ht="21.95" hidden="1" customHeight="1" x14ac:dyDescent="0.25">
      <c r="A147" s="39" t="str">
        <f>+IF(PROVEEDORES[[#This Row],[FECHA DE PAGO]]=PROVEEDORES[[#This Row],[FECHA DE FACTURACIÓN]],"DE CONTADO","CRÉDITO")</f>
        <v>DE CONTADO</v>
      </c>
      <c r="B147" s="67" t="b">
        <f>+IF((PROVEEDORES[[#This Row],[FECHA DE PAGO]]-PROVEEDORES[[#This Row],[FECHA DE FACTURACIÓN]])&gt;PROVEEDORES[[#This Row],[PLAZO Días]],"PAGO VENCIDO")</f>
        <v>0</v>
      </c>
      <c r="C147" s="27">
        <f>+VLOOKUP(PROVEEDORES[[#This Row],[PROVEEDOR]],TERCEROS_INFO[#All],2,FALSE)</f>
        <v>30</v>
      </c>
      <c r="D147" s="37">
        <f>+SUMIFS(PROVEEDORES[Total],PROVEEDORES[PROVEEDOR],PROVEEDORES[[#This Row],[PROVEEDOR]],PROVEEDORES[FECHA DE PAGO],"")</f>
        <v>0</v>
      </c>
      <c r="E147" s="37"/>
      <c r="F147" s="108" t="str">
        <f>+VLOOKUP(PROVEEDORES[[#This Row],[PROVEEDOR]],TERCEROS_INFO[[PROVEEDOR]:[CORREO]],5,FALSE)</f>
        <v/>
      </c>
      <c r="G147" s="143">
        <v>44104</v>
      </c>
      <c r="H147" s="38" t="s">
        <v>310</v>
      </c>
      <c r="I147" s="30">
        <v>44104</v>
      </c>
      <c r="J147" s="58" t="s">
        <v>1082</v>
      </c>
      <c r="K147" s="32">
        <v>364000</v>
      </c>
      <c r="L147" s="32"/>
      <c r="M147" s="33">
        <f>(PROVEEDORES[[#This Row],[SUBTOTAL]]-PROVEEDORES[[#This Row],[descuento antes de IVA]])*VLOOKUP(PROVEEDORES[[#This Row],[PROVEEDOR]],TERCEROS_INFO[#All],3,FALSE)</f>
        <v>0</v>
      </c>
      <c r="N147" s="34"/>
      <c r="O147" s="33">
        <f>+PROVEEDORES[[#This Row],[Descuento sobre subtotal %]]*(PROVEEDORES[[#This Row],[SUBTOTAL]]-PROVEEDORES[[#This Row],[descuento antes de IVA]])</f>
        <v>0</v>
      </c>
      <c r="P1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7" s="33">
        <f>+(PROVEEDORES[[#This Row],[SUBTOTAL]]-PROVEEDORES[[#This Row],[descuento antes de IVA]])*PROVEEDORES[[#This Row],[Rete Fuente %]]</f>
        <v>0</v>
      </c>
      <c r="R147" s="32">
        <f>+PROVEEDORES[[#This Row],[SUBTOTAL]]+PROVEEDORES[[#This Row],[IVA 19%]]-PROVEEDORES[[#This Row],[descuento antes de IVA]]-PROVEEDORES[[#This Row],[Descuento sobre subtotal $]]-PROVEEDORES[[#This Row],[Rete Fuente $]]</f>
        <v>364000</v>
      </c>
      <c r="S1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7" s="40"/>
      <c r="U147" s="97"/>
      <c r="V147" s="36"/>
      <c r="W147" s="36"/>
      <c r="X147" s="36"/>
      <c r="Y147" s="36"/>
      <c r="Z147" s="41"/>
      <c r="AA147" s="42"/>
      <c r="AF147" s="36"/>
      <c r="AG147" s="36"/>
    </row>
    <row r="148" spans="1:33" ht="21.95" hidden="1" customHeight="1" x14ac:dyDescent="0.25">
      <c r="A148" s="39" t="str">
        <f>+IF(PROVEEDORES[[#This Row],[FECHA DE PAGO]]=PROVEEDORES[[#This Row],[FECHA DE FACTURACIÓN]],"DE CONTADO","CRÉDITO")</f>
        <v>DE CONTADO</v>
      </c>
      <c r="B148" s="67" t="b">
        <f>+IF((PROVEEDORES[[#This Row],[FECHA DE PAGO]]-PROVEEDORES[[#This Row],[FECHA DE FACTURACIÓN]])&gt;PROVEEDORES[[#This Row],[PLAZO Días]],"PAGO VENCIDO")</f>
        <v>0</v>
      </c>
      <c r="C148" s="27">
        <f>+VLOOKUP(PROVEEDORES[[#This Row],[PROVEEDOR]],TERCEROS_INFO[#All],2,FALSE)</f>
        <v>30</v>
      </c>
      <c r="D148" s="37">
        <f>+SUMIFS(PROVEEDORES[Total],PROVEEDORES[PROVEEDOR],PROVEEDORES[[#This Row],[PROVEEDOR]],PROVEEDORES[FECHA DE PAGO],"")</f>
        <v>0</v>
      </c>
      <c r="E148" s="37"/>
      <c r="F148" s="108" t="str">
        <f>+VLOOKUP(PROVEEDORES[[#This Row],[PROVEEDOR]],TERCEROS_INFO[[PROVEEDOR]:[CORREO]],5,FALSE)</f>
        <v/>
      </c>
      <c r="G148" s="143">
        <v>44104</v>
      </c>
      <c r="H148" s="38" t="s">
        <v>310</v>
      </c>
      <c r="I148" s="30">
        <v>44104</v>
      </c>
      <c r="J148" s="58" t="s">
        <v>152</v>
      </c>
      <c r="K148" s="32">
        <v>65000</v>
      </c>
      <c r="L148" s="32"/>
      <c r="M148" s="33">
        <f>(PROVEEDORES[[#This Row],[SUBTOTAL]]-PROVEEDORES[[#This Row],[descuento antes de IVA]])*VLOOKUP(PROVEEDORES[[#This Row],[PROVEEDOR]],TERCEROS_INFO[#All],3,FALSE)</f>
        <v>0</v>
      </c>
      <c r="N148" s="34"/>
      <c r="O148" s="33">
        <f>+PROVEEDORES[[#This Row],[Descuento sobre subtotal %]]*(PROVEEDORES[[#This Row],[SUBTOTAL]]-PROVEEDORES[[#This Row],[descuento antes de IVA]])</f>
        <v>0</v>
      </c>
      <c r="P1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8" s="33">
        <f>+(PROVEEDORES[[#This Row],[SUBTOTAL]]-PROVEEDORES[[#This Row],[descuento antes de IVA]])*PROVEEDORES[[#This Row],[Rete Fuente %]]</f>
        <v>0</v>
      </c>
      <c r="R148" s="32">
        <f>+PROVEEDORES[[#This Row],[SUBTOTAL]]+PROVEEDORES[[#This Row],[IVA 19%]]-PROVEEDORES[[#This Row],[descuento antes de IVA]]-PROVEEDORES[[#This Row],[Descuento sobre subtotal $]]-PROVEEDORES[[#This Row],[Rete Fuente $]]</f>
        <v>65000</v>
      </c>
      <c r="S1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8" s="40"/>
      <c r="U148" s="97"/>
      <c r="V148" s="36"/>
      <c r="W148" s="36"/>
      <c r="X148" s="36"/>
      <c r="Y148" s="36"/>
      <c r="Z148" s="41"/>
      <c r="AA148" s="42"/>
      <c r="AF148" s="36"/>
      <c r="AG148" s="36"/>
    </row>
    <row r="149" spans="1:33" ht="21.95" hidden="1" customHeight="1" x14ac:dyDescent="0.25">
      <c r="A149" s="39" t="str">
        <f>+IF(PROVEEDORES[[#This Row],[FECHA DE PAGO]]=PROVEEDORES[[#This Row],[FECHA DE FACTURACIÓN]],"DE CONTADO","CRÉDITO")</f>
        <v>DE CONTADO</v>
      </c>
      <c r="B149" s="67" t="b">
        <f>+IF((PROVEEDORES[[#This Row],[FECHA DE PAGO]]-PROVEEDORES[[#This Row],[FECHA DE FACTURACIÓN]])&gt;PROVEEDORES[[#This Row],[PLAZO Días]],"PAGO VENCIDO")</f>
        <v>0</v>
      </c>
      <c r="C149" s="27">
        <f>+VLOOKUP(PROVEEDORES[[#This Row],[PROVEEDOR]],TERCEROS_INFO[#All],2,FALSE)</f>
        <v>30</v>
      </c>
      <c r="D149" s="37">
        <f>+SUMIFS(PROVEEDORES[Total],PROVEEDORES[PROVEEDOR],PROVEEDORES[[#This Row],[PROVEEDOR]],PROVEEDORES[FECHA DE PAGO],"")</f>
        <v>0</v>
      </c>
      <c r="E149" s="37"/>
      <c r="F149" s="108" t="str">
        <f>+VLOOKUP(PROVEEDORES[[#This Row],[PROVEEDOR]],TERCEROS_INFO[[PROVEEDOR]:[CORREO]],5,FALSE)</f>
        <v/>
      </c>
      <c r="G149" s="143">
        <v>44104</v>
      </c>
      <c r="H149" s="38" t="s">
        <v>310</v>
      </c>
      <c r="I149" s="30">
        <v>44104</v>
      </c>
      <c r="J149" s="58" t="s">
        <v>1083</v>
      </c>
      <c r="K149" s="32">
        <v>1124200</v>
      </c>
      <c r="L149" s="32"/>
      <c r="M149" s="33">
        <f>(PROVEEDORES[[#This Row],[SUBTOTAL]]-PROVEEDORES[[#This Row],[descuento antes de IVA]])*VLOOKUP(PROVEEDORES[[#This Row],[PROVEEDOR]],TERCEROS_INFO[#All],3,FALSE)</f>
        <v>0</v>
      </c>
      <c r="N149" s="34"/>
      <c r="O149" s="33">
        <f>+PROVEEDORES[[#This Row],[Descuento sobre subtotal %]]*(PROVEEDORES[[#This Row],[SUBTOTAL]]-PROVEEDORES[[#This Row],[descuento antes de IVA]])</f>
        <v>0</v>
      </c>
      <c r="P1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9" s="33">
        <f>+(PROVEEDORES[[#This Row],[SUBTOTAL]]-PROVEEDORES[[#This Row],[descuento antes de IVA]])*PROVEEDORES[[#This Row],[Rete Fuente %]]</f>
        <v>0</v>
      </c>
      <c r="R149" s="32">
        <f>+PROVEEDORES[[#This Row],[SUBTOTAL]]+PROVEEDORES[[#This Row],[IVA 19%]]-PROVEEDORES[[#This Row],[descuento antes de IVA]]-PROVEEDORES[[#This Row],[Descuento sobre subtotal $]]-PROVEEDORES[[#This Row],[Rete Fuente $]]</f>
        <v>1124200</v>
      </c>
      <c r="S14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9" s="40"/>
      <c r="U149" s="97"/>
      <c r="V149" s="36"/>
      <c r="W149" s="36"/>
      <c r="X149" s="36"/>
      <c r="Y149" s="36"/>
      <c r="Z149" s="41"/>
      <c r="AA149" s="42"/>
      <c r="AF149" s="36"/>
      <c r="AG149" s="36"/>
    </row>
    <row r="150" spans="1:33" ht="21.95" hidden="1" customHeight="1" x14ac:dyDescent="0.25">
      <c r="A150" s="39" t="str">
        <f>+IF(PROVEEDORES[[#This Row],[FECHA DE PAGO]]=PROVEEDORES[[#This Row],[FECHA DE FACTURACIÓN]],"DE CONTADO","CRÉDITO")</f>
        <v>DE CONTADO</v>
      </c>
      <c r="B150" s="67" t="b">
        <f>+IF((PROVEEDORES[[#This Row],[FECHA DE PAGO]]-PROVEEDORES[[#This Row],[FECHA DE FACTURACIÓN]])&gt;PROVEEDORES[[#This Row],[PLAZO Días]],"PAGO VENCIDO")</f>
        <v>0</v>
      </c>
      <c r="C150" s="27">
        <f>+VLOOKUP(PROVEEDORES[[#This Row],[PROVEEDOR]],TERCEROS_INFO[#All],2,FALSE)</f>
        <v>30</v>
      </c>
      <c r="D150" s="37">
        <f>+SUMIFS(PROVEEDORES[Total],PROVEEDORES[PROVEEDOR],PROVEEDORES[[#This Row],[PROVEEDOR]],PROVEEDORES[FECHA DE PAGO],"")</f>
        <v>0</v>
      </c>
      <c r="E150" s="37"/>
      <c r="F150" s="108" t="str">
        <f>+VLOOKUP(PROVEEDORES[[#This Row],[PROVEEDOR]],TERCEROS_INFO[[PROVEEDOR]:[CORREO]],5,FALSE)</f>
        <v/>
      </c>
      <c r="G150" s="143">
        <v>44227</v>
      </c>
      <c r="H150" s="57" t="s">
        <v>257</v>
      </c>
      <c r="I150" s="30">
        <v>44227</v>
      </c>
      <c r="J150" s="58" t="s">
        <v>1081</v>
      </c>
      <c r="K150" s="32">
        <v>88500</v>
      </c>
      <c r="L150" s="32"/>
      <c r="M150" s="33">
        <f>(PROVEEDORES[[#This Row],[SUBTOTAL]]-PROVEEDORES[[#This Row],[descuento antes de IVA]])*VLOOKUP(PROVEEDORES[[#This Row],[PROVEEDOR]],TERCEROS_INFO[#All],3,FALSE)</f>
        <v>0</v>
      </c>
      <c r="N150" s="34"/>
      <c r="O150" s="33">
        <f>+PROVEEDORES[[#This Row],[Descuento sobre subtotal %]]*(PROVEEDORES[[#This Row],[SUBTOTAL]]-PROVEEDORES[[#This Row],[descuento antes de IVA]])</f>
        <v>0</v>
      </c>
      <c r="P1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" s="33">
        <f>+(PROVEEDORES[[#This Row],[SUBTOTAL]]-PROVEEDORES[[#This Row],[descuento antes de IVA]])*PROVEEDORES[[#This Row],[Rete Fuente %]]</f>
        <v>0</v>
      </c>
      <c r="R150" s="32">
        <f>+PROVEEDORES[[#This Row],[SUBTOTAL]]+PROVEEDORES[[#This Row],[IVA 19%]]-PROVEEDORES[[#This Row],[descuento antes de IVA]]-PROVEEDORES[[#This Row],[Descuento sobre subtotal $]]-PROVEEDORES[[#This Row],[Rete Fuente $]]</f>
        <v>88500</v>
      </c>
      <c r="S15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0" s="40"/>
      <c r="U150" s="97"/>
      <c r="V150" s="36"/>
      <c r="W150" s="36"/>
      <c r="X150" s="36"/>
      <c r="Y150" s="36"/>
      <c r="Z150" s="41"/>
      <c r="AA150" s="42"/>
      <c r="AF150" s="36"/>
      <c r="AG150" s="36"/>
    </row>
    <row r="151" spans="1:33" ht="21.95" hidden="1" customHeight="1" x14ac:dyDescent="0.25">
      <c r="A151" s="39" t="str">
        <f>+IF(PROVEEDORES[[#This Row],[FECHA DE PAGO]]=PROVEEDORES[[#This Row],[FECHA DE FACTURACIÓN]],"DE CONTADO","CRÉDITO")</f>
        <v>DE CONTADO</v>
      </c>
      <c r="B151" s="67" t="b">
        <f>+IF((PROVEEDORES[[#This Row],[FECHA DE PAGO]]-PROVEEDORES[[#This Row],[FECHA DE FACTURACIÓN]])&gt;PROVEEDORES[[#This Row],[PLAZO Días]],"PAGO VENCIDO")</f>
        <v>0</v>
      </c>
      <c r="C151" s="27">
        <f>+VLOOKUP(PROVEEDORES[[#This Row],[PROVEEDOR]],TERCEROS_INFO[#All],2,FALSE)</f>
        <v>30</v>
      </c>
      <c r="D151" s="37">
        <f>+SUMIFS(PROVEEDORES[Total],PROVEEDORES[PROVEEDOR],PROVEEDORES[[#This Row],[PROVEEDOR]],PROVEEDORES[FECHA DE PAGO],"")</f>
        <v>0</v>
      </c>
      <c r="E151" s="37"/>
      <c r="F151" s="108" t="str">
        <f>+VLOOKUP(PROVEEDORES[[#This Row],[PROVEEDOR]],TERCEROS_INFO[[PROVEEDOR]:[CORREO]],5,FALSE)</f>
        <v/>
      </c>
      <c r="G151" s="143">
        <v>44227</v>
      </c>
      <c r="H151" s="57" t="s">
        <v>257</v>
      </c>
      <c r="I151" s="30">
        <v>44227</v>
      </c>
      <c r="J151" s="58" t="s">
        <v>1082</v>
      </c>
      <c r="K151" s="32">
        <v>190000</v>
      </c>
      <c r="L151" s="32"/>
      <c r="M151" s="33">
        <f>(PROVEEDORES[[#This Row],[SUBTOTAL]]-PROVEEDORES[[#This Row],[descuento antes de IVA]])*VLOOKUP(PROVEEDORES[[#This Row],[PROVEEDOR]],TERCEROS_INFO[#All],3,FALSE)</f>
        <v>0</v>
      </c>
      <c r="N151" s="34"/>
      <c r="O151" s="33">
        <f>+PROVEEDORES[[#This Row],[Descuento sobre subtotal %]]*(PROVEEDORES[[#This Row],[SUBTOTAL]]-PROVEEDORES[[#This Row],[descuento antes de IVA]])</f>
        <v>0</v>
      </c>
      <c r="P1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" s="33">
        <f>+(PROVEEDORES[[#This Row],[SUBTOTAL]]-PROVEEDORES[[#This Row],[descuento antes de IVA]])*PROVEEDORES[[#This Row],[Rete Fuente %]]</f>
        <v>0</v>
      </c>
      <c r="R151" s="32">
        <f>+PROVEEDORES[[#This Row],[SUBTOTAL]]+PROVEEDORES[[#This Row],[IVA 19%]]-PROVEEDORES[[#This Row],[descuento antes de IVA]]-PROVEEDORES[[#This Row],[Descuento sobre subtotal $]]-PROVEEDORES[[#This Row],[Rete Fuente $]]</f>
        <v>190000</v>
      </c>
      <c r="S1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1" s="40"/>
      <c r="U151" s="97"/>
      <c r="V151" s="36"/>
      <c r="W151" s="36"/>
      <c r="X151" s="36"/>
      <c r="Y151" s="36"/>
      <c r="Z151" s="41"/>
      <c r="AA151" s="42"/>
      <c r="AF151" s="36"/>
      <c r="AG151" s="36"/>
    </row>
    <row r="152" spans="1:33" ht="21.95" hidden="1" customHeight="1" x14ac:dyDescent="0.25">
      <c r="A152" s="39" t="str">
        <f>+IF(PROVEEDORES[[#This Row],[FECHA DE PAGO]]=PROVEEDORES[[#This Row],[FECHA DE FACTURACIÓN]],"DE CONTADO","CRÉDITO")</f>
        <v>DE CONTADO</v>
      </c>
      <c r="B152" s="67" t="b">
        <f>+IF((PROVEEDORES[[#This Row],[FECHA DE PAGO]]-PROVEEDORES[[#This Row],[FECHA DE FACTURACIÓN]])&gt;PROVEEDORES[[#This Row],[PLAZO Días]],"PAGO VENCIDO")</f>
        <v>0</v>
      </c>
      <c r="C152" s="27">
        <f>+VLOOKUP(PROVEEDORES[[#This Row],[PROVEEDOR]],TERCEROS_INFO[#All],2,FALSE)</f>
        <v>30</v>
      </c>
      <c r="D152" s="37">
        <f>+SUMIFS(PROVEEDORES[Total],PROVEEDORES[PROVEEDOR],PROVEEDORES[[#This Row],[PROVEEDOR]],PROVEEDORES[FECHA DE PAGO],"")</f>
        <v>0</v>
      </c>
      <c r="E152" s="37"/>
      <c r="F152" s="108" t="str">
        <f>+VLOOKUP(PROVEEDORES[[#This Row],[PROVEEDOR]],TERCEROS_INFO[[PROVEEDOR]:[CORREO]],5,FALSE)</f>
        <v/>
      </c>
      <c r="G152" s="143">
        <v>44227</v>
      </c>
      <c r="H152" s="57" t="s">
        <v>257</v>
      </c>
      <c r="I152" s="30">
        <v>44227</v>
      </c>
      <c r="J152" s="58" t="s">
        <v>152</v>
      </c>
      <c r="K152" s="32">
        <v>224000</v>
      </c>
      <c r="L152" s="32"/>
      <c r="M152" s="33">
        <f>(PROVEEDORES[[#This Row],[SUBTOTAL]]-PROVEEDORES[[#This Row],[descuento antes de IVA]])*VLOOKUP(PROVEEDORES[[#This Row],[PROVEEDOR]],TERCEROS_INFO[#All],3,FALSE)</f>
        <v>0</v>
      </c>
      <c r="N152" s="34"/>
      <c r="O152" s="33">
        <f>+PROVEEDORES[[#This Row],[Descuento sobre subtotal %]]*(PROVEEDORES[[#This Row],[SUBTOTAL]]-PROVEEDORES[[#This Row],[descuento antes de IVA]])</f>
        <v>0</v>
      </c>
      <c r="P1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" s="33">
        <f>+(PROVEEDORES[[#This Row],[SUBTOTAL]]-PROVEEDORES[[#This Row],[descuento antes de IVA]])*PROVEEDORES[[#This Row],[Rete Fuente %]]</f>
        <v>0</v>
      </c>
      <c r="R152" s="32">
        <f>+PROVEEDORES[[#This Row],[SUBTOTAL]]+PROVEEDORES[[#This Row],[IVA 19%]]-PROVEEDORES[[#This Row],[descuento antes de IVA]]-PROVEEDORES[[#This Row],[Descuento sobre subtotal $]]-PROVEEDORES[[#This Row],[Rete Fuente $]]</f>
        <v>224000</v>
      </c>
      <c r="S15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2" s="40"/>
      <c r="U152" s="97"/>
      <c r="V152" s="36"/>
      <c r="W152" s="36"/>
      <c r="X152" s="36"/>
      <c r="Y152" s="36"/>
      <c r="Z152" s="41"/>
      <c r="AA152" s="42"/>
      <c r="AF152" s="36"/>
      <c r="AG152" s="36"/>
    </row>
    <row r="153" spans="1:33" ht="21.95" hidden="1" customHeight="1" x14ac:dyDescent="0.25">
      <c r="A153" s="39" t="str">
        <f>+IF(PROVEEDORES[[#This Row],[FECHA DE PAGO]]=PROVEEDORES[[#This Row],[FECHA DE FACTURACIÓN]],"DE CONTADO","CRÉDITO")</f>
        <v>DE CONTADO</v>
      </c>
      <c r="B153" s="67" t="b">
        <f>+IF((PROVEEDORES[[#This Row],[FECHA DE PAGO]]-PROVEEDORES[[#This Row],[FECHA DE FACTURACIÓN]])&gt;PROVEEDORES[[#This Row],[PLAZO Días]],"PAGO VENCIDO")</f>
        <v>0</v>
      </c>
      <c r="C153" s="27">
        <f>+VLOOKUP(PROVEEDORES[[#This Row],[PROVEEDOR]],TERCEROS_INFO[#All],2,FALSE)</f>
        <v>30</v>
      </c>
      <c r="D153" s="37">
        <f>+SUMIFS(PROVEEDORES[Total],PROVEEDORES[PROVEEDOR],PROVEEDORES[[#This Row],[PROVEEDOR]],PROVEEDORES[FECHA DE PAGO],"")</f>
        <v>0</v>
      </c>
      <c r="E153" s="37"/>
      <c r="F153" s="108" t="str">
        <f>+VLOOKUP(PROVEEDORES[[#This Row],[PROVEEDOR]],TERCEROS_INFO[[PROVEEDOR]:[CORREO]],5,FALSE)</f>
        <v/>
      </c>
      <c r="G153" s="143">
        <v>44227</v>
      </c>
      <c r="H153" s="57" t="s">
        <v>257</v>
      </c>
      <c r="I153" s="30">
        <v>44227</v>
      </c>
      <c r="J153" s="58" t="s">
        <v>428</v>
      </c>
      <c r="K153" s="32">
        <v>208000</v>
      </c>
      <c r="L153" s="32"/>
      <c r="M153" s="33">
        <f>(PROVEEDORES[[#This Row],[SUBTOTAL]]-PROVEEDORES[[#This Row],[descuento antes de IVA]])*VLOOKUP(PROVEEDORES[[#This Row],[PROVEEDOR]],TERCEROS_INFO[#All],3,FALSE)</f>
        <v>0</v>
      </c>
      <c r="N153" s="34"/>
      <c r="O153" s="33">
        <f>+PROVEEDORES[[#This Row],[Descuento sobre subtotal %]]*(PROVEEDORES[[#This Row],[SUBTOTAL]]-PROVEEDORES[[#This Row],[descuento antes de IVA]])</f>
        <v>0</v>
      </c>
      <c r="P1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" s="33">
        <f>+(PROVEEDORES[[#This Row],[SUBTOTAL]]-PROVEEDORES[[#This Row],[descuento antes de IVA]])*PROVEEDORES[[#This Row],[Rete Fuente %]]</f>
        <v>0</v>
      </c>
      <c r="R153" s="32">
        <f>+PROVEEDORES[[#This Row],[SUBTOTAL]]+PROVEEDORES[[#This Row],[IVA 19%]]-PROVEEDORES[[#This Row],[descuento antes de IVA]]-PROVEEDORES[[#This Row],[Descuento sobre subtotal $]]-PROVEEDORES[[#This Row],[Rete Fuente $]]</f>
        <v>208000</v>
      </c>
      <c r="S15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3" s="40"/>
      <c r="U153" s="97"/>
      <c r="V153" s="36"/>
      <c r="W153" s="36"/>
      <c r="X153" s="36"/>
      <c r="Y153" s="36"/>
      <c r="Z153" s="41"/>
      <c r="AA153" s="42"/>
      <c r="AF153" s="36"/>
      <c r="AG153" s="36"/>
    </row>
    <row r="154" spans="1:33" ht="21.95" hidden="1" customHeight="1" x14ac:dyDescent="0.25">
      <c r="A154" s="39" t="str">
        <f>+IF(PROVEEDORES[[#This Row],[FECHA DE PAGO]]=PROVEEDORES[[#This Row],[FECHA DE FACTURACIÓN]],"DE CONTADO","CRÉDITO")</f>
        <v>DE CONTADO</v>
      </c>
      <c r="B154" s="67" t="b">
        <f>+IF((PROVEEDORES[[#This Row],[FECHA DE PAGO]]-PROVEEDORES[[#This Row],[FECHA DE FACTURACIÓN]])&gt;PROVEEDORES[[#This Row],[PLAZO Días]],"PAGO VENCIDO")</f>
        <v>0</v>
      </c>
      <c r="C154" s="27">
        <f>+VLOOKUP(PROVEEDORES[[#This Row],[PROVEEDOR]],TERCEROS_INFO[#All],2,FALSE)</f>
        <v>30</v>
      </c>
      <c r="D154" s="37">
        <f>+SUMIFS(PROVEEDORES[Total],PROVEEDORES[PROVEEDOR],PROVEEDORES[[#This Row],[PROVEEDOR]],PROVEEDORES[FECHA DE PAGO],"")</f>
        <v>0</v>
      </c>
      <c r="E154" s="37"/>
      <c r="F154" s="108" t="str">
        <f>+VLOOKUP(PROVEEDORES[[#This Row],[PROVEEDOR]],TERCEROS_INFO[[PROVEEDOR]:[CORREO]],5,FALSE)</f>
        <v/>
      </c>
      <c r="G154" s="143">
        <v>44227</v>
      </c>
      <c r="H154" s="57" t="s">
        <v>257</v>
      </c>
      <c r="I154" s="30">
        <v>44227</v>
      </c>
      <c r="J154" s="58" t="s">
        <v>1083</v>
      </c>
      <c r="K154" s="32">
        <v>2282800</v>
      </c>
      <c r="L154" s="32"/>
      <c r="M154" s="33">
        <f>(PROVEEDORES[[#This Row],[SUBTOTAL]]-PROVEEDORES[[#This Row],[descuento antes de IVA]])*VLOOKUP(PROVEEDORES[[#This Row],[PROVEEDOR]],TERCEROS_INFO[#All],3,FALSE)</f>
        <v>0</v>
      </c>
      <c r="N154" s="34"/>
      <c r="O154" s="33">
        <f>+PROVEEDORES[[#This Row],[Descuento sobre subtotal %]]*(PROVEEDORES[[#This Row],[SUBTOTAL]]-PROVEEDORES[[#This Row],[descuento antes de IVA]])</f>
        <v>0</v>
      </c>
      <c r="P1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4" s="33">
        <f>+(PROVEEDORES[[#This Row],[SUBTOTAL]]-PROVEEDORES[[#This Row],[descuento antes de IVA]])*PROVEEDORES[[#This Row],[Rete Fuente %]]</f>
        <v>0</v>
      </c>
      <c r="R154" s="32">
        <f>+PROVEEDORES[[#This Row],[SUBTOTAL]]+PROVEEDORES[[#This Row],[IVA 19%]]-PROVEEDORES[[#This Row],[descuento antes de IVA]]-PROVEEDORES[[#This Row],[Descuento sobre subtotal $]]-PROVEEDORES[[#This Row],[Rete Fuente $]]</f>
        <v>2282800</v>
      </c>
      <c r="S15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4" s="40"/>
      <c r="U154" s="97"/>
      <c r="V154" s="36"/>
      <c r="W154" s="36"/>
      <c r="X154" s="36"/>
      <c r="Y154" s="36"/>
      <c r="Z154" s="41"/>
      <c r="AA154" s="42"/>
      <c r="AF154" s="36"/>
      <c r="AG154" s="36"/>
    </row>
    <row r="155" spans="1:33" ht="21.95" hidden="1" customHeight="1" x14ac:dyDescent="0.25">
      <c r="A155" s="126" t="str">
        <f>+IF(PROVEEDORES[[#This Row],[FECHA DE PAGO]]=PROVEEDORES[[#This Row],[FECHA DE FACTURACIÓN]],"DE CONTADO","CRÉDITO")</f>
        <v>DE CONTADO</v>
      </c>
      <c r="B155" s="70" t="b">
        <f>+IF((PROVEEDORES[[#This Row],[FECHA DE PAGO]]-PROVEEDORES[[#This Row],[FECHA DE FACTURACIÓN]])&gt;PROVEEDORES[[#This Row],[PLAZO Días]],"PAGO VENCIDO")</f>
        <v>0</v>
      </c>
      <c r="C155" s="27">
        <f>+VLOOKUP(PROVEEDORES[[#This Row],[PROVEEDOR]],TERCEROS_INFO[#All],2,FALSE)</f>
        <v>30</v>
      </c>
      <c r="D155" s="37">
        <f>+SUMIFS(PROVEEDORES[Total],PROVEEDORES[PROVEEDOR],PROVEEDORES[[#This Row],[PROVEEDOR]],PROVEEDORES[FECHA DE PAGO],"")</f>
        <v>0</v>
      </c>
      <c r="E155" s="37"/>
      <c r="F155" s="108" t="str">
        <f>+VLOOKUP(PROVEEDORES[[#This Row],[PROVEEDOR]],TERCEROS_INFO[[PROVEEDOR]:[CORREO]],5,FALSE)</f>
        <v/>
      </c>
      <c r="G155" s="143">
        <v>44364</v>
      </c>
      <c r="H155" s="57" t="s">
        <v>257</v>
      </c>
      <c r="I155" s="30">
        <v>44364</v>
      </c>
      <c r="J155" s="58" t="s">
        <v>1158</v>
      </c>
      <c r="K155" s="32">
        <v>255000</v>
      </c>
      <c r="L155" s="32"/>
      <c r="M155" s="33">
        <f>(PROVEEDORES[[#This Row],[SUBTOTAL]]-PROVEEDORES[[#This Row],[descuento antes de IVA]])*VLOOKUP(PROVEEDORES[[#This Row],[PROVEEDOR]],TERCEROS_INFO[#All],3,FALSE)</f>
        <v>0</v>
      </c>
      <c r="N155" s="34"/>
      <c r="O155" s="33">
        <f>+PROVEEDORES[[#This Row],[Descuento sobre subtotal %]]*(PROVEEDORES[[#This Row],[SUBTOTAL]]-PROVEEDORES[[#This Row],[descuento antes de IVA]])</f>
        <v>0</v>
      </c>
      <c r="P1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5" s="33">
        <f>+(PROVEEDORES[[#This Row],[SUBTOTAL]]-PROVEEDORES[[#This Row],[descuento antes de IVA]])*PROVEEDORES[[#This Row],[Rete Fuente %]]</f>
        <v>0</v>
      </c>
      <c r="R155" s="32">
        <f>+PROVEEDORES[[#This Row],[SUBTOTAL]]+PROVEEDORES[[#This Row],[IVA 19%]]-PROVEEDORES[[#This Row],[descuento antes de IVA]]-PROVEEDORES[[#This Row],[Descuento sobre subtotal $]]-PROVEEDORES[[#This Row],[Rete Fuente $]]</f>
        <v>255000</v>
      </c>
      <c r="S155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5" s="40"/>
      <c r="U155" s="97"/>
      <c r="V155" s="36"/>
      <c r="W155" s="36"/>
      <c r="X155" s="36"/>
      <c r="Y155" s="36"/>
      <c r="Z155" s="41"/>
      <c r="AA155" s="42"/>
      <c r="AF155" s="36"/>
      <c r="AG155" s="36"/>
    </row>
    <row r="156" spans="1:33" ht="21.95" hidden="1" customHeight="1" x14ac:dyDescent="0.25">
      <c r="A156" s="134" t="str">
        <f>+IF(PROVEEDORES[[#This Row],[FECHA DE PAGO]]=PROVEEDORES[[#This Row],[FECHA DE FACTURACIÓN]],"DE CONTADO","CRÉDITO")</f>
        <v>DE CONTADO</v>
      </c>
      <c r="B156" s="70" t="b">
        <f>+IF((PROVEEDORES[[#This Row],[FECHA DE PAGO]]-PROVEEDORES[[#This Row],[FECHA DE FACTURACIÓN]])&gt;PROVEEDORES[[#This Row],[PLAZO Días]],"PAGO VENCIDO")</f>
        <v>0</v>
      </c>
      <c r="C156" s="27">
        <f>+VLOOKUP(PROVEEDORES[[#This Row],[PROVEEDOR]],TERCEROS_INFO[#All],2,FALSE)</f>
        <v>30</v>
      </c>
      <c r="D156" s="37">
        <f>+SUMIFS(PROVEEDORES[Total],PROVEEDORES[PROVEEDOR],PROVEEDORES[[#This Row],[PROVEEDOR]],PROVEEDORES[FECHA DE PAGO],"")</f>
        <v>0</v>
      </c>
      <c r="E156" s="37"/>
      <c r="F156" s="108" t="str">
        <f>+VLOOKUP(PROVEEDORES[[#This Row],[PROVEEDOR]],TERCEROS_INFO[[PROVEEDOR]:[CORREO]],5,FALSE)</f>
        <v/>
      </c>
      <c r="G156" s="143">
        <v>44392</v>
      </c>
      <c r="H156" s="57" t="s">
        <v>257</v>
      </c>
      <c r="I156" s="30">
        <v>44392</v>
      </c>
      <c r="J156" s="58" t="s">
        <v>1186</v>
      </c>
      <c r="K156" s="32">
        <f>21000+18000</f>
        <v>39000</v>
      </c>
      <c r="L156" s="32"/>
      <c r="M156" s="33">
        <f>(PROVEEDORES[[#This Row],[SUBTOTAL]]-PROVEEDORES[[#This Row],[descuento antes de IVA]])*VLOOKUP(PROVEEDORES[[#This Row],[PROVEEDOR]],TERCEROS_INFO[#All],3,FALSE)</f>
        <v>0</v>
      </c>
      <c r="N156" s="34"/>
      <c r="O156" s="33">
        <f>+PROVEEDORES[[#This Row],[Descuento sobre subtotal %]]*(PROVEEDORES[[#This Row],[SUBTOTAL]]-PROVEEDORES[[#This Row],[descuento antes de IVA]])</f>
        <v>0</v>
      </c>
      <c r="P1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6" s="33">
        <f>+(PROVEEDORES[[#This Row],[SUBTOTAL]]-PROVEEDORES[[#This Row],[descuento antes de IVA]])*PROVEEDORES[[#This Row],[Rete Fuente %]]</f>
        <v>0</v>
      </c>
      <c r="R156" s="32">
        <f>+PROVEEDORES[[#This Row],[SUBTOTAL]]+PROVEEDORES[[#This Row],[IVA 19%]]-PROVEEDORES[[#This Row],[descuento antes de IVA]]-PROVEEDORES[[#This Row],[Descuento sobre subtotal $]]-PROVEEDORES[[#This Row],[Rete Fuente $]]</f>
        <v>39000</v>
      </c>
      <c r="S156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6" s="40"/>
      <c r="U156" s="97"/>
      <c r="V156" s="36"/>
      <c r="W156" s="36"/>
      <c r="X156" s="36"/>
      <c r="Y156" s="36"/>
      <c r="Z156" s="41"/>
      <c r="AA156" s="42"/>
      <c r="AF156" s="36"/>
      <c r="AG156" s="36"/>
    </row>
    <row r="157" spans="1:33" ht="21.95" hidden="1" customHeight="1" x14ac:dyDescent="0.25">
      <c r="A157" s="35" t="str">
        <f>+IF(PROVEEDORES[[#This Row],[FECHA DE PAGO]]=PROVEEDORES[[#This Row],[FECHA DE FACTURACIÓN]],"DE CONTADO","CRÉDITO")</f>
        <v>DE CONTADO</v>
      </c>
      <c r="B157" s="70" t="b">
        <f>+IF((PROVEEDORES[[#This Row],[FECHA DE PAGO]]-PROVEEDORES[[#This Row],[FECHA DE FACTURACIÓN]])&gt;PROVEEDORES[[#This Row],[PLAZO Días]],"PAGO VENCIDO")</f>
        <v>0</v>
      </c>
      <c r="C157" s="27">
        <f>+VLOOKUP(PROVEEDORES[[#This Row],[PROVEEDOR]],TERCEROS_INFO[#All],2,FALSE)</f>
        <v>30</v>
      </c>
      <c r="D157" s="37">
        <f>+SUMIFS(PROVEEDORES[Total],PROVEEDORES[PROVEEDOR],PROVEEDORES[[#This Row],[PROVEEDOR]],PROVEEDORES[FECHA DE PAGO],"")</f>
        <v>0</v>
      </c>
      <c r="E157" s="37"/>
      <c r="F157" s="108" t="str">
        <f>+VLOOKUP(PROVEEDORES[[#This Row],[PROVEEDOR]],TERCEROS_INFO[[PROVEEDOR]:[CORREO]],5,FALSE)</f>
        <v/>
      </c>
      <c r="G157" s="143">
        <v>44407</v>
      </c>
      <c r="H157" s="38" t="s">
        <v>257</v>
      </c>
      <c r="I157" s="30">
        <v>44407</v>
      </c>
      <c r="J157" s="58" t="s">
        <v>1192</v>
      </c>
      <c r="K157" s="32">
        <v>150000</v>
      </c>
      <c r="L157" s="32"/>
      <c r="M157" s="33">
        <f>(PROVEEDORES[[#This Row],[SUBTOTAL]]-PROVEEDORES[[#This Row],[descuento antes de IVA]])*VLOOKUP(PROVEEDORES[[#This Row],[PROVEEDOR]],TERCEROS_INFO[#All],3,FALSE)</f>
        <v>0</v>
      </c>
      <c r="N157" s="34"/>
      <c r="O157" s="33">
        <f>+PROVEEDORES[[#This Row],[Descuento sobre subtotal %]]*(PROVEEDORES[[#This Row],[SUBTOTAL]]-PROVEEDORES[[#This Row],[descuento antes de IVA]])</f>
        <v>0</v>
      </c>
      <c r="P1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7" s="33">
        <f>+(PROVEEDORES[[#This Row],[SUBTOTAL]]-PROVEEDORES[[#This Row],[descuento antes de IVA]])*PROVEEDORES[[#This Row],[Rete Fuente %]]</f>
        <v>0</v>
      </c>
      <c r="R157" s="32">
        <f>+PROVEEDORES[[#This Row],[SUBTOTAL]]+PROVEEDORES[[#This Row],[IVA 19%]]-PROVEEDORES[[#This Row],[descuento antes de IVA]]-PROVEEDORES[[#This Row],[Descuento sobre subtotal $]]-PROVEEDORES[[#This Row],[Rete Fuente $]]</f>
        <v>150000</v>
      </c>
      <c r="S15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7" s="40"/>
      <c r="U157" s="97"/>
      <c r="V157" s="36"/>
      <c r="W157" s="36"/>
      <c r="X157" s="36"/>
      <c r="Y157" s="36"/>
      <c r="Z157" s="41"/>
      <c r="AA157" s="42"/>
      <c r="AF157" s="36"/>
      <c r="AG157" s="36"/>
    </row>
    <row r="158" spans="1:33" ht="21.95" hidden="1" customHeight="1" x14ac:dyDescent="0.25">
      <c r="A158" s="35" t="str">
        <f>+IF(PROVEEDORES[[#This Row],[FECHA DE PAGO]]=PROVEEDORES[[#This Row],[FECHA DE FACTURACIÓN]],"DE CONTADO","CRÉDITO")</f>
        <v>DE CONTADO</v>
      </c>
      <c r="B158" s="70" t="b">
        <f>+IF((PROVEEDORES[[#This Row],[FECHA DE PAGO]]-PROVEEDORES[[#This Row],[FECHA DE FACTURACIÓN]])&gt;PROVEEDORES[[#This Row],[PLAZO Días]],"PAGO VENCIDO")</f>
        <v>0</v>
      </c>
      <c r="C158" s="27">
        <f>+VLOOKUP(PROVEEDORES[[#This Row],[PROVEEDOR]],TERCEROS_INFO[#All],2,FALSE)</f>
        <v>30</v>
      </c>
      <c r="D158" s="37">
        <f>+SUMIFS(PROVEEDORES[Total],PROVEEDORES[PROVEEDOR],PROVEEDORES[[#This Row],[PROVEEDOR]],PROVEEDORES[FECHA DE PAGO],"")</f>
        <v>0</v>
      </c>
      <c r="E158" s="37"/>
      <c r="F158" s="108" t="str">
        <f>+VLOOKUP(PROVEEDORES[[#This Row],[PROVEEDOR]],TERCEROS_INFO[[PROVEEDOR]:[CORREO]],5,FALSE)</f>
        <v/>
      </c>
      <c r="G158" s="143">
        <v>44407</v>
      </c>
      <c r="H158" s="38" t="s">
        <v>257</v>
      </c>
      <c r="I158" s="30">
        <v>44407</v>
      </c>
      <c r="J158" s="58" t="s">
        <v>1193</v>
      </c>
      <c r="K158" s="32">
        <v>95000</v>
      </c>
      <c r="L158" s="32"/>
      <c r="M158" s="33">
        <f>(PROVEEDORES[[#This Row],[SUBTOTAL]]-PROVEEDORES[[#This Row],[descuento antes de IVA]])*VLOOKUP(PROVEEDORES[[#This Row],[PROVEEDOR]],TERCEROS_INFO[#All],3,FALSE)</f>
        <v>0</v>
      </c>
      <c r="N158" s="34"/>
      <c r="O158" s="33">
        <f>+PROVEEDORES[[#This Row],[Descuento sobre subtotal %]]*(PROVEEDORES[[#This Row],[SUBTOTAL]]-PROVEEDORES[[#This Row],[descuento antes de IVA]])</f>
        <v>0</v>
      </c>
      <c r="P1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8" s="33">
        <f>+(PROVEEDORES[[#This Row],[SUBTOTAL]]-PROVEEDORES[[#This Row],[descuento antes de IVA]])*PROVEEDORES[[#This Row],[Rete Fuente %]]</f>
        <v>0</v>
      </c>
      <c r="R158" s="32">
        <f>+PROVEEDORES[[#This Row],[SUBTOTAL]]+PROVEEDORES[[#This Row],[IVA 19%]]-PROVEEDORES[[#This Row],[descuento antes de IVA]]-PROVEEDORES[[#This Row],[Descuento sobre subtotal $]]-PROVEEDORES[[#This Row],[Rete Fuente $]]</f>
        <v>95000</v>
      </c>
      <c r="S15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8" s="40"/>
      <c r="U158" s="97"/>
      <c r="V158" s="36"/>
      <c r="W158" s="36"/>
      <c r="X158" s="36"/>
      <c r="Y158" s="36"/>
      <c r="Z158" s="41"/>
      <c r="AA158" s="42"/>
      <c r="AF158" s="36"/>
      <c r="AG158" s="36"/>
    </row>
    <row r="159" spans="1:33" ht="21.95" hidden="1" customHeight="1" x14ac:dyDescent="0.25">
      <c r="A159" s="35" t="str">
        <f>+IF(PROVEEDORES[[#This Row],[FECHA DE PAGO]]=PROVEEDORES[[#This Row],[FECHA DE FACTURACIÓN]],"DE CONTADO","CRÉDITO")</f>
        <v>DE CONTADO</v>
      </c>
      <c r="B159" s="70" t="b">
        <f>+IF((PROVEEDORES[[#This Row],[FECHA DE PAGO]]-PROVEEDORES[[#This Row],[FECHA DE FACTURACIÓN]])&gt;PROVEEDORES[[#This Row],[PLAZO Días]],"PAGO VENCIDO")</f>
        <v>0</v>
      </c>
      <c r="C159" s="27">
        <f>+VLOOKUP(PROVEEDORES[[#This Row],[PROVEEDOR]],TERCEROS_INFO[#All],2,FALSE)</f>
        <v>30</v>
      </c>
      <c r="D159" s="37">
        <f>+SUMIFS(PROVEEDORES[Total],PROVEEDORES[PROVEEDOR],PROVEEDORES[[#This Row],[PROVEEDOR]],PROVEEDORES[FECHA DE PAGO],"")</f>
        <v>0</v>
      </c>
      <c r="E159" s="37"/>
      <c r="F159" s="108" t="str">
        <f>+VLOOKUP(PROVEEDORES[[#This Row],[PROVEEDOR]],TERCEROS_INFO[[PROVEEDOR]:[CORREO]],5,FALSE)</f>
        <v/>
      </c>
      <c r="G159" s="143">
        <v>44407</v>
      </c>
      <c r="H159" s="38" t="s">
        <v>257</v>
      </c>
      <c r="I159" s="30">
        <v>44407</v>
      </c>
      <c r="J159" s="58" t="s">
        <v>1194</v>
      </c>
      <c r="K159" s="32">
        <v>96000</v>
      </c>
      <c r="L159" s="32"/>
      <c r="M159" s="33">
        <f>(PROVEEDORES[[#This Row],[SUBTOTAL]]-PROVEEDORES[[#This Row],[descuento antes de IVA]])*VLOOKUP(PROVEEDORES[[#This Row],[PROVEEDOR]],TERCEROS_INFO[#All],3,FALSE)</f>
        <v>0</v>
      </c>
      <c r="N159" s="34"/>
      <c r="O159" s="33">
        <f>+PROVEEDORES[[#This Row],[Descuento sobre subtotal %]]*(PROVEEDORES[[#This Row],[SUBTOTAL]]-PROVEEDORES[[#This Row],[descuento antes de IVA]])</f>
        <v>0</v>
      </c>
      <c r="P1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9" s="33">
        <f>+(PROVEEDORES[[#This Row],[SUBTOTAL]]-PROVEEDORES[[#This Row],[descuento antes de IVA]])*PROVEEDORES[[#This Row],[Rete Fuente %]]</f>
        <v>0</v>
      </c>
      <c r="R159" s="32">
        <f>+PROVEEDORES[[#This Row],[SUBTOTAL]]+PROVEEDORES[[#This Row],[IVA 19%]]-PROVEEDORES[[#This Row],[descuento antes de IVA]]-PROVEEDORES[[#This Row],[Descuento sobre subtotal $]]-PROVEEDORES[[#This Row],[Rete Fuente $]]</f>
        <v>96000</v>
      </c>
      <c r="S15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9" s="40"/>
      <c r="U159" s="97"/>
      <c r="V159" s="36"/>
      <c r="W159" s="36"/>
      <c r="X159" s="36"/>
      <c r="Y159" s="36"/>
      <c r="Z159" s="41"/>
      <c r="AA159" s="42"/>
      <c r="AF159" s="36"/>
      <c r="AG159" s="36"/>
    </row>
    <row r="160" spans="1:33" ht="21.95" hidden="1" customHeight="1" x14ac:dyDescent="0.25">
      <c r="A160" s="138" t="str">
        <f>+IF(PROVEEDORES[[#This Row],[FECHA DE PAGO]]=PROVEEDORES[[#This Row],[FECHA DE FACTURACIÓN]],"DE CONTADO","CRÉDITO")</f>
        <v>DE CONTADO</v>
      </c>
      <c r="B160" s="70" t="b">
        <f>+IF((PROVEEDORES[[#This Row],[FECHA DE PAGO]]-PROVEEDORES[[#This Row],[FECHA DE FACTURACIÓN]])&gt;PROVEEDORES[[#This Row],[PLAZO Días]],"PAGO VENCIDO")</f>
        <v>0</v>
      </c>
      <c r="C160" s="27">
        <f>+VLOOKUP(PROVEEDORES[[#This Row],[PROVEEDOR]],TERCEROS_INFO[#All],2,FALSE)</f>
        <v>30</v>
      </c>
      <c r="D160" s="37">
        <f>+SUMIFS(PROVEEDORES[Total],PROVEEDORES[PROVEEDOR],PROVEEDORES[[#This Row],[PROVEEDOR]],PROVEEDORES[FECHA DE PAGO],"")</f>
        <v>0</v>
      </c>
      <c r="E160" s="37"/>
      <c r="F160" s="108" t="str">
        <f>+VLOOKUP(PROVEEDORES[[#This Row],[PROVEEDOR]],TERCEROS_INFO[[PROVEEDOR]:[CORREO]],5,FALSE)</f>
        <v/>
      </c>
      <c r="G160" s="143">
        <v>44412</v>
      </c>
      <c r="H160" s="38" t="s">
        <v>257</v>
      </c>
      <c r="I160" s="30">
        <v>44412</v>
      </c>
      <c r="J160" s="58" t="s">
        <v>1204</v>
      </c>
      <c r="K160" s="32">
        <v>306000</v>
      </c>
      <c r="L160" s="32"/>
      <c r="M160" s="33">
        <f>(PROVEEDORES[[#This Row],[SUBTOTAL]]-PROVEEDORES[[#This Row],[descuento antes de IVA]])*VLOOKUP(PROVEEDORES[[#This Row],[PROVEEDOR]],TERCEROS_INFO[#All],3,FALSE)</f>
        <v>0</v>
      </c>
      <c r="N160" s="34"/>
      <c r="O160" s="33">
        <f>+PROVEEDORES[[#This Row],[Descuento sobre subtotal %]]*(PROVEEDORES[[#This Row],[SUBTOTAL]]-PROVEEDORES[[#This Row],[descuento antes de IVA]])</f>
        <v>0</v>
      </c>
      <c r="P1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0" s="33">
        <f>+(PROVEEDORES[[#This Row],[SUBTOTAL]]-PROVEEDORES[[#This Row],[descuento antes de IVA]])*PROVEEDORES[[#This Row],[Rete Fuente %]]</f>
        <v>0</v>
      </c>
      <c r="R160" s="32">
        <f>+PROVEEDORES[[#This Row],[SUBTOTAL]]+PROVEEDORES[[#This Row],[IVA 19%]]-PROVEEDORES[[#This Row],[descuento antes de IVA]]-PROVEEDORES[[#This Row],[Descuento sobre subtotal $]]-PROVEEDORES[[#This Row],[Rete Fuente $]]</f>
        <v>306000</v>
      </c>
      <c r="S160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0" s="40"/>
      <c r="U160" s="97"/>
      <c r="V160" s="36"/>
      <c r="W160" s="36"/>
      <c r="X160" s="36"/>
      <c r="Y160" s="36"/>
      <c r="Z160" s="41"/>
      <c r="AA160" s="42"/>
      <c r="AF160" s="36"/>
      <c r="AG160" s="36"/>
    </row>
    <row r="161" spans="1:33" ht="21.95" hidden="1" customHeight="1" x14ac:dyDescent="0.25">
      <c r="A161" s="139" t="str">
        <f>+IF(PROVEEDORES[[#This Row],[FECHA DE PAGO]]=PROVEEDORES[[#This Row],[FECHA DE FACTURACIÓN]],"DE CONTADO","CRÉDITO")</f>
        <v>DE CONTADO</v>
      </c>
      <c r="B161" s="70" t="b">
        <f>+IF((PROVEEDORES[[#This Row],[FECHA DE PAGO]]-PROVEEDORES[[#This Row],[FECHA DE FACTURACIÓN]])&gt;PROVEEDORES[[#This Row],[PLAZO Días]],"PAGO VENCIDO")</f>
        <v>0</v>
      </c>
      <c r="C161" s="27">
        <f>+VLOOKUP(PROVEEDORES[[#This Row],[PROVEEDOR]],TERCEROS_INFO[#All],2,FALSE)</f>
        <v>30</v>
      </c>
      <c r="D161" s="37">
        <f>+SUMIFS(PROVEEDORES[Total],PROVEEDORES[PROVEEDOR],PROVEEDORES[[#This Row],[PROVEEDOR]],PROVEEDORES[FECHA DE PAGO],"")</f>
        <v>0</v>
      </c>
      <c r="E161" s="37"/>
      <c r="F161" s="108" t="str">
        <f>+VLOOKUP(PROVEEDORES[[#This Row],[PROVEEDOR]],TERCEROS_INFO[[PROVEEDOR]:[CORREO]],5,FALSE)</f>
        <v/>
      </c>
      <c r="G161" s="143">
        <v>44414</v>
      </c>
      <c r="H161" s="38" t="s">
        <v>257</v>
      </c>
      <c r="I161" s="30">
        <v>44414</v>
      </c>
      <c r="J161" s="58" t="s">
        <v>1207</v>
      </c>
      <c r="K161" s="32">
        <v>320000</v>
      </c>
      <c r="L161" s="32"/>
      <c r="M161" s="33">
        <f>(PROVEEDORES[[#This Row],[SUBTOTAL]]-PROVEEDORES[[#This Row],[descuento antes de IVA]])*VLOOKUP(PROVEEDORES[[#This Row],[PROVEEDOR]],TERCEROS_INFO[#All],3,FALSE)</f>
        <v>0</v>
      </c>
      <c r="N161" s="34"/>
      <c r="O161" s="33">
        <f>+PROVEEDORES[[#This Row],[Descuento sobre subtotal %]]*(PROVEEDORES[[#This Row],[SUBTOTAL]]-PROVEEDORES[[#This Row],[descuento antes de IVA]])</f>
        <v>0</v>
      </c>
      <c r="P1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" s="33">
        <f>+(PROVEEDORES[[#This Row],[SUBTOTAL]]-PROVEEDORES[[#This Row],[descuento antes de IVA]])*PROVEEDORES[[#This Row],[Rete Fuente %]]</f>
        <v>0</v>
      </c>
      <c r="R161" s="32">
        <f>+PROVEEDORES[[#This Row],[SUBTOTAL]]+PROVEEDORES[[#This Row],[IVA 19%]]-PROVEEDORES[[#This Row],[descuento antes de IVA]]-PROVEEDORES[[#This Row],[Descuento sobre subtotal $]]-PROVEEDORES[[#This Row],[Rete Fuente $]]</f>
        <v>320000</v>
      </c>
      <c r="S161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1" s="40"/>
      <c r="U161" s="97"/>
      <c r="V161" s="36"/>
      <c r="W161" s="36"/>
      <c r="X161" s="36"/>
      <c r="Y161" s="36"/>
      <c r="Z161" s="41"/>
      <c r="AA161" s="42"/>
      <c r="AF161" s="36"/>
      <c r="AG161" s="36"/>
    </row>
    <row r="162" spans="1:33" ht="21.95" hidden="1" customHeight="1" x14ac:dyDescent="0.25">
      <c r="A162" s="142" t="str">
        <f>+IF(PROVEEDORES[[#This Row],[FECHA DE PAGO]]=PROVEEDORES[[#This Row],[FECHA DE FACTURACIÓN]],"DE CONTADO","CRÉDITO")</f>
        <v>DE CONTADO</v>
      </c>
      <c r="B162" s="70" t="b">
        <f>+IF((PROVEEDORES[[#This Row],[FECHA DE PAGO]]-PROVEEDORES[[#This Row],[FECHA DE FACTURACIÓN]])&gt;PROVEEDORES[[#This Row],[PLAZO Días]],"PAGO VENCIDO")</f>
        <v>0</v>
      </c>
      <c r="C162" s="27">
        <f>+VLOOKUP(PROVEEDORES[[#This Row],[PROVEEDOR]],TERCEROS_INFO[#All],2,FALSE)</f>
        <v>30</v>
      </c>
      <c r="D162" s="37">
        <f>+SUMIFS(PROVEEDORES[Total],PROVEEDORES[PROVEEDOR],PROVEEDORES[[#This Row],[PROVEEDOR]],PROVEEDORES[FECHA DE PAGO],"")</f>
        <v>0</v>
      </c>
      <c r="E162" s="37"/>
      <c r="F162" s="108" t="str">
        <f>+VLOOKUP(PROVEEDORES[[#This Row],[PROVEEDOR]],TERCEROS_INFO[[PROVEEDOR]:[CORREO]],5,FALSE)</f>
        <v/>
      </c>
      <c r="G162" s="143">
        <v>44425</v>
      </c>
      <c r="H162" s="38" t="s">
        <v>257</v>
      </c>
      <c r="I162" s="30">
        <v>44425</v>
      </c>
      <c r="J162" s="58" t="s">
        <v>1213</v>
      </c>
      <c r="K162" s="32">
        <v>180050</v>
      </c>
      <c r="L162" s="32"/>
      <c r="M162" s="33">
        <f>(PROVEEDORES[[#This Row],[SUBTOTAL]]-PROVEEDORES[[#This Row],[descuento antes de IVA]])*VLOOKUP(PROVEEDORES[[#This Row],[PROVEEDOR]],TERCEROS_INFO[#All],3,FALSE)</f>
        <v>0</v>
      </c>
      <c r="N162" s="34"/>
      <c r="O162" s="33">
        <f>+PROVEEDORES[[#This Row],[Descuento sobre subtotal %]]*(PROVEEDORES[[#This Row],[SUBTOTAL]]-PROVEEDORES[[#This Row],[descuento antes de IVA]])</f>
        <v>0</v>
      </c>
      <c r="P1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" s="33">
        <f>+(PROVEEDORES[[#This Row],[SUBTOTAL]]-PROVEEDORES[[#This Row],[descuento antes de IVA]])*PROVEEDORES[[#This Row],[Rete Fuente %]]</f>
        <v>0</v>
      </c>
      <c r="R162" s="32">
        <f>+PROVEEDORES[[#This Row],[SUBTOTAL]]+PROVEEDORES[[#This Row],[IVA 19%]]-PROVEEDORES[[#This Row],[descuento antes de IVA]]-PROVEEDORES[[#This Row],[Descuento sobre subtotal $]]-PROVEEDORES[[#This Row],[Rete Fuente $]]</f>
        <v>180050</v>
      </c>
      <c r="S162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2" s="40"/>
      <c r="U162" s="97"/>
      <c r="V162" s="36"/>
      <c r="W162" s="36"/>
      <c r="X162" s="36"/>
      <c r="Y162" s="36"/>
      <c r="Z162" s="41"/>
      <c r="AA162" s="42"/>
      <c r="AF162" s="36"/>
      <c r="AG162" s="36"/>
    </row>
    <row r="163" spans="1:33" ht="21.95" hidden="1" customHeight="1" x14ac:dyDescent="0.25">
      <c r="A163" s="148" t="str">
        <f>+IF(PROVEEDORES[[#This Row],[FECHA DE PAGO]]=PROVEEDORES[[#This Row],[FECHA DE FACTURACIÓN]],"DE CONTADO","CRÉDITO")</f>
        <v>DE CONTADO</v>
      </c>
      <c r="B163" s="70" t="b">
        <f>+IF((PROVEEDORES[[#This Row],[FECHA DE PAGO]]-PROVEEDORES[[#This Row],[FECHA DE FACTURACIÓN]])&gt;PROVEEDORES[[#This Row],[PLAZO Días]],"PAGO VENCIDO")</f>
        <v>0</v>
      </c>
      <c r="C163" s="27">
        <f>+VLOOKUP(PROVEEDORES[[#This Row],[PROVEEDOR]],TERCEROS_INFO[#All],2,FALSE)</f>
        <v>30</v>
      </c>
      <c r="D163" s="37">
        <f>+SUMIFS(PROVEEDORES[Total],PROVEEDORES[PROVEEDOR],PROVEEDORES[[#This Row],[PROVEEDOR]],PROVEEDORES[FECHA DE PAGO],"")</f>
        <v>0</v>
      </c>
      <c r="E163" s="37"/>
      <c r="F163" s="108" t="str">
        <f>+VLOOKUP(PROVEEDORES[[#This Row],[PROVEEDOR]],TERCEROS_INFO[[PROVEEDOR]:[CORREO]],5,FALSE)</f>
        <v/>
      </c>
      <c r="G163" s="30">
        <v>44438</v>
      </c>
      <c r="H163" s="38" t="s">
        <v>257</v>
      </c>
      <c r="I163" s="30">
        <v>44438</v>
      </c>
      <c r="J163" s="58" t="s">
        <v>1082</v>
      </c>
      <c r="K163" s="32">
        <v>216000</v>
      </c>
      <c r="L163" s="32"/>
      <c r="M163" s="33">
        <f>(PROVEEDORES[[#This Row],[SUBTOTAL]]-PROVEEDORES[[#This Row],[descuento antes de IVA]])*VLOOKUP(PROVEEDORES[[#This Row],[PROVEEDOR]],TERCEROS_INFO[#All],3,FALSE)</f>
        <v>0</v>
      </c>
      <c r="N163" s="34"/>
      <c r="O163" s="33">
        <f>+PROVEEDORES[[#This Row],[Descuento sobre subtotal %]]*(PROVEEDORES[[#This Row],[SUBTOTAL]]-PROVEEDORES[[#This Row],[descuento antes de IVA]])</f>
        <v>0</v>
      </c>
      <c r="P1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" s="33">
        <f>+(PROVEEDORES[[#This Row],[SUBTOTAL]]-PROVEEDORES[[#This Row],[descuento antes de IVA]])*PROVEEDORES[[#This Row],[Rete Fuente %]]</f>
        <v>0</v>
      </c>
      <c r="R163" s="32">
        <f>+PROVEEDORES[[#This Row],[SUBTOTAL]]+PROVEEDORES[[#This Row],[IVA 19%]]-PROVEEDORES[[#This Row],[descuento antes de IVA]]-PROVEEDORES[[#This Row],[Descuento sobre subtotal $]]-PROVEEDORES[[#This Row],[Rete Fuente $]]</f>
        <v>216000</v>
      </c>
      <c r="S163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3" s="40"/>
      <c r="U163" s="97"/>
      <c r="V163" s="36"/>
      <c r="W163" s="36"/>
      <c r="X163" s="36"/>
      <c r="Y163" s="36"/>
      <c r="Z163" s="41"/>
      <c r="AA163" s="42"/>
      <c r="AF163" s="36"/>
      <c r="AG163" s="36"/>
    </row>
    <row r="164" spans="1:33" ht="21.95" hidden="1" customHeight="1" x14ac:dyDescent="0.25">
      <c r="A164" s="148" t="str">
        <f>+IF(PROVEEDORES[[#This Row],[FECHA DE PAGO]]=PROVEEDORES[[#This Row],[FECHA DE FACTURACIÓN]],"DE CONTADO","CRÉDITO")</f>
        <v>DE CONTADO</v>
      </c>
      <c r="B164" s="70" t="b">
        <f>+IF((PROVEEDORES[[#This Row],[FECHA DE PAGO]]-PROVEEDORES[[#This Row],[FECHA DE FACTURACIÓN]])&gt;PROVEEDORES[[#This Row],[PLAZO Días]],"PAGO VENCIDO")</f>
        <v>0</v>
      </c>
      <c r="C164" s="27">
        <f>+VLOOKUP(PROVEEDORES[[#This Row],[PROVEEDOR]],TERCEROS_INFO[#All],2,FALSE)</f>
        <v>30</v>
      </c>
      <c r="D164" s="37">
        <f>+SUMIFS(PROVEEDORES[Total],PROVEEDORES[PROVEEDOR],PROVEEDORES[[#This Row],[PROVEEDOR]],PROVEEDORES[FECHA DE PAGO],"")</f>
        <v>0</v>
      </c>
      <c r="E164" s="37"/>
      <c r="F164" s="108" t="str">
        <f>+VLOOKUP(PROVEEDORES[[#This Row],[PROVEEDOR]],TERCEROS_INFO[[PROVEEDOR]:[CORREO]],5,FALSE)</f>
        <v/>
      </c>
      <c r="G164" s="30">
        <v>44438</v>
      </c>
      <c r="H164" s="38" t="s">
        <v>257</v>
      </c>
      <c r="I164" s="30">
        <v>44438</v>
      </c>
      <c r="J164" s="58" t="s">
        <v>1229</v>
      </c>
      <c r="K164" s="32">
        <v>150000</v>
      </c>
      <c r="L164" s="32"/>
      <c r="M164" s="33">
        <f>(PROVEEDORES[[#This Row],[SUBTOTAL]]-PROVEEDORES[[#This Row],[descuento antes de IVA]])*VLOOKUP(PROVEEDORES[[#This Row],[PROVEEDOR]],TERCEROS_INFO[#All],3,FALSE)</f>
        <v>0</v>
      </c>
      <c r="N164" s="34"/>
      <c r="O164" s="33">
        <f>+PROVEEDORES[[#This Row],[Descuento sobre subtotal %]]*(PROVEEDORES[[#This Row],[SUBTOTAL]]-PROVEEDORES[[#This Row],[descuento antes de IVA]])</f>
        <v>0</v>
      </c>
      <c r="P1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" s="33">
        <f>+(PROVEEDORES[[#This Row],[SUBTOTAL]]-PROVEEDORES[[#This Row],[descuento antes de IVA]])*PROVEEDORES[[#This Row],[Rete Fuente %]]</f>
        <v>0</v>
      </c>
      <c r="R164" s="32">
        <f>+PROVEEDORES[[#This Row],[SUBTOTAL]]+PROVEEDORES[[#This Row],[IVA 19%]]-PROVEEDORES[[#This Row],[descuento antes de IVA]]-PROVEEDORES[[#This Row],[Descuento sobre subtotal $]]-PROVEEDORES[[#This Row],[Rete Fuente $]]</f>
        <v>150000</v>
      </c>
      <c r="S164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4" s="40"/>
      <c r="U164" s="97"/>
      <c r="V164" s="36"/>
      <c r="W164" s="36"/>
      <c r="X164" s="36"/>
      <c r="Y164" s="36"/>
      <c r="Z164" s="41"/>
      <c r="AA164" s="42"/>
      <c r="AF164" s="36"/>
      <c r="AG164" s="36"/>
    </row>
    <row r="165" spans="1:33" ht="21.95" hidden="1" customHeight="1" x14ac:dyDescent="0.25">
      <c r="A165" s="148" t="str">
        <f>+IF(PROVEEDORES[[#This Row],[FECHA DE PAGO]]=PROVEEDORES[[#This Row],[FECHA DE FACTURACIÓN]],"DE CONTADO","CRÉDITO")</f>
        <v>DE CONTADO</v>
      </c>
      <c r="B165" s="70" t="b">
        <f>+IF((PROVEEDORES[[#This Row],[FECHA DE PAGO]]-PROVEEDORES[[#This Row],[FECHA DE FACTURACIÓN]])&gt;PROVEEDORES[[#This Row],[PLAZO Días]],"PAGO VENCIDO")</f>
        <v>0</v>
      </c>
      <c r="C165" s="27">
        <f>+VLOOKUP(PROVEEDORES[[#This Row],[PROVEEDOR]],TERCEROS_INFO[#All],2,FALSE)</f>
        <v>30</v>
      </c>
      <c r="D165" s="37">
        <f>+SUMIFS(PROVEEDORES[Total],PROVEEDORES[PROVEEDOR],PROVEEDORES[[#This Row],[PROVEEDOR]],PROVEEDORES[FECHA DE PAGO],"")</f>
        <v>0</v>
      </c>
      <c r="E165" s="37"/>
      <c r="F165" s="108" t="str">
        <f>+VLOOKUP(PROVEEDORES[[#This Row],[PROVEEDOR]],TERCEROS_INFO[[PROVEEDOR]:[CORREO]],5,FALSE)</f>
        <v/>
      </c>
      <c r="G165" s="30">
        <v>44438</v>
      </c>
      <c r="H165" s="38" t="s">
        <v>257</v>
      </c>
      <c r="I165" s="30">
        <v>44438</v>
      </c>
      <c r="J165" s="58" t="s">
        <v>1083</v>
      </c>
      <c r="K165" s="32">
        <v>2229109</v>
      </c>
      <c r="L165" s="32"/>
      <c r="M165" s="33">
        <f>(PROVEEDORES[[#This Row],[SUBTOTAL]]-PROVEEDORES[[#This Row],[descuento antes de IVA]])*VLOOKUP(PROVEEDORES[[#This Row],[PROVEEDOR]],TERCEROS_INFO[#All],3,FALSE)</f>
        <v>0</v>
      </c>
      <c r="N165" s="34"/>
      <c r="O165" s="33">
        <f>+PROVEEDORES[[#This Row],[Descuento sobre subtotal %]]*(PROVEEDORES[[#This Row],[SUBTOTAL]]-PROVEEDORES[[#This Row],[descuento antes de IVA]])</f>
        <v>0</v>
      </c>
      <c r="P1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5" s="33">
        <f>+(PROVEEDORES[[#This Row],[SUBTOTAL]]-PROVEEDORES[[#This Row],[descuento antes de IVA]])*PROVEEDORES[[#This Row],[Rete Fuente %]]</f>
        <v>0</v>
      </c>
      <c r="R165" s="32">
        <f>+PROVEEDORES[[#This Row],[SUBTOTAL]]+PROVEEDORES[[#This Row],[IVA 19%]]-PROVEEDORES[[#This Row],[descuento antes de IVA]]-PROVEEDORES[[#This Row],[Descuento sobre subtotal $]]-PROVEEDORES[[#This Row],[Rete Fuente $]]</f>
        <v>2229109</v>
      </c>
      <c r="S165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5" s="40"/>
      <c r="U165" s="97"/>
      <c r="V165" s="36"/>
      <c r="W165" s="36"/>
      <c r="X165" s="36"/>
      <c r="Y165" s="36"/>
      <c r="Z165" s="41"/>
      <c r="AA165" s="42"/>
      <c r="AF165" s="36"/>
      <c r="AG165" s="36"/>
    </row>
    <row r="166" spans="1:33" ht="21.95" hidden="1" customHeight="1" x14ac:dyDescent="0.25">
      <c r="A166" s="148" t="str">
        <f>+IF(PROVEEDORES[[#This Row],[FECHA DE PAGO]]=PROVEEDORES[[#This Row],[FECHA DE FACTURACIÓN]],"DE CONTADO","CRÉDITO")</f>
        <v>DE CONTADO</v>
      </c>
      <c r="B166" s="70" t="b">
        <f>+IF((PROVEEDORES[[#This Row],[FECHA DE PAGO]]-PROVEEDORES[[#This Row],[FECHA DE FACTURACIÓN]])&gt;PROVEEDORES[[#This Row],[PLAZO Días]],"PAGO VENCIDO")</f>
        <v>0</v>
      </c>
      <c r="C166" s="27">
        <f>+VLOOKUP(PROVEEDORES[[#This Row],[PROVEEDOR]],TERCEROS_INFO[#All],2,FALSE)</f>
        <v>30</v>
      </c>
      <c r="D166" s="37">
        <f>+SUMIFS(PROVEEDORES[Total],PROVEEDORES[PROVEEDOR],PROVEEDORES[[#This Row],[PROVEEDOR]],PROVEEDORES[FECHA DE PAGO],"")</f>
        <v>0</v>
      </c>
      <c r="E166" s="37"/>
      <c r="F166" s="108" t="str">
        <f>+VLOOKUP(PROVEEDORES[[#This Row],[PROVEEDOR]],TERCEROS_INFO[[PROVEEDOR]:[CORREO]],5,FALSE)</f>
        <v/>
      </c>
      <c r="G166" s="30">
        <v>44438</v>
      </c>
      <c r="H166" s="38" t="s">
        <v>257</v>
      </c>
      <c r="I166" s="30">
        <v>44438</v>
      </c>
      <c r="J166" s="58" t="s">
        <v>1081</v>
      </c>
      <c r="K166" s="32">
        <v>12000</v>
      </c>
      <c r="L166" s="32"/>
      <c r="M166" s="33">
        <f>(PROVEEDORES[[#This Row],[SUBTOTAL]]-PROVEEDORES[[#This Row],[descuento antes de IVA]])*VLOOKUP(PROVEEDORES[[#This Row],[PROVEEDOR]],TERCEROS_INFO[#All],3,FALSE)</f>
        <v>0</v>
      </c>
      <c r="N166" s="34"/>
      <c r="O166" s="33">
        <f>+PROVEEDORES[[#This Row],[Descuento sobre subtotal %]]*(PROVEEDORES[[#This Row],[SUBTOTAL]]-PROVEEDORES[[#This Row],[descuento antes de IVA]])</f>
        <v>0</v>
      </c>
      <c r="P1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6" s="33">
        <f>+(PROVEEDORES[[#This Row],[SUBTOTAL]]-PROVEEDORES[[#This Row],[descuento antes de IVA]])*PROVEEDORES[[#This Row],[Rete Fuente %]]</f>
        <v>0</v>
      </c>
      <c r="R166" s="32">
        <f>+PROVEEDORES[[#This Row],[SUBTOTAL]]+PROVEEDORES[[#This Row],[IVA 19%]]-PROVEEDORES[[#This Row],[descuento antes de IVA]]-PROVEEDORES[[#This Row],[Descuento sobre subtotal $]]-PROVEEDORES[[#This Row],[Rete Fuente $]]</f>
        <v>12000</v>
      </c>
      <c r="S166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6" s="40"/>
      <c r="U166" s="97"/>
      <c r="V166" s="36"/>
      <c r="W166" s="36"/>
      <c r="X166" s="36"/>
      <c r="Y166" s="36"/>
      <c r="Z166" s="41"/>
      <c r="AA166" s="42"/>
      <c r="AF166" s="36"/>
      <c r="AG166" s="36"/>
    </row>
    <row r="167" spans="1:33" ht="21.95" hidden="1" customHeight="1" x14ac:dyDescent="0.25">
      <c r="A167" s="148" t="str">
        <f>+IF(PROVEEDORES[[#This Row],[FECHA DE PAGO]]=PROVEEDORES[[#This Row],[FECHA DE FACTURACIÓN]],"DE CONTADO","CRÉDITO")</f>
        <v>DE CONTADO</v>
      </c>
      <c r="B167" s="70" t="b">
        <f>+IF((PROVEEDORES[[#This Row],[FECHA DE PAGO]]-PROVEEDORES[[#This Row],[FECHA DE FACTURACIÓN]])&gt;PROVEEDORES[[#This Row],[PLAZO Días]],"PAGO VENCIDO")</f>
        <v>0</v>
      </c>
      <c r="C167" s="27">
        <f>+VLOOKUP(PROVEEDORES[[#This Row],[PROVEEDOR]],TERCEROS_INFO[#All],2,FALSE)</f>
        <v>30</v>
      </c>
      <c r="D167" s="37">
        <f>+SUMIFS(PROVEEDORES[Total],PROVEEDORES[PROVEEDOR],PROVEEDORES[[#This Row],[PROVEEDOR]],PROVEEDORES[FECHA DE PAGO],"")</f>
        <v>0</v>
      </c>
      <c r="E167" s="37"/>
      <c r="F167" s="108" t="str">
        <f>+VLOOKUP(PROVEEDORES[[#This Row],[PROVEEDOR]],TERCEROS_INFO[[PROVEEDOR]:[CORREO]],5,FALSE)</f>
        <v/>
      </c>
      <c r="G167" s="30">
        <v>44438</v>
      </c>
      <c r="H167" s="38" t="s">
        <v>257</v>
      </c>
      <c r="I167" s="30">
        <v>44438</v>
      </c>
      <c r="J167" s="58" t="s">
        <v>152</v>
      </c>
      <c r="K167" s="32">
        <v>338900</v>
      </c>
      <c r="L167" s="32"/>
      <c r="M167" s="33">
        <f>(PROVEEDORES[[#This Row],[SUBTOTAL]]-PROVEEDORES[[#This Row],[descuento antes de IVA]])*VLOOKUP(PROVEEDORES[[#This Row],[PROVEEDOR]],TERCEROS_INFO[#All],3,FALSE)</f>
        <v>0</v>
      </c>
      <c r="N167" s="34"/>
      <c r="O167" s="33">
        <f>+PROVEEDORES[[#This Row],[Descuento sobre subtotal %]]*(PROVEEDORES[[#This Row],[SUBTOTAL]]-PROVEEDORES[[#This Row],[descuento antes de IVA]])</f>
        <v>0</v>
      </c>
      <c r="P1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" s="33">
        <f>+(PROVEEDORES[[#This Row],[SUBTOTAL]]-PROVEEDORES[[#This Row],[descuento antes de IVA]])*PROVEEDORES[[#This Row],[Rete Fuente %]]</f>
        <v>0</v>
      </c>
      <c r="R167" s="32">
        <f>+PROVEEDORES[[#This Row],[SUBTOTAL]]+PROVEEDORES[[#This Row],[IVA 19%]]-PROVEEDORES[[#This Row],[descuento antes de IVA]]-PROVEEDORES[[#This Row],[Descuento sobre subtotal $]]-PROVEEDORES[[#This Row],[Rete Fuente $]]</f>
        <v>338900</v>
      </c>
      <c r="S167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7" s="40"/>
      <c r="U167" s="97"/>
      <c r="V167" s="36"/>
      <c r="W167" s="36"/>
      <c r="X167" s="36"/>
      <c r="Y167" s="36"/>
      <c r="Z167" s="41"/>
      <c r="AA167" s="42"/>
      <c r="AF167" s="36"/>
      <c r="AG167" s="36"/>
    </row>
    <row r="168" spans="1:33" ht="21.95" hidden="1" customHeight="1" x14ac:dyDescent="0.25">
      <c r="A168" s="144" t="str">
        <f>+IF(PROVEEDORES[[#This Row],[FECHA DE PAGO]]=PROVEEDORES[[#This Row],[FECHA DE FACTURACIÓN]],"DE CONTADO","CRÉDITO")</f>
        <v>DE CONTADO</v>
      </c>
      <c r="B168" s="70" t="b">
        <f>+IF((PROVEEDORES[[#This Row],[FECHA DE PAGO]]-PROVEEDORES[[#This Row],[FECHA DE FACTURACIÓN]])&gt;PROVEEDORES[[#This Row],[PLAZO Días]],"PAGO VENCIDO")</f>
        <v>0</v>
      </c>
      <c r="C168" s="27">
        <f>+VLOOKUP(PROVEEDORES[[#This Row],[PROVEEDOR]],TERCEROS_INFO[#All],2,FALSE)</f>
        <v>30</v>
      </c>
      <c r="D168" s="37">
        <f>+SUMIFS(PROVEEDORES[Total],PROVEEDORES[PROVEEDOR],PROVEEDORES[[#This Row],[PROVEEDOR]],PROVEEDORES[FECHA DE PAGO],"")</f>
        <v>0</v>
      </c>
      <c r="E168" s="37"/>
      <c r="F168" s="108" t="str">
        <f>+VLOOKUP(PROVEEDORES[[#This Row],[PROVEEDOR]],TERCEROS_INFO[[PROVEEDOR]:[CORREO]],5,FALSE)</f>
        <v/>
      </c>
      <c r="G168" s="143">
        <v>44440</v>
      </c>
      <c r="H168" s="38" t="s">
        <v>257</v>
      </c>
      <c r="I168" s="30">
        <v>44440</v>
      </c>
      <c r="J168" s="58" t="s">
        <v>1231</v>
      </c>
      <c r="K168" s="32">
        <v>50000</v>
      </c>
      <c r="L168" s="32"/>
      <c r="M168" s="33">
        <f>(PROVEEDORES[[#This Row],[SUBTOTAL]]-PROVEEDORES[[#This Row],[descuento antes de IVA]])*VLOOKUP(PROVEEDORES[[#This Row],[PROVEEDOR]],TERCEROS_INFO[#All],3,FALSE)</f>
        <v>0</v>
      </c>
      <c r="N168" s="34"/>
      <c r="O168" s="33">
        <f>+PROVEEDORES[[#This Row],[Descuento sobre subtotal %]]*(PROVEEDORES[[#This Row],[SUBTOTAL]]-PROVEEDORES[[#This Row],[descuento antes de IVA]])</f>
        <v>0</v>
      </c>
      <c r="P1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" s="33">
        <f>+(PROVEEDORES[[#This Row],[SUBTOTAL]]-PROVEEDORES[[#This Row],[descuento antes de IVA]])*PROVEEDORES[[#This Row],[Rete Fuente %]]</f>
        <v>0</v>
      </c>
      <c r="R168" s="32">
        <f>+PROVEEDORES[[#This Row],[SUBTOTAL]]+PROVEEDORES[[#This Row],[IVA 19%]]-PROVEEDORES[[#This Row],[descuento antes de IVA]]-PROVEEDORES[[#This Row],[Descuento sobre subtotal $]]-PROVEEDORES[[#This Row],[Rete Fuente $]]</f>
        <v>50000</v>
      </c>
      <c r="S168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8" s="40"/>
      <c r="U168" s="97"/>
      <c r="V168" s="36"/>
      <c r="W168" s="36"/>
      <c r="X168" s="36"/>
      <c r="Y168" s="36"/>
      <c r="Z168" s="41"/>
      <c r="AA168" s="42"/>
      <c r="AF168" s="36"/>
      <c r="AG168" s="36"/>
    </row>
    <row r="169" spans="1:33" ht="21.95" hidden="1" customHeight="1" x14ac:dyDescent="0.25">
      <c r="A169" s="153" t="str">
        <f>+IF(PROVEEDORES[[#This Row],[FECHA DE PAGO]]=PROVEEDORES[[#This Row],[FECHA DE FACTURACIÓN]],"DE CONTADO","CRÉDITO")</f>
        <v>DE CONTADO</v>
      </c>
      <c r="B169" s="70" t="b">
        <f>+IF((PROVEEDORES[[#This Row],[FECHA DE PAGO]]-PROVEEDORES[[#This Row],[FECHA DE FACTURACIÓN]])&gt;PROVEEDORES[[#This Row],[PLAZO Días]],"PAGO VENCIDO")</f>
        <v>0</v>
      </c>
      <c r="C169" s="27">
        <f>+VLOOKUP(PROVEEDORES[[#This Row],[PROVEEDOR]],TERCEROS_INFO[#All],2,FALSE)</f>
        <v>30</v>
      </c>
      <c r="D169" s="37">
        <f>+SUMIFS(PROVEEDORES[Total],PROVEEDORES[PROVEEDOR],PROVEEDORES[[#This Row],[PROVEEDOR]],PROVEEDORES[FECHA DE PAGO],"")</f>
        <v>0</v>
      </c>
      <c r="E169" s="37"/>
      <c r="F169" s="108" t="str">
        <f>+VLOOKUP(PROVEEDORES[[#This Row],[PROVEEDOR]],TERCEROS_INFO[[PROVEEDOR]:[CORREO]],5,FALSE)</f>
        <v/>
      </c>
      <c r="G169" s="30">
        <v>44460</v>
      </c>
      <c r="H169" s="38" t="s">
        <v>257</v>
      </c>
      <c r="I169" s="30">
        <v>44460</v>
      </c>
      <c r="J169" s="58" t="s">
        <v>1255</v>
      </c>
      <c r="K169" s="32">
        <v>480000</v>
      </c>
      <c r="L169" s="32"/>
      <c r="M169" s="33">
        <f>(PROVEEDORES[[#This Row],[SUBTOTAL]]-PROVEEDORES[[#This Row],[descuento antes de IVA]])*VLOOKUP(PROVEEDORES[[#This Row],[PROVEEDOR]],TERCEROS_INFO[#All],3,FALSE)</f>
        <v>0</v>
      </c>
      <c r="N169" s="34"/>
      <c r="O169" s="33">
        <f>+PROVEEDORES[[#This Row],[Descuento sobre subtotal %]]*(PROVEEDORES[[#This Row],[SUBTOTAL]]-PROVEEDORES[[#This Row],[descuento antes de IVA]])</f>
        <v>0</v>
      </c>
      <c r="P1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" s="33">
        <f>+(PROVEEDORES[[#This Row],[SUBTOTAL]]-PROVEEDORES[[#This Row],[descuento antes de IVA]])*PROVEEDORES[[#This Row],[Rete Fuente %]]</f>
        <v>0</v>
      </c>
      <c r="R169" s="32">
        <f>+PROVEEDORES[[#This Row],[SUBTOTAL]]+PROVEEDORES[[#This Row],[IVA 19%]]-PROVEEDORES[[#This Row],[descuento antes de IVA]]-PROVEEDORES[[#This Row],[Descuento sobre subtotal $]]-PROVEEDORES[[#This Row],[Rete Fuente $]]</f>
        <v>480000</v>
      </c>
      <c r="S169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9" s="40"/>
      <c r="U169" s="97"/>
      <c r="V169" s="36"/>
      <c r="W169" s="36"/>
      <c r="X169" s="36"/>
      <c r="Y169" s="36"/>
      <c r="Z169" s="41"/>
      <c r="AA169" s="42"/>
      <c r="AF169" s="36"/>
      <c r="AG169" s="36"/>
    </row>
    <row r="170" spans="1:33" ht="21.95" hidden="1" customHeight="1" x14ac:dyDescent="0.25">
      <c r="A170" s="154" t="str">
        <f>+IF(PROVEEDORES[[#This Row],[FECHA DE PAGO]]=PROVEEDORES[[#This Row],[FECHA DE FACTURACIÓN]],"DE CONTADO","CRÉDITO")</f>
        <v>DE CONTADO</v>
      </c>
      <c r="B170" s="70" t="b">
        <f>+IF((PROVEEDORES[[#This Row],[FECHA DE PAGO]]-PROVEEDORES[[#This Row],[FECHA DE FACTURACIÓN]])&gt;PROVEEDORES[[#This Row],[PLAZO Días]],"PAGO VENCIDO")</f>
        <v>0</v>
      </c>
      <c r="C170" s="27">
        <f>+VLOOKUP(PROVEEDORES[[#This Row],[PROVEEDOR]],TERCEROS_INFO[#All],2,FALSE)</f>
        <v>30</v>
      </c>
      <c r="D170" s="37">
        <f>+SUMIFS(PROVEEDORES[Total],PROVEEDORES[PROVEEDOR],PROVEEDORES[[#This Row],[PROVEEDOR]],PROVEEDORES[FECHA DE PAGO],"")</f>
        <v>0</v>
      </c>
      <c r="E170" s="37"/>
      <c r="F170" s="108" t="str">
        <f>+VLOOKUP(PROVEEDORES[[#This Row],[PROVEEDOR]],TERCEROS_INFO[[PROVEEDOR]:[CORREO]],5,FALSE)</f>
        <v/>
      </c>
      <c r="G170" s="143">
        <v>44469</v>
      </c>
      <c r="H170" s="38" t="s">
        <v>257</v>
      </c>
      <c r="I170" s="30">
        <v>44469</v>
      </c>
      <c r="J170" s="58" t="s">
        <v>1083</v>
      </c>
      <c r="K170" s="32">
        <v>3116500</v>
      </c>
      <c r="L170" s="32"/>
      <c r="M170" s="33">
        <f>(PROVEEDORES[[#This Row],[SUBTOTAL]]-PROVEEDORES[[#This Row],[descuento antes de IVA]])*VLOOKUP(PROVEEDORES[[#This Row],[PROVEEDOR]],TERCEROS_INFO[#All],3,FALSE)</f>
        <v>0</v>
      </c>
      <c r="N170" s="34"/>
      <c r="O170" s="33">
        <f>+PROVEEDORES[[#This Row],[Descuento sobre subtotal %]]*(PROVEEDORES[[#This Row],[SUBTOTAL]]-PROVEEDORES[[#This Row],[descuento antes de IVA]])</f>
        <v>0</v>
      </c>
      <c r="P1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" s="33">
        <f>+(PROVEEDORES[[#This Row],[SUBTOTAL]]-PROVEEDORES[[#This Row],[descuento antes de IVA]])*PROVEEDORES[[#This Row],[Rete Fuente %]]</f>
        <v>0</v>
      </c>
      <c r="R170" s="32">
        <f>+PROVEEDORES[[#This Row],[SUBTOTAL]]+PROVEEDORES[[#This Row],[IVA 19%]]-PROVEEDORES[[#This Row],[descuento antes de IVA]]-PROVEEDORES[[#This Row],[Descuento sobre subtotal $]]-PROVEEDORES[[#This Row],[Rete Fuente $]]</f>
        <v>3116500</v>
      </c>
      <c r="S170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0" s="40"/>
      <c r="U170" s="97"/>
      <c r="V170" s="36"/>
      <c r="W170" s="36"/>
      <c r="X170" s="36"/>
      <c r="Y170" s="36"/>
      <c r="Z170" s="41"/>
      <c r="AA170" s="42"/>
      <c r="AF170" s="36"/>
      <c r="AG170" s="36"/>
    </row>
    <row r="171" spans="1:33" ht="21.95" hidden="1" customHeight="1" x14ac:dyDescent="0.25">
      <c r="A171" s="154" t="str">
        <f>+IF(PROVEEDORES[[#This Row],[FECHA DE PAGO]]=PROVEEDORES[[#This Row],[FECHA DE FACTURACIÓN]],"DE CONTADO","CRÉDITO")</f>
        <v>DE CONTADO</v>
      </c>
      <c r="B171" s="70" t="b">
        <f>+IF((PROVEEDORES[[#This Row],[FECHA DE PAGO]]-PROVEEDORES[[#This Row],[FECHA DE FACTURACIÓN]])&gt;PROVEEDORES[[#This Row],[PLAZO Días]],"PAGO VENCIDO")</f>
        <v>0</v>
      </c>
      <c r="C171" s="27">
        <f>+VLOOKUP(PROVEEDORES[[#This Row],[PROVEEDOR]],TERCEROS_INFO[#All],2,FALSE)</f>
        <v>30</v>
      </c>
      <c r="D171" s="37">
        <f>+SUMIFS(PROVEEDORES[Total],PROVEEDORES[PROVEEDOR],PROVEEDORES[[#This Row],[PROVEEDOR]],PROVEEDORES[FECHA DE PAGO],"")</f>
        <v>0</v>
      </c>
      <c r="E171" s="37"/>
      <c r="F171" s="108" t="str">
        <f>+VLOOKUP(PROVEEDORES[[#This Row],[PROVEEDOR]],TERCEROS_INFO[[PROVEEDOR]:[CORREO]],5,FALSE)</f>
        <v/>
      </c>
      <c r="G171" s="143">
        <v>44469</v>
      </c>
      <c r="H171" s="38" t="s">
        <v>257</v>
      </c>
      <c r="I171" s="30">
        <v>44469</v>
      </c>
      <c r="J171" s="58" t="s">
        <v>1081</v>
      </c>
      <c r="K171" s="32">
        <v>251000</v>
      </c>
      <c r="L171" s="32"/>
      <c r="M171" s="33">
        <f>(PROVEEDORES[[#This Row],[SUBTOTAL]]-PROVEEDORES[[#This Row],[descuento antes de IVA]])*VLOOKUP(PROVEEDORES[[#This Row],[PROVEEDOR]],TERCEROS_INFO[#All],3,FALSE)</f>
        <v>0</v>
      </c>
      <c r="N171" s="34"/>
      <c r="O171" s="33">
        <f>+PROVEEDORES[[#This Row],[Descuento sobre subtotal %]]*(PROVEEDORES[[#This Row],[SUBTOTAL]]-PROVEEDORES[[#This Row],[descuento antes de IVA]])</f>
        <v>0</v>
      </c>
      <c r="P1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" s="33">
        <f>+(PROVEEDORES[[#This Row],[SUBTOTAL]]-PROVEEDORES[[#This Row],[descuento antes de IVA]])*PROVEEDORES[[#This Row],[Rete Fuente %]]</f>
        <v>0</v>
      </c>
      <c r="R171" s="32">
        <f>+PROVEEDORES[[#This Row],[SUBTOTAL]]+PROVEEDORES[[#This Row],[IVA 19%]]-PROVEEDORES[[#This Row],[descuento antes de IVA]]-PROVEEDORES[[#This Row],[Descuento sobre subtotal $]]-PROVEEDORES[[#This Row],[Rete Fuente $]]</f>
        <v>251000</v>
      </c>
      <c r="S171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1" s="40"/>
      <c r="U171" s="97"/>
      <c r="V171" s="36"/>
      <c r="W171" s="36"/>
      <c r="X171" s="36"/>
      <c r="Y171" s="36"/>
      <c r="Z171" s="41"/>
      <c r="AA171" s="42"/>
      <c r="AF171" s="36"/>
      <c r="AG171" s="36"/>
    </row>
    <row r="172" spans="1:33" ht="21.95" hidden="1" customHeight="1" x14ac:dyDescent="0.25">
      <c r="A172" s="154" t="str">
        <f>+IF(PROVEEDORES[[#This Row],[FECHA DE PAGO]]=PROVEEDORES[[#This Row],[FECHA DE FACTURACIÓN]],"DE CONTADO","CRÉDITO")</f>
        <v>DE CONTADO</v>
      </c>
      <c r="B172" s="70" t="b">
        <f>+IF((PROVEEDORES[[#This Row],[FECHA DE PAGO]]-PROVEEDORES[[#This Row],[FECHA DE FACTURACIÓN]])&gt;PROVEEDORES[[#This Row],[PLAZO Días]],"PAGO VENCIDO")</f>
        <v>0</v>
      </c>
      <c r="C172" s="27">
        <f>+VLOOKUP(PROVEEDORES[[#This Row],[PROVEEDOR]],TERCEROS_INFO[#All],2,FALSE)</f>
        <v>30</v>
      </c>
      <c r="D172" s="37">
        <f>+SUMIFS(PROVEEDORES[Total],PROVEEDORES[PROVEEDOR],PROVEEDORES[[#This Row],[PROVEEDOR]],PROVEEDORES[FECHA DE PAGO],"")</f>
        <v>0</v>
      </c>
      <c r="E172" s="37"/>
      <c r="F172" s="108" t="str">
        <f>+VLOOKUP(PROVEEDORES[[#This Row],[PROVEEDOR]],TERCEROS_INFO[[PROVEEDOR]:[CORREO]],5,FALSE)</f>
        <v/>
      </c>
      <c r="G172" s="143">
        <v>44469</v>
      </c>
      <c r="H172" s="38" t="s">
        <v>257</v>
      </c>
      <c r="I172" s="30">
        <v>44469</v>
      </c>
      <c r="J172" s="58" t="s">
        <v>152</v>
      </c>
      <c r="K172" s="32">
        <v>222000</v>
      </c>
      <c r="L172" s="32"/>
      <c r="M172" s="33">
        <f>(PROVEEDORES[[#This Row],[SUBTOTAL]]-PROVEEDORES[[#This Row],[descuento antes de IVA]])*VLOOKUP(PROVEEDORES[[#This Row],[PROVEEDOR]],TERCEROS_INFO[#All],3,FALSE)</f>
        <v>0</v>
      </c>
      <c r="N172" s="34"/>
      <c r="O172" s="33">
        <f>+PROVEEDORES[[#This Row],[Descuento sobre subtotal %]]*(PROVEEDORES[[#This Row],[SUBTOTAL]]-PROVEEDORES[[#This Row],[descuento antes de IVA]])</f>
        <v>0</v>
      </c>
      <c r="P1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" s="33">
        <f>+(PROVEEDORES[[#This Row],[SUBTOTAL]]-PROVEEDORES[[#This Row],[descuento antes de IVA]])*PROVEEDORES[[#This Row],[Rete Fuente %]]</f>
        <v>0</v>
      </c>
      <c r="R172" s="32">
        <f>+PROVEEDORES[[#This Row],[SUBTOTAL]]+PROVEEDORES[[#This Row],[IVA 19%]]-PROVEEDORES[[#This Row],[descuento antes de IVA]]-PROVEEDORES[[#This Row],[Descuento sobre subtotal $]]-PROVEEDORES[[#This Row],[Rete Fuente $]]</f>
        <v>222000</v>
      </c>
      <c r="S172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2" s="40"/>
      <c r="U172" s="97"/>
      <c r="V172" s="36"/>
      <c r="W172" s="36"/>
      <c r="X172" s="36"/>
      <c r="Y172" s="36"/>
      <c r="Z172" s="41"/>
      <c r="AA172" s="42"/>
      <c r="AF172" s="36"/>
      <c r="AG172" s="36"/>
    </row>
    <row r="173" spans="1:33" ht="21.95" hidden="1" customHeight="1" x14ac:dyDescent="0.25">
      <c r="A173" s="154" t="str">
        <f>+IF(PROVEEDORES[[#This Row],[FECHA DE PAGO]]=PROVEEDORES[[#This Row],[FECHA DE FACTURACIÓN]],"DE CONTADO","CRÉDITO")</f>
        <v>DE CONTADO</v>
      </c>
      <c r="B173" s="70" t="b">
        <f>+IF((PROVEEDORES[[#This Row],[FECHA DE PAGO]]-PROVEEDORES[[#This Row],[FECHA DE FACTURACIÓN]])&gt;PROVEEDORES[[#This Row],[PLAZO Días]],"PAGO VENCIDO")</f>
        <v>0</v>
      </c>
      <c r="C173" s="27">
        <f>+VLOOKUP(PROVEEDORES[[#This Row],[PROVEEDOR]],TERCEROS_INFO[#All],2,FALSE)</f>
        <v>30</v>
      </c>
      <c r="D173" s="37">
        <f>+SUMIFS(PROVEEDORES[Total],PROVEEDORES[PROVEEDOR],PROVEEDORES[[#This Row],[PROVEEDOR]],PROVEEDORES[FECHA DE PAGO],"")</f>
        <v>0</v>
      </c>
      <c r="E173" s="37"/>
      <c r="F173" s="108" t="str">
        <f>+VLOOKUP(PROVEEDORES[[#This Row],[PROVEEDOR]],TERCEROS_INFO[[PROVEEDOR]:[CORREO]],5,FALSE)</f>
        <v/>
      </c>
      <c r="G173" s="143">
        <v>44469</v>
      </c>
      <c r="H173" s="38" t="s">
        <v>257</v>
      </c>
      <c r="I173" s="30">
        <v>44469</v>
      </c>
      <c r="J173" s="58" t="s">
        <v>1082</v>
      </c>
      <c r="K173" s="32">
        <v>724000</v>
      </c>
      <c r="L173" s="32"/>
      <c r="M173" s="33">
        <f>(PROVEEDORES[[#This Row],[SUBTOTAL]]-PROVEEDORES[[#This Row],[descuento antes de IVA]])*VLOOKUP(PROVEEDORES[[#This Row],[PROVEEDOR]],TERCEROS_INFO[#All],3,FALSE)</f>
        <v>0</v>
      </c>
      <c r="N173" s="34"/>
      <c r="O173" s="33">
        <f>+PROVEEDORES[[#This Row],[Descuento sobre subtotal %]]*(PROVEEDORES[[#This Row],[SUBTOTAL]]-PROVEEDORES[[#This Row],[descuento antes de IVA]])</f>
        <v>0</v>
      </c>
      <c r="P1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" s="33">
        <f>+(PROVEEDORES[[#This Row],[SUBTOTAL]]-PROVEEDORES[[#This Row],[descuento antes de IVA]])*PROVEEDORES[[#This Row],[Rete Fuente %]]</f>
        <v>0</v>
      </c>
      <c r="R173" s="32">
        <f>+PROVEEDORES[[#This Row],[SUBTOTAL]]+PROVEEDORES[[#This Row],[IVA 19%]]-PROVEEDORES[[#This Row],[descuento antes de IVA]]-PROVEEDORES[[#This Row],[Descuento sobre subtotal $]]-PROVEEDORES[[#This Row],[Rete Fuente $]]</f>
        <v>724000</v>
      </c>
      <c r="S173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3" s="40"/>
      <c r="U173" s="97"/>
      <c r="V173" s="36"/>
      <c r="W173" s="36"/>
      <c r="X173" s="36"/>
      <c r="Y173" s="36"/>
      <c r="Z173" s="41"/>
      <c r="AA173" s="42"/>
      <c r="AF173" s="36"/>
      <c r="AG173" s="36"/>
    </row>
    <row r="174" spans="1:33" ht="21.95" hidden="1" customHeight="1" x14ac:dyDescent="0.25">
      <c r="A174" s="154" t="str">
        <f>+IF(PROVEEDORES[[#This Row],[FECHA DE PAGO]]=PROVEEDORES[[#This Row],[FECHA DE FACTURACIÓN]],"DE CONTADO","CRÉDITO")</f>
        <v>DE CONTADO</v>
      </c>
      <c r="B174" s="70" t="b">
        <f>+IF((PROVEEDORES[[#This Row],[FECHA DE PAGO]]-PROVEEDORES[[#This Row],[FECHA DE FACTURACIÓN]])&gt;PROVEEDORES[[#This Row],[PLAZO Días]],"PAGO VENCIDO")</f>
        <v>0</v>
      </c>
      <c r="C174" s="27">
        <f>+VLOOKUP(PROVEEDORES[[#This Row],[PROVEEDOR]],TERCEROS_INFO[#All],2,FALSE)</f>
        <v>30</v>
      </c>
      <c r="D174" s="37">
        <f>+SUMIFS(PROVEEDORES[Total],PROVEEDORES[PROVEEDOR],PROVEEDORES[[#This Row],[PROVEEDOR]],PROVEEDORES[FECHA DE PAGO],"")</f>
        <v>0</v>
      </c>
      <c r="E174" s="37"/>
      <c r="F174" s="108" t="str">
        <f>+VLOOKUP(PROVEEDORES[[#This Row],[PROVEEDOR]],TERCEROS_INFO[[PROVEEDOR]:[CORREO]],5,FALSE)</f>
        <v/>
      </c>
      <c r="G174" s="143">
        <v>44469</v>
      </c>
      <c r="H174" s="38" t="s">
        <v>257</v>
      </c>
      <c r="I174" s="30">
        <v>44469</v>
      </c>
      <c r="J174" s="58" t="s">
        <v>1260</v>
      </c>
      <c r="K174" s="32">
        <v>93000</v>
      </c>
      <c r="L174" s="32"/>
      <c r="M174" s="33">
        <f>(PROVEEDORES[[#This Row],[SUBTOTAL]]-PROVEEDORES[[#This Row],[descuento antes de IVA]])*VLOOKUP(PROVEEDORES[[#This Row],[PROVEEDOR]],TERCEROS_INFO[#All],3,FALSE)</f>
        <v>0</v>
      </c>
      <c r="N174" s="34"/>
      <c r="O174" s="33">
        <f>+PROVEEDORES[[#This Row],[Descuento sobre subtotal %]]*(PROVEEDORES[[#This Row],[SUBTOTAL]]-PROVEEDORES[[#This Row],[descuento antes de IVA]])</f>
        <v>0</v>
      </c>
      <c r="P1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" s="33">
        <f>+(PROVEEDORES[[#This Row],[SUBTOTAL]]-PROVEEDORES[[#This Row],[descuento antes de IVA]])*PROVEEDORES[[#This Row],[Rete Fuente %]]</f>
        <v>0</v>
      </c>
      <c r="R174" s="32">
        <f>+PROVEEDORES[[#This Row],[SUBTOTAL]]+PROVEEDORES[[#This Row],[IVA 19%]]-PROVEEDORES[[#This Row],[descuento antes de IVA]]-PROVEEDORES[[#This Row],[Descuento sobre subtotal $]]-PROVEEDORES[[#This Row],[Rete Fuente $]]</f>
        <v>93000</v>
      </c>
      <c r="S174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4" s="40"/>
      <c r="U174" s="97"/>
      <c r="V174" s="36"/>
      <c r="W174" s="36"/>
      <c r="X174" s="36"/>
      <c r="Y174" s="36"/>
      <c r="Z174" s="41"/>
      <c r="AA174" s="42"/>
      <c r="AF174" s="36"/>
      <c r="AG174" s="36"/>
    </row>
    <row r="175" spans="1:33" ht="21.95" hidden="1" customHeight="1" x14ac:dyDescent="0.25">
      <c r="A175" s="154" t="str">
        <f>+IF(PROVEEDORES[[#This Row],[FECHA DE PAGO]]=PROVEEDORES[[#This Row],[FECHA DE FACTURACIÓN]],"DE CONTADO","CRÉDITO")</f>
        <v>DE CONTADO</v>
      </c>
      <c r="B175" s="70" t="b">
        <f>+IF((PROVEEDORES[[#This Row],[FECHA DE PAGO]]-PROVEEDORES[[#This Row],[FECHA DE FACTURACIÓN]])&gt;PROVEEDORES[[#This Row],[PLAZO Días]],"PAGO VENCIDO")</f>
        <v>0</v>
      </c>
      <c r="C175" s="27">
        <f>+VLOOKUP(PROVEEDORES[[#This Row],[PROVEEDOR]],TERCEROS_INFO[#All],2,FALSE)</f>
        <v>30</v>
      </c>
      <c r="D175" s="37">
        <f>+SUMIFS(PROVEEDORES[Total],PROVEEDORES[PROVEEDOR],PROVEEDORES[[#This Row],[PROVEEDOR]],PROVEEDORES[FECHA DE PAGO],"")</f>
        <v>0</v>
      </c>
      <c r="E175" s="37"/>
      <c r="F175" s="108" t="str">
        <f>+VLOOKUP(PROVEEDORES[[#This Row],[PROVEEDOR]],TERCEROS_INFO[[PROVEEDOR]:[CORREO]],5,FALSE)</f>
        <v/>
      </c>
      <c r="G175" s="143">
        <v>44469</v>
      </c>
      <c r="H175" s="38" t="s">
        <v>257</v>
      </c>
      <c r="I175" s="30">
        <v>44469</v>
      </c>
      <c r="J175" s="58" t="s">
        <v>1229</v>
      </c>
      <c r="K175" s="32">
        <v>140000</v>
      </c>
      <c r="L175" s="32"/>
      <c r="M175" s="33">
        <f>(PROVEEDORES[[#This Row],[SUBTOTAL]]-PROVEEDORES[[#This Row],[descuento antes de IVA]])*VLOOKUP(PROVEEDORES[[#This Row],[PROVEEDOR]],TERCEROS_INFO[#All],3,FALSE)</f>
        <v>0</v>
      </c>
      <c r="N175" s="34"/>
      <c r="O175" s="33">
        <f>+PROVEEDORES[[#This Row],[Descuento sobre subtotal %]]*(PROVEEDORES[[#This Row],[SUBTOTAL]]-PROVEEDORES[[#This Row],[descuento antes de IVA]])</f>
        <v>0</v>
      </c>
      <c r="P1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" s="33">
        <f>+(PROVEEDORES[[#This Row],[SUBTOTAL]]-PROVEEDORES[[#This Row],[descuento antes de IVA]])*PROVEEDORES[[#This Row],[Rete Fuente %]]</f>
        <v>0</v>
      </c>
      <c r="R175" s="32">
        <f>+PROVEEDORES[[#This Row],[SUBTOTAL]]+PROVEEDORES[[#This Row],[IVA 19%]]-PROVEEDORES[[#This Row],[descuento antes de IVA]]-PROVEEDORES[[#This Row],[Descuento sobre subtotal $]]-PROVEEDORES[[#This Row],[Rete Fuente $]]</f>
        <v>140000</v>
      </c>
      <c r="S175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5" s="40"/>
      <c r="U175" s="97"/>
      <c r="V175" s="36"/>
      <c r="W175" s="36"/>
      <c r="X175" s="36"/>
      <c r="Y175" s="36"/>
      <c r="Z175" s="41"/>
      <c r="AA175" s="42"/>
      <c r="AF175" s="36"/>
      <c r="AG175" s="36"/>
    </row>
    <row r="176" spans="1:33" ht="21.95" hidden="1" customHeight="1" x14ac:dyDescent="0.25">
      <c r="A176" s="161" t="str">
        <f>+IF(PROVEEDORES[[#This Row],[FECHA DE PAGO]]=PROVEEDORES[[#This Row],[FECHA DE FACTURACIÓN]],"DE CONTADO","CRÉDITO")</f>
        <v>DE CONTADO</v>
      </c>
      <c r="B176" s="70" t="b">
        <f>+IF((PROVEEDORES[[#This Row],[FECHA DE PAGO]]-PROVEEDORES[[#This Row],[FECHA DE FACTURACIÓN]])&gt;PROVEEDORES[[#This Row],[PLAZO Días]],"PAGO VENCIDO")</f>
        <v>0</v>
      </c>
      <c r="C176" s="27">
        <f>+VLOOKUP(PROVEEDORES[[#This Row],[PROVEEDOR]],TERCEROS_INFO[#All],2,FALSE)</f>
        <v>30</v>
      </c>
      <c r="D176" s="37">
        <f>+SUMIFS(PROVEEDORES[Total],PROVEEDORES[PROVEEDOR],PROVEEDORES[[#This Row],[PROVEEDOR]],PROVEEDORES[FECHA DE PAGO],"")</f>
        <v>0</v>
      </c>
      <c r="E176" s="37"/>
      <c r="F176" s="108" t="str">
        <f>+VLOOKUP(PROVEEDORES[[#This Row],[PROVEEDOR]],TERCEROS_INFO[[PROVEEDOR]:[CORREO]],5,FALSE)</f>
        <v/>
      </c>
      <c r="G176" s="143">
        <v>44496</v>
      </c>
      <c r="H176" s="38" t="s">
        <v>257</v>
      </c>
      <c r="I176" s="143">
        <v>44496</v>
      </c>
      <c r="J176" s="58" t="s">
        <v>1287</v>
      </c>
      <c r="K176" s="32">
        <v>18000</v>
      </c>
      <c r="L176" s="32"/>
      <c r="M176" s="33">
        <f>(PROVEEDORES[[#This Row],[SUBTOTAL]]-PROVEEDORES[[#This Row],[descuento antes de IVA]])*VLOOKUP(PROVEEDORES[[#This Row],[PROVEEDOR]],TERCEROS_INFO[#All],3,FALSE)</f>
        <v>0</v>
      </c>
      <c r="N176" s="34"/>
      <c r="O176" s="33">
        <f>+PROVEEDORES[[#This Row],[Descuento sobre subtotal %]]*(PROVEEDORES[[#This Row],[SUBTOTAL]]-PROVEEDORES[[#This Row],[descuento antes de IVA]])</f>
        <v>0</v>
      </c>
      <c r="P1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" s="33">
        <f>+(PROVEEDORES[[#This Row],[SUBTOTAL]]-PROVEEDORES[[#This Row],[descuento antes de IVA]])*PROVEEDORES[[#This Row],[Rete Fuente %]]</f>
        <v>0</v>
      </c>
      <c r="R176" s="32">
        <f>+PROVEEDORES[[#This Row],[SUBTOTAL]]+PROVEEDORES[[#This Row],[IVA 19%]]-PROVEEDORES[[#This Row],[descuento antes de IVA]]-PROVEEDORES[[#This Row],[Descuento sobre subtotal $]]-PROVEEDORES[[#This Row],[Rete Fuente $]]</f>
        <v>18000</v>
      </c>
      <c r="S176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6" s="40"/>
      <c r="U176" s="97"/>
      <c r="V176" s="36"/>
      <c r="W176" s="36"/>
      <c r="X176" s="36"/>
      <c r="Y176" s="36"/>
      <c r="Z176" s="41"/>
      <c r="AA176" s="42"/>
      <c r="AF176" s="36"/>
      <c r="AG176" s="36"/>
    </row>
    <row r="177" spans="1:33" ht="21.95" hidden="1" customHeight="1" x14ac:dyDescent="0.25">
      <c r="A177" s="161" t="str">
        <f>+IF(PROVEEDORES[[#This Row],[FECHA DE PAGO]]=PROVEEDORES[[#This Row],[FECHA DE FACTURACIÓN]],"DE CONTADO","CRÉDITO")</f>
        <v>DE CONTADO</v>
      </c>
      <c r="B177" s="70" t="b">
        <f>+IF((PROVEEDORES[[#This Row],[FECHA DE PAGO]]-PROVEEDORES[[#This Row],[FECHA DE FACTURACIÓN]])&gt;PROVEEDORES[[#This Row],[PLAZO Días]],"PAGO VENCIDO")</f>
        <v>0</v>
      </c>
      <c r="C177" s="27">
        <f>+VLOOKUP(PROVEEDORES[[#This Row],[PROVEEDOR]],TERCEROS_INFO[#All],2,FALSE)</f>
        <v>30</v>
      </c>
      <c r="D177" s="37">
        <f>+SUMIFS(PROVEEDORES[Total],PROVEEDORES[PROVEEDOR],PROVEEDORES[[#This Row],[PROVEEDOR]],PROVEEDORES[FECHA DE PAGO],"")</f>
        <v>0</v>
      </c>
      <c r="E177" s="37"/>
      <c r="F177" s="108" t="str">
        <f>+VLOOKUP(PROVEEDORES[[#This Row],[PROVEEDOR]],TERCEROS_INFO[[PROVEEDOR]:[CORREO]],5,FALSE)</f>
        <v/>
      </c>
      <c r="G177" s="143">
        <v>44498</v>
      </c>
      <c r="H177" s="38" t="s">
        <v>257</v>
      </c>
      <c r="I177" s="143">
        <v>44498</v>
      </c>
      <c r="J177" s="58" t="s">
        <v>1292</v>
      </c>
      <c r="K177" s="32">
        <v>35000</v>
      </c>
      <c r="L177" s="32"/>
      <c r="M177" s="33">
        <f>(PROVEEDORES[[#This Row],[SUBTOTAL]]-PROVEEDORES[[#This Row],[descuento antes de IVA]])*VLOOKUP(PROVEEDORES[[#This Row],[PROVEEDOR]],TERCEROS_INFO[#All],3,FALSE)</f>
        <v>0</v>
      </c>
      <c r="N177" s="34"/>
      <c r="O177" s="33">
        <f>+PROVEEDORES[[#This Row],[Descuento sobre subtotal %]]*(PROVEEDORES[[#This Row],[SUBTOTAL]]-PROVEEDORES[[#This Row],[descuento antes de IVA]])</f>
        <v>0</v>
      </c>
      <c r="P1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" s="33">
        <f>+(PROVEEDORES[[#This Row],[SUBTOTAL]]-PROVEEDORES[[#This Row],[descuento antes de IVA]])*PROVEEDORES[[#This Row],[Rete Fuente %]]</f>
        <v>0</v>
      </c>
      <c r="R177" s="32">
        <f>+PROVEEDORES[[#This Row],[SUBTOTAL]]+PROVEEDORES[[#This Row],[IVA 19%]]-PROVEEDORES[[#This Row],[descuento antes de IVA]]-PROVEEDORES[[#This Row],[Descuento sobre subtotal $]]-PROVEEDORES[[#This Row],[Rete Fuente $]]</f>
        <v>35000</v>
      </c>
      <c r="S177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7" s="40"/>
      <c r="U177" s="97"/>
      <c r="V177" s="36"/>
      <c r="W177" s="36"/>
      <c r="X177" s="36"/>
      <c r="Y177" s="36"/>
      <c r="Z177" s="41"/>
      <c r="AA177" s="42"/>
      <c r="AF177" s="36"/>
      <c r="AG177" s="36"/>
    </row>
    <row r="178" spans="1:33" ht="21.95" hidden="1" customHeight="1" x14ac:dyDescent="0.25">
      <c r="A178" s="35" t="str">
        <f>+IF(PROVEEDORES[[#This Row],[FECHA DE PAGO]]=PROVEEDORES[[#This Row],[FECHA DE FACTURACIÓN]],"DE CONTADO","CRÉDITO")</f>
        <v>DE CONTADO</v>
      </c>
      <c r="B178" s="70" t="b">
        <f>+IF((PROVEEDORES[[#This Row],[FECHA DE PAGO]]-PROVEEDORES[[#This Row],[FECHA DE FACTURACIÓN]])&gt;PROVEEDORES[[#This Row],[PLAZO Días]],"PAGO VENCIDO")</f>
        <v>0</v>
      </c>
      <c r="C178" s="27">
        <f>+VLOOKUP(PROVEEDORES[[#This Row],[PROVEEDOR]],TERCEROS_INFO[#All],2,FALSE)</f>
        <v>30</v>
      </c>
      <c r="D178" s="37">
        <f>+SUMIFS(PROVEEDORES[Total],PROVEEDORES[PROVEEDOR],PROVEEDORES[[#This Row],[PROVEEDOR]],PROVEEDORES[FECHA DE PAGO],"")</f>
        <v>0</v>
      </c>
      <c r="E178" s="37"/>
      <c r="F178" s="108" t="str">
        <f>+VLOOKUP(PROVEEDORES[[#This Row],[PROVEEDOR]],TERCEROS_INFO[[PROVEEDOR]:[CORREO]],5,FALSE)</f>
        <v/>
      </c>
      <c r="G178" s="143">
        <v>44500</v>
      </c>
      <c r="H178" s="38" t="s">
        <v>257</v>
      </c>
      <c r="I178" s="143">
        <v>44500</v>
      </c>
      <c r="J178" s="58" t="s">
        <v>1229</v>
      </c>
      <c r="K178" s="32">
        <v>244000</v>
      </c>
      <c r="L178" s="32"/>
      <c r="M178" s="33">
        <f>(PROVEEDORES[[#This Row],[SUBTOTAL]]-PROVEEDORES[[#This Row],[descuento antes de IVA]])*VLOOKUP(PROVEEDORES[[#This Row],[PROVEEDOR]],TERCEROS_INFO[#All],3,FALSE)</f>
        <v>0</v>
      </c>
      <c r="N178" s="34"/>
      <c r="O178" s="33">
        <f>+PROVEEDORES[[#This Row],[Descuento sobre subtotal %]]*(PROVEEDORES[[#This Row],[SUBTOTAL]]-PROVEEDORES[[#This Row],[descuento antes de IVA]])</f>
        <v>0</v>
      </c>
      <c r="P1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" s="33">
        <f>+(PROVEEDORES[[#This Row],[SUBTOTAL]]-PROVEEDORES[[#This Row],[descuento antes de IVA]])*PROVEEDORES[[#This Row],[Rete Fuente %]]</f>
        <v>0</v>
      </c>
      <c r="R178" s="32">
        <f>+PROVEEDORES[[#This Row],[SUBTOTAL]]+PROVEEDORES[[#This Row],[IVA 19%]]-PROVEEDORES[[#This Row],[descuento antes de IVA]]-PROVEEDORES[[#This Row],[Descuento sobre subtotal $]]-PROVEEDORES[[#This Row],[Rete Fuente $]]</f>
        <v>244000</v>
      </c>
      <c r="S17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8" s="40"/>
      <c r="U178" s="97"/>
      <c r="V178" s="36"/>
      <c r="W178" s="36"/>
      <c r="X178" s="36"/>
      <c r="Y178" s="36"/>
      <c r="Z178" s="41"/>
      <c r="AA178" s="42"/>
      <c r="AF178" s="36"/>
      <c r="AG178" s="36"/>
    </row>
    <row r="179" spans="1:33" ht="21.95" hidden="1" customHeight="1" x14ac:dyDescent="0.25">
      <c r="A179" s="35" t="str">
        <f>+IF(PROVEEDORES[[#This Row],[FECHA DE PAGO]]=PROVEEDORES[[#This Row],[FECHA DE FACTURACIÓN]],"DE CONTADO","CRÉDITO")</f>
        <v>DE CONTADO</v>
      </c>
      <c r="B179" s="70" t="b">
        <f>+IF((PROVEEDORES[[#This Row],[FECHA DE PAGO]]-PROVEEDORES[[#This Row],[FECHA DE FACTURACIÓN]])&gt;PROVEEDORES[[#This Row],[PLAZO Días]],"PAGO VENCIDO")</f>
        <v>0</v>
      </c>
      <c r="C179" s="27">
        <f>+VLOOKUP(PROVEEDORES[[#This Row],[PROVEEDOR]],TERCEROS_INFO[#All],2,FALSE)</f>
        <v>30</v>
      </c>
      <c r="D179" s="37">
        <f>+SUMIFS(PROVEEDORES[Total],PROVEEDORES[PROVEEDOR],PROVEEDORES[[#This Row],[PROVEEDOR]],PROVEEDORES[FECHA DE PAGO],"")</f>
        <v>0</v>
      </c>
      <c r="E179" s="37"/>
      <c r="F179" s="108" t="str">
        <f>+VLOOKUP(PROVEEDORES[[#This Row],[PROVEEDOR]],TERCEROS_INFO[[PROVEEDOR]:[CORREO]],5,FALSE)</f>
        <v/>
      </c>
      <c r="G179" s="143">
        <v>44500</v>
      </c>
      <c r="H179" s="38" t="s">
        <v>257</v>
      </c>
      <c r="I179" s="143">
        <v>44500</v>
      </c>
      <c r="J179" s="58" t="s">
        <v>1082</v>
      </c>
      <c r="K179" s="32">
        <v>101500</v>
      </c>
      <c r="L179" s="32"/>
      <c r="M179" s="33">
        <f>(PROVEEDORES[[#This Row],[SUBTOTAL]]-PROVEEDORES[[#This Row],[descuento antes de IVA]])*VLOOKUP(PROVEEDORES[[#This Row],[PROVEEDOR]],TERCEROS_INFO[#All],3,FALSE)</f>
        <v>0</v>
      </c>
      <c r="N179" s="34"/>
      <c r="O179" s="33">
        <f>+PROVEEDORES[[#This Row],[Descuento sobre subtotal %]]*(PROVEEDORES[[#This Row],[SUBTOTAL]]-PROVEEDORES[[#This Row],[descuento antes de IVA]])</f>
        <v>0</v>
      </c>
      <c r="P1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" s="33">
        <f>+(PROVEEDORES[[#This Row],[SUBTOTAL]]-PROVEEDORES[[#This Row],[descuento antes de IVA]])*PROVEEDORES[[#This Row],[Rete Fuente %]]</f>
        <v>0</v>
      </c>
      <c r="R179" s="32">
        <f>+PROVEEDORES[[#This Row],[SUBTOTAL]]+PROVEEDORES[[#This Row],[IVA 19%]]-PROVEEDORES[[#This Row],[descuento antes de IVA]]-PROVEEDORES[[#This Row],[Descuento sobre subtotal $]]-PROVEEDORES[[#This Row],[Rete Fuente $]]</f>
        <v>101500</v>
      </c>
      <c r="S17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9" s="40"/>
      <c r="U179" s="97"/>
      <c r="V179" s="36"/>
      <c r="W179" s="36"/>
      <c r="X179" s="36"/>
      <c r="Y179" s="36"/>
      <c r="Z179" s="41"/>
      <c r="AA179" s="42"/>
      <c r="AF179" s="36"/>
      <c r="AG179" s="36"/>
    </row>
    <row r="180" spans="1:33" ht="21.95" hidden="1" customHeight="1" x14ac:dyDescent="0.25">
      <c r="A180" s="35" t="str">
        <f>+IF(PROVEEDORES[[#This Row],[FECHA DE PAGO]]=PROVEEDORES[[#This Row],[FECHA DE FACTURACIÓN]],"DE CONTADO","CRÉDITO")</f>
        <v>DE CONTADO</v>
      </c>
      <c r="B180" s="70" t="b">
        <f>+IF((PROVEEDORES[[#This Row],[FECHA DE PAGO]]-PROVEEDORES[[#This Row],[FECHA DE FACTURACIÓN]])&gt;PROVEEDORES[[#This Row],[PLAZO Días]],"PAGO VENCIDO")</f>
        <v>0</v>
      </c>
      <c r="C180" s="27">
        <f>+VLOOKUP(PROVEEDORES[[#This Row],[PROVEEDOR]],TERCEROS_INFO[#All],2,FALSE)</f>
        <v>30</v>
      </c>
      <c r="D180" s="37">
        <f>+SUMIFS(PROVEEDORES[Total],PROVEEDORES[PROVEEDOR],PROVEEDORES[[#This Row],[PROVEEDOR]],PROVEEDORES[FECHA DE PAGO],"")</f>
        <v>0</v>
      </c>
      <c r="E180" s="37"/>
      <c r="F180" s="108" t="str">
        <f>+VLOOKUP(PROVEEDORES[[#This Row],[PROVEEDOR]],TERCEROS_INFO[[PROVEEDOR]:[CORREO]],5,FALSE)</f>
        <v/>
      </c>
      <c r="G180" s="143">
        <v>44500</v>
      </c>
      <c r="H180" s="38" t="s">
        <v>257</v>
      </c>
      <c r="I180" s="143">
        <v>44500</v>
      </c>
      <c r="J180" s="58" t="s">
        <v>152</v>
      </c>
      <c r="K180" s="32">
        <v>440400</v>
      </c>
      <c r="L180" s="32"/>
      <c r="M180" s="33">
        <f>(PROVEEDORES[[#This Row],[SUBTOTAL]]-PROVEEDORES[[#This Row],[descuento antes de IVA]])*VLOOKUP(PROVEEDORES[[#This Row],[PROVEEDOR]],TERCEROS_INFO[#All],3,FALSE)</f>
        <v>0</v>
      </c>
      <c r="N180" s="34"/>
      <c r="O180" s="33">
        <f>+PROVEEDORES[[#This Row],[Descuento sobre subtotal %]]*(PROVEEDORES[[#This Row],[SUBTOTAL]]-PROVEEDORES[[#This Row],[descuento antes de IVA]])</f>
        <v>0</v>
      </c>
      <c r="P1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0" s="33">
        <f>+(PROVEEDORES[[#This Row],[SUBTOTAL]]-PROVEEDORES[[#This Row],[descuento antes de IVA]])*PROVEEDORES[[#This Row],[Rete Fuente %]]</f>
        <v>0</v>
      </c>
      <c r="R180" s="32">
        <f>+PROVEEDORES[[#This Row],[SUBTOTAL]]+PROVEEDORES[[#This Row],[IVA 19%]]-PROVEEDORES[[#This Row],[descuento antes de IVA]]-PROVEEDORES[[#This Row],[Descuento sobre subtotal $]]-PROVEEDORES[[#This Row],[Rete Fuente $]]</f>
        <v>440400</v>
      </c>
      <c r="S18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0" s="40"/>
      <c r="U180" s="97"/>
      <c r="V180" s="36"/>
      <c r="W180" s="36"/>
      <c r="X180" s="36"/>
      <c r="Y180" s="36"/>
      <c r="Z180" s="41"/>
      <c r="AA180" s="42"/>
      <c r="AF180" s="36"/>
      <c r="AG180" s="36"/>
    </row>
    <row r="181" spans="1:33" ht="21.95" hidden="1" customHeight="1" x14ac:dyDescent="0.25">
      <c r="A181" s="35" t="str">
        <f>+IF(PROVEEDORES[[#This Row],[FECHA DE PAGO]]=PROVEEDORES[[#This Row],[FECHA DE FACTURACIÓN]],"DE CONTADO","CRÉDITO")</f>
        <v>DE CONTADO</v>
      </c>
      <c r="B181" s="70" t="b">
        <f>+IF((PROVEEDORES[[#This Row],[FECHA DE PAGO]]-PROVEEDORES[[#This Row],[FECHA DE FACTURACIÓN]])&gt;PROVEEDORES[[#This Row],[PLAZO Días]],"PAGO VENCIDO")</f>
        <v>0</v>
      </c>
      <c r="C181" s="27">
        <f>+VLOOKUP(PROVEEDORES[[#This Row],[PROVEEDOR]],TERCEROS_INFO[#All],2,FALSE)</f>
        <v>30</v>
      </c>
      <c r="D181" s="37">
        <f>+SUMIFS(PROVEEDORES[Total],PROVEEDORES[PROVEEDOR],PROVEEDORES[[#This Row],[PROVEEDOR]],PROVEEDORES[FECHA DE PAGO],"")</f>
        <v>0</v>
      </c>
      <c r="E181" s="37"/>
      <c r="F181" s="108" t="str">
        <f>+VLOOKUP(PROVEEDORES[[#This Row],[PROVEEDOR]],TERCEROS_INFO[[PROVEEDOR]:[CORREO]],5,FALSE)</f>
        <v/>
      </c>
      <c r="G181" s="143">
        <v>44500</v>
      </c>
      <c r="H181" s="38" t="s">
        <v>257</v>
      </c>
      <c r="I181" s="143">
        <v>44500</v>
      </c>
      <c r="J181" s="58" t="s">
        <v>1083</v>
      </c>
      <c r="K181" s="32">
        <v>2991750</v>
      </c>
      <c r="L181" s="32"/>
      <c r="M181" s="33">
        <f>(PROVEEDORES[[#This Row],[SUBTOTAL]]-PROVEEDORES[[#This Row],[descuento antes de IVA]])*VLOOKUP(PROVEEDORES[[#This Row],[PROVEEDOR]],TERCEROS_INFO[#All],3,FALSE)</f>
        <v>0</v>
      </c>
      <c r="N181" s="34"/>
      <c r="O181" s="33">
        <f>+PROVEEDORES[[#This Row],[Descuento sobre subtotal %]]*(PROVEEDORES[[#This Row],[SUBTOTAL]]-PROVEEDORES[[#This Row],[descuento antes de IVA]])</f>
        <v>0</v>
      </c>
      <c r="P1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1" s="33">
        <f>+(PROVEEDORES[[#This Row],[SUBTOTAL]]-PROVEEDORES[[#This Row],[descuento antes de IVA]])*PROVEEDORES[[#This Row],[Rete Fuente %]]</f>
        <v>0</v>
      </c>
      <c r="R181" s="32">
        <f>+PROVEEDORES[[#This Row],[SUBTOTAL]]+PROVEEDORES[[#This Row],[IVA 19%]]-PROVEEDORES[[#This Row],[descuento antes de IVA]]-PROVEEDORES[[#This Row],[Descuento sobre subtotal $]]-PROVEEDORES[[#This Row],[Rete Fuente $]]</f>
        <v>2991750</v>
      </c>
      <c r="S18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1" s="40"/>
      <c r="U181" s="97"/>
      <c r="V181" s="36"/>
      <c r="W181" s="36"/>
      <c r="X181" s="36"/>
      <c r="Y181" s="36"/>
      <c r="Z181" s="41"/>
      <c r="AA181" s="42"/>
      <c r="AF181" s="36"/>
      <c r="AG181" s="36"/>
    </row>
    <row r="182" spans="1:33" ht="21.95" hidden="1" customHeight="1" x14ac:dyDescent="0.25">
      <c r="A182" s="35" t="str">
        <f>+IF(PROVEEDORES[[#This Row],[FECHA DE PAGO]]=PROVEEDORES[[#This Row],[FECHA DE FACTURACIÓN]],"DE CONTADO","CRÉDITO")</f>
        <v>DE CONTADO</v>
      </c>
      <c r="B182" s="70" t="b">
        <f>+IF((PROVEEDORES[[#This Row],[FECHA DE PAGO]]-PROVEEDORES[[#This Row],[FECHA DE FACTURACIÓN]])&gt;PROVEEDORES[[#This Row],[PLAZO Días]],"PAGO VENCIDO")</f>
        <v>0</v>
      </c>
      <c r="C182" s="27">
        <f>+VLOOKUP(PROVEEDORES[[#This Row],[PROVEEDOR]],TERCEROS_INFO[#All],2,FALSE)</f>
        <v>30</v>
      </c>
      <c r="D182" s="37">
        <f>+SUMIFS(PROVEEDORES[Total],PROVEEDORES[PROVEEDOR],PROVEEDORES[[#This Row],[PROVEEDOR]],PROVEEDORES[FECHA DE PAGO],"")</f>
        <v>0</v>
      </c>
      <c r="E182" s="37"/>
      <c r="F182" s="108" t="str">
        <f>+VLOOKUP(PROVEEDORES[[#This Row],[PROVEEDOR]],TERCEROS_INFO[[PROVEEDOR]:[CORREO]],5,FALSE)</f>
        <v/>
      </c>
      <c r="G182" s="143">
        <v>44500</v>
      </c>
      <c r="H182" s="38" t="s">
        <v>257</v>
      </c>
      <c r="I182" s="143">
        <v>44500</v>
      </c>
      <c r="J182" s="58" t="s">
        <v>1081</v>
      </c>
      <c r="K182" s="32">
        <v>213000</v>
      </c>
      <c r="L182" s="32"/>
      <c r="M182" s="33">
        <f>(PROVEEDORES[[#This Row],[SUBTOTAL]]-PROVEEDORES[[#This Row],[descuento antes de IVA]])*VLOOKUP(PROVEEDORES[[#This Row],[PROVEEDOR]],TERCEROS_INFO[#All],3,FALSE)</f>
        <v>0</v>
      </c>
      <c r="N182" s="34"/>
      <c r="O182" s="33">
        <f>+PROVEEDORES[[#This Row],[Descuento sobre subtotal %]]*(PROVEEDORES[[#This Row],[SUBTOTAL]]-PROVEEDORES[[#This Row],[descuento antes de IVA]])</f>
        <v>0</v>
      </c>
      <c r="P1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2" s="33">
        <f>+(PROVEEDORES[[#This Row],[SUBTOTAL]]-PROVEEDORES[[#This Row],[descuento antes de IVA]])*PROVEEDORES[[#This Row],[Rete Fuente %]]</f>
        <v>0</v>
      </c>
      <c r="R182" s="32">
        <f>+PROVEEDORES[[#This Row],[SUBTOTAL]]+PROVEEDORES[[#This Row],[IVA 19%]]-PROVEEDORES[[#This Row],[descuento antes de IVA]]-PROVEEDORES[[#This Row],[Descuento sobre subtotal $]]-PROVEEDORES[[#This Row],[Rete Fuente $]]</f>
        <v>213000</v>
      </c>
      <c r="S18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2" s="40"/>
      <c r="U182" s="97"/>
      <c r="V182" s="36"/>
      <c r="W182" s="36"/>
      <c r="X182" s="36"/>
      <c r="Y182" s="36"/>
      <c r="Z182" s="41"/>
      <c r="AA182" s="42"/>
      <c r="AF182" s="36"/>
      <c r="AG182" s="36"/>
    </row>
    <row r="183" spans="1:33" ht="21.95" hidden="1" customHeight="1" x14ac:dyDescent="0.25">
      <c r="A183" s="35" t="str">
        <f>+IF(PROVEEDORES[[#This Row],[FECHA DE PAGO]]=PROVEEDORES[[#This Row],[FECHA DE FACTURACIÓN]],"DE CONTADO","CRÉDITO")</f>
        <v>DE CONTADO</v>
      </c>
      <c r="B183" s="70" t="b">
        <f>+IF((PROVEEDORES[[#This Row],[FECHA DE PAGO]]-PROVEEDORES[[#This Row],[FECHA DE FACTURACIÓN]])&gt;PROVEEDORES[[#This Row],[PLAZO Días]],"PAGO VENCIDO")</f>
        <v>0</v>
      </c>
      <c r="C183" s="27">
        <f>+VLOOKUP(PROVEEDORES[[#This Row],[PROVEEDOR]],TERCEROS_INFO[#All],2,FALSE)</f>
        <v>30</v>
      </c>
      <c r="D183" s="37">
        <f>+SUMIFS(PROVEEDORES[Total],PROVEEDORES[PROVEEDOR],PROVEEDORES[[#This Row],[PROVEEDOR]],PROVEEDORES[FECHA DE PAGO],"")</f>
        <v>0</v>
      </c>
      <c r="E183" s="37"/>
      <c r="F183" s="108" t="str">
        <f>+VLOOKUP(PROVEEDORES[[#This Row],[PROVEEDOR]],TERCEROS_INFO[[PROVEEDOR]:[CORREO]],5,FALSE)</f>
        <v/>
      </c>
      <c r="G183" s="143">
        <v>44500</v>
      </c>
      <c r="H183" s="38" t="s">
        <v>257</v>
      </c>
      <c r="I183" s="143">
        <v>44500</v>
      </c>
      <c r="J183" s="58" t="s">
        <v>1260</v>
      </c>
      <c r="K183" s="32">
        <v>453200</v>
      </c>
      <c r="L183" s="32"/>
      <c r="M183" s="33">
        <f>(PROVEEDORES[[#This Row],[SUBTOTAL]]-PROVEEDORES[[#This Row],[descuento antes de IVA]])*VLOOKUP(PROVEEDORES[[#This Row],[PROVEEDOR]],TERCEROS_INFO[#All],3,FALSE)</f>
        <v>0</v>
      </c>
      <c r="N183" s="34"/>
      <c r="O183" s="33">
        <f>+PROVEEDORES[[#This Row],[Descuento sobre subtotal %]]*(PROVEEDORES[[#This Row],[SUBTOTAL]]-PROVEEDORES[[#This Row],[descuento antes de IVA]])</f>
        <v>0</v>
      </c>
      <c r="P1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3" s="33">
        <f>+(PROVEEDORES[[#This Row],[SUBTOTAL]]-PROVEEDORES[[#This Row],[descuento antes de IVA]])*PROVEEDORES[[#This Row],[Rete Fuente %]]</f>
        <v>0</v>
      </c>
      <c r="R183" s="32">
        <f>+PROVEEDORES[[#This Row],[SUBTOTAL]]+PROVEEDORES[[#This Row],[IVA 19%]]-PROVEEDORES[[#This Row],[descuento antes de IVA]]-PROVEEDORES[[#This Row],[Descuento sobre subtotal $]]-PROVEEDORES[[#This Row],[Rete Fuente $]]</f>
        <v>453200</v>
      </c>
      <c r="S18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3" s="40"/>
      <c r="U183" s="97"/>
      <c r="V183" s="36"/>
      <c r="W183" s="36"/>
      <c r="X183" s="36"/>
      <c r="Y183" s="36"/>
      <c r="Z183" s="41"/>
      <c r="AA183" s="42"/>
      <c r="AF183" s="36"/>
      <c r="AG183" s="36"/>
    </row>
    <row r="184" spans="1:33" ht="21.95" hidden="1" customHeight="1" x14ac:dyDescent="0.25">
      <c r="A184" s="35" t="str">
        <f>+IF(PROVEEDORES[[#This Row],[FECHA DE PAGO]]=PROVEEDORES[[#This Row],[FECHA DE FACTURACIÓN]],"DE CONTADO","CRÉDITO")</f>
        <v>DE CONTADO</v>
      </c>
      <c r="B184" s="70" t="b">
        <f>+IF((PROVEEDORES[[#This Row],[FECHA DE PAGO]]-PROVEEDORES[[#This Row],[FECHA DE FACTURACIÓN]])&gt;PROVEEDORES[[#This Row],[PLAZO Días]],"PAGO VENCIDO")</f>
        <v>0</v>
      </c>
      <c r="C184" s="27">
        <f>+VLOOKUP(PROVEEDORES[[#This Row],[PROVEEDOR]],TERCEROS_INFO[#All],2,FALSE)</f>
        <v>30</v>
      </c>
      <c r="D184" s="37">
        <f>+SUMIFS(PROVEEDORES[Total],PROVEEDORES[PROVEEDOR],PROVEEDORES[[#This Row],[PROVEEDOR]],PROVEEDORES[FECHA DE PAGO],"")</f>
        <v>0</v>
      </c>
      <c r="E184" s="37"/>
      <c r="F184" s="108" t="str">
        <f>+VLOOKUP(PROVEEDORES[[#This Row],[PROVEEDOR]],TERCEROS_INFO[[PROVEEDOR]:[CORREO]],5,FALSE)</f>
        <v/>
      </c>
      <c r="G184" s="143">
        <v>44509</v>
      </c>
      <c r="H184" s="38" t="s">
        <v>257</v>
      </c>
      <c r="I184" s="30">
        <v>44509</v>
      </c>
      <c r="J184" s="58" t="s">
        <v>1298</v>
      </c>
      <c r="K184" s="32">
        <v>40000</v>
      </c>
      <c r="L184" s="32"/>
      <c r="M184" s="33">
        <f>(PROVEEDORES[[#This Row],[SUBTOTAL]]-PROVEEDORES[[#This Row],[descuento antes de IVA]])*VLOOKUP(PROVEEDORES[[#This Row],[PROVEEDOR]],TERCEROS_INFO[#All],3,FALSE)</f>
        <v>0</v>
      </c>
      <c r="N184" s="34"/>
      <c r="O184" s="33">
        <f>+PROVEEDORES[[#This Row],[Descuento sobre subtotal %]]*(PROVEEDORES[[#This Row],[SUBTOTAL]]-PROVEEDORES[[#This Row],[descuento antes de IVA]])</f>
        <v>0</v>
      </c>
      <c r="P1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4" s="33">
        <f>+(PROVEEDORES[[#This Row],[SUBTOTAL]]-PROVEEDORES[[#This Row],[descuento antes de IVA]])*PROVEEDORES[[#This Row],[Rete Fuente %]]</f>
        <v>0</v>
      </c>
      <c r="R184" s="32">
        <f>+PROVEEDORES[[#This Row],[SUBTOTAL]]+PROVEEDORES[[#This Row],[IVA 19%]]-PROVEEDORES[[#This Row],[descuento antes de IVA]]-PROVEEDORES[[#This Row],[Descuento sobre subtotal $]]-PROVEEDORES[[#This Row],[Rete Fuente $]]</f>
        <v>40000</v>
      </c>
      <c r="S18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4" s="40"/>
      <c r="U184" s="97"/>
      <c r="V184" s="36"/>
      <c r="W184" s="36"/>
      <c r="X184" s="36"/>
      <c r="Y184" s="36"/>
      <c r="Z184" s="41"/>
      <c r="AA184" s="42"/>
      <c r="AF184" s="36"/>
      <c r="AG184" s="36"/>
    </row>
    <row r="185" spans="1:33" ht="21.95" hidden="1" customHeight="1" x14ac:dyDescent="0.25">
      <c r="A185" s="165" t="str">
        <f>+IF(PROVEEDORES[[#This Row],[FECHA DE PAGO]]=PROVEEDORES[[#This Row],[FECHA DE FACTURACIÓN]],"DE CONTADO","CRÉDITO")</f>
        <v>DE CONTADO</v>
      </c>
      <c r="B185" s="70" t="b">
        <f>+IF((PROVEEDORES[[#This Row],[FECHA DE PAGO]]-PROVEEDORES[[#This Row],[FECHA DE FACTURACIÓN]])&gt;PROVEEDORES[[#This Row],[PLAZO Días]],"PAGO VENCIDO")</f>
        <v>0</v>
      </c>
      <c r="C185" s="27">
        <f>+VLOOKUP(PROVEEDORES[[#This Row],[PROVEEDOR]],TERCEROS_INFO[#All],2,FALSE)</f>
        <v>30</v>
      </c>
      <c r="D185" s="37">
        <f>+SUMIFS(PROVEEDORES[Total],PROVEEDORES[PROVEEDOR],PROVEEDORES[[#This Row],[PROVEEDOR]],PROVEEDORES[FECHA DE PAGO],"")</f>
        <v>0</v>
      </c>
      <c r="E185" s="37"/>
      <c r="F185" s="108" t="str">
        <f>+VLOOKUP(PROVEEDORES[[#This Row],[PROVEEDOR]],TERCEROS_INFO[[PROVEEDOR]:[CORREO]],5,FALSE)</f>
        <v/>
      </c>
      <c r="G185" s="143">
        <v>44520</v>
      </c>
      <c r="H185" s="38" t="s">
        <v>257</v>
      </c>
      <c r="I185" s="143">
        <v>44520</v>
      </c>
      <c r="J185" s="58" t="s">
        <v>963</v>
      </c>
      <c r="K185" s="32">
        <v>350000</v>
      </c>
      <c r="L185" s="32"/>
      <c r="M185" s="33">
        <f>(PROVEEDORES[[#This Row],[SUBTOTAL]]-PROVEEDORES[[#This Row],[descuento antes de IVA]])*VLOOKUP(PROVEEDORES[[#This Row],[PROVEEDOR]],TERCEROS_INFO[#All],3,FALSE)</f>
        <v>0</v>
      </c>
      <c r="N185" s="34"/>
      <c r="O185" s="33">
        <f>+PROVEEDORES[[#This Row],[Descuento sobre subtotal %]]*(PROVEEDORES[[#This Row],[SUBTOTAL]]-PROVEEDORES[[#This Row],[descuento antes de IVA]])</f>
        <v>0</v>
      </c>
      <c r="P1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5" s="33">
        <f>+(PROVEEDORES[[#This Row],[SUBTOTAL]]-PROVEEDORES[[#This Row],[descuento antes de IVA]])*PROVEEDORES[[#This Row],[Rete Fuente %]]</f>
        <v>0</v>
      </c>
      <c r="R185" s="32">
        <f>+PROVEEDORES[[#This Row],[SUBTOTAL]]+PROVEEDORES[[#This Row],[IVA 19%]]-PROVEEDORES[[#This Row],[descuento antes de IVA]]-PROVEEDORES[[#This Row],[Descuento sobre subtotal $]]-PROVEEDORES[[#This Row],[Rete Fuente $]]</f>
        <v>350000</v>
      </c>
      <c r="S185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5" s="40"/>
      <c r="U185" s="97"/>
      <c r="V185" s="36"/>
      <c r="W185" s="36"/>
      <c r="X185" s="36"/>
      <c r="Y185" s="36"/>
      <c r="Z185" s="41"/>
      <c r="AA185" s="42"/>
      <c r="AF185" s="36"/>
      <c r="AG185" s="36"/>
    </row>
    <row r="186" spans="1:33" ht="21.95" hidden="1" customHeight="1" x14ac:dyDescent="0.25">
      <c r="A186" s="167" t="str">
        <f>+IF(PROVEEDORES[[#This Row],[FECHA DE PAGO]]=PROVEEDORES[[#This Row],[FECHA DE FACTURACIÓN]],"DE CONTADO","CRÉDITO")</f>
        <v>DE CONTADO</v>
      </c>
      <c r="B186" s="70" t="b">
        <f>+IF((PROVEEDORES[[#This Row],[FECHA DE PAGO]]-PROVEEDORES[[#This Row],[FECHA DE FACTURACIÓN]])&gt;PROVEEDORES[[#This Row],[PLAZO Días]],"PAGO VENCIDO")</f>
        <v>0</v>
      </c>
      <c r="C186" s="27">
        <f>+VLOOKUP(PROVEEDORES[[#This Row],[PROVEEDOR]],TERCEROS_INFO[#All],2,FALSE)</f>
        <v>30</v>
      </c>
      <c r="D186" s="37">
        <f>+SUMIFS(PROVEEDORES[Total],PROVEEDORES[PROVEEDOR],PROVEEDORES[[#This Row],[PROVEEDOR]],PROVEEDORES[FECHA DE PAGO],"")</f>
        <v>0</v>
      </c>
      <c r="E186" s="37"/>
      <c r="F186" s="108" t="str">
        <f>+VLOOKUP(PROVEEDORES[[#This Row],[PROVEEDOR]],TERCEROS_INFO[[PROVEEDOR]:[CORREO]],5,FALSE)</f>
        <v/>
      </c>
      <c r="G186" s="143">
        <v>44523</v>
      </c>
      <c r="H186" s="38" t="s">
        <v>257</v>
      </c>
      <c r="I186" s="30">
        <v>44523</v>
      </c>
      <c r="J186" s="58" t="s">
        <v>1303</v>
      </c>
      <c r="K186" s="32">
        <v>35000</v>
      </c>
      <c r="L186" s="32"/>
      <c r="M186" s="33">
        <f>(PROVEEDORES[[#This Row],[SUBTOTAL]]-PROVEEDORES[[#This Row],[descuento antes de IVA]])*VLOOKUP(PROVEEDORES[[#This Row],[PROVEEDOR]],TERCEROS_INFO[#All],3,FALSE)</f>
        <v>0</v>
      </c>
      <c r="N186" s="34"/>
      <c r="O186" s="33">
        <f>+PROVEEDORES[[#This Row],[Descuento sobre subtotal %]]*(PROVEEDORES[[#This Row],[SUBTOTAL]]-PROVEEDORES[[#This Row],[descuento antes de IVA]])</f>
        <v>0</v>
      </c>
      <c r="P1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6" s="33">
        <f>+(PROVEEDORES[[#This Row],[SUBTOTAL]]-PROVEEDORES[[#This Row],[descuento antes de IVA]])*PROVEEDORES[[#This Row],[Rete Fuente %]]</f>
        <v>0</v>
      </c>
      <c r="R186" s="32">
        <f>+PROVEEDORES[[#This Row],[SUBTOTAL]]+PROVEEDORES[[#This Row],[IVA 19%]]-PROVEEDORES[[#This Row],[descuento antes de IVA]]-PROVEEDORES[[#This Row],[Descuento sobre subtotal $]]-PROVEEDORES[[#This Row],[Rete Fuente $]]</f>
        <v>35000</v>
      </c>
      <c r="S186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6" s="40"/>
      <c r="U186" s="97"/>
      <c r="V186" s="36"/>
      <c r="W186" s="36"/>
      <c r="X186" s="36"/>
      <c r="Y186" s="36"/>
      <c r="Z186" s="41"/>
      <c r="AA186" s="42"/>
      <c r="AF186" s="36"/>
      <c r="AG186" s="36"/>
    </row>
    <row r="187" spans="1:33" ht="21.95" hidden="1" customHeight="1" x14ac:dyDescent="0.25">
      <c r="A187" s="35" t="str">
        <f>+IF(PROVEEDORES[[#This Row],[FECHA DE PAGO]]=PROVEEDORES[[#This Row],[FECHA DE FACTURACIÓN]],"DE CONTADO","CRÉDITO")</f>
        <v>DE CONTADO</v>
      </c>
      <c r="B187" s="70" t="b">
        <f>+IF((PROVEEDORES[[#This Row],[FECHA DE PAGO]]-PROVEEDORES[[#This Row],[FECHA DE FACTURACIÓN]])&gt;PROVEEDORES[[#This Row],[PLAZO Días]],"PAGO VENCIDO")</f>
        <v>0</v>
      </c>
      <c r="C187" s="27">
        <f>+VLOOKUP(PROVEEDORES[[#This Row],[PROVEEDOR]],TERCEROS_INFO[#All],2,FALSE)</f>
        <v>30</v>
      </c>
      <c r="D187" s="37">
        <f>+SUMIFS(PROVEEDORES[Total],PROVEEDORES[PROVEEDOR],PROVEEDORES[[#This Row],[PROVEEDOR]],PROVEEDORES[FECHA DE PAGO],"")</f>
        <v>0</v>
      </c>
      <c r="E187" s="37"/>
      <c r="F187" s="108" t="str">
        <f>+VLOOKUP(PROVEEDORES[[#This Row],[PROVEEDOR]],TERCEROS_INFO[[PROVEEDOR]:[CORREO]],5,FALSE)</f>
        <v/>
      </c>
      <c r="G187" s="143">
        <v>44530</v>
      </c>
      <c r="H187" s="57" t="s">
        <v>257</v>
      </c>
      <c r="I187" s="143">
        <v>44530</v>
      </c>
      <c r="J187" s="58" t="s">
        <v>1082</v>
      </c>
      <c r="K187" s="32">
        <v>755000</v>
      </c>
      <c r="L187" s="32"/>
      <c r="M187" s="33">
        <f>(PROVEEDORES[[#This Row],[SUBTOTAL]]-PROVEEDORES[[#This Row],[descuento antes de IVA]])*VLOOKUP(PROVEEDORES[[#This Row],[PROVEEDOR]],TERCEROS_INFO[#All],3,FALSE)</f>
        <v>0</v>
      </c>
      <c r="N187" s="34"/>
      <c r="O187" s="33">
        <f>+PROVEEDORES[[#This Row],[Descuento sobre subtotal %]]*(PROVEEDORES[[#This Row],[SUBTOTAL]]-PROVEEDORES[[#This Row],[descuento antes de IVA]])</f>
        <v>0</v>
      </c>
      <c r="P1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7" s="33">
        <f>+(PROVEEDORES[[#This Row],[SUBTOTAL]]-PROVEEDORES[[#This Row],[descuento antes de IVA]])*PROVEEDORES[[#This Row],[Rete Fuente %]]</f>
        <v>0</v>
      </c>
      <c r="R187" s="32">
        <f>+PROVEEDORES[[#This Row],[SUBTOTAL]]+PROVEEDORES[[#This Row],[IVA 19%]]-PROVEEDORES[[#This Row],[descuento antes de IVA]]-PROVEEDORES[[#This Row],[Descuento sobre subtotal $]]-PROVEEDORES[[#This Row],[Rete Fuente $]]</f>
        <v>755000</v>
      </c>
      <c r="S18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7" s="40"/>
      <c r="U187" s="97"/>
      <c r="V187" s="36"/>
      <c r="W187" s="36"/>
      <c r="X187" s="36"/>
      <c r="Y187" s="36"/>
      <c r="Z187" s="41"/>
      <c r="AA187" s="42"/>
      <c r="AF187" s="36"/>
      <c r="AG187" s="36"/>
    </row>
    <row r="188" spans="1:33" ht="21.95" hidden="1" customHeight="1" x14ac:dyDescent="0.25">
      <c r="A188" s="35" t="str">
        <f>+IF(PROVEEDORES[[#This Row],[FECHA DE PAGO]]=PROVEEDORES[[#This Row],[FECHA DE FACTURACIÓN]],"DE CONTADO","CRÉDITO")</f>
        <v>DE CONTADO</v>
      </c>
      <c r="B188" s="70" t="b">
        <f>+IF((PROVEEDORES[[#This Row],[FECHA DE PAGO]]-PROVEEDORES[[#This Row],[FECHA DE FACTURACIÓN]])&gt;PROVEEDORES[[#This Row],[PLAZO Días]],"PAGO VENCIDO")</f>
        <v>0</v>
      </c>
      <c r="C188" s="27">
        <f>+VLOOKUP(PROVEEDORES[[#This Row],[PROVEEDOR]],TERCEROS_INFO[#All],2,FALSE)</f>
        <v>30</v>
      </c>
      <c r="D188" s="37">
        <f>+SUMIFS(PROVEEDORES[Total],PROVEEDORES[PROVEEDOR],PROVEEDORES[[#This Row],[PROVEEDOR]],PROVEEDORES[FECHA DE PAGO],"")</f>
        <v>0</v>
      </c>
      <c r="E188" s="37"/>
      <c r="F188" s="108" t="str">
        <f>+VLOOKUP(PROVEEDORES[[#This Row],[PROVEEDOR]],TERCEROS_INFO[[PROVEEDOR]:[CORREO]],5,FALSE)</f>
        <v/>
      </c>
      <c r="G188" s="143">
        <v>44530</v>
      </c>
      <c r="H188" s="57" t="s">
        <v>257</v>
      </c>
      <c r="I188" s="143">
        <v>44530</v>
      </c>
      <c r="J188" s="58" t="s">
        <v>1083</v>
      </c>
      <c r="K188" s="32">
        <v>3153500</v>
      </c>
      <c r="L188" s="32"/>
      <c r="M188" s="33">
        <f>(PROVEEDORES[[#This Row],[SUBTOTAL]]-PROVEEDORES[[#This Row],[descuento antes de IVA]])*VLOOKUP(PROVEEDORES[[#This Row],[PROVEEDOR]],TERCEROS_INFO[#All],3,FALSE)</f>
        <v>0</v>
      </c>
      <c r="N188" s="34"/>
      <c r="O188" s="33">
        <f>+PROVEEDORES[[#This Row],[Descuento sobre subtotal %]]*(PROVEEDORES[[#This Row],[SUBTOTAL]]-PROVEEDORES[[#This Row],[descuento antes de IVA]])</f>
        <v>0</v>
      </c>
      <c r="P1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8" s="33">
        <f>+(PROVEEDORES[[#This Row],[SUBTOTAL]]-PROVEEDORES[[#This Row],[descuento antes de IVA]])*PROVEEDORES[[#This Row],[Rete Fuente %]]</f>
        <v>0</v>
      </c>
      <c r="R188" s="32">
        <f>+PROVEEDORES[[#This Row],[SUBTOTAL]]+PROVEEDORES[[#This Row],[IVA 19%]]-PROVEEDORES[[#This Row],[descuento antes de IVA]]-PROVEEDORES[[#This Row],[Descuento sobre subtotal $]]-PROVEEDORES[[#This Row],[Rete Fuente $]]</f>
        <v>3153500</v>
      </c>
      <c r="S18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8" s="40"/>
      <c r="U188" s="97"/>
      <c r="V188" s="36"/>
      <c r="W188" s="36"/>
      <c r="X188" s="36"/>
      <c r="Y188" s="36"/>
      <c r="Z188" s="41"/>
      <c r="AA188" s="42"/>
      <c r="AF188" s="36"/>
      <c r="AG188" s="36"/>
    </row>
    <row r="189" spans="1:33" ht="21.95" hidden="1" customHeight="1" x14ac:dyDescent="0.25">
      <c r="A189" s="35" t="str">
        <f>+IF(PROVEEDORES[[#This Row],[FECHA DE PAGO]]=PROVEEDORES[[#This Row],[FECHA DE FACTURACIÓN]],"DE CONTADO","CRÉDITO")</f>
        <v>DE CONTADO</v>
      </c>
      <c r="B189" s="70" t="b">
        <f>+IF((PROVEEDORES[[#This Row],[FECHA DE PAGO]]-PROVEEDORES[[#This Row],[FECHA DE FACTURACIÓN]])&gt;PROVEEDORES[[#This Row],[PLAZO Días]],"PAGO VENCIDO")</f>
        <v>0</v>
      </c>
      <c r="C189" s="27">
        <f>+VLOOKUP(PROVEEDORES[[#This Row],[PROVEEDOR]],TERCEROS_INFO[#All],2,FALSE)</f>
        <v>30</v>
      </c>
      <c r="D189" s="37">
        <f>+SUMIFS(PROVEEDORES[Total],PROVEEDORES[PROVEEDOR],PROVEEDORES[[#This Row],[PROVEEDOR]],PROVEEDORES[FECHA DE PAGO],"")</f>
        <v>0</v>
      </c>
      <c r="E189" s="37"/>
      <c r="F189" s="108" t="str">
        <f>+VLOOKUP(PROVEEDORES[[#This Row],[PROVEEDOR]],TERCEROS_INFO[[PROVEEDOR]:[CORREO]],5,FALSE)</f>
        <v/>
      </c>
      <c r="G189" s="143">
        <v>44530</v>
      </c>
      <c r="H189" s="57" t="s">
        <v>257</v>
      </c>
      <c r="I189" s="143">
        <v>44530</v>
      </c>
      <c r="J189" s="58" t="s">
        <v>1081</v>
      </c>
      <c r="K189" s="32">
        <v>78000</v>
      </c>
      <c r="L189" s="32"/>
      <c r="M189" s="33">
        <f>(PROVEEDORES[[#This Row],[SUBTOTAL]]-PROVEEDORES[[#This Row],[descuento antes de IVA]])*VLOOKUP(PROVEEDORES[[#This Row],[PROVEEDOR]],TERCEROS_INFO[#All],3,FALSE)</f>
        <v>0</v>
      </c>
      <c r="N189" s="34"/>
      <c r="O189" s="33">
        <f>+PROVEEDORES[[#This Row],[Descuento sobre subtotal %]]*(PROVEEDORES[[#This Row],[SUBTOTAL]]-PROVEEDORES[[#This Row],[descuento antes de IVA]])</f>
        <v>0</v>
      </c>
      <c r="P1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9" s="33">
        <f>+(PROVEEDORES[[#This Row],[SUBTOTAL]]-PROVEEDORES[[#This Row],[descuento antes de IVA]])*PROVEEDORES[[#This Row],[Rete Fuente %]]</f>
        <v>0</v>
      </c>
      <c r="R189" s="32">
        <f>+PROVEEDORES[[#This Row],[SUBTOTAL]]+PROVEEDORES[[#This Row],[IVA 19%]]-PROVEEDORES[[#This Row],[descuento antes de IVA]]-PROVEEDORES[[#This Row],[Descuento sobre subtotal $]]-PROVEEDORES[[#This Row],[Rete Fuente $]]</f>
        <v>78000</v>
      </c>
      <c r="S18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9" s="40"/>
      <c r="U189" s="97"/>
      <c r="V189" s="36"/>
      <c r="W189" s="36"/>
      <c r="X189" s="36"/>
      <c r="Y189" s="36"/>
      <c r="Z189" s="41"/>
      <c r="AA189" s="42"/>
      <c r="AF189" s="36"/>
      <c r="AG189" s="36"/>
    </row>
    <row r="190" spans="1:33" ht="21.95" hidden="1" customHeight="1" x14ac:dyDescent="0.25">
      <c r="A190" s="35" t="str">
        <f>+IF(PROVEEDORES[[#This Row],[FECHA DE PAGO]]=PROVEEDORES[[#This Row],[FECHA DE FACTURACIÓN]],"DE CONTADO","CRÉDITO")</f>
        <v>DE CONTADO</v>
      </c>
      <c r="B190" s="70" t="b">
        <f>+IF((PROVEEDORES[[#This Row],[FECHA DE PAGO]]-PROVEEDORES[[#This Row],[FECHA DE FACTURACIÓN]])&gt;PROVEEDORES[[#This Row],[PLAZO Días]],"PAGO VENCIDO")</f>
        <v>0</v>
      </c>
      <c r="C190" s="27">
        <f>+VLOOKUP(PROVEEDORES[[#This Row],[PROVEEDOR]],TERCEROS_INFO[#All],2,FALSE)</f>
        <v>30</v>
      </c>
      <c r="D190" s="37">
        <f>+SUMIFS(PROVEEDORES[Total],PROVEEDORES[PROVEEDOR],PROVEEDORES[[#This Row],[PROVEEDOR]],PROVEEDORES[FECHA DE PAGO],"")</f>
        <v>0</v>
      </c>
      <c r="E190" s="37"/>
      <c r="F190" s="108" t="str">
        <f>+VLOOKUP(PROVEEDORES[[#This Row],[PROVEEDOR]],TERCEROS_INFO[[PROVEEDOR]:[CORREO]],5,FALSE)</f>
        <v/>
      </c>
      <c r="G190" s="143">
        <v>44530</v>
      </c>
      <c r="H190" s="57" t="s">
        <v>257</v>
      </c>
      <c r="I190" s="143">
        <v>44530</v>
      </c>
      <c r="J190" s="58" t="s">
        <v>152</v>
      </c>
      <c r="K190" s="32">
        <v>739000</v>
      </c>
      <c r="L190" s="32"/>
      <c r="M190" s="33">
        <f>(PROVEEDORES[[#This Row],[SUBTOTAL]]-PROVEEDORES[[#This Row],[descuento antes de IVA]])*VLOOKUP(PROVEEDORES[[#This Row],[PROVEEDOR]],TERCEROS_INFO[#All],3,FALSE)</f>
        <v>0</v>
      </c>
      <c r="N190" s="34"/>
      <c r="O190" s="33">
        <f>+PROVEEDORES[[#This Row],[Descuento sobre subtotal %]]*(PROVEEDORES[[#This Row],[SUBTOTAL]]-PROVEEDORES[[#This Row],[descuento antes de IVA]])</f>
        <v>0</v>
      </c>
      <c r="P1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0" s="33">
        <f>+(PROVEEDORES[[#This Row],[SUBTOTAL]]-PROVEEDORES[[#This Row],[descuento antes de IVA]])*PROVEEDORES[[#This Row],[Rete Fuente %]]</f>
        <v>0</v>
      </c>
      <c r="R190" s="32">
        <f>+PROVEEDORES[[#This Row],[SUBTOTAL]]+PROVEEDORES[[#This Row],[IVA 19%]]-PROVEEDORES[[#This Row],[descuento antes de IVA]]-PROVEEDORES[[#This Row],[Descuento sobre subtotal $]]-PROVEEDORES[[#This Row],[Rete Fuente $]]</f>
        <v>739000</v>
      </c>
      <c r="S19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0" s="40"/>
      <c r="U190" s="97"/>
      <c r="V190" s="36"/>
      <c r="W190" s="36"/>
      <c r="X190" s="36"/>
      <c r="Y190" s="36"/>
      <c r="Z190" s="41"/>
      <c r="AA190" s="42"/>
      <c r="AF190" s="36"/>
      <c r="AG190" s="36"/>
    </row>
    <row r="191" spans="1:33" ht="21.95" hidden="1" customHeight="1" x14ac:dyDescent="0.25">
      <c r="A191" s="35" t="str">
        <f>+IF(PROVEEDORES[[#This Row],[FECHA DE PAGO]]=PROVEEDORES[[#This Row],[FECHA DE FACTURACIÓN]],"DE CONTADO","CRÉDITO")</f>
        <v>DE CONTADO</v>
      </c>
      <c r="B191" s="70" t="b">
        <f>+IF((PROVEEDORES[[#This Row],[FECHA DE PAGO]]-PROVEEDORES[[#This Row],[FECHA DE FACTURACIÓN]])&gt;PROVEEDORES[[#This Row],[PLAZO Días]],"PAGO VENCIDO")</f>
        <v>0</v>
      </c>
      <c r="C191" s="27">
        <f>+VLOOKUP(PROVEEDORES[[#This Row],[PROVEEDOR]],TERCEROS_INFO[#All],2,FALSE)</f>
        <v>30</v>
      </c>
      <c r="D191" s="37">
        <f>+SUMIFS(PROVEEDORES[Total],PROVEEDORES[PROVEEDOR],PROVEEDORES[[#This Row],[PROVEEDOR]],PROVEEDORES[FECHA DE PAGO],"")</f>
        <v>0</v>
      </c>
      <c r="E191" s="37"/>
      <c r="F191" s="108" t="str">
        <f>+VLOOKUP(PROVEEDORES[[#This Row],[PROVEEDOR]],TERCEROS_INFO[[PROVEEDOR]:[CORREO]],5,FALSE)</f>
        <v/>
      </c>
      <c r="G191" s="143">
        <v>44530</v>
      </c>
      <c r="H191" s="57" t="s">
        <v>257</v>
      </c>
      <c r="I191" s="143">
        <v>44530</v>
      </c>
      <c r="J191" s="58" t="s">
        <v>1260</v>
      </c>
      <c r="K191" s="32">
        <v>154000</v>
      </c>
      <c r="L191" s="32"/>
      <c r="M191" s="33">
        <f>(PROVEEDORES[[#This Row],[SUBTOTAL]]-PROVEEDORES[[#This Row],[descuento antes de IVA]])*VLOOKUP(PROVEEDORES[[#This Row],[PROVEEDOR]],TERCEROS_INFO[#All],3,FALSE)</f>
        <v>0</v>
      </c>
      <c r="N191" s="34"/>
      <c r="O191" s="33">
        <f>+PROVEEDORES[[#This Row],[Descuento sobre subtotal %]]*(PROVEEDORES[[#This Row],[SUBTOTAL]]-PROVEEDORES[[#This Row],[descuento antes de IVA]])</f>
        <v>0</v>
      </c>
      <c r="P1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1" s="33">
        <f>+(PROVEEDORES[[#This Row],[SUBTOTAL]]-PROVEEDORES[[#This Row],[descuento antes de IVA]])*PROVEEDORES[[#This Row],[Rete Fuente %]]</f>
        <v>0</v>
      </c>
      <c r="R191" s="32">
        <f>+PROVEEDORES[[#This Row],[SUBTOTAL]]+PROVEEDORES[[#This Row],[IVA 19%]]-PROVEEDORES[[#This Row],[descuento antes de IVA]]-PROVEEDORES[[#This Row],[Descuento sobre subtotal $]]-PROVEEDORES[[#This Row],[Rete Fuente $]]</f>
        <v>154000</v>
      </c>
      <c r="S19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1" s="40"/>
      <c r="U191" s="97"/>
      <c r="V191" s="36"/>
      <c r="W191" s="36"/>
      <c r="X191" s="36"/>
      <c r="Y191" s="36"/>
      <c r="Z191" s="41"/>
      <c r="AA191" s="42"/>
      <c r="AF191" s="36"/>
      <c r="AG191" s="36"/>
    </row>
    <row r="192" spans="1:33" ht="21.95" hidden="1" customHeight="1" x14ac:dyDescent="0.25">
      <c r="A192" s="35" t="str">
        <f>+IF(PROVEEDORES[[#This Row],[FECHA DE PAGO]]=PROVEEDORES[[#This Row],[FECHA DE FACTURACIÓN]],"DE CONTADO","CRÉDITO")</f>
        <v>DE CONTADO</v>
      </c>
      <c r="B192" s="70" t="b">
        <f>+IF((PROVEEDORES[[#This Row],[FECHA DE PAGO]]-PROVEEDORES[[#This Row],[FECHA DE FACTURACIÓN]])&gt;PROVEEDORES[[#This Row],[PLAZO Días]],"PAGO VENCIDO")</f>
        <v>0</v>
      </c>
      <c r="C192" s="27">
        <f>+VLOOKUP(PROVEEDORES[[#This Row],[PROVEEDOR]],TERCEROS_INFO[#All],2,FALSE)</f>
        <v>30</v>
      </c>
      <c r="D192" s="37">
        <f>+SUMIFS(PROVEEDORES[Total],PROVEEDORES[PROVEEDOR],PROVEEDORES[[#This Row],[PROVEEDOR]],PROVEEDORES[FECHA DE PAGO],"")</f>
        <v>0</v>
      </c>
      <c r="E192" s="37"/>
      <c r="F192" s="108" t="str">
        <f>+VLOOKUP(PROVEEDORES[[#This Row],[PROVEEDOR]],TERCEROS_INFO[[PROVEEDOR]:[CORREO]],5,FALSE)</f>
        <v/>
      </c>
      <c r="G192" s="143">
        <v>44530</v>
      </c>
      <c r="H192" s="57" t="s">
        <v>257</v>
      </c>
      <c r="I192" s="143">
        <v>44530</v>
      </c>
      <c r="J192" s="58" t="s">
        <v>1310</v>
      </c>
      <c r="K192" s="32">
        <v>385000</v>
      </c>
      <c r="L192" s="32"/>
      <c r="M192" s="33">
        <f>(PROVEEDORES[[#This Row],[SUBTOTAL]]-PROVEEDORES[[#This Row],[descuento antes de IVA]])*VLOOKUP(PROVEEDORES[[#This Row],[PROVEEDOR]],TERCEROS_INFO[#All],3,FALSE)</f>
        <v>0</v>
      </c>
      <c r="N192" s="34"/>
      <c r="O192" s="33">
        <f>+PROVEEDORES[[#This Row],[Descuento sobre subtotal %]]*(PROVEEDORES[[#This Row],[SUBTOTAL]]-PROVEEDORES[[#This Row],[descuento antes de IVA]])</f>
        <v>0</v>
      </c>
      <c r="P1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2" s="33">
        <f>+(PROVEEDORES[[#This Row],[SUBTOTAL]]-PROVEEDORES[[#This Row],[descuento antes de IVA]])*PROVEEDORES[[#This Row],[Rete Fuente %]]</f>
        <v>0</v>
      </c>
      <c r="R192" s="32">
        <f>+PROVEEDORES[[#This Row],[SUBTOTAL]]+PROVEEDORES[[#This Row],[IVA 19%]]-PROVEEDORES[[#This Row],[descuento antes de IVA]]-PROVEEDORES[[#This Row],[Descuento sobre subtotal $]]-PROVEEDORES[[#This Row],[Rete Fuente $]]</f>
        <v>385000</v>
      </c>
      <c r="S19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2" s="40"/>
      <c r="U192" s="97"/>
      <c r="V192" s="36"/>
      <c r="W192" s="36"/>
      <c r="X192" s="36"/>
      <c r="Y192" s="36"/>
      <c r="Z192" s="41"/>
      <c r="AA192" s="42"/>
      <c r="AF192" s="36"/>
      <c r="AG192" s="36"/>
    </row>
    <row r="193" spans="1:33" ht="21.95" hidden="1" customHeight="1" x14ac:dyDescent="0.25">
      <c r="A193" s="35" t="str">
        <f>+IF(PROVEEDORES[[#This Row],[FECHA DE PAGO]]=PROVEEDORES[[#This Row],[FECHA DE FACTURACIÓN]],"DE CONTADO","CRÉDITO")</f>
        <v>DE CONTADO</v>
      </c>
      <c r="B193" s="70" t="b">
        <f>+IF((PROVEEDORES[[#This Row],[FECHA DE PAGO]]-PROVEEDORES[[#This Row],[FECHA DE FACTURACIÓN]])&gt;PROVEEDORES[[#This Row],[PLAZO Días]],"PAGO VENCIDO")</f>
        <v>0</v>
      </c>
      <c r="C193" s="27">
        <f>+VLOOKUP(PROVEEDORES[[#This Row],[PROVEEDOR]],TERCEROS_INFO[#All],2,FALSE)</f>
        <v>30</v>
      </c>
      <c r="D193" s="37">
        <f>+SUMIFS(PROVEEDORES[Total],PROVEEDORES[PROVEEDOR],PROVEEDORES[[#This Row],[PROVEEDOR]],PROVEEDORES[FECHA DE PAGO],"")</f>
        <v>0</v>
      </c>
      <c r="E193" s="37"/>
      <c r="F193" s="108" t="str">
        <f>+VLOOKUP(PROVEEDORES[[#This Row],[PROVEEDOR]],TERCEROS_INFO[[PROVEEDOR]:[CORREO]],5,FALSE)</f>
        <v/>
      </c>
      <c r="G193" s="30">
        <v>44532</v>
      </c>
      <c r="H193" s="57" t="s">
        <v>257</v>
      </c>
      <c r="I193" s="30">
        <v>44532</v>
      </c>
      <c r="J193" s="58" t="s">
        <v>1312</v>
      </c>
      <c r="K193" s="32">
        <v>124000</v>
      </c>
      <c r="L193" s="32"/>
      <c r="M193" s="33">
        <f>(PROVEEDORES[[#This Row],[SUBTOTAL]]-PROVEEDORES[[#This Row],[descuento antes de IVA]])*VLOOKUP(PROVEEDORES[[#This Row],[PROVEEDOR]],TERCEROS_INFO[#All],3,FALSE)</f>
        <v>0</v>
      </c>
      <c r="N193" s="34"/>
      <c r="O193" s="33">
        <f>+PROVEEDORES[[#This Row],[Descuento sobre subtotal %]]*(PROVEEDORES[[#This Row],[SUBTOTAL]]-PROVEEDORES[[#This Row],[descuento antes de IVA]])</f>
        <v>0</v>
      </c>
      <c r="P1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3" s="33">
        <f>+(PROVEEDORES[[#This Row],[SUBTOTAL]]-PROVEEDORES[[#This Row],[descuento antes de IVA]])*PROVEEDORES[[#This Row],[Rete Fuente %]]</f>
        <v>0</v>
      </c>
      <c r="R193" s="32">
        <f>+PROVEEDORES[[#This Row],[SUBTOTAL]]+PROVEEDORES[[#This Row],[IVA 19%]]-PROVEEDORES[[#This Row],[descuento antes de IVA]]-PROVEEDORES[[#This Row],[Descuento sobre subtotal $]]-PROVEEDORES[[#This Row],[Rete Fuente $]]</f>
        <v>124000</v>
      </c>
      <c r="S19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3" s="40"/>
      <c r="U193" s="97"/>
      <c r="V193" s="36"/>
      <c r="W193" s="36"/>
      <c r="X193" s="36"/>
      <c r="Y193" s="36"/>
      <c r="Z193" s="41"/>
      <c r="AA193" s="42"/>
      <c r="AF193" s="36"/>
      <c r="AG193" s="36"/>
    </row>
    <row r="194" spans="1:33" ht="21.95" hidden="1" customHeight="1" x14ac:dyDescent="0.25">
      <c r="A194" s="35" t="str">
        <f>+IF(PROVEEDORES[[#This Row],[FECHA DE PAGO]]=PROVEEDORES[[#This Row],[FECHA DE FACTURACIÓN]],"DE CONTADO","CRÉDITO")</f>
        <v>DE CONTADO</v>
      </c>
      <c r="B194" s="70" t="b">
        <f>+IF((PROVEEDORES[[#This Row],[FECHA DE PAGO]]-PROVEEDORES[[#This Row],[FECHA DE FACTURACIÓN]])&gt;PROVEEDORES[[#This Row],[PLAZO Días]],"PAGO VENCIDO")</f>
        <v>0</v>
      </c>
      <c r="C194" s="27">
        <f>+VLOOKUP(PROVEEDORES[[#This Row],[PROVEEDOR]],TERCEROS_INFO[#All],2,FALSE)</f>
        <v>30</v>
      </c>
      <c r="D194" s="37">
        <f>+SUMIFS(PROVEEDORES[Total],PROVEEDORES[PROVEEDOR],PROVEEDORES[[#This Row],[PROVEEDOR]],PROVEEDORES[FECHA DE PAGO],"")</f>
        <v>0</v>
      </c>
      <c r="E194" s="37"/>
      <c r="F194" s="108" t="str">
        <f>+VLOOKUP(PROVEEDORES[[#This Row],[PROVEEDOR]],TERCEROS_INFO[[PROVEEDOR]:[CORREO]],5,FALSE)</f>
        <v/>
      </c>
      <c r="G194" s="143">
        <v>44551</v>
      </c>
      <c r="H194" s="57" t="s">
        <v>257</v>
      </c>
      <c r="I194" s="30">
        <v>44551</v>
      </c>
      <c r="J194" s="58" t="s">
        <v>1324</v>
      </c>
      <c r="K194" s="32">
        <v>92000</v>
      </c>
      <c r="L194" s="32"/>
      <c r="M194" s="33">
        <f>(PROVEEDORES[[#This Row],[SUBTOTAL]]-PROVEEDORES[[#This Row],[descuento antes de IVA]])*VLOOKUP(PROVEEDORES[[#This Row],[PROVEEDOR]],TERCEROS_INFO[#All],3,FALSE)</f>
        <v>0</v>
      </c>
      <c r="N194" s="34"/>
      <c r="O194" s="33">
        <f>+PROVEEDORES[[#This Row],[Descuento sobre subtotal %]]*(PROVEEDORES[[#This Row],[SUBTOTAL]]-PROVEEDORES[[#This Row],[descuento antes de IVA]])</f>
        <v>0</v>
      </c>
      <c r="P1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4" s="33">
        <f>+(PROVEEDORES[[#This Row],[SUBTOTAL]]-PROVEEDORES[[#This Row],[descuento antes de IVA]])*PROVEEDORES[[#This Row],[Rete Fuente %]]</f>
        <v>0</v>
      </c>
      <c r="R194" s="32">
        <f>+PROVEEDORES[[#This Row],[SUBTOTAL]]+PROVEEDORES[[#This Row],[IVA 19%]]-PROVEEDORES[[#This Row],[descuento antes de IVA]]-PROVEEDORES[[#This Row],[Descuento sobre subtotal $]]-PROVEEDORES[[#This Row],[Rete Fuente $]]</f>
        <v>92000</v>
      </c>
      <c r="S19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4" s="40"/>
      <c r="U194" s="97"/>
      <c r="V194" s="36"/>
      <c r="W194" s="36"/>
      <c r="X194" s="36"/>
      <c r="Y194" s="36"/>
      <c r="Z194" s="41"/>
      <c r="AA194" s="42"/>
      <c r="AF194" s="36"/>
      <c r="AG194" s="36"/>
    </row>
    <row r="195" spans="1:33" ht="21.95" hidden="1" customHeight="1" x14ac:dyDescent="0.25">
      <c r="A195" s="175" t="str">
        <f>+IF(PROVEEDORES[[#This Row],[FECHA DE PAGO]]=PROVEEDORES[[#This Row],[FECHA DE FACTURACIÓN]],"DE CONTADO","CRÉDITO")</f>
        <v>DE CONTADO</v>
      </c>
      <c r="B195" s="70" t="b">
        <f>+IF((PROVEEDORES[[#This Row],[FECHA DE PAGO]]-PROVEEDORES[[#This Row],[FECHA DE FACTURACIÓN]])&gt;PROVEEDORES[[#This Row],[PLAZO Días]],"PAGO VENCIDO")</f>
        <v>0</v>
      </c>
      <c r="C195" s="27">
        <f>+VLOOKUP(PROVEEDORES[[#This Row],[PROVEEDOR]],TERCEROS_INFO[#All],2,FALSE)</f>
        <v>30</v>
      </c>
      <c r="D195" s="37">
        <f>+SUMIFS(PROVEEDORES[Total],PROVEEDORES[PROVEEDOR],PROVEEDORES[[#This Row],[PROVEEDOR]],PROVEEDORES[FECHA DE PAGO],"")</f>
        <v>0</v>
      </c>
      <c r="E195" s="37"/>
      <c r="F195" s="108" t="str">
        <f>+VLOOKUP(PROVEEDORES[[#This Row],[PROVEEDOR]],TERCEROS_INFO[[PROVEEDOR]:[CORREO]],5,FALSE)</f>
        <v/>
      </c>
      <c r="G195" s="143">
        <v>44561</v>
      </c>
      <c r="H195" s="57" t="s">
        <v>257</v>
      </c>
      <c r="I195" s="143">
        <v>44561</v>
      </c>
      <c r="J195" s="58" t="s">
        <v>1367</v>
      </c>
      <c r="K195" s="32">
        <v>4909000</v>
      </c>
      <c r="L195" s="32"/>
      <c r="M195" s="33">
        <f>(PROVEEDORES[[#This Row],[SUBTOTAL]]-PROVEEDORES[[#This Row],[descuento antes de IVA]])*VLOOKUP(PROVEEDORES[[#This Row],[PROVEEDOR]],TERCEROS_INFO[#All],3,FALSE)</f>
        <v>0</v>
      </c>
      <c r="N195" s="34"/>
      <c r="O195" s="33">
        <f>+PROVEEDORES[[#This Row],[Descuento sobre subtotal %]]*(PROVEEDORES[[#This Row],[SUBTOTAL]]-PROVEEDORES[[#This Row],[descuento antes de IVA]])</f>
        <v>0</v>
      </c>
      <c r="P1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5" s="33">
        <f>+(PROVEEDORES[[#This Row],[SUBTOTAL]]-PROVEEDORES[[#This Row],[descuento antes de IVA]])*PROVEEDORES[[#This Row],[Rete Fuente %]]</f>
        <v>0</v>
      </c>
      <c r="R195" s="32">
        <f>+PROVEEDORES[[#This Row],[SUBTOTAL]]+PROVEEDORES[[#This Row],[IVA 19%]]-PROVEEDORES[[#This Row],[descuento antes de IVA]]-PROVEEDORES[[#This Row],[Descuento sobre subtotal $]]-PROVEEDORES[[#This Row],[Rete Fuente $]]</f>
        <v>4909000</v>
      </c>
      <c r="S195" s="17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5" s="40"/>
      <c r="U195" s="97"/>
      <c r="V195" s="36"/>
      <c r="W195" s="36"/>
      <c r="X195" s="36"/>
      <c r="Y195" s="36"/>
      <c r="Z195" s="41"/>
      <c r="AA195" s="42"/>
      <c r="AF195" s="36"/>
      <c r="AG195" s="36"/>
    </row>
    <row r="196" spans="1:33" ht="21.95" hidden="1" customHeight="1" x14ac:dyDescent="0.25">
      <c r="A196" s="175" t="str">
        <f>+IF(PROVEEDORES[[#This Row],[FECHA DE PAGO]]=PROVEEDORES[[#This Row],[FECHA DE FACTURACIÓN]],"DE CONTADO","CRÉDITO")</f>
        <v>DE CONTADO</v>
      </c>
      <c r="B196" s="70" t="b">
        <f>+IF((PROVEEDORES[[#This Row],[FECHA DE PAGO]]-PROVEEDORES[[#This Row],[FECHA DE FACTURACIÓN]])&gt;PROVEEDORES[[#This Row],[PLAZO Días]],"PAGO VENCIDO")</f>
        <v>0</v>
      </c>
      <c r="C196" s="27">
        <f>+VLOOKUP(PROVEEDORES[[#This Row],[PROVEEDOR]],TERCEROS_INFO[#All],2,FALSE)</f>
        <v>30</v>
      </c>
      <c r="D196" s="37">
        <f>+SUMIFS(PROVEEDORES[Total],PROVEEDORES[PROVEEDOR],PROVEEDORES[[#This Row],[PROVEEDOR]],PROVEEDORES[FECHA DE PAGO],"")</f>
        <v>0</v>
      </c>
      <c r="E196" s="37"/>
      <c r="F196" s="108" t="str">
        <f>+VLOOKUP(PROVEEDORES[[#This Row],[PROVEEDOR]],TERCEROS_INFO[[PROVEEDOR]:[CORREO]],5,FALSE)</f>
        <v/>
      </c>
      <c r="G196" s="143">
        <v>44561</v>
      </c>
      <c r="H196" s="57" t="s">
        <v>257</v>
      </c>
      <c r="I196" s="143">
        <v>44561</v>
      </c>
      <c r="J196" s="58" t="s">
        <v>1368</v>
      </c>
      <c r="K196" s="32">
        <v>30000</v>
      </c>
      <c r="L196" s="32"/>
      <c r="M196" s="33">
        <f>(PROVEEDORES[[#This Row],[SUBTOTAL]]-PROVEEDORES[[#This Row],[descuento antes de IVA]])*VLOOKUP(PROVEEDORES[[#This Row],[PROVEEDOR]],TERCEROS_INFO[#All],3,FALSE)</f>
        <v>0</v>
      </c>
      <c r="N196" s="34"/>
      <c r="O196" s="33">
        <f>+PROVEEDORES[[#This Row],[Descuento sobre subtotal %]]*(PROVEEDORES[[#This Row],[SUBTOTAL]]-PROVEEDORES[[#This Row],[descuento antes de IVA]])</f>
        <v>0</v>
      </c>
      <c r="P1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6" s="33">
        <f>+(PROVEEDORES[[#This Row],[SUBTOTAL]]-PROVEEDORES[[#This Row],[descuento antes de IVA]])*PROVEEDORES[[#This Row],[Rete Fuente %]]</f>
        <v>0</v>
      </c>
      <c r="R196" s="32">
        <f>+PROVEEDORES[[#This Row],[SUBTOTAL]]+PROVEEDORES[[#This Row],[IVA 19%]]-PROVEEDORES[[#This Row],[descuento antes de IVA]]-PROVEEDORES[[#This Row],[Descuento sobre subtotal $]]-PROVEEDORES[[#This Row],[Rete Fuente $]]</f>
        <v>30000</v>
      </c>
      <c r="S196" s="17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6" s="40"/>
      <c r="U196" s="97"/>
      <c r="V196" s="36"/>
      <c r="W196" s="36"/>
      <c r="X196" s="36"/>
      <c r="Y196" s="36"/>
      <c r="Z196" s="41"/>
      <c r="AA196" s="42"/>
      <c r="AF196" s="36"/>
      <c r="AG196" s="36"/>
    </row>
    <row r="197" spans="1:33" ht="21.95" hidden="1" customHeight="1" x14ac:dyDescent="0.25">
      <c r="A197" s="175" t="str">
        <f>+IF(PROVEEDORES[[#This Row],[FECHA DE PAGO]]=PROVEEDORES[[#This Row],[FECHA DE FACTURACIÓN]],"DE CONTADO","CRÉDITO")</f>
        <v>DE CONTADO</v>
      </c>
      <c r="B197" s="70" t="b">
        <f>+IF((PROVEEDORES[[#This Row],[FECHA DE PAGO]]-PROVEEDORES[[#This Row],[FECHA DE FACTURACIÓN]])&gt;PROVEEDORES[[#This Row],[PLAZO Días]],"PAGO VENCIDO")</f>
        <v>0</v>
      </c>
      <c r="C197" s="27">
        <f>+VLOOKUP(PROVEEDORES[[#This Row],[PROVEEDOR]],TERCEROS_INFO[#All],2,FALSE)</f>
        <v>30</v>
      </c>
      <c r="D197" s="37">
        <f>+SUMIFS(PROVEEDORES[Total],PROVEEDORES[PROVEEDOR],PROVEEDORES[[#This Row],[PROVEEDOR]],PROVEEDORES[FECHA DE PAGO],"")</f>
        <v>0</v>
      </c>
      <c r="E197" s="37"/>
      <c r="F197" s="108" t="str">
        <f>+VLOOKUP(PROVEEDORES[[#This Row],[PROVEEDOR]],TERCEROS_INFO[[PROVEEDOR]:[CORREO]],5,FALSE)</f>
        <v/>
      </c>
      <c r="G197" s="143">
        <v>44561</v>
      </c>
      <c r="H197" s="57" t="s">
        <v>257</v>
      </c>
      <c r="I197" s="143">
        <v>44561</v>
      </c>
      <c r="J197" s="58" t="s">
        <v>1369</v>
      </c>
      <c r="K197" s="32">
        <v>922000</v>
      </c>
      <c r="L197" s="32"/>
      <c r="M197" s="33">
        <f>(PROVEEDORES[[#This Row],[SUBTOTAL]]-PROVEEDORES[[#This Row],[descuento antes de IVA]])*VLOOKUP(PROVEEDORES[[#This Row],[PROVEEDOR]],TERCEROS_INFO[#All],3,FALSE)</f>
        <v>0</v>
      </c>
      <c r="N197" s="34"/>
      <c r="O197" s="33">
        <f>+PROVEEDORES[[#This Row],[Descuento sobre subtotal %]]*(PROVEEDORES[[#This Row],[SUBTOTAL]]-PROVEEDORES[[#This Row],[descuento antes de IVA]])</f>
        <v>0</v>
      </c>
      <c r="P1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7" s="33">
        <f>+(PROVEEDORES[[#This Row],[SUBTOTAL]]-PROVEEDORES[[#This Row],[descuento antes de IVA]])*PROVEEDORES[[#This Row],[Rete Fuente %]]</f>
        <v>0</v>
      </c>
      <c r="R197" s="32">
        <f>+PROVEEDORES[[#This Row],[SUBTOTAL]]+PROVEEDORES[[#This Row],[IVA 19%]]-PROVEEDORES[[#This Row],[descuento antes de IVA]]-PROVEEDORES[[#This Row],[Descuento sobre subtotal $]]-PROVEEDORES[[#This Row],[Rete Fuente $]]</f>
        <v>922000</v>
      </c>
      <c r="S197" s="17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7" s="40"/>
      <c r="U197" s="97"/>
      <c r="V197" s="36"/>
      <c r="W197" s="36"/>
      <c r="X197" s="36"/>
      <c r="Y197" s="36"/>
      <c r="Z197" s="41"/>
      <c r="AA197" s="42"/>
      <c r="AF197" s="36"/>
      <c r="AG197" s="36"/>
    </row>
    <row r="198" spans="1:33" ht="21.95" hidden="1" customHeight="1" x14ac:dyDescent="0.25">
      <c r="A198" s="175" t="str">
        <f>+IF(PROVEEDORES[[#This Row],[FECHA DE PAGO]]=PROVEEDORES[[#This Row],[FECHA DE FACTURACIÓN]],"DE CONTADO","CRÉDITO")</f>
        <v>DE CONTADO</v>
      </c>
      <c r="B198" s="70" t="b">
        <f>+IF((PROVEEDORES[[#This Row],[FECHA DE PAGO]]-PROVEEDORES[[#This Row],[FECHA DE FACTURACIÓN]])&gt;PROVEEDORES[[#This Row],[PLAZO Días]],"PAGO VENCIDO")</f>
        <v>0</v>
      </c>
      <c r="C198" s="27">
        <f>+VLOOKUP(PROVEEDORES[[#This Row],[PROVEEDOR]],TERCEROS_INFO[#All],2,FALSE)</f>
        <v>30</v>
      </c>
      <c r="D198" s="37">
        <f>+SUMIFS(PROVEEDORES[Total],PROVEEDORES[PROVEEDOR],PROVEEDORES[[#This Row],[PROVEEDOR]],PROVEEDORES[FECHA DE PAGO],"")</f>
        <v>0</v>
      </c>
      <c r="E198" s="37"/>
      <c r="F198" s="108" t="str">
        <f>+VLOOKUP(PROVEEDORES[[#This Row],[PROVEEDOR]],TERCEROS_INFO[[PROVEEDOR]:[CORREO]],5,FALSE)</f>
        <v/>
      </c>
      <c r="G198" s="143">
        <v>44561</v>
      </c>
      <c r="H198" s="57" t="s">
        <v>257</v>
      </c>
      <c r="I198" s="143">
        <v>44561</v>
      </c>
      <c r="J198" s="58" t="s">
        <v>1370</v>
      </c>
      <c r="K198" s="32">
        <v>702500</v>
      </c>
      <c r="L198" s="32"/>
      <c r="M198" s="33">
        <f>(PROVEEDORES[[#This Row],[SUBTOTAL]]-PROVEEDORES[[#This Row],[descuento antes de IVA]])*VLOOKUP(PROVEEDORES[[#This Row],[PROVEEDOR]],TERCEROS_INFO[#All],3,FALSE)</f>
        <v>0</v>
      </c>
      <c r="N198" s="34"/>
      <c r="O198" s="33">
        <f>+PROVEEDORES[[#This Row],[Descuento sobre subtotal %]]*(PROVEEDORES[[#This Row],[SUBTOTAL]]-PROVEEDORES[[#This Row],[descuento antes de IVA]])</f>
        <v>0</v>
      </c>
      <c r="P1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8" s="33">
        <f>+(PROVEEDORES[[#This Row],[SUBTOTAL]]-PROVEEDORES[[#This Row],[descuento antes de IVA]])*PROVEEDORES[[#This Row],[Rete Fuente %]]</f>
        <v>0</v>
      </c>
      <c r="R198" s="32">
        <f>+PROVEEDORES[[#This Row],[SUBTOTAL]]+PROVEEDORES[[#This Row],[IVA 19%]]-PROVEEDORES[[#This Row],[descuento antes de IVA]]-PROVEEDORES[[#This Row],[Descuento sobre subtotal $]]-PROVEEDORES[[#This Row],[Rete Fuente $]]</f>
        <v>702500</v>
      </c>
      <c r="S198" s="17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8" s="40"/>
      <c r="U198" s="97"/>
      <c r="V198" s="36"/>
      <c r="W198" s="36"/>
      <c r="X198" s="36"/>
      <c r="Y198" s="36"/>
      <c r="Z198" s="41"/>
      <c r="AA198" s="42"/>
      <c r="AF198" s="36"/>
      <c r="AG198" s="36"/>
    </row>
    <row r="199" spans="1:33" ht="21.95" hidden="1" customHeight="1" x14ac:dyDescent="0.25">
      <c r="A199" s="175" t="str">
        <f>+IF(PROVEEDORES[[#This Row],[FECHA DE PAGO]]=PROVEEDORES[[#This Row],[FECHA DE FACTURACIÓN]],"DE CONTADO","CRÉDITO")</f>
        <v>DE CONTADO</v>
      </c>
      <c r="B199" s="70" t="b">
        <f>+IF((PROVEEDORES[[#This Row],[FECHA DE PAGO]]-PROVEEDORES[[#This Row],[FECHA DE FACTURACIÓN]])&gt;PROVEEDORES[[#This Row],[PLAZO Días]],"PAGO VENCIDO")</f>
        <v>0</v>
      </c>
      <c r="C199" s="27">
        <f>+VLOOKUP(PROVEEDORES[[#This Row],[PROVEEDOR]],TERCEROS_INFO[#All],2,FALSE)</f>
        <v>30</v>
      </c>
      <c r="D199" s="37">
        <f>+SUMIFS(PROVEEDORES[Total],PROVEEDORES[PROVEEDOR],PROVEEDORES[[#This Row],[PROVEEDOR]],PROVEEDORES[FECHA DE PAGO],"")</f>
        <v>0</v>
      </c>
      <c r="E199" s="37"/>
      <c r="F199" s="108" t="str">
        <f>+VLOOKUP(PROVEEDORES[[#This Row],[PROVEEDOR]],TERCEROS_INFO[[PROVEEDOR]:[CORREO]],5,FALSE)</f>
        <v/>
      </c>
      <c r="G199" s="143">
        <v>44561</v>
      </c>
      <c r="H199" s="57" t="s">
        <v>257</v>
      </c>
      <c r="I199" s="143">
        <v>44561</v>
      </c>
      <c r="J199" s="58" t="s">
        <v>428</v>
      </c>
      <c r="K199" s="32">
        <v>784600</v>
      </c>
      <c r="L199" s="32"/>
      <c r="M199" s="33">
        <f>(PROVEEDORES[[#This Row],[SUBTOTAL]]-PROVEEDORES[[#This Row],[descuento antes de IVA]])*VLOOKUP(PROVEEDORES[[#This Row],[PROVEEDOR]],TERCEROS_INFO[#All],3,FALSE)</f>
        <v>0</v>
      </c>
      <c r="N199" s="34"/>
      <c r="O199" s="33">
        <f>+PROVEEDORES[[#This Row],[Descuento sobre subtotal %]]*(PROVEEDORES[[#This Row],[SUBTOTAL]]-PROVEEDORES[[#This Row],[descuento antes de IVA]])</f>
        <v>0</v>
      </c>
      <c r="P1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99" s="33">
        <f>+(PROVEEDORES[[#This Row],[SUBTOTAL]]-PROVEEDORES[[#This Row],[descuento antes de IVA]])*PROVEEDORES[[#This Row],[Rete Fuente %]]</f>
        <v>0</v>
      </c>
      <c r="R199" s="32">
        <f>+PROVEEDORES[[#This Row],[SUBTOTAL]]+PROVEEDORES[[#This Row],[IVA 19%]]-PROVEEDORES[[#This Row],[descuento antes de IVA]]-PROVEEDORES[[#This Row],[Descuento sobre subtotal $]]-PROVEEDORES[[#This Row],[Rete Fuente $]]</f>
        <v>784600</v>
      </c>
      <c r="S199" s="17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9" s="40"/>
      <c r="U199" s="97"/>
      <c r="V199" s="36"/>
      <c r="W199" s="36"/>
      <c r="X199" s="36"/>
      <c r="Y199" s="36"/>
      <c r="Z199" s="41"/>
      <c r="AA199" s="42"/>
      <c r="AF199" s="36"/>
      <c r="AG199" s="36"/>
    </row>
    <row r="200" spans="1:33" ht="21.95" hidden="1" customHeight="1" x14ac:dyDescent="0.25">
      <c r="A200" s="175" t="str">
        <f>+IF(PROVEEDORES[[#This Row],[FECHA DE PAGO]]=PROVEEDORES[[#This Row],[FECHA DE FACTURACIÓN]],"DE CONTADO","CRÉDITO")</f>
        <v>DE CONTADO</v>
      </c>
      <c r="B200" s="70" t="b">
        <f>+IF((PROVEEDORES[[#This Row],[FECHA DE PAGO]]-PROVEEDORES[[#This Row],[FECHA DE FACTURACIÓN]])&gt;PROVEEDORES[[#This Row],[PLAZO Días]],"PAGO VENCIDO")</f>
        <v>0</v>
      </c>
      <c r="C200" s="27">
        <f>+VLOOKUP(PROVEEDORES[[#This Row],[PROVEEDOR]],TERCEROS_INFO[#All],2,FALSE)</f>
        <v>30</v>
      </c>
      <c r="D200" s="37">
        <f>+SUMIFS(PROVEEDORES[Total],PROVEEDORES[PROVEEDOR],PROVEEDORES[[#This Row],[PROVEEDOR]],PROVEEDORES[FECHA DE PAGO],"")</f>
        <v>0</v>
      </c>
      <c r="E200" s="37"/>
      <c r="F200" s="108" t="str">
        <f>+VLOOKUP(PROVEEDORES[[#This Row],[PROVEEDOR]],TERCEROS_INFO[[PROVEEDOR]:[CORREO]],5,FALSE)</f>
        <v/>
      </c>
      <c r="G200" s="143">
        <v>44561</v>
      </c>
      <c r="H200" s="57" t="s">
        <v>257</v>
      </c>
      <c r="I200" s="143">
        <v>44561</v>
      </c>
      <c r="J200" s="58" t="s">
        <v>1310</v>
      </c>
      <c r="K200" s="32">
        <v>300800</v>
      </c>
      <c r="L200" s="32"/>
      <c r="M200" s="33">
        <f>(PROVEEDORES[[#This Row],[SUBTOTAL]]-PROVEEDORES[[#This Row],[descuento antes de IVA]])*VLOOKUP(PROVEEDORES[[#This Row],[PROVEEDOR]],TERCEROS_INFO[#All],3,FALSE)</f>
        <v>0</v>
      </c>
      <c r="N200" s="34"/>
      <c r="O200" s="33">
        <f>+PROVEEDORES[[#This Row],[Descuento sobre subtotal %]]*(PROVEEDORES[[#This Row],[SUBTOTAL]]-PROVEEDORES[[#This Row],[descuento antes de IVA]])</f>
        <v>0</v>
      </c>
      <c r="P2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0" s="33">
        <f>+(PROVEEDORES[[#This Row],[SUBTOTAL]]-PROVEEDORES[[#This Row],[descuento antes de IVA]])*PROVEEDORES[[#This Row],[Rete Fuente %]]</f>
        <v>0</v>
      </c>
      <c r="R200" s="32">
        <f>+PROVEEDORES[[#This Row],[SUBTOTAL]]+PROVEEDORES[[#This Row],[IVA 19%]]-PROVEEDORES[[#This Row],[descuento antes de IVA]]-PROVEEDORES[[#This Row],[Descuento sobre subtotal $]]-PROVEEDORES[[#This Row],[Rete Fuente $]]</f>
        <v>300800</v>
      </c>
      <c r="S200" s="17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0" s="40"/>
      <c r="U200" s="97"/>
      <c r="V200" s="36"/>
      <c r="W200" s="36"/>
      <c r="X200" s="36"/>
      <c r="Y200" s="36"/>
      <c r="Z200" s="41"/>
      <c r="AA200" s="42"/>
      <c r="AF200" s="36"/>
      <c r="AG200" s="36"/>
    </row>
    <row r="201" spans="1:33" ht="21.95" hidden="1" customHeight="1" x14ac:dyDescent="0.25">
      <c r="A201" s="39" t="str">
        <f>+IF(PROVEEDORES[[#This Row],[FECHA DE PAGO]]=PROVEEDORES[[#This Row],[FECHA DE FACTURACIÓN]],"DE CONTADO","CRÉDITO")</f>
        <v>DE CONTADO</v>
      </c>
      <c r="B201" s="67" t="b">
        <f>+IF((PROVEEDORES[[#This Row],[FECHA DE PAGO]]-PROVEEDORES[[#This Row],[FECHA DE FACTURACIÓN]])&gt;PROVEEDORES[[#This Row],[PLAZO Días]],"PAGO VENCIDO")</f>
        <v>0</v>
      </c>
      <c r="C201" s="27">
        <f>+VLOOKUP(PROVEEDORES[[#This Row],[PROVEEDOR]],TERCEROS_INFO[#All],2,FALSE)</f>
        <v>30</v>
      </c>
      <c r="D201" s="37">
        <f>+SUMIFS(PROVEEDORES[Total],PROVEEDORES[PROVEEDOR],PROVEEDORES[[#This Row],[PROVEEDOR]],PROVEEDORES[FECHA DE PAGO],"")</f>
        <v>0</v>
      </c>
      <c r="E201" s="37"/>
      <c r="F201" s="108" t="str">
        <f>+VLOOKUP(PROVEEDORES[[#This Row],[PROVEEDOR]],TERCEROS_INFO[[PROVEEDOR]:[CORREO]],5,FALSE)</f>
        <v>juan.suarez@cosostenible.com;girlesa.ruiz@servipilas.com;joriescobar64@gmail.com</v>
      </c>
      <c r="G201" s="143">
        <v>43955</v>
      </c>
      <c r="H201" s="38" t="s">
        <v>258</v>
      </c>
      <c r="I201" s="30">
        <v>43955</v>
      </c>
      <c r="J201" s="58" t="s">
        <v>1022</v>
      </c>
      <c r="K201" s="32">
        <v>582000</v>
      </c>
      <c r="L201" s="32"/>
      <c r="M201" s="33">
        <f>(PROVEEDORES[[#This Row],[SUBTOTAL]]-PROVEEDORES[[#This Row],[descuento antes de IVA]])*VLOOKUP(PROVEEDORES[[#This Row],[PROVEEDOR]],TERCEROS_INFO[#All],3,FALSE)</f>
        <v>0</v>
      </c>
      <c r="N201" s="34"/>
      <c r="O201" s="33">
        <f>+PROVEEDORES[[#This Row],[Descuento sobre subtotal %]]*(PROVEEDORES[[#This Row],[SUBTOTAL]]-PROVEEDORES[[#This Row],[descuento antes de IVA]])</f>
        <v>0</v>
      </c>
      <c r="P2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1" s="33">
        <f>+(PROVEEDORES[[#This Row],[SUBTOTAL]]-PROVEEDORES[[#This Row],[descuento antes de IVA]])*PROVEEDORES[[#This Row],[Rete Fuente %]]</f>
        <v>0</v>
      </c>
      <c r="R201" s="32">
        <f>+PROVEEDORES[[#This Row],[SUBTOTAL]]+PROVEEDORES[[#This Row],[IVA 19%]]-PROVEEDORES[[#This Row],[descuento antes de IVA]]-PROVEEDORES[[#This Row],[Descuento sobre subtotal $]]-PROVEEDORES[[#This Row],[Rete Fuente $]]</f>
        <v>582000</v>
      </c>
      <c r="S20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1" s="40"/>
      <c r="U201" s="97"/>
      <c r="V201" s="36"/>
      <c r="W201" s="36"/>
      <c r="X201" s="36"/>
      <c r="Y201" s="36"/>
      <c r="Z201" s="41"/>
      <c r="AA201" s="42"/>
      <c r="AF201" s="36"/>
      <c r="AG201" s="36"/>
    </row>
    <row r="202" spans="1:33" ht="21.95" hidden="1" customHeight="1" x14ac:dyDescent="0.25">
      <c r="A202" s="35" t="str">
        <f>+IF(PROVEEDORES[[#This Row],[FECHA DE PAGO]]=PROVEEDORES[[#This Row],[FECHA DE FACTURACIÓN]],"DE CONTADO","CRÉDITO")</f>
        <v>DE CONTADO</v>
      </c>
      <c r="B202" s="70" t="b">
        <f>+IF((PROVEEDORES[[#This Row],[FECHA DE PAGO]]-PROVEEDORES[[#This Row],[FECHA DE FACTURACIÓN]])&gt;PROVEEDORES[[#This Row],[PLAZO Días]],"PAGO VENCIDO")</f>
        <v>0</v>
      </c>
      <c r="C202" s="27">
        <f>+VLOOKUP(PROVEEDORES[[#This Row],[PROVEEDOR]],TERCEROS_INFO[#All],2,FALSE)</f>
        <v>30</v>
      </c>
      <c r="D202" s="37">
        <f>+SUMIFS(PROVEEDORES[Total],PROVEEDORES[PROVEEDOR],PROVEEDORES[[#This Row],[PROVEEDOR]],PROVEEDORES[FECHA DE PAGO],"")</f>
        <v>0</v>
      </c>
      <c r="E202" s="37"/>
      <c r="F202" s="108" t="str">
        <f>+VLOOKUP(PROVEEDORES[[#This Row],[PROVEEDOR]],TERCEROS_INFO[[PROVEEDOR]:[CORREO]],5,FALSE)</f>
        <v>??;girlesa.ruiz@servipilas.com;joriescobar64@gmail.com</v>
      </c>
      <c r="G202" s="143">
        <v>44433</v>
      </c>
      <c r="H202" s="57" t="s">
        <v>814</v>
      </c>
      <c r="I202" s="143">
        <v>44433</v>
      </c>
      <c r="J202" s="58" t="s">
        <v>1226</v>
      </c>
      <c r="K202" s="32">
        <v>696000</v>
      </c>
      <c r="L202" s="32"/>
      <c r="M202" s="33">
        <f>(PROVEEDORES[[#This Row],[SUBTOTAL]]-PROVEEDORES[[#This Row],[descuento antes de IVA]])*VLOOKUP(PROVEEDORES[[#This Row],[PROVEEDOR]],TERCEROS_INFO[#All],3,FALSE)</f>
        <v>0</v>
      </c>
      <c r="N202" s="34">
        <v>0.1</v>
      </c>
      <c r="O202" s="33">
        <f>+PROVEEDORES[[#This Row],[Descuento sobre subtotal %]]*(PROVEEDORES[[#This Row],[SUBTOTAL]]-PROVEEDORES[[#This Row],[descuento antes de IVA]])</f>
        <v>69600</v>
      </c>
      <c r="P2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2" s="33">
        <f>+(PROVEEDORES[[#This Row],[SUBTOTAL]]-PROVEEDORES[[#This Row],[descuento antes de IVA]])*PROVEEDORES[[#This Row],[Rete Fuente %]]</f>
        <v>0</v>
      </c>
      <c r="R202" s="32">
        <f>+PROVEEDORES[[#This Row],[SUBTOTAL]]+PROVEEDORES[[#This Row],[IVA 19%]]-PROVEEDORES[[#This Row],[descuento antes de IVA]]-PROVEEDORES[[#This Row],[Descuento sobre subtotal $]]-PROVEEDORES[[#This Row],[Rete Fuente $]]</f>
        <v>626400</v>
      </c>
      <c r="S20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2" s="40"/>
      <c r="U202" s="97"/>
      <c r="V202" s="36"/>
      <c r="W202" s="36"/>
      <c r="X202" s="36"/>
      <c r="Y202" s="36"/>
      <c r="Z202" s="41"/>
      <c r="AA202" s="42"/>
      <c r="AF202" s="36"/>
      <c r="AG202" s="36"/>
    </row>
    <row r="203" spans="1:33" ht="21.95" hidden="1" customHeight="1" x14ac:dyDescent="0.25">
      <c r="A203" s="119" t="str">
        <f>+IF(PROVEEDORES[[#This Row],[FECHA DE PAGO]]=PROVEEDORES[[#This Row],[FECHA DE FACTURACIÓN]],"DE CONTADO","CRÉDITO")</f>
        <v>CRÉDITO</v>
      </c>
      <c r="B203" s="70" t="b">
        <f>+IF((PROVEEDORES[[#This Row],[FECHA DE PAGO]]-PROVEEDORES[[#This Row],[FECHA DE FACTURACIÓN]])&gt;PROVEEDORES[[#This Row],[PLAZO Días]],"PAGO VENCIDO")</f>
        <v>0</v>
      </c>
      <c r="C203" s="27">
        <f>+VLOOKUP(PROVEEDORES[[#This Row],[PROVEEDOR]],TERCEROS_INFO[#All],2,FALSE)</f>
        <v>30</v>
      </c>
      <c r="D203" s="37">
        <f>+SUMIFS(PROVEEDORES[Total],PROVEEDORES[PROVEEDOR],PROVEEDORES[[#This Row],[PROVEEDOR]],PROVEEDORES[FECHA DE PAGO],"")</f>
        <v>0</v>
      </c>
      <c r="E203" s="37"/>
      <c r="F203" s="108">
        <f>+VLOOKUP(PROVEEDORES[[#This Row],[PROVEEDOR]],TERCEROS_INFO[[PROVEEDOR]:[CORREO]],5,FALSE)</f>
        <v>0</v>
      </c>
      <c r="G203" s="143">
        <v>44357</v>
      </c>
      <c r="H203" s="57" t="s">
        <v>699</v>
      </c>
      <c r="I203" s="30">
        <v>44348</v>
      </c>
      <c r="J203" s="58" t="s">
        <v>1144</v>
      </c>
      <c r="K203" s="32">
        <v>675000</v>
      </c>
      <c r="L203" s="32"/>
      <c r="M203" s="33">
        <f>(PROVEEDORES[[#This Row],[SUBTOTAL]]-PROVEEDORES[[#This Row],[descuento antes de IVA]])*VLOOKUP(PROVEEDORES[[#This Row],[PROVEEDOR]],TERCEROS_INFO[#All],3,FALSE)</f>
        <v>0</v>
      </c>
      <c r="N203" s="34"/>
      <c r="O203" s="33">
        <f>+PROVEEDORES[[#This Row],[Descuento sobre subtotal %]]*(PROVEEDORES[[#This Row],[SUBTOTAL]]-PROVEEDORES[[#This Row],[descuento antes de IVA]])</f>
        <v>0</v>
      </c>
      <c r="P2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3" s="33">
        <f>+(PROVEEDORES[[#This Row],[SUBTOTAL]]-PROVEEDORES[[#This Row],[descuento antes de IVA]])*PROVEEDORES[[#This Row],[Rete Fuente %]]</f>
        <v>0</v>
      </c>
      <c r="R203" s="32">
        <f>+PROVEEDORES[[#This Row],[SUBTOTAL]]+PROVEEDORES[[#This Row],[IVA 19%]]-PROVEEDORES[[#This Row],[descuento antes de IVA]]-PROVEEDORES[[#This Row],[Descuento sobre subtotal $]]-PROVEEDORES[[#This Row],[Rete Fuente $]]</f>
        <v>675000</v>
      </c>
      <c r="S203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3" s="40"/>
      <c r="U203" s="97"/>
      <c r="V203" s="36"/>
      <c r="W203" s="36"/>
      <c r="X203" s="36"/>
      <c r="Y203" s="36"/>
      <c r="Z203" s="41"/>
      <c r="AA203" s="42"/>
      <c r="AF203" s="36"/>
      <c r="AG203" s="36"/>
    </row>
    <row r="204" spans="1:33" ht="21.95" hidden="1" customHeight="1" x14ac:dyDescent="0.25">
      <c r="A204" s="167" t="str">
        <f>+IF(PROVEEDORES[[#This Row],[FECHA DE PAGO]]=PROVEEDORES[[#This Row],[FECHA DE FACTURACIÓN]],"DE CONTADO","CRÉDITO")</f>
        <v>DE CONTADO</v>
      </c>
      <c r="B204" s="70" t="b">
        <f>+IF((PROVEEDORES[[#This Row],[FECHA DE PAGO]]-PROVEEDORES[[#This Row],[FECHA DE FACTURACIÓN]])&gt;PROVEEDORES[[#This Row],[PLAZO Días]],"PAGO VENCIDO")</f>
        <v>0</v>
      </c>
      <c r="C204" s="27">
        <f>+VLOOKUP(PROVEEDORES[[#This Row],[PROVEEDOR]],TERCEROS_INFO[#All],2,FALSE)</f>
        <v>30</v>
      </c>
      <c r="D204" s="37">
        <f>+SUMIFS(PROVEEDORES[Total],PROVEEDORES[PROVEEDOR],PROVEEDORES[[#This Row],[PROVEEDOR]],PROVEEDORES[FECHA DE PAGO],"")</f>
        <v>0</v>
      </c>
      <c r="E204" s="37"/>
      <c r="F204" s="108">
        <f>+VLOOKUP(PROVEEDORES[[#This Row],[PROVEEDOR]],TERCEROS_INFO[[PROVEEDOR]:[CORREO]],5,FALSE)</f>
        <v>0</v>
      </c>
      <c r="G204" s="143">
        <v>44525</v>
      </c>
      <c r="H204" s="57" t="s">
        <v>984</v>
      </c>
      <c r="I204" s="30">
        <v>44525</v>
      </c>
      <c r="J204" s="58" t="s">
        <v>985</v>
      </c>
      <c r="K204" s="32">
        <v>350000</v>
      </c>
      <c r="L204" s="32"/>
      <c r="M204" s="33">
        <f>(PROVEEDORES[[#This Row],[SUBTOTAL]]-PROVEEDORES[[#This Row],[descuento antes de IVA]])*VLOOKUP(PROVEEDORES[[#This Row],[PROVEEDOR]],TERCEROS_INFO[#All],3,FALSE)</f>
        <v>0</v>
      </c>
      <c r="N204" s="34"/>
      <c r="O204" s="33">
        <f>+PROVEEDORES[[#This Row],[Descuento sobre subtotal %]]*(PROVEEDORES[[#This Row],[SUBTOTAL]]-PROVEEDORES[[#This Row],[descuento antes de IVA]])</f>
        <v>0</v>
      </c>
      <c r="P2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4" s="33">
        <f>+(PROVEEDORES[[#This Row],[SUBTOTAL]]-PROVEEDORES[[#This Row],[descuento antes de IVA]])*PROVEEDORES[[#This Row],[Rete Fuente %]]</f>
        <v>0</v>
      </c>
      <c r="R204" s="32">
        <f>+PROVEEDORES[[#This Row],[SUBTOTAL]]+PROVEEDORES[[#This Row],[IVA 19%]]-PROVEEDORES[[#This Row],[descuento antes de IVA]]-PROVEEDORES[[#This Row],[Descuento sobre subtotal $]]-PROVEEDORES[[#This Row],[Rete Fuente $]]</f>
        <v>350000</v>
      </c>
      <c r="S204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4" s="40"/>
      <c r="U204" s="97"/>
      <c r="V204" s="36"/>
      <c r="W204" s="36"/>
      <c r="X204" s="36"/>
      <c r="Y204" s="36"/>
      <c r="Z204" s="41"/>
      <c r="AA204" s="42"/>
      <c r="AF204" s="36"/>
      <c r="AG204" s="36"/>
    </row>
    <row r="205" spans="1:33" ht="21.95" hidden="1" customHeight="1" x14ac:dyDescent="0.25">
      <c r="A205" s="88" t="str">
        <f>+IF(PROVEEDORES[[#This Row],[FECHA DE PAGO]]=PROVEEDORES[[#This Row],[FECHA DE FACTURACIÓN]],"DE CONTADO","CRÉDITO")</f>
        <v>CRÉDITO</v>
      </c>
      <c r="B205" s="70" t="str">
        <f>+IF((PROVEEDORES[[#This Row],[FECHA DE PAGO]]-PROVEEDORES[[#This Row],[FECHA DE FACTURACIÓN]])&gt;PROVEEDORES[[#This Row],[PLAZO Días]],"PAGO VENCIDO")</f>
        <v>PAGO VENCIDO</v>
      </c>
      <c r="C205" s="27">
        <f>+VLOOKUP(PROVEEDORES[[#This Row],[PROVEEDOR]],TERCEROS_INFO[#All],2,FALSE)</f>
        <v>30</v>
      </c>
      <c r="D205" s="37">
        <f>+SUMIFS(PROVEEDORES[Total],PROVEEDORES[PROVEEDOR],PROVEEDORES[[#This Row],[PROVEEDOR]],PROVEEDORES[FECHA DE PAGO],"")</f>
        <v>0</v>
      </c>
      <c r="E205" s="37"/>
      <c r="F205" s="108">
        <f>+VLOOKUP(PROVEEDORES[[#This Row],[PROVEEDOR]],TERCEROS_INFO[[PROVEEDOR]:[CORREO]],5,FALSE)</f>
        <v>0</v>
      </c>
      <c r="G205" s="143">
        <v>44382</v>
      </c>
      <c r="H205" s="57" t="s">
        <v>542</v>
      </c>
      <c r="I205" s="30">
        <v>44273</v>
      </c>
      <c r="J205" s="58" t="s">
        <v>1108</v>
      </c>
      <c r="K205" s="32">
        <v>2668000</v>
      </c>
      <c r="L205" s="32"/>
      <c r="M205" s="33">
        <f>(PROVEEDORES[[#This Row],[SUBTOTAL]]-PROVEEDORES[[#This Row],[descuento antes de IVA]])*VLOOKUP(PROVEEDORES[[#This Row],[PROVEEDOR]],TERCEROS_INFO[#All],3,FALSE)</f>
        <v>0</v>
      </c>
      <c r="N205" s="34"/>
      <c r="O205" s="33">
        <f>+PROVEEDORES[[#This Row],[Descuento sobre subtotal %]]*(PROVEEDORES[[#This Row],[SUBTOTAL]]-PROVEEDORES[[#This Row],[descuento antes de IVA]])</f>
        <v>0</v>
      </c>
      <c r="P2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5" s="33">
        <f>+(PROVEEDORES[[#This Row],[SUBTOTAL]]-PROVEEDORES[[#This Row],[descuento antes de IVA]])*PROVEEDORES[[#This Row],[Rete Fuente %]]</f>
        <v>0</v>
      </c>
      <c r="R205" s="32">
        <f>+PROVEEDORES[[#This Row],[SUBTOTAL]]+PROVEEDORES[[#This Row],[IVA 19%]]-PROVEEDORES[[#This Row],[descuento antes de IVA]]-PROVEEDORES[[#This Row],[Descuento sobre subtotal $]]-PROVEEDORES[[#This Row],[Rete Fuente $]]</f>
        <v>2668000</v>
      </c>
      <c r="S205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5" s="40"/>
      <c r="U205" s="97"/>
      <c r="V205" s="36"/>
      <c r="W205" s="36"/>
      <c r="X205" s="36"/>
      <c r="Y205" s="36"/>
      <c r="Z205" s="41"/>
      <c r="AA205" s="42"/>
      <c r="AF205" s="36"/>
      <c r="AG205" s="36"/>
    </row>
    <row r="206" spans="1:33" ht="21.95" hidden="1" customHeight="1" x14ac:dyDescent="0.25">
      <c r="A206" s="39" t="str">
        <f>+IF(PROVEEDORES[[#This Row],[FECHA DE PAGO]]=PROVEEDORES[[#This Row],[FECHA DE FACTURACIÓN]],"DE CONTADO","CRÉDITO")</f>
        <v>CRÉDITO</v>
      </c>
      <c r="B206" s="67" t="str">
        <f>+IF((PROVEEDORES[[#This Row],[FECHA DE PAGO]]-PROVEEDORES[[#This Row],[FECHA DE FACTURACIÓN]])&gt;PROVEEDORES[[#This Row],[PLAZO Días]],"PAGO VENCIDO")</f>
        <v>PAGO VENCIDO</v>
      </c>
      <c r="C206" s="27">
        <f>+VLOOKUP(PROVEEDORES[[#This Row],[PROVEEDOR]],TERCEROS_INFO[#All],2,FALSE)</f>
        <v>90</v>
      </c>
      <c r="D206" s="37">
        <f>+SUMIFS(PROVEEDORES[Total],PROVEEDORES[PROVEEDOR],PROVEEDORES[[#This Row],[PROVEEDOR]],PROVEEDORES[FECHA DE PAGO],"")</f>
        <v>0</v>
      </c>
      <c r="E206" s="37"/>
      <c r="F206" s="108" t="str">
        <f>+VLOOKUP(PROVEEDORES[[#This Row],[PROVEEDOR]],TERCEROS_INFO[[PROVEEDOR]:[CORREO]],5,FALSE)</f>
        <v/>
      </c>
      <c r="G206" s="143">
        <v>43999</v>
      </c>
      <c r="H206" s="38" t="s">
        <v>259</v>
      </c>
      <c r="I206" s="30">
        <v>43874</v>
      </c>
      <c r="J206" s="58" t="s">
        <v>1046</v>
      </c>
      <c r="K206" s="32">
        <v>502000</v>
      </c>
      <c r="L206" s="32"/>
      <c r="M206" s="33">
        <f>(PROVEEDORES[[#This Row],[SUBTOTAL]]-PROVEEDORES[[#This Row],[descuento antes de IVA]])*VLOOKUP(PROVEEDORES[[#This Row],[PROVEEDOR]],TERCEROS_INFO[#All],3,FALSE)</f>
        <v>0</v>
      </c>
      <c r="N206" s="34"/>
      <c r="O206" s="33">
        <f>+PROVEEDORES[[#This Row],[Descuento sobre subtotal %]]*(PROVEEDORES[[#This Row],[SUBTOTAL]]-PROVEEDORES[[#This Row],[descuento antes de IVA]])</f>
        <v>0</v>
      </c>
      <c r="P2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6" s="33">
        <f>+(PROVEEDORES[[#This Row],[SUBTOTAL]]-PROVEEDORES[[#This Row],[descuento antes de IVA]])*PROVEEDORES[[#This Row],[Rete Fuente %]]</f>
        <v>0</v>
      </c>
      <c r="R206" s="32">
        <f>+PROVEEDORES[[#This Row],[SUBTOTAL]]+PROVEEDORES[[#This Row],[IVA 19%]]-PROVEEDORES[[#This Row],[descuento antes de IVA]]-PROVEEDORES[[#This Row],[Descuento sobre subtotal $]]-PROVEEDORES[[#This Row],[Rete Fuente $]]</f>
        <v>502000</v>
      </c>
      <c r="S2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6" s="40"/>
      <c r="U206" s="97"/>
      <c r="V206" s="36"/>
      <c r="W206" s="36"/>
      <c r="X206" s="36"/>
      <c r="Y206" s="36"/>
      <c r="Z206" s="41"/>
      <c r="AA206" s="42"/>
      <c r="AF206" s="36"/>
      <c r="AG206" s="36"/>
    </row>
    <row r="207" spans="1:33" ht="21.95" hidden="1" customHeight="1" x14ac:dyDescent="0.25">
      <c r="A207" s="39" t="str">
        <f>+IF(PROVEEDORES[[#This Row],[FECHA DE PAGO]]=PROVEEDORES[[#This Row],[FECHA DE FACTURACIÓN]],"DE CONTADO","CRÉDITO")</f>
        <v>CRÉDITO</v>
      </c>
      <c r="B207" s="67" t="str">
        <f>+IF((PROVEEDORES[[#This Row],[FECHA DE PAGO]]-PROVEEDORES[[#This Row],[FECHA DE FACTURACIÓN]])&gt;PROVEEDORES[[#This Row],[PLAZO Días]],"PAGO VENCIDO")</f>
        <v>PAGO VENCIDO</v>
      </c>
      <c r="C207" s="27">
        <f>+VLOOKUP(PROVEEDORES[[#This Row],[PROVEEDOR]],TERCEROS_INFO[#All],2,FALSE)</f>
        <v>90</v>
      </c>
      <c r="D207" s="37">
        <f>+SUMIFS(PROVEEDORES[Total],PROVEEDORES[PROVEEDOR],PROVEEDORES[[#This Row],[PROVEEDOR]],PROVEEDORES[FECHA DE PAGO],"")</f>
        <v>0</v>
      </c>
      <c r="E207" s="37"/>
      <c r="F207" s="108" t="str">
        <f>+VLOOKUP(PROVEEDORES[[#This Row],[PROVEEDOR]],TERCEROS_INFO[[PROVEEDOR]:[CORREO]],5,FALSE)</f>
        <v/>
      </c>
      <c r="G207" s="143">
        <v>44092</v>
      </c>
      <c r="H207" s="38" t="s">
        <v>259</v>
      </c>
      <c r="I207" s="30">
        <v>43904</v>
      </c>
      <c r="J207" s="58">
        <v>1614636</v>
      </c>
      <c r="K207" s="32">
        <v>1439500</v>
      </c>
      <c r="L207" s="32"/>
      <c r="M207" s="33">
        <f>(PROVEEDORES[[#This Row],[SUBTOTAL]]-PROVEEDORES[[#This Row],[descuento antes de IVA]])*VLOOKUP(PROVEEDORES[[#This Row],[PROVEEDOR]],TERCEROS_INFO[#All],3,FALSE)</f>
        <v>0</v>
      </c>
      <c r="N207" s="34"/>
      <c r="O207" s="33">
        <f>+PROVEEDORES[[#This Row],[Descuento sobre subtotal %]]*(PROVEEDORES[[#This Row],[SUBTOTAL]]-PROVEEDORES[[#This Row],[descuento antes de IVA]])</f>
        <v>0</v>
      </c>
      <c r="P2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7" s="33">
        <f>+(PROVEEDORES[[#This Row],[SUBTOTAL]]-PROVEEDORES[[#This Row],[descuento antes de IVA]])*PROVEEDORES[[#This Row],[Rete Fuente %]]</f>
        <v>0</v>
      </c>
      <c r="R207" s="32">
        <f>+PROVEEDORES[[#This Row],[SUBTOTAL]]+PROVEEDORES[[#This Row],[IVA 19%]]-PROVEEDORES[[#This Row],[descuento antes de IVA]]-PROVEEDORES[[#This Row],[Descuento sobre subtotal $]]-PROVEEDORES[[#This Row],[Rete Fuente $]]</f>
        <v>1439500</v>
      </c>
      <c r="S2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7" s="40"/>
      <c r="U207" s="97"/>
      <c r="V207" s="36"/>
      <c r="W207" s="36"/>
      <c r="X207" s="36"/>
      <c r="Y207" s="36"/>
      <c r="Z207" s="41"/>
      <c r="AA207" s="42"/>
      <c r="AF207" s="36"/>
      <c r="AG207" s="36"/>
    </row>
    <row r="208" spans="1:33" ht="21.95" hidden="1" customHeight="1" x14ac:dyDescent="0.25">
      <c r="A208" s="39" t="str">
        <f>+IF(PROVEEDORES[[#This Row],[FECHA DE PAGO]]=PROVEEDORES[[#This Row],[FECHA DE FACTURACIÓN]],"DE CONTADO","CRÉDITO")</f>
        <v>CRÉDITO</v>
      </c>
      <c r="B208" s="67" t="b">
        <f>+IF((PROVEEDORES[[#This Row],[FECHA DE PAGO]]-PROVEEDORES[[#This Row],[FECHA DE FACTURACIÓN]])&gt;PROVEEDORES[[#This Row],[PLAZO Días]],"PAGO VENCIDO")</f>
        <v>0</v>
      </c>
      <c r="C208" s="27">
        <f>+VLOOKUP(PROVEEDORES[[#This Row],[PROVEEDOR]],TERCEROS_INFO[#All],2,FALSE)</f>
        <v>90</v>
      </c>
      <c r="D208" s="37">
        <f>+SUMIFS(PROVEEDORES[Total],PROVEEDORES[PROVEEDOR],PROVEEDORES[[#This Row],[PROVEEDOR]],PROVEEDORES[FECHA DE PAGO],"")</f>
        <v>0</v>
      </c>
      <c r="E208" s="37"/>
      <c r="F208" s="108" t="str">
        <f>+VLOOKUP(PROVEEDORES[[#This Row],[PROVEEDOR]],TERCEROS_INFO[[PROVEEDOR]:[CORREO]],5,FALSE)</f>
        <v/>
      </c>
      <c r="G208" s="143">
        <v>44168</v>
      </c>
      <c r="H208" s="38" t="s">
        <v>259</v>
      </c>
      <c r="I208" s="30">
        <v>44098</v>
      </c>
      <c r="J208" s="58">
        <v>731</v>
      </c>
      <c r="K208" s="32">
        <v>5429000</v>
      </c>
      <c r="L208" s="32"/>
      <c r="M208" s="33">
        <f>(PROVEEDORES[[#This Row],[SUBTOTAL]]-PROVEEDORES[[#This Row],[descuento antes de IVA]])*VLOOKUP(PROVEEDORES[[#This Row],[PROVEEDOR]],TERCEROS_INFO[#All],3,FALSE)</f>
        <v>0</v>
      </c>
      <c r="N208" s="34"/>
      <c r="O208" s="33">
        <f>+PROVEEDORES[[#This Row],[Descuento sobre subtotal %]]*(PROVEEDORES[[#This Row],[SUBTOTAL]]-PROVEEDORES[[#This Row],[descuento antes de IVA]])</f>
        <v>0</v>
      </c>
      <c r="P2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8" s="33">
        <f>+(PROVEEDORES[[#This Row],[SUBTOTAL]]-PROVEEDORES[[#This Row],[descuento antes de IVA]])*PROVEEDORES[[#This Row],[Rete Fuente %]]</f>
        <v>0</v>
      </c>
      <c r="R208" s="32">
        <f>+PROVEEDORES[[#This Row],[SUBTOTAL]]+PROVEEDORES[[#This Row],[IVA 19%]]-PROVEEDORES[[#This Row],[descuento antes de IVA]]-PROVEEDORES[[#This Row],[Descuento sobre subtotal $]]-PROVEEDORES[[#This Row],[Rete Fuente $]]</f>
        <v>5429000</v>
      </c>
      <c r="S2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8" s="40"/>
      <c r="U208" s="97"/>
      <c r="V208" s="36"/>
      <c r="W208" s="36"/>
      <c r="X208" s="36"/>
      <c r="Y208" s="36"/>
      <c r="Z208" s="41"/>
      <c r="AA208" s="42"/>
      <c r="AF208" s="36"/>
      <c r="AG208" s="36"/>
    </row>
    <row r="209" spans="1:33" ht="21.95" hidden="1" customHeight="1" x14ac:dyDescent="0.25">
      <c r="A209" s="39" t="str">
        <f>+IF(PROVEEDORES[[#This Row],[FECHA DE PAGO]]=PROVEEDORES[[#This Row],[FECHA DE FACTURACIÓN]],"DE CONTADO","CRÉDITO")</f>
        <v>CRÉDITO</v>
      </c>
      <c r="B209" s="67" t="b">
        <f>+IF((PROVEEDORES[[#This Row],[FECHA DE PAGO]]-PROVEEDORES[[#This Row],[FECHA DE FACTURACIÓN]])&gt;PROVEEDORES[[#This Row],[PLAZO Días]],"PAGO VENCIDO")</f>
        <v>0</v>
      </c>
      <c r="C209" s="27">
        <f>+VLOOKUP(PROVEEDORES[[#This Row],[PROVEEDOR]],TERCEROS_INFO[#All],2,FALSE)</f>
        <v>90</v>
      </c>
      <c r="D209" s="37">
        <f>+SUMIFS(PROVEEDORES[Total],PROVEEDORES[PROVEEDOR],PROVEEDORES[[#This Row],[PROVEEDOR]],PROVEEDORES[FECHA DE PAGO],"")</f>
        <v>0</v>
      </c>
      <c r="E209" s="37"/>
      <c r="F209" s="108" t="str">
        <f>+VLOOKUP(PROVEEDORES[[#This Row],[PROVEEDOR]],TERCEROS_INFO[[PROVEEDOR]:[CORREO]],5,FALSE)</f>
        <v/>
      </c>
      <c r="G209" s="143">
        <v>44201</v>
      </c>
      <c r="H209" s="38" t="s">
        <v>259</v>
      </c>
      <c r="I209" s="30">
        <v>44136</v>
      </c>
      <c r="J209" s="58">
        <v>1120</v>
      </c>
      <c r="K209" s="32">
        <v>990000</v>
      </c>
      <c r="L209" s="32"/>
      <c r="M209" s="33">
        <f>(PROVEEDORES[[#This Row],[SUBTOTAL]]-PROVEEDORES[[#This Row],[descuento antes de IVA]])*VLOOKUP(PROVEEDORES[[#This Row],[PROVEEDOR]],TERCEROS_INFO[#All],3,FALSE)</f>
        <v>0</v>
      </c>
      <c r="N209" s="34"/>
      <c r="O209" s="33">
        <f>+PROVEEDORES[[#This Row],[Descuento sobre subtotal %]]*(PROVEEDORES[[#This Row],[SUBTOTAL]]-PROVEEDORES[[#This Row],[descuento antes de IVA]])</f>
        <v>0</v>
      </c>
      <c r="P2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09" s="33">
        <f>+(PROVEEDORES[[#This Row],[SUBTOTAL]]-PROVEEDORES[[#This Row],[descuento antes de IVA]])*PROVEEDORES[[#This Row],[Rete Fuente %]]</f>
        <v>0</v>
      </c>
      <c r="R209" s="32">
        <f>+PROVEEDORES[[#This Row],[SUBTOTAL]]+PROVEEDORES[[#This Row],[IVA 19%]]-PROVEEDORES[[#This Row],[descuento antes de IVA]]-PROVEEDORES[[#This Row],[Descuento sobre subtotal $]]-PROVEEDORES[[#This Row],[Rete Fuente $]]</f>
        <v>990000</v>
      </c>
      <c r="S2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9" s="40"/>
      <c r="U209" s="97"/>
      <c r="V209" s="36"/>
      <c r="W209" s="36"/>
      <c r="X209" s="36"/>
      <c r="Y209" s="36"/>
      <c r="Z209" s="41"/>
      <c r="AA209" s="42"/>
      <c r="AF209" s="36"/>
      <c r="AG209" s="36"/>
    </row>
    <row r="210" spans="1:33" ht="21.95" hidden="1" customHeight="1" x14ac:dyDescent="0.25">
      <c r="A210" s="39" t="str">
        <f>+IF(PROVEEDORES[[#This Row],[FECHA DE PAGO]]=PROVEEDORES[[#This Row],[FECHA DE FACTURACIÓN]],"DE CONTADO","CRÉDITO")</f>
        <v>CRÉDITO</v>
      </c>
      <c r="B210" s="67" t="b">
        <f>+IF((PROVEEDORES[[#This Row],[FECHA DE PAGO]]-PROVEEDORES[[#This Row],[FECHA DE FACTURACIÓN]])&gt;PROVEEDORES[[#This Row],[PLAZO Días]],"PAGO VENCIDO")</f>
        <v>0</v>
      </c>
      <c r="C210" s="27">
        <f>+VLOOKUP(PROVEEDORES[[#This Row],[PROVEEDOR]],TERCEROS_INFO[#All],2,FALSE)</f>
        <v>90</v>
      </c>
      <c r="D210" s="37">
        <f>+SUMIFS(PROVEEDORES[Total],PROVEEDORES[PROVEEDOR],PROVEEDORES[[#This Row],[PROVEEDOR]],PROVEEDORES[FECHA DE PAGO],"")</f>
        <v>0</v>
      </c>
      <c r="E210" s="37"/>
      <c r="F210" s="108" t="str">
        <f>+VLOOKUP(PROVEEDORES[[#This Row],[PROVEEDOR]],TERCEROS_INFO[[PROVEEDOR]:[CORREO]],5,FALSE)</f>
        <v/>
      </c>
      <c r="G210" s="143">
        <v>44240</v>
      </c>
      <c r="H210" s="38" t="s">
        <v>259</v>
      </c>
      <c r="I210" s="30">
        <v>44168</v>
      </c>
      <c r="J210" s="58">
        <v>1483</v>
      </c>
      <c r="K210" s="32">
        <v>6064000</v>
      </c>
      <c r="L210" s="32"/>
      <c r="M210" s="33">
        <f>(PROVEEDORES[[#This Row],[SUBTOTAL]]-PROVEEDORES[[#This Row],[descuento antes de IVA]])*VLOOKUP(PROVEEDORES[[#This Row],[PROVEEDOR]],TERCEROS_INFO[#All],3,FALSE)</f>
        <v>0</v>
      </c>
      <c r="N210" s="34"/>
      <c r="O210" s="33">
        <f>+PROVEEDORES[[#This Row],[Descuento sobre subtotal %]]*(PROVEEDORES[[#This Row],[SUBTOTAL]]-PROVEEDORES[[#This Row],[descuento antes de IVA]])</f>
        <v>0</v>
      </c>
      <c r="P2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0" s="33">
        <f>+(PROVEEDORES[[#This Row],[SUBTOTAL]]-PROVEEDORES[[#This Row],[descuento antes de IVA]])*PROVEEDORES[[#This Row],[Rete Fuente %]]</f>
        <v>0</v>
      </c>
      <c r="R210" s="32">
        <f>+PROVEEDORES[[#This Row],[SUBTOTAL]]+PROVEEDORES[[#This Row],[IVA 19%]]-PROVEEDORES[[#This Row],[descuento antes de IVA]]-PROVEEDORES[[#This Row],[Descuento sobre subtotal $]]-PROVEEDORES[[#This Row],[Rete Fuente $]]</f>
        <v>6064000</v>
      </c>
      <c r="S2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0" s="40"/>
      <c r="U210" s="97"/>
      <c r="V210" s="36"/>
      <c r="W210" s="36"/>
      <c r="X210" s="36"/>
      <c r="Y210" s="36"/>
      <c r="Z210" s="41"/>
      <c r="AA210" s="42"/>
      <c r="AF210" s="36"/>
      <c r="AG210" s="36"/>
    </row>
    <row r="211" spans="1:33" ht="21.95" hidden="1" customHeight="1" x14ac:dyDescent="0.25">
      <c r="A211" s="39" t="str">
        <f>+IF(PROVEEDORES[[#This Row],[FECHA DE PAGO]]=PROVEEDORES[[#This Row],[FECHA DE FACTURACIÓN]],"DE CONTADO","CRÉDITO")</f>
        <v>CRÉDITO</v>
      </c>
      <c r="B211" s="67" t="str">
        <f>+IF((PROVEEDORES[[#This Row],[FECHA DE PAGO]]-PROVEEDORES[[#This Row],[FECHA DE FACTURACIÓN]])&gt;PROVEEDORES[[#This Row],[PLAZO Días]],"PAGO VENCIDO")</f>
        <v>PAGO VENCIDO</v>
      </c>
      <c r="C211" s="27">
        <f>+VLOOKUP(PROVEEDORES[[#This Row],[PROVEEDOR]],TERCEROS_INFO[#All],2,FALSE)</f>
        <v>90</v>
      </c>
      <c r="D211" s="37">
        <f>+SUMIFS(PROVEEDORES[Total],PROVEEDORES[PROVEEDOR],PROVEEDORES[[#This Row],[PROVEEDOR]],PROVEEDORES[FECHA DE PAGO],"")</f>
        <v>0</v>
      </c>
      <c r="E211" s="37"/>
      <c r="F211" s="108" t="str">
        <f>+VLOOKUP(PROVEEDORES[[#This Row],[PROVEEDOR]],TERCEROS_INFO[[PROVEEDOR]:[CORREO]],5,FALSE)</f>
        <v/>
      </c>
      <c r="G211" s="143">
        <v>44375</v>
      </c>
      <c r="H211" s="38" t="s">
        <v>259</v>
      </c>
      <c r="I211" s="30">
        <v>44169</v>
      </c>
      <c r="J211" s="58">
        <v>1493</v>
      </c>
      <c r="K211" s="32">
        <v>21277000</v>
      </c>
      <c r="L211" s="32"/>
      <c r="M211" s="33">
        <f>(PROVEEDORES[[#This Row],[SUBTOTAL]]-PROVEEDORES[[#This Row],[descuento antes de IVA]])*VLOOKUP(PROVEEDORES[[#This Row],[PROVEEDOR]],TERCEROS_INFO[#All],3,FALSE)</f>
        <v>0</v>
      </c>
      <c r="N211" s="34"/>
      <c r="O211" s="33">
        <f>+PROVEEDORES[[#This Row],[Descuento sobre subtotal %]]*(PROVEEDORES[[#This Row],[SUBTOTAL]]-PROVEEDORES[[#This Row],[descuento antes de IVA]])</f>
        <v>0</v>
      </c>
      <c r="P2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1" s="33">
        <f>+(PROVEEDORES[[#This Row],[SUBTOTAL]]-PROVEEDORES[[#This Row],[descuento antes de IVA]])*PROVEEDORES[[#This Row],[Rete Fuente %]]</f>
        <v>0</v>
      </c>
      <c r="R211" s="32">
        <f>+PROVEEDORES[[#This Row],[SUBTOTAL]]+PROVEEDORES[[#This Row],[IVA 19%]]-PROVEEDORES[[#This Row],[descuento antes de IVA]]-PROVEEDORES[[#This Row],[Descuento sobre subtotal $]]-PROVEEDORES[[#This Row],[Rete Fuente $]]</f>
        <v>21277000</v>
      </c>
      <c r="S2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1" s="40"/>
      <c r="U211" s="97"/>
      <c r="V211" s="36"/>
      <c r="W211" s="36"/>
      <c r="X211" s="36"/>
      <c r="Y211" s="36"/>
      <c r="Z211" s="41"/>
      <c r="AA211" s="42"/>
      <c r="AF211" s="36"/>
      <c r="AG211" s="36"/>
    </row>
    <row r="212" spans="1:33" ht="21.95" hidden="1" customHeight="1" x14ac:dyDescent="0.25">
      <c r="A212" s="119" t="str">
        <f>+IF(PROVEEDORES[[#This Row],[FECHA DE PAGO]]=PROVEEDORES[[#This Row],[FECHA DE FACTURACIÓN]],"DE CONTADO","CRÉDITO")</f>
        <v>CRÉDITO</v>
      </c>
      <c r="B212" s="70" t="b">
        <f>+IF((PROVEEDORES[[#This Row],[FECHA DE PAGO]]-PROVEEDORES[[#This Row],[FECHA DE FACTURACIÓN]])&gt;PROVEEDORES[[#This Row],[PLAZO Días]],"PAGO VENCIDO")</f>
        <v>0</v>
      </c>
      <c r="C212" s="27">
        <f>+VLOOKUP(PROVEEDORES[[#This Row],[PROVEEDOR]],TERCEROS_INFO[#All],2,FALSE)</f>
        <v>90</v>
      </c>
      <c r="D212" s="37">
        <f>+SUMIFS(PROVEEDORES[Total],PROVEEDORES[PROVEEDOR],PROVEEDORES[[#This Row],[PROVEEDOR]],PROVEEDORES[FECHA DE PAGO],"")</f>
        <v>0</v>
      </c>
      <c r="E212" s="37"/>
      <c r="F212" s="108" t="str">
        <f>+VLOOKUP(PROVEEDORES[[#This Row],[PROVEEDOR]],TERCEROS_INFO[[PROVEEDOR]:[CORREO]],5,FALSE)</f>
        <v/>
      </c>
      <c r="G212" s="143">
        <v>44411</v>
      </c>
      <c r="H212" s="38" t="s">
        <v>259</v>
      </c>
      <c r="I212" s="30">
        <v>44348</v>
      </c>
      <c r="J212" s="58" t="s">
        <v>1145</v>
      </c>
      <c r="K212" s="32">
        <v>2462500</v>
      </c>
      <c r="L212" s="32"/>
      <c r="M212" s="33">
        <f>(PROVEEDORES[[#This Row],[SUBTOTAL]]-PROVEEDORES[[#This Row],[descuento antes de IVA]])*VLOOKUP(PROVEEDORES[[#This Row],[PROVEEDOR]],TERCEROS_INFO[#All],3,FALSE)</f>
        <v>0</v>
      </c>
      <c r="N212" s="34"/>
      <c r="O212" s="33">
        <f>+PROVEEDORES[[#This Row],[Descuento sobre subtotal %]]*(PROVEEDORES[[#This Row],[SUBTOTAL]]-PROVEEDORES[[#This Row],[descuento antes de IVA]])</f>
        <v>0</v>
      </c>
      <c r="P2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2" s="33">
        <f>+(PROVEEDORES[[#This Row],[SUBTOTAL]]-PROVEEDORES[[#This Row],[descuento antes de IVA]])*PROVEEDORES[[#This Row],[Rete Fuente %]]</f>
        <v>0</v>
      </c>
      <c r="R212" s="32">
        <f>+PROVEEDORES[[#This Row],[SUBTOTAL]]+PROVEEDORES[[#This Row],[IVA 19%]]-PROVEEDORES[[#This Row],[descuento antes de IVA]]-PROVEEDORES[[#This Row],[Descuento sobre subtotal $]]-PROVEEDORES[[#This Row],[Rete Fuente $]]</f>
        <v>2462500</v>
      </c>
      <c r="S212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2" s="40"/>
      <c r="U212" s="97"/>
      <c r="V212" s="36"/>
      <c r="W212" s="36"/>
      <c r="X212" s="36"/>
      <c r="Y212" s="36"/>
      <c r="Z212" s="41"/>
      <c r="AA212" s="42"/>
      <c r="AF212" s="36"/>
      <c r="AG212" s="36"/>
    </row>
    <row r="213" spans="1:33" ht="21.95" hidden="1" customHeight="1" x14ac:dyDescent="0.25">
      <c r="A213" s="129" t="str">
        <f>+IF(PROVEEDORES[[#This Row],[FECHA DE PAGO]]=PROVEEDORES[[#This Row],[FECHA DE FACTURACIÓN]],"DE CONTADO","CRÉDITO")</f>
        <v>CRÉDITO</v>
      </c>
      <c r="B213" s="70" t="b">
        <f>+IF((PROVEEDORES[[#This Row],[FECHA DE PAGO]]-PROVEEDORES[[#This Row],[FECHA DE FACTURACIÓN]])&gt;PROVEEDORES[[#This Row],[PLAZO Días]],"PAGO VENCIDO")</f>
        <v>0</v>
      </c>
      <c r="C213" s="27">
        <f>+VLOOKUP(PROVEEDORES[[#This Row],[PROVEEDOR]],TERCEROS_INFO[#All],2,FALSE)</f>
        <v>90</v>
      </c>
      <c r="D213" s="37">
        <f>+SUMIFS(PROVEEDORES[Total],PROVEEDORES[PROVEEDOR],PROVEEDORES[[#This Row],[PROVEEDOR]],PROVEEDORES[FECHA DE PAGO],"")</f>
        <v>0</v>
      </c>
      <c r="E213" s="37"/>
      <c r="F213" s="108" t="str">
        <f>+VLOOKUP(PROVEEDORES[[#This Row],[PROVEEDOR]],TERCEROS_INFO[[PROVEEDOR]:[CORREO]],5,FALSE)</f>
        <v/>
      </c>
      <c r="G213" s="143">
        <v>44414</v>
      </c>
      <c r="H213" s="38" t="s">
        <v>259</v>
      </c>
      <c r="I213" s="30">
        <v>44379</v>
      </c>
      <c r="J213" s="58" t="s">
        <v>1177</v>
      </c>
      <c r="K213" s="32">
        <v>773200</v>
      </c>
      <c r="L213" s="32"/>
      <c r="M213" s="33">
        <f>(PROVEEDORES[[#This Row],[SUBTOTAL]]-PROVEEDORES[[#This Row],[descuento antes de IVA]])*VLOOKUP(PROVEEDORES[[#This Row],[PROVEEDOR]],TERCEROS_INFO[#All],3,FALSE)</f>
        <v>0</v>
      </c>
      <c r="N213" s="34"/>
      <c r="O213" s="33">
        <f>+PROVEEDORES[[#This Row],[Descuento sobre subtotal %]]*(PROVEEDORES[[#This Row],[SUBTOTAL]]-PROVEEDORES[[#This Row],[descuento antes de IVA]])</f>
        <v>0</v>
      </c>
      <c r="P2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3" s="33">
        <f>+(PROVEEDORES[[#This Row],[SUBTOTAL]]-PROVEEDORES[[#This Row],[descuento antes de IVA]])*PROVEEDORES[[#This Row],[Rete Fuente %]]</f>
        <v>0</v>
      </c>
      <c r="R213" s="32">
        <f>+PROVEEDORES[[#This Row],[SUBTOTAL]]+PROVEEDORES[[#This Row],[IVA 19%]]-PROVEEDORES[[#This Row],[descuento antes de IVA]]-PROVEEDORES[[#This Row],[Descuento sobre subtotal $]]-PROVEEDORES[[#This Row],[Rete Fuente $]]</f>
        <v>773200</v>
      </c>
      <c r="S213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3" s="40"/>
      <c r="U213" s="97"/>
      <c r="V213" s="36"/>
      <c r="W213" s="36"/>
      <c r="X213" s="36"/>
      <c r="Y213" s="36"/>
      <c r="Z213" s="41"/>
      <c r="AA213" s="42"/>
      <c r="AF213" s="36"/>
      <c r="AG213" s="36"/>
    </row>
    <row r="214" spans="1:33" ht="21.95" hidden="1" customHeight="1" x14ac:dyDescent="0.25">
      <c r="A214" s="141" t="str">
        <f>+IF(PROVEEDORES[[#This Row],[FECHA DE PAGO]]=PROVEEDORES[[#This Row],[FECHA DE FACTURACIÓN]],"DE CONTADO","CRÉDITO")</f>
        <v>CRÉDITO</v>
      </c>
      <c r="B214" s="70" t="str">
        <f>+IF((PROVEEDORES[[#This Row],[FECHA DE PAGO]]-PROVEEDORES[[#This Row],[FECHA DE FACTURACIÓN]])&gt;PROVEEDORES[[#This Row],[PLAZO Días]],"PAGO VENCIDO")</f>
        <v>PAGO VENCIDO</v>
      </c>
      <c r="C214" s="27">
        <f>+VLOOKUP(PROVEEDORES[[#This Row],[PROVEEDOR]],TERCEROS_INFO[#All],2,FALSE)</f>
        <v>90</v>
      </c>
      <c r="D214" s="37">
        <f>+SUMIFS(PROVEEDORES[Total],PROVEEDORES[PROVEEDOR],PROVEEDORES[[#This Row],[PROVEEDOR]],PROVEEDORES[FECHA DE PAGO],"")</f>
        <v>0</v>
      </c>
      <c r="E214" s="37"/>
      <c r="F214" s="108" t="str">
        <f>+VLOOKUP(PROVEEDORES[[#This Row],[PROVEEDOR]],TERCEROS_INFO[[PROVEEDOR]:[CORREO]],5,FALSE)</f>
        <v/>
      </c>
      <c r="G214" s="143">
        <v>44503</v>
      </c>
      <c r="H214" s="38" t="s">
        <v>259</v>
      </c>
      <c r="I214" s="30">
        <v>44412</v>
      </c>
      <c r="J214" s="58" t="s">
        <v>1205</v>
      </c>
      <c r="K214" s="32">
        <v>7943000</v>
      </c>
      <c r="L214" s="32"/>
      <c r="M214" s="33">
        <f>(PROVEEDORES[[#This Row],[SUBTOTAL]]-PROVEEDORES[[#This Row],[descuento antes de IVA]])*VLOOKUP(PROVEEDORES[[#This Row],[PROVEEDOR]],TERCEROS_INFO[#All],3,FALSE)</f>
        <v>0</v>
      </c>
      <c r="N214" s="34"/>
      <c r="O214" s="33">
        <f>+PROVEEDORES[[#This Row],[Descuento sobre subtotal %]]*(PROVEEDORES[[#This Row],[SUBTOTAL]]-PROVEEDORES[[#This Row],[descuento antes de IVA]])</f>
        <v>0</v>
      </c>
      <c r="P2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4" s="33">
        <f>+(PROVEEDORES[[#This Row],[SUBTOTAL]]-PROVEEDORES[[#This Row],[descuento antes de IVA]])*PROVEEDORES[[#This Row],[Rete Fuente %]]</f>
        <v>0</v>
      </c>
      <c r="R214" s="32">
        <f>+PROVEEDORES[[#This Row],[SUBTOTAL]]+PROVEEDORES[[#This Row],[IVA 19%]]-PROVEEDORES[[#This Row],[descuento antes de IVA]]-PROVEEDORES[[#This Row],[Descuento sobre subtotal $]]-PROVEEDORES[[#This Row],[Rete Fuente $]]</f>
        <v>7943000</v>
      </c>
      <c r="S214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4" s="40"/>
      <c r="U214" s="97"/>
      <c r="V214" s="36"/>
      <c r="W214" s="36"/>
      <c r="X214" s="36"/>
      <c r="Y214" s="36"/>
      <c r="Z214" s="41"/>
      <c r="AA214" s="42"/>
      <c r="AF214" s="36"/>
      <c r="AG214" s="36"/>
    </row>
    <row r="215" spans="1:33" ht="21.95" hidden="1" customHeight="1" x14ac:dyDescent="0.25">
      <c r="A215" s="144" t="str">
        <f>+IF(PROVEEDORES[[#This Row],[FECHA DE PAGO]]=PROVEEDORES[[#This Row],[FECHA DE FACTURACIÓN]],"DE CONTADO","CRÉDITO")</f>
        <v>CRÉDITO</v>
      </c>
      <c r="B215" s="70" t="b">
        <f>+IF((PROVEEDORES[[#This Row],[FECHA DE PAGO]]-PROVEEDORES[[#This Row],[FECHA DE FACTURACIÓN]])&gt;PROVEEDORES[[#This Row],[PLAZO Días]],"PAGO VENCIDO")</f>
        <v>0</v>
      </c>
      <c r="C215" s="27">
        <f>+VLOOKUP(PROVEEDORES[[#This Row],[PROVEEDOR]],TERCEROS_INFO[#All],2,FALSE)</f>
        <v>90</v>
      </c>
      <c r="D215" s="37">
        <f>+SUMIFS(PROVEEDORES[Total],PROVEEDORES[PROVEEDOR],PROVEEDORES[[#This Row],[PROVEEDOR]],PROVEEDORES[FECHA DE PAGO],"")</f>
        <v>0</v>
      </c>
      <c r="E215" s="37"/>
      <c r="F215" s="108" t="str">
        <f>+VLOOKUP(PROVEEDORES[[#This Row],[PROVEEDOR]],TERCEROS_INFO[[PROVEEDOR]:[CORREO]],5,FALSE)</f>
        <v/>
      </c>
      <c r="G215" s="143">
        <v>44516</v>
      </c>
      <c r="H215" s="38" t="s">
        <v>259</v>
      </c>
      <c r="I215" s="30">
        <v>44439</v>
      </c>
      <c r="J215" s="58" t="s">
        <v>1230</v>
      </c>
      <c r="K215" s="32">
        <v>605000</v>
      </c>
      <c r="L215" s="32"/>
      <c r="M215" s="33">
        <f>(PROVEEDORES[[#This Row],[SUBTOTAL]]-PROVEEDORES[[#This Row],[descuento antes de IVA]])*VLOOKUP(PROVEEDORES[[#This Row],[PROVEEDOR]],TERCEROS_INFO[#All],3,FALSE)</f>
        <v>0</v>
      </c>
      <c r="N215" s="34"/>
      <c r="O215" s="33">
        <f>+PROVEEDORES[[#This Row],[Descuento sobre subtotal %]]*(PROVEEDORES[[#This Row],[SUBTOTAL]]-PROVEEDORES[[#This Row],[descuento antes de IVA]])</f>
        <v>0</v>
      </c>
      <c r="P2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5" s="33">
        <f>+(PROVEEDORES[[#This Row],[SUBTOTAL]]-PROVEEDORES[[#This Row],[descuento antes de IVA]])*PROVEEDORES[[#This Row],[Rete Fuente %]]</f>
        <v>0</v>
      </c>
      <c r="R215" s="32">
        <f>+PROVEEDORES[[#This Row],[SUBTOTAL]]+PROVEEDORES[[#This Row],[IVA 19%]]-PROVEEDORES[[#This Row],[descuento antes de IVA]]-PROVEEDORES[[#This Row],[Descuento sobre subtotal $]]-PROVEEDORES[[#This Row],[Rete Fuente $]]</f>
        <v>605000</v>
      </c>
      <c r="S215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5" s="40"/>
      <c r="U215" s="97"/>
      <c r="V215" s="36"/>
      <c r="W215" s="36"/>
      <c r="X215" s="36"/>
      <c r="Y215" s="36"/>
      <c r="Z215" s="41"/>
      <c r="AA215" s="42"/>
      <c r="AF215" s="36"/>
      <c r="AG215" s="36"/>
    </row>
    <row r="216" spans="1:33" ht="21.95" hidden="1" customHeight="1" x14ac:dyDescent="0.25">
      <c r="A216" s="165" t="str">
        <f>+IF(PROVEEDORES[[#This Row],[FECHA DE PAGO]]=PROVEEDORES[[#This Row],[FECHA DE FACTURACIÓN]],"DE CONTADO","CRÉDITO")</f>
        <v>CRÉDITO</v>
      </c>
      <c r="B216" s="70" t="b">
        <f>+IF((PROVEEDORES[[#This Row],[FECHA DE PAGO]]-PROVEEDORES[[#This Row],[FECHA DE FACTURACIÓN]])&gt;PROVEEDORES[[#This Row],[PLAZO Días]],"PAGO VENCIDO")</f>
        <v>0</v>
      </c>
      <c r="C216" s="27">
        <f>+VLOOKUP(PROVEEDORES[[#This Row],[PROVEEDOR]],TERCEROS_INFO[#All],2,FALSE)</f>
        <v>90</v>
      </c>
      <c r="D216" s="37">
        <f>+SUMIFS(PROVEEDORES[Total],PROVEEDORES[PROVEEDOR],PROVEEDORES[[#This Row],[PROVEEDOR]],PROVEEDORES[FECHA DE PAGO],"")</f>
        <v>0</v>
      </c>
      <c r="E216" s="37"/>
      <c r="F216" s="108" t="str">
        <f>+VLOOKUP(PROVEEDORES[[#This Row],[PROVEEDOR]],TERCEROS_INFO[[PROVEEDOR]:[CORREO]],5,FALSE)</f>
        <v/>
      </c>
      <c r="G216" s="143">
        <v>44567</v>
      </c>
      <c r="H216" s="38" t="s">
        <v>259</v>
      </c>
      <c r="I216" s="30">
        <v>44517</v>
      </c>
      <c r="J216" s="58" t="s">
        <v>970</v>
      </c>
      <c r="K216" s="32">
        <v>8659500</v>
      </c>
      <c r="L216" s="32"/>
      <c r="M216" s="33">
        <f>(PROVEEDORES[[#This Row],[SUBTOTAL]]-PROVEEDORES[[#This Row],[descuento antes de IVA]])*VLOOKUP(PROVEEDORES[[#This Row],[PROVEEDOR]],TERCEROS_INFO[#All],3,FALSE)</f>
        <v>0</v>
      </c>
      <c r="N216" s="34"/>
      <c r="O216" s="33">
        <f>+PROVEEDORES[[#This Row],[Descuento sobre subtotal %]]*(PROVEEDORES[[#This Row],[SUBTOTAL]]-PROVEEDORES[[#This Row],[descuento antes de IVA]])</f>
        <v>0</v>
      </c>
      <c r="P2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6" s="33">
        <f>+(PROVEEDORES[[#This Row],[SUBTOTAL]]-PROVEEDORES[[#This Row],[descuento antes de IVA]])*PROVEEDORES[[#This Row],[Rete Fuente %]]</f>
        <v>0</v>
      </c>
      <c r="R216" s="32">
        <f>+PROVEEDORES[[#This Row],[SUBTOTAL]]+PROVEEDORES[[#This Row],[IVA 19%]]-PROVEEDORES[[#This Row],[descuento antes de IVA]]-PROVEEDORES[[#This Row],[Descuento sobre subtotal $]]-PROVEEDORES[[#This Row],[Rete Fuente $]]</f>
        <v>8659500</v>
      </c>
      <c r="S216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6" s="40"/>
      <c r="U216" s="97"/>
      <c r="V216" s="36"/>
      <c r="W216" s="36"/>
      <c r="X216" s="36"/>
      <c r="Y216" s="36"/>
      <c r="Z216" s="41"/>
      <c r="AA216" s="42"/>
      <c r="AF216" s="36"/>
      <c r="AG216" s="36"/>
    </row>
    <row r="217" spans="1:33" ht="21.95" hidden="1" customHeight="1" x14ac:dyDescent="0.25">
      <c r="A217" s="175" t="str">
        <f>+IF(PROVEEDORES[[#This Row],[FECHA DE PAGO]]=PROVEEDORES[[#This Row],[FECHA DE FACTURACIÓN]],"DE CONTADO","CRÉDITO")</f>
        <v>CRÉDITO</v>
      </c>
      <c r="B217" s="70" t="b">
        <f>+IF((PROVEEDORES[[#This Row],[FECHA DE PAGO]]-PROVEEDORES[[#This Row],[FECHA DE FACTURACIÓN]])&gt;PROVEEDORES[[#This Row],[PLAZO Días]],"PAGO VENCIDO")</f>
        <v>0</v>
      </c>
      <c r="C217" s="27">
        <f>+VLOOKUP(PROVEEDORES[[#This Row],[PROVEEDOR]],TERCEROS_INFO[#All],2,FALSE)</f>
        <v>90</v>
      </c>
      <c r="D217" s="37">
        <f>+SUMIFS(PROVEEDORES[Total],PROVEEDORES[PROVEEDOR],PROVEEDORES[[#This Row],[PROVEEDOR]],PROVEEDORES[FECHA DE PAGO],"")</f>
        <v>0</v>
      </c>
      <c r="E217" s="37"/>
      <c r="F217" s="108" t="str">
        <f>+VLOOKUP(PROVEEDORES[[#This Row],[PROVEEDOR]],TERCEROS_INFO[[PROVEEDOR]:[CORREO]],5,FALSE)</f>
        <v/>
      </c>
      <c r="G217" s="143">
        <v>44567</v>
      </c>
      <c r="H217" s="38" t="s">
        <v>259</v>
      </c>
      <c r="I217" s="30">
        <v>44566</v>
      </c>
      <c r="J217" s="58" t="s">
        <v>1366</v>
      </c>
      <c r="K217" s="32">
        <v>-190000</v>
      </c>
      <c r="L217" s="32"/>
      <c r="M217" s="33">
        <f>(PROVEEDORES[[#This Row],[SUBTOTAL]]-PROVEEDORES[[#This Row],[descuento antes de IVA]])*VLOOKUP(PROVEEDORES[[#This Row],[PROVEEDOR]],TERCEROS_INFO[#All],3,FALSE)</f>
        <v>0</v>
      </c>
      <c r="N217" s="34"/>
      <c r="O217" s="33">
        <f>+PROVEEDORES[[#This Row],[Descuento sobre subtotal %]]*(PROVEEDORES[[#This Row],[SUBTOTAL]]-PROVEEDORES[[#This Row],[descuento antes de IVA]])</f>
        <v>0</v>
      </c>
      <c r="P2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7" s="33">
        <f>+(PROVEEDORES[[#This Row],[SUBTOTAL]]-PROVEEDORES[[#This Row],[descuento antes de IVA]])*PROVEEDORES[[#This Row],[Rete Fuente %]]</f>
        <v>0</v>
      </c>
      <c r="R217" s="32">
        <f>+PROVEEDORES[[#This Row],[SUBTOTAL]]+PROVEEDORES[[#This Row],[IVA 19%]]-PROVEEDORES[[#This Row],[descuento antes de IVA]]-PROVEEDORES[[#This Row],[Descuento sobre subtotal $]]-PROVEEDORES[[#This Row],[Rete Fuente $]]</f>
        <v>-190000</v>
      </c>
      <c r="S217" s="17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7" s="40"/>
      <c r="U217" s="97"/>
      <c r="V217" s="36"/>
      <c r="W217" s="36"/>
      <c r="X217" s="36"/>
      <c r="Y217" s="36"/>
      <c r="Z217" s="41"/>
      <c r="AA217" s="42"/>
      <c r="AF217" s="36"/>
      <c r="AG217" s="36"/>
    </row>
    <row r="218" spans="1:33" ht="21.95" hidden="1" customHeight="1" x14ac:dyDescent="0.25">
      <c r="A218" s="39" t="str">
        <f>+IF(PROVEEDORES[[#This Row],[FECHA DE PAGO]]=PROVEEDORES[[#This Row],[FECHA DE FACTURACIÓN]],"DE CONTADO","CRÉDITO")</f>
        <v>DE CONTADO</v>
      </c>
      <c r="B218" s="67" t="b">
        <f>+IF((PROVEEDORES[[#This Row],[FECHA DE PAGO]]-PROVEEDORES[[#This Row],[FECHA DE FACTURACIÓN]])&gt;PROVEEDORES[[#This Row],[PLAZO Días]],"PAGO VENCIDO")</f>
        <v>0</v>
      </c>
      <c r="C218" s="27">
        <f>+VLOOKUP(PROVEEDORES[[#This Row],[PROVEEDOR]],TERCEROS_INFO[#All],2,FALSE)</f>
        <v>30</v>
      </c>
      <c r="D218" s="37">
        <f>+SUMIFS(PROVEEDORES[Total],PROVEEDORES[PROVEEDOR],PROVEEDORES[[#This Row],[PROVEEDOR]],PROVEEDORES[FECHA DE PAGO],"")</f>
        <v>0</v>
      </c>
      <c r="E218" s="37"/>
      <c r="F218" s="108" t="str">
        <f>+VLOOKUP(PROVEEDORES[[#This Row],[PROVEEDOR]],TERCEROS_INFO[[PROVEEDOR]:[CORREO]],5,FALSE)</f>
        <v/>
      </c>
      <c r="G218" s="143">
        <v>44094</v>
      </c>
      <c r="H218" s="38" t="s">
        <v>311</v>
      </c>
      <c r="I218" s="30">
        <v>44094</v>
      </c>
      <c r="J218" s="58"/>
      <c r="K218" s="32">
        <v>340000</v>
      </c>
      <c r="L218" s="32"/>
      <c r="M218" s="33">
        <f>(PROVEEDORES[[#This Row],[SUBTOTAL]]-PROVEEDORES[[#This Row],[descuento antes de IVA]])*VLOOKUP(PROVEEDORES[[#This Row],[PROVEEDOR]],TERCEROS_INFO[#All],3,FALSE)</f>
        <v>0</v>
      </c>
      <c r="N218" s="34"/>
      <c r="O218" s="33">
        <f>+PROVEEDORES[[#This Row],[Descuento sobre subtotal %]]*(PROVEEDORES[[#This Row],[SUBTOTAL]]-PROVEEDORES[[#This Row],[descuento antes de IVA]])</f>
        <v>0</v>
      </c>
      <c r="P2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8" s="33">
        <f>+(PROVEEDORES[[#This Row],[SUBTOTAL]]-PROVEEDORES[[#This Row],[descuento antes de IVA]])*PROVEEDORES[[#This Row],[Rete Fuente %]]</f>
        <v>0</v>
      </c>
      <c r="R218" s="32">
        <f>+PROVEEDORES[[#This Row],[SUBTOTAL]]+PROVEEDORES[[#This Row],[IVA 19%]]-PROVEEDORES[[#This Row],[descuento antes de IVA]]-PROVEEDORES[[#This Row],[Descuento sobre subtotal $]]-PROVEEDORES[[#This Row],[Rete Fuente $]]</f>
        <v>340000</v>
      </c>
      <c r="S2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8" s="40"/>
      <c r="U218" s="97"/>
      <c r="V218" s="36"/>
      <c r="W218" s="36"/>
      <c r="X218" s="36"/>
      <c r="Y218" s="36"/>
      <c r="Z218" s="41"/>
      <c r="AA218" s="42"/>
      <c r="AF218" s="36"/>
      <c r="AG218" s="36"/>
    </row>
    <row r="219" spans="1:33" ht="21.95" hidden="1" customHeight="1" x14ac:dyDescent="0.25">
      <c r="A219" s="119" t="str">
        <f>+IF(PROVEEDORES[[#This Row],[FECHA DE PAGO]]=PROVEEDORES[[#This Row],[FECHA DE FACTURACIÓN]],"DE CONTADO","CRÉDITO")</f>
        <v>CRÉDITO</v>
      </c>
      <c r="B219" s="70" t="b">
        <f>+IF((PROVEEDORES[[#This Row],[FECHA DE PAGO]]-PROVEEDORES[[#This Row],[FECHA DE FACTURACIÓN]])&gt;PROVEEDORES[[#This Row],[PLAZO Días]],"PAGO VENCIDO")</f>
        <v>0</v>
      </c>
      <c r="C219" s="27">
        <f>+VLOOKUP(PROVEEDORES[[#This Row],[PROVEEDOR]],TERCEROS_INFO[#All],2,FALSE)</f>
        <v>30</v>
      </c>
      <c r="D219" s="37">
        <f>+SUMIFS(PROVEEDORES[Total],PROVEEDORES[PROVEEDOR],PROVEEDORES[[#This Row],[PROVEEDOR]],PROVEEDORES[FECHA DE PAGO],"")</f>
        <v>0</v>
      </c>
      <c r="E219" s="37"/>
      <c r="F219" s="108" t="str">
        <f>+VLOOKUP(PROVEEDORES[[#This Row],[PROVEEDOR]],TERCEROS_INFO[[PROVEEDOR]:[CORREO]],5,FALSE)</f>
        <v/>
      </c>
      <c r="G219" s="143">
        <v>44348</v>
      </c>
      <c r="H219" s="58" t="s">
        <v>260</v>
      </c>
      <c r="I219" s="30">
        <v>44318</v>
      </c>
      <c r="J219" s="58" t="s">
        <v>1123</v>
      </c>
      <c r="K219" s="32">
        <v>464000</v>
      </c>
      <c r="L219" s="32"/>
      <c r="M219" s="33">
        <f>(PROVEEDORES[[#This Row],[SUBTOTAL]]-PROVEEDORES[[#This Row],[descuento antes de IVA]])*VLOOKUP(PROVEEDORES[[#This Row],[PROVEEDOR]],TERCEROS_INFO[#All],3,FALSE)</f>
        <v>0</v>
      </c>
      <c r="N219" s="34"/>
      <c r="O219" s="33">
        <f>+PROVEEDORES[[#This Row],[Descuento sobre subtotal %]]*(PROVEEDORES[[#This Row],[SUBTOTAL]]-PROVEEDORES[[#This Row],[descuento antes de IVA]])</f>
        <v>0</v>
      </c>
      <c r="P2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19" s="33">
        <f>+(PROVEEDORES[[#This Row],[SUBTOTAL]]-PROVEEDORES[[#This Row],[descuento antes de IVA]])*PROVEEDORES[[#This Row],[Rete Fuente %]]</f>
        <v>0</v>
      </c>
      <c r="R219" s="32">
        <f>+PROVEEDORES[[#This Row],[SUBTOTAL]]+PROVEEDORES[[#This Row],[IVA 19%]]-PROVEEDORES[[#This Row],[descuento antes de IVA]]-PROVEEDORES[[#This Row],[Descuento sobre subtotal $]]-PROVEEDORES[[#This Row],[Rete Fuente $]]</f>
        <v>464000</v>
      </c>
      <c r="S219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9" s="40"/>
      <c r="U219" s="97"/>
      <c r="V219" s="36"/>
      <c r="W219" s="36"/>
      <c r="X219" s="36"/>
      <c r="Y219" s="36"/>
      <c r="Z219" s="41"/>
      <c r="AA219" s="42"/>
      <c r="AF219" s="36"/>
      <c r="AG219" s="36"/>
    </row>
    <row r="220" spans="1:33" ht="21.95" hidden="1" customHeight="1" x14ac:dyDescent="0.25">
      <c r="A220" s="39" t="str">
        <f>+IF(PROVEEDORES[[#This Row],[FECHA DE PAGO]]=PROVEEDORES[[#This Row],[FECHA DE FACTURACIÓN]],"DE CONTADO","CRÉDITO")</f>
        <v>CRÉDITO</v>
      </c>
      <c r="B220" s="67" t="str">
        <f>+IF((PROVEEDORES[[#This Row],[FECHA DE PAGO]]-PROVEEDORES[[#This Row],[FECHA DE FACTURACIÓN]])&gt;PROVEEDORES[[#This Row],[PLAZO Días]],"PAGO VENCIDO")</f>
        <v>PAGO VENCIDO</v>
      </c>
      <c r="C220" s="27">
        <f>+VLOOKUP(PROVEEDORES[[#This Row],[PROVEEDOR]],TERCEROS_INFO[#All],2,FALSE)</f>
        <v>30</v>
      </c>
      <c r="D220" s="37">
        <f>+SUMIFS(PROVEEDORES[Total],PROVEEDORES[PROVEEDOR],PROVEEDORES[[#This Row],[PROVEEDOR]],PROVEEDORES[FECHA DE PAGO],"")</f>
        <v>0</v>
      </c>
      <c r="E220" s="37"/>
      <c r="F220" s="108" t="str">
        <f>+VLOOKUP(PROVEEDORES[[#This Row],[PROVEEDOR]],TERCEROS_INFO[[PROVEEDOR]:[CORREO]],5,FALSE)</f>
        <v/>
      </c>
      <c r="G220" s="143">
        <v>44168</v>
      </c>
      <c r="H220" s="38" t="s">
        <v>312</v>
      </c>
      <c r="I220" s="30">
        <v>44118</v>
      </c>
      <c r="J220" s="58"/>
      <c r="K220" s="32">
        <v>842000</v>
      </c>
      <c r="L220" s="32"/>
      <c r="M220" s="33">
        <f>(PROVEEDORES[[#This Row],[SUBTOTAL]]-PROVEEDORES[[#This Row],[descuento antes de IVA]])*VLOOKUP(PROVEEDORES[[#This Row],[PROVEEDOR]],TERCEROS_INFO[#All],3,FALSE)</f>
        <v>0</v>
      </c>
      <c r="N220" s="34"/>
      <c r="O220" s="33">
        <f>+PROVEEDORES[[#This Row],[Descuento sobre subtotal %]]*(PROVEEDORES[[#This Row],[SUBTOTAL]]-PROVEEDORES[[#This Row],[descuento antes de IVA]])</f>
        <v>0</v>
      </c>
      <c r="P2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0" s="33">
        <f>+(PROVEEDORES[[#This Row],[SUBTOTAL]]-PROVEEDORES[[#This Row],[descuento antes de IVA]])*PROVEEDORES[[#This Row],[Rete Fuente %]]</f>
        <v>0</v>
      </c>
      <c r="R220" s="32">
        <f>+PROVEEDORES[[#This Row],[SUBTOTAL]]+PROVEEDORES[[#This Row],[IVA 19%]]-PROVEEDORES[[#This Row],[descuento antes de IVA]]-PROVEEDORES[[#This Row],[Descuento sobre subtotal $]]-PROVEEDORES[[#This Row],[Rete Fuente $]]</f>
        <v>842000</v>
      </c>
      <c r="S2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0" s="40"/>
      <c r="U220" s="97"/>
      <c r="V220" s="36"/>
      <c r="W220" s="36"/>
      <c r="X220" s="36"/>
      <c r="Y220" s="36"/>
      <c r="Z220" s="41"/>
      <c r="AA220" s="42"/>
      <c r="AF220" s="36"/>
      <c r="AG220" s="36"/>
    </row>
    <row r="221" spans="1:33" ht="21.95" hidden="1" customHeight="1" x14ac:dyDescent="0.25">
      <c r="A221" s="39" t="str">
        <f>+IF(PROVEEDORES[[#This Row],[FECHA DE PAGO]]=PROVEEDORES[[#This Row],[FECHA DE FACTURACIÓN]],"DE CONTADO","CRÉDITO")</f>
        <v>CRÉDITO</v>
      </c>
      <c r="B221" s="67" t="str">
        <f>+IF((PROVEEDORES[[#This Row],[FECHA DE PAGO]]-PROVEEDORES[[#This Row],[FECHA DE FACTURACIÓN]])&gt;PROVEEDORES[[#This Row],[PLAZO Días]],"PAGO VENCIDO")</f>
        <v>PAGO VENCIDO</v>
      </c>
      <c r="C221" s="27">
        <f>+VLOOKUP(PROVEEDORES[[#This Row],[PROVEEDOR]],TERCEROS_INFO[#All],2,FALSE)</f>
        <v>30</v>
      </c>
      <c r="D221" s="37">
        <f>+SUMIFS(PROVEEDORES[Total],PROVEEDORES[PROVEEDOR],PROVEEDORES[[#This Row],[PROVEEDOR]],PROVEEDORES[FECHA DE PAGO],"")</f>
        <v>0</v>
      </c>
      <c r="E221" s="37"/>
      <c r="F221" s="108" t="str">
        <f>+VLOOKUP(PROVEEDORES[[#This Row],[PROVEEDOR]],TERCEROS_INFO[[PROVEEDOR]:[CORREO]],5,FALSE)</f>
        <v/>
      </c>
      <c r="G221" s="143">
        <v>44230</v>
      </c>
      <c r="H221" s="38" t="s">
        <v>312</v>
      </c>
      <c r="I221" s="30">
        <v>44183</v>
      </c>
      <c r="J221" s="58"/>
      <c r="K221" s="32">
        <v>3778000</v>
      </c>
      <c r="L221" s="32"/>
      <c r="M221" s="33">
        <f>(PROVEEDORES[[#This Row],[SUBTOTAL]]-PROVEEDORES[[#This Row],[descuento antes de IVA]])*VLOOKUP(PROVEEDORES[[#This Row],[PROVEEDOR]],TERCEROS_INFO[#All],3,FALSE)</f>
        <v>0</v>
      </c>
      <c r="N221" s="34">
        <v>0.04</v>
      </c>
      <c r="O221" s="33">
        <f>+PROVEEDORES[[#This Row],[Descuento sobre subtotal %]]*(PROVEEDORES[[#This Row],[SUBTOTAL]]-PROVEEDORES[[#This Row],[descuento antes de IVA]])</f>
        <v>151120</v>
      </c>
      <c r="P2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1" s="33">
        <f>+(PROVEEDORES[[#This Row],[SUBTOTAL]]-PROVEEDORES[[#This Row],[descuento antes de IVA]])*PROVEEDORES[[#This Row],[Rete Fuente %]]</f>
        <v>0</v>
      </c>
      <c r="R221" s="32">
        <f>+PROVEEDORES[[#This Row],[SUBTOTAL]]+PROVEEDORES[[#This Row],[IVA 19%]]-PROVEEDORES[[#This Row],[descuento antes de IVA]]-PROVEEDORES[[#This Row],[Descuento sobre subtotal $]]-PROVEEDORES[[#This Row],[Rete Fuente $]]</f>
        <v>3626880</v>
      </c>
      <c r="S2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1" s="40"/>
      <c r="U221" s="97"/>
      <c r="V221" s="36"/>
      <c r="W221" s="36"/>
      <c r="X221" s="36"/>
      <c r="Y221" s="36"/>
      <c r="Z221" s="41"/>
      <c r="AA221" s="42"/>
      <c r="AF221" s="36"/>
      <c r="AG221" s="36"/>
    </row>
    <row r="222" spans="1:33" ht="21.95" hidden="1" customHeight="1" x14ac:dyDescent="0.25">
      <c r="A222" s="39" t="str">
        <f>+IF(PROVEEDORES[[#This Row],[FECHA DE PAGO]]=PROVEEDORES[[#This Row],[FECHA DE FACTURACIÓN]],"DE CONTADO","CRÉDITO")</f>
        <v>DE CONTADO</v>
      </c>
      <c r="B222" s="67" t="b">
        <f>+IF((PROVEEDORES[[#This Row],[FECHA DE PAGO]]-PROVEEDORES[[#This Row],[FECHA DE FACTURACIÓN]])&gt;PROVEEDORES[[#This Row],[PLAZO Días]],"PAGO VENCIDO")</f>
        <v>0</v>
      </c>
      <c r="C222" s="27">
        <f>+VLOOKUP(PROVEEDORES[[#This Row],[PROVEEDOR]],TERCEROS_INFO[#All],2,FALSE)</f>
        <v>30</v>
      </c>
      <c r="D222" s="37">
        <f>+SUMIFS(PROVEEDORES[Total],PROVEEDORES[PROVEEDOR],PROVEEDORES[[#This Row],[PROVEEDOR]],PROVEEDORES[FECHA DE PAGO],"")</f>
        <v>0</v>
      </c>
      <c r="E222" s="37"/>
      <c r="F222" s="108" t="str">
        <f>+VLOOKUP(PROVEEDORES[[#This Row],[PROVEEDOR]],TERCEROS_INFO[[PROVEEDOR]:[CORREO]],5,FALSE)</f>
        <v/>
      </c>
      <c r="G222" s="143">
        <v>43878</v>
      </c>
      <c r="H222" s="38" t="s">
        <v>262</v>
      </c>
      <c r="I222" s="30">
        <v>43878</v>
      </c>
      <c r="J222" s="58" t="s">
        <v>1022</v>
      </c>
      <c r="K222" s="32">
        <v>129500</v>
      </c>
      <c r="L222" s="32"/>
      <c r="M222" s="33">
        <f>(PROVEEDORES[[#This Row],[SUBTOTAL]]-PROVEEDORES[[#This Row],[descuento antes de IVA]])*VLOOKUP(PROVEEDORES[[#This Row],[PROVEEDOR]],TERCEROS_INFO[#All],3,FALSE)</f>
        <v>0</v>
      </c>
      <c r="N222" s="34"/>
      <c r="O222" s="33">
        <f>+PROVEEDORES[[#This Row],[Descuento sobre subtotal %]]*(PROVEEDORES[[#This Row],[SUBTOTAL]]-PROVEEDORES[[#This Row],[descuento antes de IVA]])</f>
        <v>0</v>
      </c>
      <c r="P2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2" s="33">
        <f>+(PROVEEDORES[[#This Row],[SUBTOTAL]]-PROVEEDORES[[#This Row],[descuento antes de IVA]])*PROVEEDORES[[#This Row],[Rete Fuente %]]</f>
        <v>0</v>
      </c>
      <c r="R222" s="32">
        <f>+PROVEEDORES[[#This Row],[SUBTOTAL]]+PROVEEDORES[[#This Row],[IVA 19%]]-PROVEEDORES[[#This Row],[descuento antes de IVA]]-PROVEEDORES[[#This Row],[Descuento sobre subtotal $]]-PROVEEDORES[[#This Row],[Rete Fuente $]]</f>
        <v>129500</v>
      </c>
      <c r="S2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2" s="40"/>
      <c r="U222" s="97"/>
      <c r="V222" s="36"/>
      <c r="W222" s="36"/>
      <c r="X222" s="36"/>
      <c r="Y222" s="36"/>
      <c r="Z222" s="41"/>
      <c r="AA222" s="42"/>
      <c r="AF222" s="36"/>
      <c r="AG222" s="36"/>
    </row>
    <row r="223" spans="1:33" ht="21.95" hidden="1" customHeight="1" x14ac:dyDescent="0.25">
      <c r="A223" s="39" t="str">
        <f>+IF(PROVEEDORES[[#This Row],[FECHA DE PAGO]]=PROVEEDORES[[#This Row],[FECHA DE FACTURACIÓN]],"DE CONTADO","CRÉDITO")</f>
        <v>DE CONTADO</v>
      </c>
      <c r="B223" s="67" t="b">
        <f>+IF((PROVEEDORES[[#This Row],[FECHA DE PAGO]]-PROVEEDORES[[#This Row],[FECHA DE FACTURACIÓN]])&gt;PROVEEDORES[[#This Row],[PLAZO Días]],"PAGO VENCIDO")</f>
        <v>0</v>
      </c>
      <c r="C223" s="27">
        <f>+VLOOKUP(PROVEEDORES[[#This Row],[PROVEEDOR]],TERCEROS_INFO[#All],2,FALSE)</f>
        <v>30</v>
      </c>
      <c r="D223" s="37">
        <f>+SUMIFS(PROVEEDORES[Total],PROVEEDORES[PROVEEDOR],PROVEEDORES[[#This Row],[PROVEEDOR]],PROVEEDORES[FECHA DE PAGO],"")</f>
        <v>0</v>
      </c>
      <c r="E223" s="37"/>
      <c r="F223" s="108" t="str">
        <f>+VLOOKUP(PROVEEDORES[[#This Row],[PROVEEDOR]],TERCEROS_INFO[[PROVEEDOR]:[CORREO]],5,FALSE)</f>
        <v/>
      </c>
      <c r="G223" s="143">
        <v>44154</v>
      </c>
      <c r="H223" s="38" t="s">
        <v>313</v>
      </c>
      <c r="I223" s="30">
        <v>44154</v>
      </c>
      <c r="J223" s="58"/>
      <c r="K223" s="32">
        <v>2100000</v>
      </c>
      <c r="L223" s="32"/>
      <c r="M223" s="33">
        <f>(PROVEEDORES[[#This Row],[SUBTOTAL]]-PROVEEDORES[[#This Row],[descuento antes de IVA]])*VLOOKUP(PROVEEDORES[[#This Row],[PROVEEDOR]],TERCEROS_INFO[#All],3,FALSE)</f>
        <v>0</v>
      </c>
      <c r="N223" s="34"/>
      <c r="O223" s="33">
        <f>+PROVEEDORES[[#This Row],[Descuento sobre subtotal %]]*(PROVEEDORES[[#This Row],[SUBTOTAL]]-PROVEEDORES[[#This Row],[descuento antes de IVA]])</f>
        <v>0</v>
      </c>
      <c r="P2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3" s="33">
        <f>+(PROVEEDORES[[#This Row],[SUBTOTAL]]-PROVEEDORES[[#This Row],[descuento antes de IVA]])*PROVEEDORES[[#This Row],[Rete Fuente %]]</f>
        <v>0</v>
      </c>
      <c r="R223" s="32">
        <f>+PROVEEDORES[[#This Row],[SUBTOTAL]]+PROVEEDORES[[#This Row],[IVA 19%]]-PROVEEDORES[[#This Row],[descuento antes de IVA]]-PROVEEDORES[[#This Row],[Descuento sobre subtotal $]]-PROVEEDORES[[#This Row],[Rete Fuente $]]</f>
        <v>2100000</v>
      </c>
      <c r="S2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3" s="40"/>
      <c r="U223" s="97"/>
      <c r="V223" s="36"/>
      <c r="W223" s="36"/>
      <c r="X223" s="36"/>
      <c r="Y223" s="36"/>
      <c r="Z223" s="41"/>
      <c r="AA223" s="42"/>
      <c r="AF223" s="36"/>
      <c r="AG223" s="36"/>
    </row>
    <row r="224" spans="1:33" ht="21.95" hidden="1" customHeight="1" x14ac:dyDescent="0.25">
      <c r="A224" s="155" t="str">
        <f>+IF(PROVEEDORES[[#This Row],[FECHA DE PAGO]]=PROVEEDORES[[#This Row],[FECHA DE FACTURACIÓN]],"DE CONTADO","CRÉDITO")</f>
        <v>CRÉDITO</v>
      </c>
      <c r="B224" s="70" t="str">
        <f>+IF((PROVEEDORES[[#This Row],[FECHA DE PAGO]]-PROVEEDORES[[#This Row],[FECHA DE FACTURACIÓN]])&gt;PROVEEDORES[[#This Row],[PLAZO Días]],"PAGO VENCIDO")</f>
        <v>PAGO VENCIDO</v>
      </c>
      <c r="C224" s="27">
        <f>+VLOOKUP(PROVEEDORES[[#This Row],[PROVEEDOR]],TERCEROS_INFO[#All],2,FALSE)</f>
        <v>30</v>
      </c>
      <c r="D224" s="37">
        <f>+SUMIFS(PROVEEDORES[Total],PROVEEDORES[PROVEEDOR],PROVEEDORES[[#This Row],[PROVEEDOR]],PROVEEDORES[FECHA DE PAGO],"")</f>
        <v>0</v>
      </c>
      <c r="E224" s="37"/>
      <c r="F224" s="108" t="str">
        <f>+VLOOKUP(PROVEEDORES[[#This Row],[PROVEEDOR]],TERCEROS_INFO[[PROVEEDOR]:[CORREO]],5,FALSE)</f>
        <v>gerencia@som-tec.com</v>
      </c>
      <c r="G224" s="143">
        <v>44483</v>
      </c>
      <c r="H224" s="57" t="s">
        <v>841</v>
      </c>
      <c r="I224" s="30">
        <v>44433</v>
      </c>
      <c r="J224" s="58" t="s">
        <v>1227</v>
      </c>
      <c r="K224" s="32">
        <v>-120000</v>
      </c>
      <c r="L224" s="32"/>
      <c r="M224" s="33">
        <f>(PROVEEDORES[[#This Row],[SUBTOTAL]]-PROVEEDORES[[#This Row],[descuento antes de IVA]])*VLOOKUP(PROVEEDORES[[#This Row],[PROVEEDOR]],TERCEROS_INFO[#All],3,FALSE)</f>
        <v>0</v>
      </c>
      <c r="N224" s="34"/>
      <c r="O224" s="33">
        <f>+PROVEEDORES[[#This Row],[Descuento sobre subtotal %]]*(PROVEEDORES[[#This Row],[SUBTOTAL]]-PROVEEDORES[[#This Row],[descuento antes de IVA]])</f>
        <v>0</v>
      </c>
      <c r="P2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4" s="33">
        <f>+(PROVEEDORES[[#This Row],[SUBTOTAL]]-PROVEEDORES[[#This Row],[descuento antes de IVA]])*PROVEEDORES[[#This Row],[Rete Fuente %]]</f>
        <v>0</v>
      </c>
      <c r="R224" s="32">
        <f>+PROVEEDORES[[#This Row],[SUBTOTAL]]+PROVEEDORES[[#This Row],[IVA 19%]]-PROVEEDORES[[#This Row],[descuento antes de IVA]]-PROVEEDORES[[#This Row],[Descuento sobre subtotal $]]-PROVEEDORES[[#This Row],[Rete Fuente $]]</f>
        <v>-120000</v>
      </c>
      <c r="S224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4" s="40"/>
      <c r="U224" s="97"/>
      <c r="V224" s="36"/>
      <c r="W224" s="36"/>
      <c r="X224" s="36"/>
      <c r="Y224" s="36"/>
      <c r="Z224" s="41"/>
      <c r="AA224" s="42"/>
      <c r="AF224" s="36"/>
      <c r="AG224" s="36"/>
    </row>
    <row r="225" spans="1:33" ht="21.95" hidden="1" customHeight="1" x14ac:dyDescent="0.25">
      <c r="A225" s="144" t="str">
        <f>+IF(PROVEEDORES[[#This Row],[FECHA DE PAGO]]=PROVEEDORES[[#This Row],[FECHA DE FACTURACIÓN]],"DE CONTADO","CRÉDITO")</f>
        <v>CRÉDITO</v>
      </c>
      <c r="B225" s="70" t="str">
        <f>+IF((PROVEEDORES[[#This Row],[FECHA DE PAGO]]-PROVEEDORES[[#This Row],[FECHA DE FACTURACIÓN]])&gt;PROVEEDORES[[#This Row],[PLAZO Días]],"PAGO VENCIDO")</f>
        <v>PAGO VENCIDO</v>
      </c>
      <c r="C225" s="27">
        <f>+VLOOKUP(PROVEEDORES[[#This Row],[PROVEEDOR]],TERCEROS_INFO[#All],2,FALSE)</f>
        <v>30</v>
      </c>
      <c r="D225" s="37">
        <f>+SUMIFS(PROVEEDORES[Total],PROVEEDORES[PROVEEDOR],PROVEEDORES[[#This Row],[PROVEEDOR]],PROVEEDORES[FECHA DE PAGO],"")</f>
        <v>0</v>
      </c>
      <c r="E225" s="37"/>
      <c r="F225" s="108" t="str">
        <f>+VLOOKUP(PROVEEDORES[[#This Row],[PROVEEDOR]],TERCEROS_INFO[[PROVEEDOR]:[CORREO]],5,FALSE)</f>
        <v>gerencia@som-tec.com</v>
      </c>
      <c r="G225" s="143">
        <v>44483</v>
      </c>
      <c r="H225" s="57" t="s">
        <v>841</v>
      </c>
      <c r="I225" s="30">
        <v>44440</v>
      </c>
      <c r="J225" s="58" t="s">
        <v>1232</v>
      </c>
      <c r="K225" s="32">
        <v>550000</v>
      </c>
      <c r="L225" s="32"/>
      <c r="M225" s="33">
        <f>(PROVEEDORES[[#This Row],[SUBTOTAL]]-PROVEEDORES[[#This Row],[descuento antes de IVA]])*VLOOKUP(PROVEEDORES[[#This Row],[PROVEEDOR]],TERCEROS_INFO[#All],3,FALSE)</f>
        <v>0</v>
      </c>
      <c r="N225" s="34"/>
      <c r="O225" s="33">
        <f>+PROVEEDORES[[#This Row],[Descuento sobre subtotal %]]*(PROVEEDORES[[#This Row],[SUBTOTAL]]-PROVEEDORES[[#This Row],[descuento antes de IVA]])</f>
        <v>0</v>
      </c>
      <c r="P2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5" s="33">
        <f>+(PROVEEDORES[[#This Row],[SUBTOTAL]]-PROVEEDORES[[#This Row],[descuento antes de IVA]])*PROVEEDORES[[#This Row],[Rete Fuente %]]</f>
        <v>0</v>
      </c>
      <c r="R225" s="32">
        <f>+PROVEEDORES[[#This Row],[SUBTOTAL]]+PROVEEDORES[[#This Row],[IVA 19%]]-PROVEEDORES[[#This Row],[descuento antes de IVA]]-PROVEEDORES[[#This Row],[Descuento sobre subtotal $]]-PROVEEDORES[[#This Row],[Rete Fuente $]]</f>
        <v>550000</v>
      </c>
      <c r="S225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5" s="40"/>
      <c r="U225" s="97"/>
      <c r="V225" s="36"/>
      <c r="W225" s="36"/>
      <c r="X225" s="36"/>
      <c r="Y225" s="36"/>
      <c r="Z225" s="41"/>
      <c r="AA225" s="42"/>
      <c r="AF225" s="36"/>
      <c r="AG225" s="36"/>
    </row>
    <row r="226" spans="1:33" ht="21.95" hidden="1" customHeight="1" x14ac:dyDescent="0.25">
      <c r="A226" s="155" t="str">
        <f>+IF(PROVEEDORES[[#This Row],[FECHA DE PAGO]]=PROVEEDORES[[#This Row],[FECHA DE FACTURACIÓN]],"DE CONTADO","CRÉDITO")</f>
        <v>CRÉDITO</v>
      </c>
      <c r="B226" s="70" t="b">
        <f>+IF((PROVEEDORES[[#This Row],[FECHA DE PAGO]]-PROVEEDORES[[#This Row],[FECHA DE FACTURACIÓN]])&gt;PROVEEDORES[[#This Row],[PLAZO Días]],"PAGO VENCIDO")</f>
        <v>0</v>
      </c>
      <c r="C226" s="27">
        <f>+VLOOKUP(PROVEEDORES[[#This Row],[PROVEEDOR]],TERCEROS_INFO[#All],2,FALSE)</f>
        <v>30</v>
      </c>
      <c r="D226" s="37">
        <f>+SUMIFS(PROVEEDORES[Total],PROVEEDORES[PROVEEDOR],PROVEEDORES[[#This Row],[PROVEEDOR]],PROVEEDORES[FECHA DE PAGO],"")</f>
        <v>0</v>
      </c>
      <c r="E226" s="37"/>
      <c r="F226" s="108" t="str">
        <f>+VLOOKUP(PROVEEDORES[[#This Row],[PROVEEDOR]],TERCEROS_INFO[[PROVEEDOR]:[CORREO]],5,FALSE)</f>
        <v>gerencia@som-tec.com</v>
      </c>
      <c r="G226" s="143">
        <v>44483</v>
      </c>
      <c r="H226" s="57" t="s">
        <v>841</v>
      </c>
      <c r="I226" s="30">
        <v>44473</v>
      </c>
      <c r="J226" s="58" t="s">
        <v>1267</v>
      </c>
      <c r="K226" s="32">
        <v>325000</v>
      </c>
      <c r="L226" s="32"/>
      <c r="M226" s="33">
        <f>(PROVEEDORES[[#This Row],[SUBTOTAL]]-PROVEEDORES[[#This Row],[descuento antes de IVA]])*VLOOKUP(PROVEEDORES[[#This Row],[PROVEEDOR]],TERCEROS_INFO[#All],3,FALSE)</f>
        <v>0</v>
      </c>
      <c r="N226" s="34"/>
      <c r="O226" s="33">
        <f>+PROVEEDORES[[#This Row],[Descuento sobre subtotal %]]*(PROVEEDORES[[#This Row],[SUBTOTAL]]-PROVEEDORES[[#This Row],[descuento antes de IVA]])</f>
        <v>0</v>
      </c>
      <c r="P2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6" s="33">
        <f>+(PROVEEDORES[[#This Row],[SUBTOTAL]]-PROVEEDORES[[#This Row],[descuento antes de IVA]])*PROVEEDORES[[#This Row],[Rete Fuente %]]</f>
        <v>0</v>
      </c>
      <c r="R226" s="32">
        <f>+PROVEEDORES[[#This Row],[SUBTOTAL]]+PROVEEDORES[[#This Row],[IVA 19%]]-PROVEEDORES[[#This Row],[descuento antes de IVA]]-PROVEEDORES[[#This Row],[Descuento sobre subtotal $]]-PROVEEDORES[[#This Row],[Rete Fuente $]]</f>
        <v>325000</v>
      </c>
      <c r="S226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6" s="40"/>
      <c r="U226" s="97"/>
      <c r="V226" s="36"/>
      <c r="W226" s="36"/>
      <c r="X226" s="36"/>
      <c r="Y226" s="36"/>
      <c r="Z226" s="41"/>
      <c r="AA226" s="42"/>
      <c r="AF226" s="36"/>
      <c r="AG226" s="36"/>
    </row>
    <row r="227" spans="1:33" ht="21.95" hidden="1" customHeight="1" x14ac:dyDescent="0.25">
      <c r="A227" s="39" t="str">
        <f>+IF(PROVEEDORES[[#This Row],[FECHA DE PAGO]]=PROVEEDORES[[#This Row],[FECHA DE FACTURACIÓN]],"DE CONTADO","CRÉDITO")</f>
        <v>CRÉDITO</v>
      </c>
      <c r="B227" s="67" t="b">
        <f>+IF((PROVEEDORES[[#This Row],[FECHA DE PAGO]]-PROVEEDORES[[#This Row],[FECHA DE FACTURACIÓN]])&gt;PROVEEDORES[[#This Row],[PLAZO Días]],"PAGO VENCIDO")</f>
        <v>0</v>
      </c>
      <c r="C227" s="27">
        <f>+VLOOKUP(PROVEEDORES[[#This Row],[PROVEEDOR]],TERCEROS_INFO[#All],2,FALSE)</f>
        <v>90</v>
      </c>
      <c r="D227" s="37">
        <f>+SUMIFS(PROVEEDORES[Total],PROVEEDORES[PROVEEDOR],PROVEEDORES[[#This Row],[PROVEEDOR]],PROVEEDORES[FECHA DE PAGO],"")</f>
        <v>6831935</v>
      </c>
      <c r="E227" s="37"/>
      <c r="F227" s="108" t="str">
        <f>+VLOOKUP(PROVEEDORES[[#This Row],[PROVEEDOR]],TERCEROS_INFO[[PROVEEDOR]:[CORREO]],5,FALSE)</f>
        <v/>
      </c>
      <c r="H227" s="38" t="s">
        <v>314</v>
      </c>
      <c r="I227" s="30">
        <v>44166</v>
      </c>
      <c r="J227" s="58"/>
      <c r="K227" s="32">
        <v>47205435</v>
      </c>
      <c r="L227" s="32"/>
      <c r="M227" s="33">
        <f>(PROVEEDORES[[#This Row],[SUBTOTAL]]-PROVEEDORES[[#This Row],[descuento antes de IVA]])*VLOOKUP(PROVEEDORES[[#This Row],[PROVEEDOR]],TERCEROS_INFO[#All],3,FALSE)</f>
        <v>0</v>
      </c>
      <c r="N227" s="34"/>
      <c r="O227" s="33">
        <f>+PROVEEDORES[[#This Row],[Descuento sobre subtotal %]]*(PROVEEDORES[[#This Row],[SUBTOTAL]]-PROVEEDORES[[#This Row],[descuento antes de IVA]])</f>
        <v>0</v>
      </c>
      <c r="P2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7" s="33">
        <f>+(PROVEEDORES[[#This Row],[SUBTOTAL]]-PROVEEDORES[[#This Row],[descuento antes de IVA]])*PROVEEDORES[[#This Row],[Rete Fuente %]]</f>
        <v>0</v>
      </c>
      <c r="R227" s="32">
        <f>+PROVEEDORES[[#This Row],[SUBTOTAL]]+PROVEEDORES[[#This Row],[IVA 19%]]-PROVEEDORES[[#This Row],[descuento antes de IVA]]-PROVEEDORES[[#This Row],[Descuento sobre subtotal $]]-PROVEEDORES[[#This Row],[Rete Fuente $]]</f>
        <v>47205435</v>
      </c>
      <c r="S227" s="3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227" s="40"/>
      <c r="U227" s="97"/>
      <c r="V227" s="36"/>
      <c r="W227" s="36"/>
      <c r="X227" s="36"/>
      <c r="Y227" s="36"/>
      <c r="Z227" s="41"/>
      <c r="AA227" s="42"/>
      <c r="AF227" s="36"/>
      <c r="AG227" s="36"/>
    </row>
    <row r="228" spans="1:33" ht="21.95" hidden="1" customHeight="1" x14ac:dyDescent="0.25">
      <c r="A228" s="39" t="str">
        <f>+IF(PROVEEDORES[[#This Row],[FECHA DE PAGO]]=PROVEEDORES[[#This Row],[FECHA DE FACTURACIÓN]],"DE CONTADO","CRÉDITO")</f>
        <v>CRÉDITO</v>
      </c>
      <c r="B228" s="67" t="b">
        <f>+IF((PROVEEDORES[[#This Row],[FECHA DE PAGO]]-PROVEEDORES[[#This Row],[FECHA DE FACTURACIÓN]])&gt;PROVEEDORES[[#This Row],[PLAZO Días]],"PAGO VENCIDO")</f>
        <v>0</v>
      </c>
      <c r="C228" s="27">
        <f>+VLOOKUP(PROVEEDORES[[#This Row],[PROVEEDOR]],TERCEROS_INFO[#All],2,FALSE)</f>
        <v>90</v>
      </c>
      <c r="D228" s="37">
        <f>+SUMIFS(PROVEEDORES[Total],PROVEEDORES[PROVEEDOR],PROVEEDORES[[#This Row],[PROVEEDOR]],PROVEEDORES[FECHA DE PAGO],"")</f>
        <v>6831935</v>
      </c>
      <c r="E228" s="37"/>
      <c r="F228" s="108" t="str">
        <f>+VLOOKUP(PROVEEDORES[[#This Row],[PROVEEDOR]],TERCEROS_INFO[[PROVEEDOR]:[CORREO]],5,FALSE)</f>
        <v/>
      </c>
      <c r="H228" s="38" t="s">
        <v>314</v>
      </c>
      <c r="I228" s="30">
        <v>44196</v>
      </c>
      <c r="J228" s="58"/>
      <c r="K228" s="32">
        <v>-20009300</v>
      </c>
      <c r="L228" s="32"/>
      <c r="M228" s="33">
        <f>(PROVEEDORES[[#This Row],[SUBTOTAL]]-PROVEEDORES[[#This Row],[descuento antes de IVA]])*VLOOKUP(PROVEEDORES[[#This Row],[PROVEEDOR]],TERCEROS_INFO[#All],3,FALSE)</f>
        <v>0</v>
      </c>
      <c r="N228" s="34"/>
      <c r="O228" s="33">
        <f>+PROVEEDORES[[#This Row],[Descuento sobre subtotal %]]*(PROVEEDORES[[#This Row],[SUBTOTAL]]-PROVEEDORES[[#This Row],[descuento antes de IVA]])</f>
        <v>0</v>
      </c>
      <c r="P2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8" s="33">
        <f>+(PROVEEDORES[[#This Row],[SUBTOTAL]]-PROVEEDORES[[#This Row],[descuento antes de IVA]])*PROVEEDORES[[#This Row],[Rete Fuente %]]</f>
        <v>0</v>
      </c>
      <c r="R228" s="32">
        <f>+PROVEEDORES[[#This Row],[SUBTOTAL]]+PROVEEDORES[[#This Row],[IVA 19%]]-PROVEEDORES[[#This Row],[descuento antes de IVA]]-PROVEEDORES[[#This Row],[Descuento sobre subtotal $]]-PROVEEDORES[[#This Row],[Rete Fuente $]]</f>
        <v>-20009300</v>
      </c>
      <c r="S228" s="3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228" s="40"/>
      <c r="U228" s="97"/>
      <c r="V228" s="36"/>
      <c r="W228" s="36"/>
      <c r="X228" s="36"/>
      <c r="Y228" s="36"/>
      <c r="Z228" s="41"/>
      <c r="AA228" s="42"/>
      <c r="AF228" s="36"/>
      <c r="AG228" s="36"/>
    </row>
    <row r="229" spans="1:33" ht="21.95" hidden="1" customHeight="1" x14ac:dyDescent="0.25">
      <c r="A229" s="39" t="str">
        <f>+IF(PROVEEDORES[[#This Row],[FECHA DE PAGO]]=PROVEEDORES[[#This Row],[FECHA DE FACTURACIÓN]],"DE CONTADO","CRÉDITO")</f>
        <v>CRÉDITO</v>
      </c>
      <c r="B229" s="67" t="b">
        <f>+IF((PROVEEDORES[[#This Row],[FECHA DE PAGO]]-PROVEEDORES[[#This Row],[FECHA DE FACTURACIÓN]])&gt;PROVEEDORES[[#This Row],[PLAZO Días]],"PAGO VENCIDO")</f>
        <v>0</v>
      </c>
      <c r="C229" s="27">
        <f>+VLOOKUP(PROVEEDORES[[#This Row],[PROVEEDOR]],TERCEROS_INFO[#All],2,FALSE)</f>
        <v>90</v>
      </c>
      <c r="D229" s="37">
        <f>+SUMIFS(PROVEEDORES[Total],PROVEEDORES[PROVEEDOR],PROVEEDORES[[#This Row],[PROVEEDOR]],PROVEEDORES[FECHA DE PAGO],"")</f>
        <v>6831935</v>
      </c>
      <c r="E229" s="37"/>
      <c r="F229" s="108" t="str">
        <f>+VLOOKUP(PROVEEDORES[[#This Row],[PROVEEDOR]],TERCEROS_INFO[[PROVEEDOR]:[CORREO]],5,FALSE)</f>
        <v/>
      </c>
      <c r="H229" s="38" t="s">
        <v>314</v>
      </c>
      <c r="I229" s="30">
        <v>44203</v>
      </c>
      <c r="J229" s="58"/>
      <c r="K229" s="32">
        <v>-5180200</v>
      </c>
      <c r="L229" s="32"/>
      <c r="M229" s="33">
        <f>(PROVEEDORES[[#This Row],[SUBTOTAL]]-PROVEEDORES[[#This Row],[descuento antes de IVA]])*VLOOKUP(PROVEEDORES[[#This Row],[PROVEEDOR]],TERCEROS_INFO[#All],3,FALSE)</f>
        <v>0</v>
      </c>
      <c r="N229" s="34"/>
      <c r="O229" s="33">
        <f>+PROVEEDORES[[#This Row],[Descuento sobre subtotal %]]*(PROVEEDORES[[#This Row],[SUBTOTAL]]-PROVEEDORES[[#This Row],[descuento antes de IVA]])</f>
        <v>0</v>
      </c>
      <c r="P2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29" s="33">
        <f>+(PROVEEDORES[[#This Row],[SUBTOTAL]]-PROVEEDORES[[#This Row],[descuento antes de IVA]])*PROVEEDORES[[#This Row],[Rete Fuente %]]</f>
        <v>0</v>
      </c>
      <c r="R229" s="32">
        <f>+PROVEEDORES[[#This Row],[SUBTOTAL]]+PROVEEDORES[[#This Row],[IVA 19%]]-PROVEEDORES[[#This Row],[descuento antes de IVA]]-PROVEEDORES[[#This Row],[Descuento sobre subtotal $]]-PROVEEDORES[[#This Row],[Rete Fuente $]]</f>
        <v>-5180200</v>
      </c>
      <c r="S229" s="3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229" s="40"/>
      <c r="U229" s="97"/>
      <c r="V229" s="36"/>
      <c r="W229" s="36"/>
      <c r="X229" s="36"/>
      <c r="Y229" s="36"/>
      <c r="Z229" s="41"/>
      <c r="AA229" s="42"/>
      <c r="AF229" s="36"/>
      <c r="AG229" s="36"/>
    </row>
    <row r="230" spans="1:33" ht="21.95" hidden="1" customHeight="1" x14ac:dyDescent="0.25">
      <c r="A230" s="35" t="str">
        <f>+IF(PROVEEDORES[[#This Row],[FECHA DE PAGO]]=PROVEEDORES[[#This Row],[FECHA DE FACTURACIÓN]],"DE CONTADO","CRÉDITO")</f>
        <v>CRÉDITO</v>
      </c>
      <c r="B230" s="70" t="b">
        <f>+IF((PROVEEDORES[[#This Row],[FECHA DE PAGO]]-PROVEEDORES[[#This Row],[FECHA DE FACTURACIÓN]])&gt;PROVEEDORES[[#This Row],[PLAZO Días]],"PAGO VENCIDO")</f>
        <v>0</v>
      </c>
      <c r="C230" s="27">
        <v>-1</v>
      </c>
      <c r="D230" s="37">
        <f>+SUMIFS(PROVEEDORES[Total],PROVEEDORES[PROVEEDOR],PROVEEDORES[[#This Row],[PROVEEDOR]],PROVEEDORES[FECHA DE PAGO],"")</f>
        <v>6831935</v>
      </c>
      <c r="E230" s="37"/>
      <c r="F230" s="108" t="str">
        <f>+VLOOKUP(PROVEEDORES[[#This Row],[PROVEEDOR]],TERCEROS_INFO[[PROVEEDOR]:[CORREO]],5,FALSE)</f>
        <v/>
      </c>
      <c r="H230" s="38" t="s">
        <v>314</v>
      </c>
      <c r="I230" s="30">
        <v>44561</v>
      </c>
      <c r="J230" s="58"/>
      <c r="K230" s="32">
        <v>-15184000</v>
      </c>
      <c r="L230" s="32"/>
      <c r="M230" s="33">
        <f>(PROVEEDORES[[#This Row],[SUBTOTAL]]-PROVEEDORES[[#This Row],[descuento antes de IVA]])*VLOOKUP(PROVEEDORES[[#This Row],[PROVEEDOR]],TERCEROS_INFO[#All],3,FALSE)</f>
        <v>0</v>
      </c>
      <c r="N230" s="34"/>
      <c r="O230" s="33">
        <f>+PROVEEDORES[[#This Row],[Descuento sobre subtotal %]]*(PROVEEDORES[[#This Row],[SUBTOTAL]]-PROVEEDORES[[#This Row],[descuento antes de IVA]])</f>
        <v>0</v>
      </c>
      <c r="P2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0" s="33">
        <f>+(PROVEEDORES[[#This Row],[SUBTOTAL]]-PROVEEDORES[[#This Row],[descuento antes de IVA]])*PROVEEDORES[[#This Row],[Rete Fuente %]]</f>
        <v>0</v>
      </c>
      <c r="R230" s="32">
        <f>+PROVEEDORES[[#This Row],[SUBTOTAL]]+PROVEEDORES[[#This Row],[IVA 19%]]-PROVEEDORES[[#This Row],[descuento antes de IVA]]-PROVEEDORES[[#This Row],[Descuento sobre subtotal $]]-PROVEEDORES[[#This Row],[Rete Fuente $]]</f>
        <v>-15184000</v>
      </c>
      <c r="S230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230" s="40"/>
      <c r="U230" s="97"/>
      <c r="V230" s="36"/>
      <c r="W230" s="36"/>
      <c r="X230" s="36"/>
      <c r="Y230" s="36"/>
      <c r="Z230" s="41"/>
      <c r="AA230" s="42"/>
      <c r="AF230" s="36"/>
      <c r="AG230" s="36"/>
    </row>
    <row r="231" spans="1:33" ht="21.95" hidden="1" customHeight="1" x14ac:dyDescent="0.25">
      <c r="A231" s="103" t="str">
        <f>+IF(PROVEEDORES[[#This Row],[FECHA DE PAGO]]=PROVEEDORES[[#This Row],[FECHA DE FACTURACIÓN]],"DE CONTADO","CRÉDITO")</f>
        <v>CRÉDITO</v>
      </c>
      <c r="B231" s="70" t="str">
        <f>+IF((PROVEEDORES[[#This Row],[FECHA DE PAGO]]-PROVEEDORES[[#This Row],[FECHA DE FACTURACIÓN]])&gt;PROVEEDORES[[#This Row],[PLAZO Días]],"PAGO VENCIDO")</f>
        <v>PAGO VENCIDO</v>
      </c>
      <c r="C231" s="27">
        <f>+VLOOKUP(PROVEEDORES[[#This Row],[PROVEEDOR]],TERCEROS_INFO[#All],2,FALSE)</f>
        <v>30</v>
      </c>
      <c r="D231" s="37">
        <f>+SUMIFS(PROVEEDORES[Total],PROVEEDORES[PROVEEDOR],PROVEEDORES[[#This Row],[PROVEEDOR]],PROVEEDORES[FECHA DE PAGO],"")</f>
        <v>0</v>
      </c>
      <c r="E231" s="37"/>
      <c r="F231" s="108">
        <f>+VLOOKUP(PROVEEDORES[[#This Row],[PROVEEDOR]],TERCEROS_INFO[[PROVEEDOR]:[CORREO]],5,FALSE)</f>
        <v>0</v>
      </c>
      <c r="G231" s="143">
        <v>44382</v>
      </c>
      <c r="H231" s="57" t="s">
        <v>611</v>
      </c>
      <c r="I231" s="30">
        <v>44312</v>
      </c>
      <c r="J231" s="58" t="s">
        <v>1117</v>
      </c>
      <c r="K231" s="32">
        <v>90000</v>
      </c>
      <c r="L231" s="32"/>
      <c r="M231" s="33">
        <f>(PROVEEDORES[[#This Row],[SUBTOTAL]]-PROVEEDORES[[#This Row],[descuento antes de IVA]])*VLOOKUP(PROVEEDORES[[#This Row],[PROVEEDOR]],TERCEROS_INFO[#All],3,FALSE)</f>
        <v>0</v>
      </c>
      <c r="N231" s="34"/>
      <c r="O231" s="33">
        <f>+PROVEEDORES[[#This Row],[Descuento sobre subtotal %]]*(PROVEEDORES[[#This Row],[SUBTOTAL]]-PROVEEDORES[[#This Row],[descuento antes de IVA]])</f>
        <v>0</v>
      </c>
      <c r="P2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1" s="33">
        <f>+(PROVEEDORES[[#This Row],[SUBTOTAL]]-PROVEEDORES[[#This Row],[descuento antes de IVA]])*PROVEEDORES[[#This Row],[Rete Fuente %]]</f>
        <v>0</v>
      </c>
      <c r="R231" s="32">
        <f>+PROVEEDORES[[#This Row],[SUBTOTAL]]+PROVEEDORES[[#This Row],[IVA 19%]]-PROVEEDORES[[#This Row],[descuento antes de IVA]]-PROVEEDORES[[#This Row],[Descuento sobre subtotal $]]-PROVEEDORES[[#This Row],[Rete Fuente $]]</f>
        <v>90000</v>
      </c>
      <c r="S231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1" s="40"/>
      <c r="U231" s="97"/>
      <c r="V231" s="36"/>
      <c r="W231" s="36"/>
      <c r="X231" s="36"/>
      <c r="Y231" s="36"/>
      <c r="Z231" s="41"/>
      <c r="AA231" s="42"/>
      <c r="AF231" s="36"/>
      <c r="AG231" s="36"/>
    </row>
    <row r="232" spans="1:33" ht="21.95" hidden="1" customHeight="1" x14ac:dyDescent="0.25">
      <c r="A232" s="35" t="str">
        <f>+IF(PROVEEDORES[[#This Row],[FECHA DE PAGO]]=PROVEEDORES[[#This Row],[FECHA DE FACTURACIÓN]],"DE CONTADO","CRÉDITO")</f>
        <v>CRÉDITO</v>
      </c>
      <c r="B232" s="70" t="b">
        <f>+IF((PROVEEDORES[[#This Row],[FECHA DE PAGO]]-PROVEEDORES[[#This Row],[FECHA DE FACTURACIÓN]])&gt;PROVEEDORES[[#This Row],[PLAZO Días]],"PAGO VENCIDO")</f>
        <v>0</v>
      </c>
      <c r="C232" s="27">
        <f>+VLOOKUP(PROVEEDORES[[#This Row],[PROVEEDOR]],TERCEROS_INFO[#All],2,FALSE)</f>
        <v>60</v>
      </c>
      <c r="D232" s="37">
        <f>+SUMIFS(PROVEEDORES[Total],PROVEEDORES[PROVEEDOR],PROVEEDORES[[#This Row],[PROVEEDOR]],PROVEEDORES[FECHA DE PAGO],"")</f>
        <v>5285000</v>
      </c>
      <c r="E232" s="37"/>
      <c r="F232" s="108">
        <f>+VLOOKUP(PROVEEDORES[[#This Row],[PROVEEDOR]],TERCEROS_INFO[[PROVEEDOR]:[CORREO]],5,FALSE)</f>
        <v>0</v>
      </c>
      <c r="H232" s="57" t="s">
        <v>1007</v>
      </c>
      <c r="I232" s="30">
        <v>44531</v>
      </c>
      <c r="J232" s="58" t="s">
        <v>1311</v>
      </c>
      <c r="K232" s="32">
        <v>5285000</v>
      </c>
      <c r="L232" s="32"/>
      <c r="M232" s="33">
        <f>(PROVEEDORES[[#This Row],[SUBTOTAL]]-PROVEEDORES[[#This Row],[descuento antes de IVA]])*VLOOKUP(PROVEEDORES[[#This Row],[PROVEEDOR]],TERCEROS_INFO[#All],3,FALSE)</f>
        <v>0</v>
      </c>
      <c r="N232" s="34"/>
      <c r="O232" s="33">
        <f>+PROVEEDORES[[#This Row],[Descuento sobre subtotal %]]*(PROVEEDORES[[#This Row],[SUBTOTAL]]-PROVEEDORES[[#This Row],[descuento antes de IVA]])</f>
        <v>0</v>
      </c>
      <c r="P2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2" s="33">
        <f>+(PROVEEDORES[[#This Row],[SUBTOTAL]]-PROVEEDORES[[#This Row],[descuento antes de IVA]])*PROVEEDORES[[#This Row],[Rete Fuente %]]</f>
        <v>0</v>
      </c>
      <c r="R232" s="32">
        <f>+PROVEEDORES[[#This Row],[SUBTOTAL]]+PROVEEDORES[[#This Row],[IVA 19%]]-PROVEEDORES[[#This Row],[descuento antes de IVA]]-PROVEEDORES[[#This Row],[Descuento sobre subtotal $]]-PROVEEDORES[[#This Row],[Rete Fuente $]]</f>
        <v>5285000</v>
      </c>
      <c r="S232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232" s="40"/>
      <c r="U232" s="97"/>
      <c r="V232" s="36"/>
      <c r="W232" s="36"/>
      <c r="X232" s="36"/>
      <c r="Y232" s="36"/>
      <c r="Z232" s="41"/>
      <c r="AA232" s="42"/>
      <c r="AF232" s="36"/>
      <c r="AG232" s="36"/>
    </row>
    <row r="233" spans="1:33" ht="21.95" hidden="1" customHeight="1" x14ac:dyDescent="0.25">
      <c r="A233" s="39" t="str">
        <f>+IF(PROVEEDORES[[#This Row],[FECHA DE PAGO]]=PROVEEDORES[[#This Row],[FECHA DE FACTURACIÓN]],"DE CONTADO","CRÉDITO")</f>
        <v>DE CONTADO</v>
      </c>
      <c r="B233" s="67" t="b">
        <f>+IF((PROVEEDORES[[#This Row],[FECHA DE PAGO]]-PROVEEDORES[[#This Row],[FECHA DE FACTURACIÓN]])&gt;PROVEEDORES[[#This Row],[PLAZO Días]],"PAGO VENCIDO")</f>
        <v>0</v>
      </c>
      <c r="C233" s="27">
        <f>+VLOOKUP(PROVEEDORES[[#This Row],[PROVEEDOR]],TERCEROS_INFO[#All],2,FALSE)</f>
        <v>30</v>
      </c>
      <c r="D233" s="37">
        <f>+SUMIFS(PROVEEDORES[Total],PROVEEDORES[PROVEEDOR],PROVEEDORES[[#This Row],[PROVEEDOR]],PROVEEDORES[FECHA DE PAGO],"")</f>
        <v>0</v>
      </c>
      <c r="E233" s="37"/>
      <c r="F233" s="108" t="str">
        <f>+VLOOKUP(PROVEEDORES[[#This Row],[PROVEEDOR]],TERCEROS_INFO[[PROVEEDOR]:[CORREO]],5,FALSE)</f>
        <v/>
      </c>
      <c r="G233" s="143">
        <v>43878</v>
      </c>
      <c r="H233" s="38" t="s">
        <v>266</v>
      </c>
      <c r="I233" s="30">
        <v>43878</v>
      </c>
      <c r="J233" s="58" t="s">
        <v>1022</v>
      </c>
      <c r="K233" s="32">
        <v>250000</v>
      </c>
      <c r="L233" s="32"/>
      <c r="M233" s="33">
        <f>(PROVEEDORES[[#This Row],[SUBTOTAL]]-PROVEEDORES[[#This Row],[descuento antes de IVA]])*VLOOKUP(PROVEEDORES[[#This Row],[PROVEEDOR]],TERCEROS_INFO[#All],3,FALSE)</f>
        <v>0</v>
      </c>
      <c r="N233" s="34"/>
      <c r="O233" s="33">
        <f>+PROVEEDORES[[#This Row],[Descuento sobre subtotal %]]*(PROVEEDORES[[#This Row],[SUBTOTAL]]-PROVEEDORES[[#This Row],[descuento antes de IVA]])</f>
        <v>0</v>
      </c>
      <c r="P2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3" s="33">
        <f>+(PROVEEDORES[[#This Row],[SUBTOTAL]]-PROVEEDORES[[#This Row],[descuento antes de IVA]])*PROVEEDORES[[#This Row],[Rete Fuente %]]</f>
        <v>0</v>
      </c>
      <c r="R233" s="32">
        <f>+PROVEEDORES[[#This Row],[SUBTOTAL]]+PROVEEDORES[[#This Row],[IVA 19%]]-PROVEEDORES[[#This Row],[descuento antes de IVA]]-PROVEEDORES[[#This Row],[Descuento sobre subtotal $]]-PROVEEDORES[[#This Row],[Rete Fuente $]]</f>
        <v>250000</v>
      </c>
      <c r="S23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3" s="40"/>
      <c r="U233" s="97"/>
      <c r="V233" s="36"/>
      <c r="W233" s="36"/>
      <c r="X233" s="36"/>
      <c r="Y233" s="36"/>
      <c r="Z233" s="41"/>
      <c r="AA233" s="42"/>
      <c r="AF233" s="36"/>
      <c r="AG233" s="36"/>
    </row>
    <row r="234" spans="1:33" ht="21.95" hidden="1" customHeight="1" x14ac:dyDescent="0.25">
      <c r="A234" s="39" t="str">
        <f>+IF(PROVEEDORES[[#This Row],[FECHA DE PAGO]]=PROVEEDORES[[#This Row],[FECHA DE FACTURACIÓN]],"DE CONTADO","CRÉDITO")</f>
        <v>DE CONTADO</v>
      </c>
      <c r="B234" s="67" t="b">
        <f>+IF((PROVEEDORES[[#This Row],[FECHA DE PAGO]]-PROVEEDORES[[#This Row],[FECHA DE FACTURACIÓN]])&gt;PROVEEDORES[[#This Row],[PLAZO Días]],"PAGO VENCIDO")</f>
        <v>0</v>
      </c>
      <c r="C234" s="27">
        <f>+VLOOKUP(PROVEEDORES[[#This Row],[PROVEEDOR]],TERCEROS_INFO[#All],2,FALSE)</f>
        <v>30</v>
      </c>
      <c r="D234" s="37">
        <f>+SUMIFS(PROVEEDORES[Total],PROVEEDORES[PROVEEDOR],PROVEEDORES[[#This Row],[PROVEEDOR]],PROVEEDORES[FECHA DE PAGO],"")</f>
        <v>0</v>
      </c>
      <c r="E234" s="37"/>
      <c r="F234" s="108" t="str">
        <f>+VLOOKUP(PROVEEDORES[[#This Row],[PROVEEDOR]],TERCEROS_INFO[[PROVEEDOR]:[CORREO]],5,FALSE)</f>
        <v/>
      </c>
      <c r="G234" s="143">
        <v>43904</v>
      </c>
      <c r="H234" s="38" t="s">
        <v>266</v>
      </c>
      <c r="I234" s="30">
        <v>43904</v>
      </c>
      <c r="J234" s="58">
        <v>1614636</v>
      </c>
      <c r="K234" s="32">
        <v>360000</v>
      </c>
      <c r="L234" s="32"/>
      <c r="M234" s="33">
        <f>(PROVEEDORES[[#This Row],[SUBTOTAL]]-PROVEEDORES[[#This Row],[descuento antes de IVA]])*VLOOKUP(PROVEEDORES[[#This Row],[PROVEEDOR]],TERCEROS_INFO[#All],3,FALSE)</f>
        <v>0</v>
      </c>
      <c r="N234" s="34"/>
      <c r="O234" s="33">
        <f>+PROVEEDORES[[#This Row],[Descuento sobre subtotal %]]*(PROVEEDORES[[#This Row],[SUBTOTAL]]-PROVEEDORES[[#This Row],[descuento antes de IVA]])</f>
        <v>0</v>
      </c>
      <c r="P2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4" s="33">
        <f>+(PROVEEDORES[[#This Row],[SUBTOTAL]]-PROVEEDORES[[#This Row],[descuento antes de IVA]])*PROVEEDORES[[#This Row],[Rete Fuente %]]</f>
        <v>0</v>
      </c>
      <c r="R234" s="32">
        <f>+PROVEEDORES[[#This Row],[SUBTOTAL]]+PROVEEDORES[[#This Row],[IVA 19%]]-PROVEEDORES[[#This Row],[descuento antes de IVA]]-PROVEEDORES[[#This Row],[Descuento sobre subtotal $]]-PROVEEDORES[[#This Row],[Rete Fuente $]]</f>
        <v>360000</v>
      </c>
      <c r="S23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4" s="40"/>
      <c r="U234" s="97"/>
      <c r="V234" s="36"/>
      <c r="W234" s="36"/>
      <c r="X234" s="36"/>
      <c r="Y234" s="36"/>
      <c r="Z234" s="41"/>
      <c r="AA234" s="42"/>
      <c r="AF234" s="36"/>
      <c r="AG234" s="36"/>
    </row>
    <row r="235" spans="1:33" ht="21.95" hidden="1" customHeight="1" x14ac:dyDescent="0.25">
      <c r="A235" s="39" t="str">
        <f>+IF(PROVEEDORES[[#This Row],[FECHA DE PAGO]]=PROVEEDORES[[#This Row],[FECHA DE FACTURACIÓN]],"DE CONTADO","CRÉDITO")</f>
        <v>DE CONTADO</v>
      </c>
      <c r="B235" s="67" t="b">
        <f>+IF((PROVEEDORES[[#This Row],[FECHA DE PAGO]]-PROVEEDORES[[#This Row],[FECHA DE FACTURACIÓN]])&gt;PROVEEDORES[[#This Row],[PLAZO Días]],"PAGO VENCIDO")</f>
        <v>0</v>
      </c>
      <c r="C235" s="27">
        <f>+VLOOKUP(PROVEEDORES[[#This Row],[PROVEEDOR]],TERCEROS_INFO[#All],2,FALSE)</f>
        <v>30</v>
      </c>
      <c r="D235" s="37">
        <f>+SUMIFS(PROVEEDORES[Total],PROVEEDORES[PROVEEDOR],PROVEEDORES[[#This Row],[PROVEEDOR]],PROVEEDORES[FECHA DE PAGO],"")</f>
        <v>0</v>
      </c>
      <c r="E235" s="37"/>
      <c r="F235" s="108" t="str">
        <f>+VLOOKUP(PROVEEDORES[[#This Row],[PROVEEDOR]],TERCEROS_INFO[[PROVEEDOR]:[CORREO]],5,FALSE)</f>
        <v/>
      </c>
      <c r="G235" s="143">
        <v>44027</v>
      </c>
      <c r="H235" s="38" t="s">
        <v>266</v>
      </c>
      <c r="I235" s="30">
        <v>44027</v>
      </c>
      <c r="J235" s="58"/>
      <c r="K235" s="32">
        <v>149000</v>
      </c>
      <c r="L235" s="32"/>
      <c r="M235" s="33">
        <f>(PROVEEDORES[[#This Row],[SUBTOTAL]]-PROVEEDORES[[#This Row],[descuento antes de IVA]])*VLOOKUP(PROVEEDORES[[#This Row],[PROVEEDOR]],TERCEROS_INFO[#All],3,FALSE)</f>
        <v>0</v>
      </c>
      <c r="N235" s="34"/>
      <c r="O235" s="33">
        <f>+PROVEEDORES[[#This Row],[Descuento sobre subtotal %]]*(PROVEEDORES[[#This Row],[SUBTOTAL]]-PROVEEDORES[[#This Row],[descuento antes de IVA]])</f>
        <v>0</v>
      </c>
      <c r="P2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5" s="33">
        <f>+(PROVEEDORES[[#This Row],[SUBTOTAL]]-PROVEEDORES[[#This Row],[descuento antes de IVA]])*PROVEEDORES[[#This Row],[Rete Fuente %]]</f>
        <v>0</v>
      </c>
      <c r="R235" s="32">
        <f>+PROVEEDORES[[#This Row],[SUBTOTAL]]+PROVEEDORES[[#This Row],[IVA 19%]]-PROVEEDORES[[#This Row],[descuento antes de IVA]]-PROVEEDORES[[#This Row],[Descuento sobre subtotal $]]-PROVEEDORES[[#This Row],[Rete Fuente $]]</f>
        <v>149000</v>
      </c>
      <c r="S23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5" s="40"/>
      <c r="U235" s="97"/>
      <c r="V235" s="36"/>
      <c r="W235" s="36"/>
      <c r="X235" s="36"/>
      <c r="Y235" s="36"/>
      <c r="Z235" s="41"/>
      <c r="AA235" s="42"/>
      <c r="AF235" s="36"/>
      <c r="AG235" s="36"/>
    </row>
    <row r="236" spans="1:33" ht="21.95" hidden="1" customHeight="1" x14ac:dyDescent="0.25">
      <c r="A236" s="39" t="str">
        <f>+IF(PROVEEDORES[[#This Row],[FECHA DE PAGO]]=PROVEEDORES[[#This Row],[FECHA DE FACTURACIÓN]],"DE CONTADO","CRÉDITO")</f>
        <v>DE CONTADO</v>
      </c>
      <c r="B236" s="67" t="b">
        <f>+IF((PROVEEDORES[[#This Row],[FECHA DE PAGO]]-PROVEEDORES[[#This Row],[FECHA DE FACTURACIÓN]])&gt;PROVEEDORES[[#This Row],[PLAZO Días]],"PAGO VENCIDO")</f>
        <v>0</v>
      </c>
      <c r="C236" s="27">
        <f>+VLOOKUP(PROVEEDORES[[#This Row],[PROVEEDOR]],TERCEROS_INFO[#All],2,FALSE)</f>
        <v>30</v>
      </c>
      <c r="D236" s="37">
        <f>+SUMIFS(PROVEEDORES[Total],PROVEEDORES[PROVEEDOR],PROVEEDORES[[#This Row],[PROVEEDOR]],PROVEEDORES[FECHA DE PAGO],"")</f>
        <v>0</v>
      </c>
      <c r="E236" s="37" t="s">
        <v>336</v>
      </c>
      <c r="F236" s="108" t="str">
        <f>+VLOOKUP(PROVEEDORES[[#This Row],[PROVEEDOR]],TERCEROS_INFO[[PROVEEDOR]:[CORREO]],5,FALSE)</f>
        <v/>
      </c>
      <c r="G236" s="143">
        <v>44040</v>
      </c>
      <c r="H236" s="38" t="s">
        <v>266</v>
      </c>
      <c r="I236" s="30">
        <v>44040</v>
      </c>
      <c r="J236" s="58"/>
      <c r="K236" s="32">
        <v>72000</v>
      </c>
      <c r="L236" s="32"/>
      <c r="M236" s="33">
        <f>(PROVEEDORES[[#This Row],[SUBTOTAL]]-PROVEEDORES[[#This Row],[descuento antes de IVA]])*VLOOKUP(PROVEEDORES[[#This Row],[PROVEEDOR]],TERCEROS_INFO[#All],3,FALSE)</f>
        <v>0</v>
      </c>
      <c r="N236" s="34"/>
      <c r="O236" s="33">
        <f>+PROVEEDORES[[#This Row],[Descuento sobre subtotal %]]*(PROVEEDORES[[#This Row],[SUBTOTAL]]-PROVEEDORES[[#This Row],[descuento antes de IVA]])</f>
        <v>0</v>
      </c>
      <c r="P2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6" s="33">
        <f>+(PROVEEDORES[[#This Row],[SUBTOTAL]]-PROVEEDORES[[#This Row],[descuento antes de IVA]])*PROVEEDORES[[#This Row],[Rete Fuente %]]</f>
        <v>0</v>
      </c>
      <c r="R236" s="32">
        <f>+PROVEEDORES[[#This Row],[SUBTOTAL]]+PROVEEDORES[[#This Row],[IVA 19%]]-PROVEEDORES[[#This Row],[descuento antes de IVA]]-PROVEEDORES[[#This Row],[Descuento sobre subtotal $]]-PROVEEDORES[[#This Row],[Rete Fuente $]]</f>
        <v>72000</v>
      </c>
      <c r="S23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6" s="40"/>
      <c r="U236" s="97"/>
      <c r="V236" s="36"/>
      <c r="W236" s="36"/>
      <c r="X236" s="36"/>
      <c r="Y236" s="36"/>
      <c r="Z236" s="41"/>
      <c r="AA236" s="42"/>
      <c r="AF236" s="36"/>
      <c r="AG236" s="36"/>
    </row>
    <row r="237" spans="1:33" ht="21.95" hidden="1" customHeight="1" x14ac:dyDescent="0.25">
      <c r="A237" s="39" t="str">
        <f>+IF(PROVEEDORES[[#This Row],[FECHA DE PAGO]]=PROVEEDORES[[#This Row],[FECHA DE FACTURACIÓN]],"DE CONTADO","CRÉDITO")</f>
        <v>DE CONTADO</v>
      </c>
      <c r="B237" s="67" t="b">
        <f>+IF((PROVEEDORES[[#This Row],[FECHA DE PAGO]]-PROVEEDORES[[#This Row],[FECHA DE FACTURACIÓN]])&gt;PROVEEDORES[[#This Row],[PLAZO Días]],"PAGO VENCIDO")</f>
        <v>0</v>
      </c>
      <c r="C237" s="27">
        <f>+VLOOKUP(PROVEEDORES[[#This Row],[PROVEEDOR]],TERCEROS_INFO[#All],2,FALSE)</f>
        <v>30</v>
      </c>
      <c r="D237" s="37">
        <f>+SUMIFS(PROVEEDORES[Total],PROVEEDORES[PROVEEDOR],PROVEEDORES[[#This Row],[PROVEEDOR]],PROVEEDORES[FECHA DE PAGO],"")</f>
        <v>0</v>
      </c>
      <c r="E237" s="37"/>
      <c r="F237" s="108" t="str">
        <f>+VLOOKUP(PROVEEDORES[[#This Row],[PROVEEDOR]],TERCEROS_INFO[[PROVEEDOR]:[CORREO]],5,FALSE)</f>
        <v/>
      </c>
      <c r="G237" s="143">
        <v>44099</v>
      </c>
      <c r="H237" s="38" t="s">
        <v>266</v>
      </c>
      <c r="I237" s="30">
        <v>44099</v>
      </c>
      <c r="J237" s="58"/>
      <c r="K237" s="32">
        <v>704000</v>
      </c>
      <c r="L237" s="32"/>
      <c r="M237" s="33">
        <f>(PROVEEDORES[[#This Row],[SUBTOTAL]]-PROVEEDORES[[#This Row],[descuento antes de IVA]])*VLOOKUP(PROVEEDORES[[#This Row],[PROVEEDOR]],TERCEROS_INFO[#All],3,FALSE)</f>
        <v>0</v>
      </c>
      <c r="N237" s="34"/>
      <c r="O237" s="33">
        <f>+PROVEEDORES[[#This Row],[Descuento sobre subtotal %]]*(PROVEEDORES[[#This Row],[SUBTOTAL]]-PROVEEDORES[[#This Row],[descuento antes de IVA]])</f>
        <v>0</v>
      </c>
      <c r="P2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7" s="33">
        <f>+(PROVEEDORES[[#This Row],[SUBTOTAL]]-PROVEEDORES[[#This Row],[descuento antes de IVA]])*PROVEEDORES[[#This Row],[Rete Fuente %]]</f>
        <v>0</v>
      </c>
      <c r="R237" s="32">
        <f>+PROVEEDORES[[#This Row],[SUBTOTAL]]+PROVEEDORES[[#This Row],[IVA 19%]]-PROVEEDORES[[#This Row],[descuento antes de IVA]]-PROVEEDORES[[#This Row],[Descuento sobre subtotal $]]-PROVEEDORES[[#This Row],[Rete Fuente $]]</f>
        <v>704000</v>
      </c>
      <c r="S23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7" s="40"/>
      <c r="U237" s="97"/>
      <c r="V237" s="36"/>
      <c r="W237" s="36"/>
      <c r="X237" s="36"/>
      <c r="Y237" s="36"/>
      <c r="Z237" s="41"/>
      <c r="AA237" s="42"/>
      <c r="AF237" s="36"/>
      <c r="AG237" s="36"/>
    </row>
    <row r="238" spans="1:33" ht="21.95" hidden="1" customHeight="1" x14ac:dyDescent="0.25">
      <c r="A238" s="39" t="str">
        <f>+IF(PROVEEDORES[[#This Row],[FECHA DE PAGO]]=PROVEEDORES[[#This Row],[FECHA DE FACTURACIÓN]],"DE CONTADO","CRÉDITO")</f>
        <v>DE CONTADO</v>
      </c>
      <c r="B238" s="67" t="b">
        <f>+IF((PROVEEDORES[[#This Row],[FECHA DE PAGO]]-PROVEEDORES[[#This Row],[FECHA DE FACTURACIÓN]])&gt;PROVEEDORES[[#This Row],[PLAZO Días]],"PAGO VENCIDO")</f>
        <v>0</v>
      </c>
      <c r="C238" s="27">
        <f>+VLOOKUP(PROVEEDORES[[#This Row],[PROVEEDOR]],TERCEROS_INFO[#All],2,FALSE)</f>
        <v>30</v>
      </c>
      <c r="D238" s="37">
        <f>+SUMIFS(PROVEEDORES[Total],PROVEEDORES[PROVEEDOR],PROVEEDORES[[#This Row],[PROVEEDOR]],PROVEEDORES[FECHA DE PAGO],"")</f>
        <v>0</v>
      </c>
      <c r="E238" s="37"/>
      <c r="F238" s="108" t="str">
        <f>+VLOOKUP(PROVEEDORES[[#This Row],[PROVEEDOR]],TERCEROS_INFO[[PROVEEDOR]:[CORREO]],5,FALSE)</f>
        <v/>
      </c>
      <c r="G238" s="143">
        <v>44128</v>
      </c>
      <c r="H238" s="38" t="s">
        <v>266</v>
      </c>
      <c r="I238" s="30">
        <v>44128</v>
      </c>
      <c r="J238" s="58"/>
      <c r="K238" s="32">
        <v>592000</v>
      </c>
      <c r="L238" s="32"/>
      <c r="M238" s="33">
        <f>(PROVEEDORES[[#This Row],[SUBTOTAL]]-PROVEEDORES[[#This Row],[descuento antes de IVA]])*VLOOKUP(PROVEEDORES[[#This Row],[PROVEEDOR]],TERCEROS_INFO[#All],3,FALSE)</f>
        <v>0</v>
      </c>
      <c r="N238" s="34"/>
      <c r="O238" s="33">
        <f>+PROVEEDORES[[#This Row],[Descuento sobre subtotal %]]*(PROVEEDORES[[#This Row],[SUBTOTAL]]-PROVEEDORES[[#This Row],[descuento antes de IVA]])</f>
        <v>0</v>
      </c>
      <c r="P2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8" s="33">
        <f>+(PROVEEDORES[[#This Row],[SUBTOTAL]]-PROVEEDORES[[#This Row],[descuento antes de IVA]])*PROVEEDORES[[#This Row],[Rete Fuente %]]</f>
        <v>0</v>
      </c>
      <c r="R238" s="32">
        <f>+PROVEEDORES[[#This Row],[SUBTOTAL]]+PROVEEDORES[[#This Row],[IVA 19%]]-PROVEEDORES[[#This Row],[descuento antes de IVA]]-PROVEEDORES[[#This Row],[Descuento sobre subtotal $]]-PROVEEDORES[[#This Row],[Rete Fuente $]]</f>
        <v>592000</v>
      </c>
      <c r="S23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8" s="40"/>
      <c r="U238" s="97"/>
      <c r="V238" s="36"/>
      <c r="W238" s="36"/>
      <c r="X238" s="36"/>
      <c r="Y238" s="36"/>
      <c r="Z238" s="41"/>
      <c r="AA238" s="42"/>
      <c r="AF238" s="36"/>
      <c r="AG238" s="36"/>
    </row>
    <row r="239" spans="1:33" ht="21.95" hidden="1" customHeight="1" x14ac:dyDescent="0.25">
      <c r="A239" s="39" t="str">
        <f>+IF(PROVEEDORES[[#This Row],[FECHA DE PAGO]]=PROVEEDORES[[#This Row],[FECHA DE FACTURACIÓN]],"DE CONTADO","CRÉDITO")</f>
        <v>DE CONTADO</v>
      </c>
      <c r="B239" s="67" t="b">
        <f>+IF((PROVEEDORES[[#This Row],[FECHA DE PAGO]]-PROVEEDORES[[#This Row],[FECHA DE FACTURACIÓN]])&gt;PROVEEDORES[[#This Row],[PLAZO Días]],"PAGO VENCIDO")</f>
        <v>0</v>
      </c>
      <c r="C239" s="27">
        <f>+VLOOKUP(PROVEEDORES[[#This Row],[PROVEEDOR]],TERCEROS_INFO[#All],2,FALSE)</f>
        <v>30</v>
      </c>
      <c r="D239" s="37">
        <f>+SUMIFS(PROVEEDORES[Total],PROVEEDORES[PROVEEDOR],PROVEEDORES[[#This Row],[PROVEEDOR]],PROVEEDORES[FECHA DE PAGO],"")</f>
        <v>0</v>
      </c>
      <c r="E239" s="37"/>
      <c r="F239" s="108" t="str">
        <f>+VLOOKUP(PROVEEDORES[[#This Row],[PROVEEDOR]],TERCEROS_INFO[[PROVEEDOR]:[CORREO]],5,FALSE)</f>
        <v/>
      </c>
      <c r="G239" s="143">
        <v>44148</v>
      </c>
      <c r="H239" s="38" t="s">
        <v>266</v>
      </c>
      <c r="I239" s="30">
        <v>44148</v>
      </c>
      <c r="J239" s="58">
        <v>1203</v>
      </c>
      <c r="K239" s="32">
        <v>2028000</v>
      </c>
      <c r="L239" s="32"/>
      <c r="M239" s="33">
        <f>(PROVEEDORES[[#This Row],[SUBTOTAL]]-PROVEEDORES[[#This Row],[descuento antes de IVA]])*VLOOKUP(PROVEEDORES[[#This Row],[PROVEEDOR]],TERCEROS_INFO[#All],3,FALSE)</f>
        <v>0</v>
      </c>
      <c r="N239" s="34"/>
      <c r="O239" s="33">
        <f>+PROVEEDORES[[#This Row],[Descuento sobre subtotal %]]*(PROVEEDORES[[#This Row],[SUBTOTAL]]-PROVEEDORES[[#This Row],[descuento antes de IVA]])</f>
        <v>0</v>
      </c>
      <c r="P2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39" s="33">
        <f>+(PROVEEDORES[[#This Row],[SUBTOTAL]]-PROVEEDORES[[#This Row],[descuento antes de IVA]])*PROVEEDORES[[#This Row],[Rete Fuente %]]</f>
        <v>0</v>
      </c>
      <c r="R239" s="32">
        <f>+PROVEEDORES[[#This Row],[SUBTOTAL]]+PROVEEDORES[[#This Row],[IVA 19%]]-PROVEEDORES[[#This Row],[descuento antes de IVA]]-PROVEEDORES[[#This Row],[Descuento sobre subtotal $]]-PROVEEDORES[[#This Row],[Rete Fuente $]]</f>
        <v>2028000</v>
      </c>
      <c r="S23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9" s="40"/>
      <c r="U239" s="97"/>
      <c r="V239" s="36"/>
      <c r="W239" s="36"/>
      <c r="X239" s="36"/>
      <c r="Y239" s="36"/>
      <c r="Z239" s="41"/>
      <c r="AA239" s="42"/>
      <c r="AF239" s="36"/>
      <c r="AG239" s="36"/>
    </row>
    <row r="240" spans="1:33" ht="21.95" hidden="1" customHeight="1" x14ac:dyDescent="0.25">
      <c r="A240" s="39" t="str">
        <f>+IF(PROVEEDORES[[#This Row],[FECHA DE PAGO]]=PROVEEDORES[[#This Row],[FECHA DE FACTURACIÓN]],"DE CONTADO","CRÉDITO")</f>
        <v>DE CONTADO</v>
      </c>
      <c r="B240" s="67" t="b">
        <f>+IF((PROVEEDORES[[#This Row],[FECHA DE PAGO]]-PROVEEDORES[[#This Row],[FECHA DE FACTURACIÓN]])&gt;PROVEEDORES[[#This Row],[PLAZO Días]],"PAGO VENCIDO")</f>
        <v>0</v>
      </c>
      <c r="C240" s="27">
        <f>+VLOOKUP(PROVEEDORES[[#This Row],[PROVEEDOR]],TERCEROS_INFO[#All],2,FALSE)</f>
        <v>30</v>
      </c>
      <c r="D240" s="37">
        <f>+SUMIFS(PROVEEDORES[Total],PROVEEDORES[PROVEEDOR],PROVEEDORES[[#This Row],[PROVEEDOR]],PROVEEDORES[FECHA DE PAGO],"")</f>
        <v>0</v>
      </c>
      <c r="E240" s="37"/>
      <c r="F240" s="108" t="str">
        <f>+VLOOKUP(PROVEEDORES[[#This Row],[PROVEEDOR]],TERCEROS_INFO[[PROVEEDOR]:[CORREO]],5,FALSE)</f>
        <v/>
      </c>
      <c r="G240" s="143">
        <v>44158</v>
      </c>
      <c r="H240" s="38" t="s">
        <v>266</v>
      </c>
      <c r="I240" s="30">
        <v>44158</v>
      </c>
      <c r="J240" s="58">
        <v>1218</v>
      </c>
      <c r="K240" s="32">
        <v>384000</v>
      </c>
      <c r="L240" s="32"/>
      <c r="M240" s="33">
        <f>(PROVEEDORES[[#This Row],[SUBTOTAL]]-PROVEEDORES[[#This Row],[descuento antes de IVA]])*VLOOKUP(PROVEEDORES[[#This Row],[PROVEEDOR]],TERCEROS_INFO[#All],3,FALSE)</f>
        <v>0</v>
      </c>
      <c r="N240" s="34"/>
      <c r="O240" s="33">
        <f>+PROVEEDORES[[#This Row],[Descuento sobre subtotal %]]*(PROVEEDORES[[#This Row],[SUBTOTAL]]-PROVEEDORES[[#This Row],[descuento antes de IVA]])</f>
        <v>0</v>
      </c>
      <c r="P2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0" s="33">
        <f>+(PROVEEDORES[[#This Row],[SUBTOTAL]]-PROVEEDORES[[#This Row],[descuento antes de IVA]])*PROVEEDORES[[#This Row],[Rete Fuente %]]</f>
        <v>0</v>
      </c>
      <c r="R240" s="32">
        <f>+PROVEEDORES[[#This Row],[SUBTOTAL]]+PROVEEDORES[[#This Row],[IVA 19%]]-PROVEEDORES[[#This Row],[descuento antes de IVA]]-PROVEEDORES[[#This Row],[Descuento sobre subtotal $]]-PROVEEDORES[[#This Row],[Rete Fuente $]]</f>
        <v>384000</v>
      </c>
      <c r="S2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0" s="40"/>
      <c r="U240" s="97"/>
      <c r="V240" s="36"/>
      <c r="W240" s="36"/>
      <c r="X240" s="36"/>
      <c r="Y240" s="36"/>
      <c r="Z240" s="41"/>
      <c r="AA240" s="42"/>
      <c r="AF240" s="36"/>
      <c r="AG240" s="36"/>
    </row>
    <row r="241" spans="1:33" ht="21.95" hidden="1" customHeight="1" x14ac:dyDescent="0.25">
      <c r="A241" s="39" t="str">
        <f>+IF(PROVEEDORES[[#This Row],[FECHA DE PAGO]]=PROVEEDORES[[#This Row],[FECHA DE FACTURACIÓN]],"DE CONTADO","CRÉDITO")</f>
        <v>DE CONTADO</v>
      </c>
      <c r="B241" s="67" t="b">
        <f>+IF((PROVEEDORES[[#This Row],[FECHA DE PAGO]]-PROVEEDORES[[#This Row],[FECHA DE FACTURACIÓN]])&gt;PROVEEDORES[[#This Row],[PLAZO Días]],"PAGO VENCIDO")</f>
        <v>0</v>
      </c>
      <c r="C241" s="27">
        <f>+VLOOKUP(PROVEEDORES[[#This Row],[PROVEEDOR]],TERCEROS_INFO[#All],2,FALSE)</f>
        <v>30</v>
      </c>
      <c r="D241" s="37">
        <f>+SUMIFS(PROVEEDORES[Total],PROVEEDORES[PROVEEDOR],PROVEEDORES[[#This Row],[PROVEEDOR]],PROVEEDORES[FECHA DE PAGO],"")</f>
        <v>0</v>
      </c>
      <c r="E241" s="37"/>
      <c r="F241" s="108" t="str">
        <f>+VLOOKUP(PROVEEDORES[[#This Row],[PROVEEDOR]],TERCEROS_INFO[[PROVEEDOR]:[CORREO]],5,FALSE)</f>
        <v/>
      </c>
      <c r="G241" s="143">
        <v>44168</v>
      </c>
      <c r="H241" s="38" t="s">
        <v>266</v>
      </c>
      <c r="I241" s="30">
        <v>44168</v>
      </c>
      <c r="J241" s="58"/>
      <c r="K241" s="32">
        <v>1064000</v>
      </c>
      <c r="L241" s="32"/>
      <c r="M241" s="33">
        <f>(PROVEEDORES[[#This Row],[SUBTOTAL]]-PROVEEDORES[[#This Row],[descuento antes de IVA]])*VLOOKUP(PROVEEDORES[[#This Row],[PROVEEDOR]],TERCEROS_INFO[#All],3,FALSE)</f>
        <v>0</v>
      </c>
      <c r="N241" s="34"/>
      <c r="O241" s="33">
        <f>+PROVEEDORES[[#This Row],[Descuento sobre subtotal %]]*(PROVEEDORES[[#This Row],[SUBTOTAL]]-PROVEEDORES[[#This Row],[descuento antes de IVA]])</f>
        <v>0</v>
      </c>
      <c r="P2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1" s="33">
        <f>+(PROVEEDORES[[#This Row],[SUBTOTAL]]-PROVEEDORES[[#This Row],[descuento antes de IVA]])*PROVEEDORES[[#This Row],[Rete Fuente %]]</f>
        <v>0</v>
      </c>
      <c r="R241" s="32">
        <f>+PROVEEDORES[[#This Row],[SUBTOTAL]]+PROVEEDORES[[#This Row],[IVA 19%]]-PROVEEDORES[[#This Row],[descuento antes de IVA]]-PROVEEDORES[[#This Row],[Descuento sobre subtotal $]]-PROVEEDORES[[#This Row],[Rete Fuente $]]</f>
        <v>1064000</v>
      </c>
      <c r="S2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1" s="40"/>
      <c r="U241" s="97"/>
      <c r="V241" s="36"/>
      <c r="W241" s="36"/>
      <c r="X241" s="36"/>
      <c r="Y241" s="36"/>
      <c r="Z241" s="41"/>
      <c r="AA241" s="42"/>
      <c r="AF241" s="36"/>
      <c r="AG241" s="36"/>
    </row>
    <row r="242" spans="1:33" ht="21.95" hidden="1" customHeight="1" x14ac:dyDescent="0.25">
      <c r="A242" s="39" t="str">
        <f>+IF(PROVEEDORES[[#This Row],[FECHA DE PAGO]]=PROVEEDORES[[#This Row],[FECHA DE FACTURACIÓN]],"DE CONTADO","CRÉDITO")</f>
        <v>DE CONTADO</v>
      </c>
      <c r="B242" s="67" t="b">
        <f>+IF((PROVEEDORES[[#This Row],[FECHA DE PAGO]]-PROVEEDORES[[#This Row],[FECHA DE FACTURACIÓN]])&gt;PROVEEDORES[[#This Row],[PLAZO Días]],"PAGO VENCIDO")</f>
        <v>0</v>
      </c>
      <c r="C242" s="27">
        <f>+VLOOKUP(PROVEEDORES[[#This Row],[PROVEEDOR]],TERCEROS_INFO[#All],2,FALSE)</f>
        <v>30</v>
      </c>
      <c r="D242" s="37">
        <f>+SUMIFS(PROVEEDORES[Total],PROVEEDORES[PROVEEDOR],PROVEEDORES[[#This Row],[PROVEEDOR]],PROVEEDORES[FECHA DE PAGO],"")</f>
        <v>0</v>
      </c>
      <c r="E242" s="37"/>
      <c r="F242" s="108" t="str">
        <f>+VLOOKUP(PROVEEDORES[[#This Row],[PROVEEDOR]],TERCEROS_INFO[[PROVEEDOR]:[CORREO]],5,FALSE)</f>
        <v/>
      </c>
      <c r="G242" s="143">
        <v>44186</v>
      </c>
      <c r="H242" s="38" t="s">
        <v>266</v>
      </c>
      <c r="I242" s="30">
        <v>44186</v>
      </c>
      <c r="J242" s="58"/>
      <c r="K242" s="32">
        <v>664000</v>
      </c>
      <c r="L242" s="32"/>
      <c r="M242" s="33">
        <f>(PROVEEDORES[[#This Row],[SUBTOTAL]]-PROVEEDORES[[#This Row],[descuento antes de IVA]])*VLOOKUP(PROVEEDORES[[#This Row],[PROVEEDOR]],TERCEROS_INFO[#All],3,FALSE)</f>
        <v>0</v>
      </c>
      <c r="N242" s="34"/>
      <c r="O242" s="33">
        <f>+PROVEEDORES[[#This Row],[Descuento sobre subtotal %]]*(PROVEEDORES[[#This Row],[SUBTOTAL]]-PROVEEDORES[[#This Row],[descuento antes de IVA]])</f>
        <v>0</v>
      </c>
      <c r="P2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2" s="33">
        <f>+(PROVEEDORES[[#This Row],[SUBTOTAL]]-PROVEEDORES[[#This Row],[descuento antes de IVA]])*PROVEEDORES[[#This Row],[Rete Fuente %]]</f>
        <v>0</v>
      </c>
      <c r="R242" s="32">
        <f>+PROVEEDORES[[#This Row],[SUBTOTAL]]+PROVEEDORES[[#This Row],[IVA 19%]]-PROVEEDORES[[#This Row],[descuento antes de IVA]]-PROVEEDORES[[#This Row],[Descuento sobre subtotal $]]-PROVEEDORES[[#This Row],[Rete Fuente $]]</f>
        <v>664000</v>
      </c>
      <c r="S2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2" s="40"/>
      <c r="U242" s="97"/>
      <c r="V242" s="36"/>
      <c r="W242" s="36"/>
      <c r="X242" s="36"/>
      <c r="Y242" s="36"/>
      <c r="Z242" s="41"/>
      <c r="AA242" s="42"/>
      <c r="AF242" s="36"/>
      <c r="AG242" s="36"/>
    </row>
    <row r="243" spans="1:33" ht="21.95" hidden="1" customHeight="1" x14ac:dyDescent="0.25">
      <c r="A243" s="39" t="str">
        <f>+IF(PROVEEDORES[[#This Row],[FECHA DE PAGO]]=PROVEEDORES[[#This Row],[FECHA DE FACTURACIÓN]],"DE CONTADO","CRÉDITO")</f>
        <v>DE CONTADO</v>
      </c>
      <c r="B243" s="67" t="b">
        <f>+IF((PROVEEDORES[[#This Row],[FECHA DE PAGO]]-PROVEEDORES[[#This Row],[FECHA DE FACTURACIÓN]])&gt;PROVEEDORES[[#This Row],[PLAZO Días]],"PAGO VENCIDO")</f>
        <v>0</v>
      </c>
      <c r="C243" s="27">
        <f>+VLOOKUP(PROVEEDORES[[#This Row],[PROVEEDOR]],TERCEROS_INFO[#All],2,FALSE)</f>
        <v>30</v>
      </c>
      <c r="D243" s="37">
        <f>+SUMIFS(PROVEEDORES[Total],PROVEEDORES[PROVEEDOR],PROVEEDORES[[#This Row],[PROVEEDOR]],PROVEEDORES[FECHA DE PAGO],"")</f>
        <v>0</v>
      </c>
      <c r="E243" s="37"/>
      <c r="F243" s="108" t="str">
        <f>+VLOOKUP(PROVEEDORES[[#This Row],[PROVEEDOR]],TERCEROS_INFO[[PROVEEDOR]:[CORREO]],5,FALSE)</f>
        <v/>
      </c>
      <c r="G243" s="143">
        <v>44189</v>
      </c>
      <c r="H243" s="38" t="s">
        <v>266</v>
      </c>
      <c r="I243" s="30">
        <v>44189</v>
      </c>
      <c r="J243" s="58"/>
      <c r="K243" s="32">
        <v>464000</v>
      </c>
      <c r="L243" s="32"/>
      <c r="M243" s="33">
        <f>(PROVEEDORES[[#This Row],[SUBTOTAL]]-PROVEEDORES[[#This Row],[descuento antes de IVA]])*VLOOKUP(PROVEEDORES[[#This Row],[PROVEEDOR]],TERCEROS_INFO[#All],3,FALSE)</f>
        <v>0</v>
      </c>
      <c r="N243" s="34"/>
      <c r="O243" s="33">
        <f>+PROVEEDORES[[#This Row],[Descuento sobre subtotal %]]*(PROVEEDORES[[#This Row],[SUBTOTAL]]-PROVEEDORES[[#This Row],[descuento antes de IVA]])</f>
        <v>0</v>
      </c>
      <c r="P2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3" s="33">
        <f>+(PROVEEDORES[[#This Row],[SUBTOTAL]]-PROVEEDORES[[#This Row],[descuento antes de IVA]])*PROVEEDORES[[#This Row],[Rete Fuente %]]</f>
        <v>0</v>
      </c>
      <c r="R243" s="32">
        <f>+PROVEEDORES[[#This Row],[SUBTOTAL]]+PROVEEDORES[[#This Row],[IVA 19%]]-PROVEEDORES[[#This Row],[descuento antes de IVA]]-PROVEEDORES[[#This Row],[Descuento sobre subtotal $]]-PROVEEDORES[[#This Row],[Rete Fuente $]]</f>
        <v>464000</v>
      </c>
      <c r="S2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3" s="40"/>
      <c r="U243" s="97"/>
      <c r="V243" s="36"/>
      <c r="W243" s="36"/>
      <c r="X243" s="36"/>
      <c r="Y243" s="36"/>
      <c r="Z243" s="41"/>
      <c r="AA243" s="42"/>
      <c r="AF243" s="36"/>
      <c r="AG243" s="36"/>
    </row>
    <row r="244" spans="1:33" ht="21.95" hidden="1" customHeight="1" x14ac:dyDescent="0.25">
      <c r="A244" s="39" t="str">
        <f>+IF(PROVEEDORES[[#This Row],[FECHA DE PAGO]]=PROVEEDORES[[#This Row],[FECHA DE FACTURACIÓN]],"DE CONTADO","CRÉDITO")</f>
        <v>DE CONTADO</v>
      </c>
      <c r="B244" s="67" t="b">
        <f>+IF((PROVEEDORES[[#This Row],[FECHA DE PAGO]]-PROVEEDORES[[#This Row],[FECHA DE FACTURACIÓN]])&gt;PROVEEDORES[[#This Row],[PLAZO Días]],"PAGO VENCIDO")</f>
        <v>0</v>
      </c>
      <c r="C244" s="27">
        <f>+VLOOKUP(PROVEEDORES[[#This Row],[PROVEEDOR]],TERCEROS_INFO[#All],2,FALSE)</f>
        <v>30</v>
      </c>
      <c r="D244" s="37">
        <f>+SUMIFS(PROVEEDORES[Total],PROVEEDORES[PROVEEDOR],PROVEEDORES[[#This Row],[PROVEEDOR]],PROVEEDORES[FECHA DE PAGO],"")</f>
        <v>0</v>
      </c>
      <c r="E244" s="37"/>
      <c r="F244" s="108" t="str">
        <f>+VLOOKUP(PROVEEDORES[[#This Row],[PROVEEDOR]],TERCEROS_INFO[[PROVEEDOR]:[CORREO]],5,FALSE)</f>
        <v/>
      </c>
      <c r="G244" s="143">
        <v>44201</v>
      </c>
      <c r="H244" s="38" t="s">
        <v>266</v>
      </c>
      <c r="I244" s="30">
        <v>44201</v>
      </c>
      <c r="J244" s="58" t="s">
        <v>1096</v>
      </c>
      <c r="K244" s="32">
        <v>750000</v>
      </c>
      <c r="L244" s="32"/>
      <c r="M244" s="33">
        <f>(PROVEEDORES[[#This Row],[SUBTOTAL]]-PROVEEDORES[[#This Row],[descuento antes de IVA]])*VLOOKUP(PROVEEDORES[[#This Row],[PROVEEDOR]],TERCEROS_INFO[#All],3,FALSE)</f>
        <v>0</v>
      </c>
      <c r="N244" s="34"/>
      <c r="O244" s="33">
        <f>+PROVEEDORES[[#This Row],[Descuento sobre subtotal %]]*(PROVEEDORES[[#This Row],[SUBTOTAL]]-PROVEEDORES[[#This Row],[descuento antes de IVA]])</f>
        <v>0</v>
      </c>
      <c r="P2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4" s="33">
        <f>+(PROVEEDORES[[#This Row],[SUBTOTAL]]-PROVEEDORES[[#This Row],[descuento antes de IVA]])*PROVEEDORES[[#This Row],[Rete Fuente %]]</f>
        <v>0</v>
      </c>
      <c r="R244" s="32">
        <f>+PROVEEDORES[[#This Row],[SUBTOTAL]]+PROVEEDORES[[#This Row],[IVA 19%]]-PROVEEDORES[[#This Row],[descuento antes de IVA]]-PROVEEDORES[[#This Row],[Descuento sobre subtotal $]]-PROVEEDORES[[#This Row],[Rete Fuente $]]</f>
        <v>750000</v>
      </c>
      <c r="S2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4" s="40"/>
      <c r="U244" s="97"/>
      <c r="V244" s="36"/>
      <c r="W244" s="36"/>
      <c r="X244" s="36"/>
      <c r="Y244" s="36"/>
      <c r="Z244" s="41"/>
      <c r="AA244" s="42"/>
      <c r="AF244" s="36"/>
      <c r="AG244" s="36"/>
    </row>
    <row r="245" spans="1:33" ht="21.95" hidden="1" customHeight="1" x14ac:dyDescent="0.25">
      <c r="A245" s="39" t="str">
        <f>+IF(PROVEEDORES[[#This Row],[FECHA DE PAGO]]=PROVEEDORES[[#This Row],[FECHA DE FACTURACIÓN]],"DE CONTADO","CRÉDITO")</f>
        <v>DE CONTADO</v>
      </c>
      <c r="B245" s="67" t="b">
        <f>+IF((PROVEEDORES[[#This Row],[FECHA DE PAGO]]-PROVEEDORES[[#This Row],[FECHA DE FACTURACIÓN]])&gt;PROVEEDORES[[#This Row],[PLAZO Días]],"PAGO VENCIDO")</f>
        <v>0</v>
      </c>
      <c r="C245" s="27">
        <f>+VLOOKUP(PROVEEDORES[[#This Row],[PROVEEDOR]],TERCEROS_INFO[#All],2,FALSE)</f>
        <v>30</v>
      </c>
      <c r="D245" s="37">
        <f>+SUMIFS(PROVEEDORES[Total],PROVEEDORES[PROVEEDOR],PROVEEDORES[[#This Row],[PROVEEDOR]],PROVEEDORES[FECHA DE PAGO],"")</f>
        <v>0</v>
      </c>
      <c r="E245" s="37"/>
      <c r="F245" s="108" t="str">
        <f>+VLOOKUP(PROVEEDORES[[#This Row],[PROVEEDOR]],TERCEROS_INFO[[PROVEEDOR]:[CORREO]],5,FALSE)</f>
        <v/>
      </c>
      <c r="G245" s="143">
        <v>44215</v>
      </c>
      <c r="H245" s="38" t="s">
        <v>266</v>
      </c>
      <c r="I245" s="30">
        <v>44215</v>
      </c>
      <c r="J245" s="58">
        <v>1408</v>
      </c>
      <c r="K245" s="32">
        <v>300000</v>
      </c>
      <c r="L245" s="32"/>
      <c r="M245" s="33">
        <f>(PROVEEDORES[[#This Row],[SUBTOTAL]]-PROVEEDORES[[#This Row],[descuento antes de IVA]])*VLOOKUP(PROVEEDORES[[#This Row],[PROVEEDOR]],TERCEROS_INFO[#All],3,FALSE)</f>
        <v>0</v>
      </c>
      <c r="N245" s="34"/>
      <c r="O245" s="33">
        <f>+PROVEEDORES[[#This Row],[Descuento sobre subtotal %]]*(PROVEEDORES[[#This Row],[SUBTOTAL]]-PROVEEDORES[[#This Row],[descuento antes de IVA]])</f>
        <v>0</v>
      </c>
      <c r="P2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5" s="33">
        <f>+(PROVEEDORES[[#This Row],[SUBTOTAL]]-PROVEEDORES[[#This Row],[descuento antes de IVA]])*PROVEEDORES[[#This Row],[Rete Fuente %]]</f>
        <v>0</v>
      </c>
      <c r="R245" s="32">
        <f>+PROVEEDORES[[#This Row],[SUBTOTAL]]+PROVEEDORES[[#This Row],[IVA 19%]]-PROVEEDORES[[#This Row],[descuento antes de IVA]]-PROVEEDORES[[#This Row],[Descuento sobre subtotal $]]-PROVEEDORES[[#This Row],[Rete Fuente $]]</f>
        <v>300000</v>
      </c>
      <c r="S2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5" s="40"/>
      <c r="U245" s="97"/>
      <c r="V245" s="36"/>
      <c r="W245" s="36"/>
      <c r="X245" s="36"/>
      <c r="Y245" s="36"/>
      <c r="Z245" s="41"/>
      <c r="AA245" s="42"/>
      <c r="AF245" s="36"/>
      <c r="AG245" s="36"/>
    </row>
    <row r="246" spans="1:33" ht="21.95" hidden="1" customHeight="1" x14ac:dyDescent="0.25">
      <c r="A246" s="35" t="str">
        <f>+IF(PROVEEDORES[[#This Row],[FECHA DE PAGO]]=PROVEEDORES[[#This Row],[FECHA DE FACTURACIÓN]],"DE CONTADO","CRÉDITO")</f>
        <v>DE CONTADO</v>
      </c>
      <c r="B246" s="67" t="b">
        <f>+IF((PROVEEDORES[[#This Row],[FECHA DE PAGO]]-PROVEEDORES[[#This Row],[FECHA DE FACTURACIÓN]])&gt;PROVEEDORES[[#This Row],[PLAZO Días]],"PAGO VENCIDO")</f>
        <v>0</v>
      </c>
      <c r="C246" s="27">
        <f>+VLOOKUP(PROVEEDORES[[#This Row],[PROVEEDOR]],TERCEROS_INFO[#All],2,FALSE)</f>
        <v>30</v>
      </c>
      <c r="D246" s="37">
        <f>+SUMIFS(PROVEEDORES[Total],PROVEEDORES[PROVEEDOR],PROVEEDORES[[#This Row],[PROVEEDOR]],PROVEEDORES[FECHA DE PAGO],"")</f>
        <v>0</v>
      </c>
      <c r="E246" s="37"/>
      <c r="F246" s="108" t="str">
        <f>+VLOOKUP(PROVEEDORES[[#This Row],[PROVEEDOR]],TERCEROS_INFO[[PROVEEDOR]:[CORREO]],5,FALSE)</f>
        <v/>
      </c>
      <c r="G246" s="143">
        <v>44223</v>
      </c>
      <c r="H246" s="38" t="s">
        <v>266</v>
      </c>
      <c r="I246" s="30">
        <v>44223</v>
      </c>
      <c r="J246" s="58"/>
      <c r="K246" s="32">
        <v>944000</v>
      </c>
      <c r="L246" s="32"/>
      <c r="M246" s="33">
        <f>(PROVEEDORES[[#This Row],[SUBTOTAL]]-PROVEEDORES[[#This Row],[descuento antes de IVA]])*VLOOKUP(PROVEEDORES[[#This Row],[PROVEEDOR]],TERCEROS_INFO[#All],3,FALSE)</f>
        <v>0</v>
      </c>
      <c r="N246" s="34"/>
      <c r="O246" s="33">
        <f>+PROVEEDORES[[#This Row],[Descuento sobre subtotal %]]*(PROVEEDORES[[#This Row],[SUBTOTAL]]-PROVEEDORES[[#This Row],[descuento antes de IVA]])</f>
        <v>0</v>
      </c>
      <c r="P2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6" s="33">
        <f>+(PROVEEDORES[[#This Row],[SUBTOTAL]]-PROVEEDORES[[#This Row],[descuento antes de IVA]])*PROVEEDORES[[#This Row],[Rete Fuente %]]</f>
        <v>0</v>
      </c>
      <c r="R246" s="32">
        <f>+PROVEEDORES[[#This Row],[SUBTOTAL]]+PROVEEDORES[[#This Row],[IVA 19%]]-PROVEEDORES[[#This Row],[descuento antes de IVA]]-PROVEEDORES[[#This Row],[Descuento sobre subtotal $]]-PROVEEDORES[[#This Row],[Rete Fuente $]]</f>
        <v>944000</v>
      </c>
      <c r="S24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6" s="40"/>
      <c r="U246" s="97"/>
      <c r="V246" s="36"/>
      <c r="W246" s="36"/>
      <c r="X246" s="36"/>
      <c r="Y246" s="36"/>
      <c r="Z246" s="41"/>
      <c r="AA246" s="42"/>
      <c r="AF246" s="36"/>
      <c r="AG246" s="36"/>
    </row>
    <row r="247" spans="1:33" ht="21.95" hidden="1" customHeight="1" x14ac:dyDescent="0.25">
      <c r="A247" s="39" t="str">
        <f>+IF(PROVEEDORES[[#This Row],[FECHA DE PAGO]]=PROVEEDORES[[#This Row],[FECHA DE FACTURACIÓN]],"DE CONTADO","CRÉDITO")</f>
        <v>DE CONTADO</v>
      </c>
      <c r="B247" s="67" t="b">
        <f>+IF((PROVEEDORES[[#This Row],[FECHA DE PAGO]]-PROVEEDORES[[#This Row],[FECHA DE FACTURACIÓN]])&gt;PROVEEDORES[[#This Row],[PLAZO Días]],"PAGO VENCIDO")</f>
        <v>0</v>
      </c>
      <c r="C247" s="27">
        <f>+VLOOKUP(PROVEEDORES[[#This Row],[PROVEEDOR]],TERCEROS_INFO[#All],2,FALSE)</f>
        <v>30</v>
      </c>
      <c r="D247" s="37">
        <f>+SUMIFS(PROVEEDORES[Total],PROVEEDORES[PROVEEDOR],PROVEEDORES[[#This Row],[PROVEEDOR]],PROVEEDORES[FECHA DE PAGO],"")</f>
        <v>0</v>
      </c>
      <c r="E247" s="37"/>
      <c r="F247" s="108" t="str">
        <f>+VLOOKUP(PROVEEDORES[[#This Row],[PROVEEDOR]],TERCEROS_INFO[[PROVEEDOR]:[CORREO]],5,FALSE)</f>
        <v/>
      </c>
      <c r="G247" s="143">
        <v>44232</v>
      </c>
      <c r="H247" s="38" t="s">
        <v>266</v>
      </c>
      <c r="I247" s="30">
        <v>44232</v>
      </c>
      <c r="J247" s="58" t="s">
        <v>1102</v>
      </c>
      <c r="K247" s="32">
        <v>1192000</v>
      </c>
      <c r="L247" s="32"/>
      <c r="M247" s="33">
        <f>(PROVEEDORES[[#This Row],[SUBTOTAL]]-PROVEEDORES[[#This Row],[descuento antes de IVA]])*VLOOKUP(PROVEEDORES[[#This Row],[PROVEEDOR]],TERCEROS_INFO[#All],3,FALSE)</f>
        <v>0</v>
      </c>
      <c r="N247" s="34"/>
      <c r="O247" s="33">
        <f>+PROVEEDORES[[#This Row],[Descuento sobre subtotal %]]*(PROVEEDORES[[#This Row],[SUBTOTAL]]-PROVEEDORES[[#This Row],[descuento antes de IVA]])</f>
        <v>0</v>
      </c>
      <c r="P2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7" s="33">
        <f>+(PROVEEDORES[[#This Row],[SUBTOTAL]]-PROVEEDORES[[#This Row],[descuento antes de IVA]])*PROVEEDORES[[#This Row],[Rete Fuente %]]</f>
        <v>0</v>
      </c>
      <c r="R247" s="32">
        <f>+PROVEEDORES[[#This Row],[SUBTOTAL]]+PROVEEDORES[[#This Row],[IVA 19%]]-PROVEEDORES[[#This Row],[descuento antes de IVA]]-PROVEEDORES[[#This Row],[Descuento sobre subtotal $]]-PROVEEDORES[[#This Row],[Rete Fuente $]]</f>
        <v>1192000</v>
      </c>
      <c r="S2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7" s="40"/>
      <c r="U247" s="97"/>
      <c r="V247" s="36"/>
      <c r="W247" s="36"/>
      <c r="X247" s="36"/>
      <c r="Y247" s="36"/>
      <c r="Z247" s="41"/>
      <c r="AA247" s="42"/>
      <c r="AF247" s="36"/>
      <c r="AG247" s="36"/>
    </row>
    <row r="248" spans="1:33" ht="21.95" hidden="1" customHeight="1" x14ac:dyDescent="0.25">
      <c r="A248" s="109" t="str">
        <f>+IF(PROVEEDORES[[#This Row],[FECHA DE PAGO]]=PROVEEDORES[[#This Row],[FECHA DE FACTURACIÓN]],"DE CONTADO","CRÉDITO")</f>
        <v>DE CONTADO</v>
      </c>
      <c r="B248" s="70" t="b">
        <f>+IF((PROVEEDORES[[#This Row],[FECHA DE PAGO]]-PROVEEDORES[[#This Row],[FECHA DE FACTURACIÓN]])&gt;PROVEEDORES[[#This Row],[PLAZO Días]],"PAGO VENCIDO")</f>
        <v>0</v>
      </c>
      <c r="C248" s="27">
        <f>+VLOOKUP(PROVEEDORES[[#This Row],[PROVEEDOR]],TERCEROS_INFO[#All],2,FALSE)</f>
        <v>30</v>
      </c>
      <c r="D248" s="37">
        <f>+SUMIFS(PROVEEDORES[Total],PROVEEDORES[PROVEEDOR],PROVEEDORES[[#This Row],[PROVEEDOR]],PROVEEDORES[FECHA DE PAGO],"")</f>
        <v>0</v>
      </c>
      <c r="E248" s="37"/>
      <c r="F248" s="108" t="str">
        <f>+VLOOKUP(PROVEEDORES[[#This Row],[PROVEEDOR]],TERCEROS_INFO[[PROVEEDOR]:[CORREO]],5,FALSE)</f>
        <v/>
      </c>
      <c r="G248" s="143">
        <v>44323</v>
      </c>
      <c r="H248" s="38" t="s">
        <v>266</v>
      </c>
      <c r="I248" s="30">
        <v>44323</v>
      </c>
      <c r="J248" s="58"/>
      <c r="K248" s="32">
        <v>384000</v>
      </c>
      <c r="L248" s="32"/>
      <c r="M248" s="33">
        <f>(PROVEEDORES[[#This Row],[SUBTOTAL]]-PROVEEDORES[[#This Row],[descuento antes de IVA]])*VLOOKUP(PROVEEDORES[[#This Row],[PROVEEDOR]],TERCEROS_INFO[#All],3,FALSE)</f>
        <v>0</v>
      </c>
      <c r="N248" s="34"/>
      <c r="O248" s="33">
        <f>+PROVEEDORES[[#This Row],[Descuento sobre subtotal %]]*(PROVEEDORES[[#This Row],[SUBTOTAL]]-PROVEEDORES[[#This Row],[descuento antes de IVA]])</f>
        <v>0</v>
      </c>
      <c r="P2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8" s="33">
        <f>+(PROVEEDORES[[#This Row],[SUBTOTAL]]-PROVEEDORES[[#This Row],[descuento antes de IVA]])*PROVEEDORES[[#This Row],[Rete Fuente %]]</f>
        <v>0</v>
      </c>
      <c r="R248" s="32">
        <f>+PROVEEDORES[[#This Row],[SUBTOTAL]]+PROVEEDORES[[#This Row],[IVA 19%]]-PROVEEDORES[[#This Row],[descuento antes de IVA]]-PROVEEDORES[[#This Row],[Descuento sobre subtotal $]]-PROVEEDORES[[#This Row],[Rete Fuente $]]</f>
        <v>384000</v>
      </c>
      <c r="S248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8" s="40"/>
      <c r="U248" s="97"/>
      <c r="V248" s="36"/>
      <c r="W248" s="36"/>
      <c r="X248" s="36"/>
      <c r="Y248" s="36"/>
      <c r="Z248" s="41"/>
      <c r="AA248" s="42"/>
      <c r="AF248" s="36"/>
      <c r="AG248" s="36"/>
    </row>
    <row r="249" spans="1:33" ht="21.95" hidden="1" customHeight="1" x14ac:dyDescent="0.25">
      <c r="A249" s="111" t="str">
        <f>+IF(PROVEEDORES[[#This Row],[FECHA DE PAGO]]=PROVEEDORES[[#This Row],[FECHA DE FACTURACIÓN]],"DE CONTADO","CRÉDITO")</f>
        <v>DE CONTADO</v>
      </c>
      <c r="B249" s="70" t="b">
        <f>+IF((PROVEEDORES[[#This Row],[FECHA DE PAGO]]-PROVEEDORES[[#This Row],[FECHA DE FACTURACIÓN]])&gt;PROVEEDORES[[#This Row],[PLAZO Días]],"PAGO VENCIDO")</f>
        <v>0</v>
      </c>
      <c r="C249" s="27">
        <f>+VLOOKUP(PROVEEDORES[[#This Row],[PROVEEDOR]],TERCEROS_INFO[#All],2,FALSE)</f>
        <v>30</v>
      </c>
      <c r="D249" s="37">
        <f>+SUMIFS(PROVEEDORES[Total],PROVEEDORES[PROVEEDOR],PROVEEDORES[[#This Row],[PROVEEDOR]],PROVEEDORES[FECHA DE PAGO],"")</f>
        <v>0</v>
      </c>
      <c r="E249" s="37"/>
      <c r="F249" s="108" t="str">
        <f>+VLOOKUP(PROVEEDORES[[#This Row],[PROVEEDOR]],TERCEROS_INFO[[PROVEEDOR]:[CORREO]],5,FALSE)</f>
        <v/>
      </c>
      <c r="G249" s="143">
        <v>44334</v>
      </c>
      <c r="H249" s="38" t="s">
        <v>266</v>
      </c>
      <c r="I249" s="30">
        <v>44334</v>
      </c>
      <c r="J249" s="58" t="s">
        <v>1129</v>
      </c>
      <c r="K249" s="32">
        <v>376000</v>
      </c>
      <c r="L249" s="32"/>
      <c r="M249" s="33">
        <f>(PROVEEDORES[[#This Row],[SUBTOTAL]]-PROVEEDORES[[#This Row],[descuento antes de IVA]])*VLOOKUP(PROVEEDORES[[#This Row],[PROVEEDOR]],TERCEROS_INFO[#All],3,FALSE)</f>
        <v>0</v>
      </c>
      <c r="N249" s="34"/>
      <c r="O249" s="33">
        <f>+PROVEEDORES[[#This Row],[Descuento sobre subtotal %]]*(PROVEEDORES[[#This Row],[SUBTOTAL]]-PROVEEDORES[[#This Row],[descuento antes de IVA]])</f>
        <v>0</v>
      </c>
      <c r="P2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49" s="33">
        <f>+(PROVEEDORES[[#This Row],[SUBTOTAL]]-PROVEEDORES[[#This Row],[descuento antes de IVA]])*PROVEEDORES[[#This Row],[Rete Fuente %]]</f>
        <v>0</v>
      </c>
      <c r="R249" s="32">
        <f>+PROVEEDORES[[#This Row],[SUBTOTAL]]+PROVEEDORES[[#This Row],[IVA 19%]]-PROVEEDORES[[#This Row],[descuento antes de IVA]]-PROVEEDORES[[#This Row],[Descuento sobre subtotal $]]-PROVEEDORES[[#This Row],[Rete Fuente $]]</f>
        <v>376000</v>
      </c>
      <c r="S249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9" s="40"/>
      <c r="U249" s="97"/>
      <c r="V249" s="36"/>
      <c r="W249" s="36"/>
      <c r="X249" s="36"/>
      <c r="Y249" s="36"/>
      <c r="Z249" s="41"/>
      <c r="AA249" s="42"/>
      <c r="AF249" s="36"/>
      <c r="AG249" s="36"/>
    </row>
    <row r="250" spans="1:33" ht="21.95" hidden="1" customHeight="1" x14ac:dyDescent="0.25">
      <c r="A250" s="35" t="str">
        <f>+IF(PROVEEDORES[[#This Row],[FECHA DE PAGO]]=PROVEEDORES[[#This Row],[FECHA DE FACTURACIÓN]],"DE CONTADO","CRÉDITO")</f>
        <v>DE CONTADO</v>
      </c>
      <c r="B250" s="70" t="b">
        <f>+IF((PROVEEDORES[[#This Row],[FECHA DE PAGO]]-PROVEEDORES[[#This Row],[FECHA DE FACTURACIÓN]])&gt;PROVEEDORES[[#This Row],[PLAZO Días]],"PAGO VENCIDO")</f>
        <v>0</v>
      </c>
      <c r="C250" s="27">
        <f>+VLOOKUP(PROVEEDORES[[#This Row],[PROVEEDOR]],TERCEROS_INFO[#All],2,FALSE)</f>
        <v>30</v>
      </c>
      <c r="D250" s="37">
        <f>+SUMIFS(PROVEEDORES[Total],PROVEEDORES[PROVEEDOR],PROVEEDORES[[#This Row],[PROVEEDOR]],PROVEEDORES[FECHA DE PAGO],"")</f>
        <v>0</v>
      </c>
      <c r="E250" s="37"/>
      <c r="F250" s="108" t="str">
        <f>+VLOOKUP(PROVEEDORES[[#This Row],[PROVEEDOR]],TERCEROS_INFO[[PROVEEDOR]:[CORREO]],5,FALSE)</f>
        <v/>
      </c>
      <c r="G250" s="143">
        <v>44347</v>
      </c>
      <c r="H250" s="38" t="s">
        <v>266</v>
      </c>
      <c r="I250" s="30">
        <v>44347</v>
      </c>
      <c r="J250" s="58" t="s">
        <v>1143</v>
      </c>
      <c r="K250" s="32">
        <v>384000</v>
      </c>
      <c r="L250" s="32"/>
      <c r="M250" s="33">
        <f>(PROVEEDORES[[#This Row],[SUBTOTAL]]-PROVEEDORES[[#This Row],[descuento antes de IVA]])*VLOOKUP(PROVEEDORES[[#This Row],[PROVEEDOR]],TERCEROS_INFO[#All],3,FALSE)</f>
        <v>0</v>
      </c>
      <c r="N250" s="34"/>
      <c r="O250" s="33">
        <f>+PROVEEDORES[[#This Row],[Descuento sobre subtotal %]]*(PROVEEDORES[[#This Row],[SUBTOTAL]]-PROVEEDORES[[#This Row],[descuento antes de IVA]])</f>
        <v>0</v>
      </c>
      <c r="P2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0" s="33">
        <f>+(PROVEEDORES[[#This Row],[SUBTOTAL]]-PROVEEDORES[[#This Row],[descuento antes de IVA]])*PROVEEDORES[[#This Row],[Rete Fuente %]]</f>
        <v>0</v>
      </c>
      <c r="R250" s="32">
        <f>+PROVEEDORES[[#This Row],[SUBTOTAL]]+PROVEEDORES[[#This Row],[IVA 19%]]-PROVEEDORES[[#This Row],[descuento antes de IVA]]-PROVEEDORES[[#This Row],[Descuento sobre subtotal $]]-PROVEEDORES[[#This Row],[Rete Fuente $]]</f>
        <v>384000</v>
      </c>
      <c r="S25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0" s="40"/>
      <c r="U250" s="97"/>
      <c r="V250" s="36"/>
      <c r="W250" s="36"/>
      <c r="X250" s="36"/>
      <c r="Y250" s="36"/>
      <c r="Z250" s="41"/>
      <c r="AA250" s="42"/>
      <c r="AF250" s="36"/>
      <c r="AG250" s="36"/>
    </row>
    <row r="251" spans="1:33" ht="21.95" hidden="1" customHeight="1" x14ac:dyDescent="0.25">
      <c r="A251" s="126" t="str">
        <f>+IF(PROVEEDORES[[#This Row],[FECHA DE PAGO]]=PROVEEDORES[[#This Row],[FECHA DE FACTURACIÓN]],"DE CONTADO","CRÉDITO")</f>
        <v>DE CONTADO</v>
      </c>
      <c r="B251" s="70" t="b">
        <f>+IF((PROVEEDORES[[#This Row],[FECHA DE PAGO]]-PROVEEDORES[[#This Row],[FECHA DE FACTURACIÓN]])&gt;PROVEEDORES[[#This Row],[PLAZO Días]],"PAGO VENCIDO")</f>
        <v>0</v>
      </c>
      <c r="C251" s="27">
        <f>+VLOOKUP(PROVEEDORES[[#This Row],[PROVEEDOR]],TERCEROS_INFO[#All],2,FALSE)</f>
        <v>30</v>
      </c>
      <c r="D251" s="37">
        <f>+SUMIFS(PROVEEDORES[Total],PROVEEDORES[PROVEEDOR],PROVEEDORES[[#This Row],[PROVEEDOR]],PROVEEDORES[FECHA DE PAGO],"")</f>
        <v>0</v>
      </c>
      <c r="E251" s="37"/>
      <c r="F251" s="108" t="str">
        <f>+VLOOKUP(PROVEEDORES[[#This Row],[PROVEEDOR]],TERCEROS_INFO[[PROVEEDOR]:[CORREO]],5,FALSE)</f>
        <v/>
      </c>
      <c r="G251" s="143">
        <v>44359</v>
      </c>
      <c r="H251" s="38" t="s">
        <v>266</v>
      </c>
      <c r="I251" s="30">
        <v>44359</v>
      </c>
      <c r="J251" s="58" t="s">
        <v>1152</v>
      </c>
      <c r="K251" s="32">
        <v>984000</v>
      </c>
      <c r="L251" s="32"/>
      <c r="M251" s="33">
        <f>(PROVEEDORES[[#This Row],[SUBTOTAL]]-PROVEEDORES[[#This Row],[descuento antes de IVA]])*VLOOKUP(PROVEEDORES[[#This Row],[PROVEEDOR]],TERCEROS_INFO[#All],3,FALSE)</f>
        <v>0</v>
      </c>
      <c r="N251" s="34"/>
      <c r="O251" s="33">
        <f>+PROVEEDORES[[#This Row],[Descuento sobre subtotal %]]*(PROVEEDORES[[#This Row],[SUBTOTAL]]-PROVEEDORES[[#This Row],[descuento antes de IVA]])</f>
        <v>0</v>
      </c>
      <c r="P2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1" s="33">
        <f>+(PROVEEDORES[[#This Row],[SUBTOTAL]]-PROVEEDORES[[#This Row],[descuento antes de IVA]])*PROVEEDORES[[#This Row],[Rete Fuente %]]</f>
        <v>0</v>
      </c>
      <c r="R251" s="32">
        <f>+PROVEEDORES[[#This Row],[SUBTOTAL]]+PROVEEDORES[[#This Row],[IVA 19%]]-PROVEEDORES[[#This Row],[descuento antes de IVA]]-PROVEEDORES[[#This Row],[Descuento sobre subtotal $]]-PROVEEDORES[[#This Row],[Rete Fuente $]]</f>
        <v>984000</v>
      </c>
      <c r="S251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1" s="40"/>
      <c r="U251" s="97"/>
      <c r="V251" s="36"/>
      <c r="W251" s="36"/>
      <c r="X251" s="36"/>
      <c r="Y251" s="36"/>
      <c r="Z251" s="41"/>
      <c r="AA251" s="42"/>
      <c r="AF251" s="36"/>
      <c r="AG251" s="36"/>
    </row>
    <row r="252" spans="1:33" ht="21.95" hidden="1" customHeight="1" x14ac:dyDescent="0.25">
      <c r="A252" s="129" t="str">
        <f>+IF(PROVEEDORES[[#This Row],[FECHA DE PAGO]]=PROVEEDORES[[#This Row],[FECHA DE FACTURACIÓN]],"DE CONTADO","CRÉDITO")</f>
        <v>DE CONTADO</v>
      </c>
      <c r="B252" s="70" t="b">
        <f>+IF((PROVEEDORES[[#This Row],[FECHA DE PAGO]]-PROVEEDORES[[#This Row],[FECHA DE FACTURACIÓN]])&gt;PROVEEDORES[[#This Row],[PLAZO Días]],"PAGO VENCIDO")</f>
        <v>0</v>
      </c>
      <c r="C252" s="27">
        <f>+VLOOKUP(PROVEEDORES[[#This Row],[PROVEEDOR]],TERCEROS_INFO[#All],2,FALSE)</f>
        <v>30</v>
      </c>
      <c r="D252" s="37">
        <f>+SUMIFS(PROVEEDORES[Total],PROVEEDORES[PROVEEDOR],PROVEEDORES[[#This Row],[PROVEEDOR]],PROVEEDORES[FECHA DE PAGO],"")</f>
        <v>0</v>
      </c>
      <c r="E252" s="37"/>
      <c r="F252" s="108" t="str">
        <f>+VLOOKUP(PROVEEDORES[[#This Row],[PROVEEDOR]],TERCEROS_INFO[[PROVEEDOR]:[CORREO]],5,FALSE)</f>
        <v/>
      </c>
      <c r="G252" s="143">
        <v>44373</v>
      </c>
      <c r="H252" s="38" t="s">
        <v>266</v>
      </c>
      <c r="I252" s="30">
        <v>44373</v>
      </c>
      <c r="J252" s="58" t="s">
        <v>1173</v>
      </c>
      <c r="K252" s="32">
        <v>520000</v>
      </c>
      <c r="L252" s="32"/>
      <c r="M252" s="33">
        <f>(PROVEEDORES[[#This Row],[SUBTOTAL]]-PROVEEDORES[[#This Row],[descuento antes de IVA]])*VLOOKUP(PROVEEDORES[[#This Row],[PROVEEDOR]],TERCEROS_INFO[#All],3,FALSE)</f>
        <v>0</v>
      </c>
      <c r="N252" s="34"/>
      <c r="O252" s="33">
        <f>+PROVEEDORES[[#This Row],[Descuento sobre subtotal %]]*(PROVEEDORES[[#This Row],[SUBTOTAL]]-PROVEEDORES[[#This Row],[descuento antes de IVA]])</f>
        <v>0</v>
      </c>
      <c r="P2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2" s="33">
        <f>+(PROVEEDORES[[#This Row],[SUBTOTAL]]-PROVEEDORES[[#This Row],[descuento antes de IVA]])*PROVEEDORES[[#This Row],[Rete Fuente %]]</f>
        <v>0</v>
      </c>
      <c r="R252" s="32">
        <f>+PROVEEDORES[[#This Row],[SUBTOTAL]]+PROVEEDORES[[#This Row],[IVA 19%]]-PROVEEDORES[[#This Row],[descuento antes de IVA]]-PROVEEDORES[[#This Row],[Descuento sobre subtotal $]]-PROVEEDORES[[#This Row],[Rete Fuente $]]</f>
        <v>520000</v>
      </c>
      <c r="S252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2" s="40"/>
      <c r="U252" s="97"/>
      <c r="V252" s="36"/>
      <c r="W252" s="36"/>
      <c r="X252" s="36"/>
      <c r="Y252" s="36"/>
      <c r="Z252" s="41"/>
      <c r="AA252" s="42"/>
      <c r="AF252" s="36"/>
      <c r="AG252" s="36"/>
    </row>
    <row r="253" spans="1:33" ht="21.95" hidden="1" customHeight="1" x14ac:dyDescent="0.25">
      <c r="A253" s="134" t="str">
        <f>+IF(PROVEEDORES[[#This Row],[FECHA DE PAGO]]=PROVEEDORES[[#This Row],[FECHA DE FACTURACIÓN]],"DE CONTADO","CRÉDITO")</f>
        <v>DE CONTADO</v>
      </c>
      <c r="B253" s="70" t="b">
        <f>+IF((PROVEEDORES[[#This Row],[FECHA DE PAGO]]-PROVEEDORES[[#This Row],[FECHA DE FACTURACIÓN]])&gt;PROVEEDORES[[#This Row],[PLAZO Días]],"PAGO VENCIDO")</f>
        <v>0</v>
      </c>
      <c r="C253" s="27">
        <f>+VLOOKUP(PROVEEDORES[[#This Row],[PROVEEDOR]],TERCEROS_INFO[#All],2,FALSE)</f>
        <v>30</v>
      </c>
      <c r="D253" s="37">
        <f>+SUMIFS(PROVEEDORES[Total],PROVEEDORES[PROVEEDOR],PROVEEDORES[[#This Row],[PROVEEDOR]],PROVEEDORES[FECHA DE PAGO],"")</f>
        <v>0</v>
      </c>
      <c r="E253" s="37"/>
      <c r="F253" s="108" t="str">
        <f>+VLOOKUP(PROVEEDORES[[#This Row],[PROVEEDOR]],TERCEROS_INFO[[PROVEEDOR]:[CORREO]],5,FALSE)</f>
        <v/>
      </c>
      <c r="G253" s="143">
        <v>44393</v>
      </c>
      <c r="H253" s="38" t="s">
        <v>266</v>
      </c>
      <c r="I253" s="30">
        <v>44393</v>
      </c>
      <c r="J253" s="58" t="s">
        <v>1187</v>
      </c>
      <c r="K253" s="32">
        <v>1648000</v>
      </c>
      <c r="L253" s="32"/>
      <c r="M253" s="33">
        <f>(PROVEEDORES[[#This Row],[SUBTOTAL]]-PROVEEDORES[[#This Row],[descuento antes de IVA]])*VLOOKUP(PROVEEDORES[[#This Row],[PROVEEDOR]],TERCEROS_INFO[#All],3,FALSE)</f>
        <v>0</v>
      </c>
      <c r="N253" s="34"/>
      <c r="O253" s="33">
        <f>+PROVEEDORES[[#This Row],[Descuento sobre subtotal %]]*(PROVEEDORES[[#This Row],[SUBTOTAL]]-PROVEEDORES[[#This Row],[descuento antes de IVA]])</f>
        <v>0</v>
      </c>
      <c r="P2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3" s="33">
        <f>+(PROVEEDORES[[#This Row],[SUBTOTAL]]-PROVEEDORES[[#This Row],[descuento antes de IVA]])*PROVEEDORES[[#This Row],[Rete Fuente %]]</f>
        <v>0</v>
      </c>
      <c r="R253" s="32">
        <f>+PROVEEDORES[[#This Row],[SUBTOTAL]]+PROVEEDORES[[#This Row],[IVA 19%]]-PROVEEDORES[[#This Row],[descuento antes de IVA]]-PROVEEDORES[[#This Row],[Descuento sobre subtotal $]]-PROVEEDORES[[#This Row],[Rete Fuente $]]</f>
        <v>1648000</v>
      </c>
      <c r="S253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3" s="40"/>
      <c r="U253" s="97"/>
      <c r="V253" s="36"/>
      <c r="W253" s="36"/>
      <c r="X253" s="36"/>
      <c r="Y253" s="36"/>
      <c r="Z253" s="41"/>
      <c r="AA253" s="42"/>
      <c r="AF253" s="36"/>
      <c r="AG253" s="36"/>
    </row>
    <row r="254" spans="1:33" ht="21.95" hidden="1" customHeight="1" x14ac:dyDescent="0.25">
      <c r="A254" s="142" t="str">
        <f>+IF(PROVEEDORES[[#This Row],[FECHA DE PAGO]]=PROVEEDORES[[#This Row],[FECHA DE FACTURACIÓN]],"DE CONTADO","CRÉDITO")</f>
        <v>DE CONTADO</v>
      </c>
      <c r="B254" s="70" t="b">
        <f>+IF((PROVEEDORES[[#This Row],[FECHA DE PAGO]]-PROVEEDORES[[#This Row],[FECHA DE FACTURACIÓN]])&gt;PROVEEDORES[[#This Row],[PLAZO Días]],"PAGO VENCIDO")</f>
        <v>0</v>
      </c>
      <c r="C254" s="27">
        <f>+VLOOKUP(PROVEEDORES[[#This Row],[PROVEEDOR]],TERCEROS_INFO[#All],2,FALSE)</f>
        <v>30</v>
      </c>
      <c r="D254" s="37">
        <f>+SUMIFS(PROVEEDORES[Total],PROVEEDORES[PROVEEDOR],PROVEEDORES[[#This Row],[PROVEEDOR]],PROVEEDORES[FECHA DE PAGO],"")</f>
        <v>0</v>
      </c>
      <c r="E254" s="37"/>
      <c r="F254" s="108" t="str">
        <f>+VLOOKUP(PROVEEDORES[[#This Row],[PROVEEDOR]],TERCEROS_INFO[[PROVEEDOR]:[CORREO]],5,FALSE)</f>
        <v/>
      </c>
      <c r="G254" s="143">
        <v>44428</v>
      </c>
      <c r="H254" s="38" t="s">
        <v>266</v>
      </c>
      <c r="I254" s="30">
        <v>44428</v>
      </c>
      <c r="J254" s="58" t="s">
        <v>1219</v>
      </c>
      <c r="K254" s="32">
        <v>520000</v>
      </c>
      <c r="L254" s="32"/>
      <c r="M254" s="33">
        <f>(PROVEEDORES[[#This Row],[SUBTOTAL]]-PROVEEDORES[[#This Row],[descuento antes de IVA]])*VLOOKUP(PROVEEDORES[[#This Row],[PROVEEDOR]],TERCEROS_INFO[#All],3,FALSE)</f>
        <v>0</v>
      </c>
      <c r="N254" s="34"/>
      <c r="O254" s="33">
        <f>+PROVEEDORES[[#This Row],[Descuento sobre subtotal %]]*(PROVEEDORES[[#This Row],[SUBTOTAL]]-PROVEEDORES[[#This Row],[descuento antes de IVA]])</f>
        <v>0</v>
      </c>
      <c r="P2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4" s="33">
        <f>+(PROVEEDORES[[#This Row],[SUBTOTAL]]-PROVEEDORES[[#This Row],[descuento antes de IVA]])*PROVEEDORES[[#This Row],[Rete Fuente %]]</f>
        <v>0</v>
      </c>
      <c r="R254" s="32">
        <f>+PROVEEDORES[[#This Row],[SUBTOTAL]]+PROVEEDORES[[#This Row],[IVA 19%]]-PROVEEDORES[[#This Row],[descuento antes de IVA]]-PROVEEDORES[[#This Row],[Descuento sobre subtotal $]]-PROVEEDORES[[#This Row],[Rete Fuente $]]</f>
        <v>520000</v>
      </c>
      <c r="S254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4" s="40"/>
      <c r="U254" s="97"/>
      <c r="V254" s="36"/>
      <c r="W254" s="36"/>
      <c r="X254" s="36"/>
      <c r="Y254" s="36"/>
      <c r="Z254" s="41"/>
      <c r="AA254" s="42"/>
      <c r="AF254" s="36"/>
      <c r="AG254" s="36"/>
    </row>
    <row r="255" spans="1:33" ht="21.95" hidden="1" customHeight="1" x14ac:dyDescent="0.25">
      <c r="A255" s="156" t="str">
        <f>+IF(PROVEEDORES[[#This Row],[FECHA DE PAGO]]=PROVEEDORES[[#This Row],[FECHA DE FACTURACIÓN]],"DE CONTADO","CRÉDITO")</f>
        <v>DE CONTADO</v>
      </c>
      <c r="B255" s="70" t="b">
        <f>+IF((PROVEEDORES[[#This Row],[FECHA DE PAGO]]-PROVEEDORES[[#This Row],[FECHA DE FACTURACIÓN]])&gt;PROVEEDORES[[#This Row],[PLAZO Días]],"PAGO VENCIDO")</f>
        <v>0</v>
      </c>
      <c r="C255" s="27">
        <f>+VLOOKUP(PROVEEDORES[[#This Row],[PROVEEDOR]],TERCEROS_INFO[#All],2,FALSE)</f>
        <v>30</v>
      </c>
      <c r="D255" s="37">
        <f>+SUMIFS(PROVEEDORES[Total],PROVEEDORES[PROVEEDOR],PROVEEDORES[[#This Row],[PROVEEDOR]],PROVEEDORES[FECHA DE PAGO],"")</f>
        <v>0</v>
      </c>
      <c r="E255" s="37"/>
      <c r="F255" s="108" t="str">
        <f>+VLOOKUP(PROVEEDORES[[#This Row],[PROVEEDOR]],TERCEROS_INFO[[PROVEEDOR]:[CORREO]],5,FALSE)</f>
        <v/>
      </c>
      <c r="G255" s="143">
        <v>44478</v>
      </c>
      <c r="H255" s="38" t="s">
        <v>266</v>
      </c>
      <c r="I255" s="143">
        <v>44478</v>
      </c>
      <c r="J255" s="58" t="s">
        <v>1273</v>
      </c>
      <c r="K255" s="32">
        <v>1576000</v>
      </c>
      <c r="L255" s="32"/>
      <c r="M255" s="33">
        <f>(PROVEEDORES[[#This Row],[SUBTOTAL]]-PROVEEDORES[[#This Row],[descuento antes de IVA]])*VLOOKUP(PROVEEDORES[[#This Row],[PROVEEDOR]],TERCEROS_INFO[#All],3,FALSE)</f>
        <v>0</v>
      </c>
      <c r="N255" s="34"/>
      <c r="O255" s="33">
        <f>+PROVEEDORES[[#This Row],[Descuento sobre subtotal %]]*(PROVEEDORES[[#This Row],[SUBTOTAL]]-PROVEEDORES[[#This Row],[descuento antes de IVA]])</f>
        <v>0</v>
      </c>
      <c r="P2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5" s="33">
        <f>+(PROVEEDORES[[#This Row],[SUBTOTAL]]-PROVEEDORES[[#This Row],[descuento antes de IVA]])*PROVEEDORES[[#This Row],[Rete Fuente %]]</f>
        <v>0</v>
      </c>
      <c r="R255" s="32">
        <f>+PROVEEDORES[[#This Row],[SUBTOTAL]]+PROVEEDORES[[#This Row],[IVA 19%]]-PROVEEDORES[[#This Row],[descuento antes de IVA]]-PROVEEDORES[[#This Row],[Descuento sobre subtotal $]]-PROVEEDORES[[#This Row],[Rete Fuente $]]</f>
        <v>1576000</v>
      </c>
      <c r="S255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5" s="40"/>
      <c r="U255" s="97"/>
      <c r="V255" s="36"/>
      <c r="W255" s="36"/>
      <c r="X255" s="36"/>
      <c r="Y255" s="36"/>
      <c r="Z255" s="41"/>
      <c r="AA255" s="42"/>
      <c r="AF255" s="36"/>
      <c r="AG255" s="36"/>
    </row>
    <row r="256" spans="1:33" ht="21.95" hidden="1" customHeight="1" x14ac:dyDescent="0.25">
      <c r="A256" s="35" t="str">
        <f>+IF(PROVEEDORES[[#This Row],[FECHA DE PAGO]]=PROVEEDORES[[#This Row],[FECHA DE FACTURACIÓN]],"DE CONTADO","CRÉDITO")</f>
        <v>DE CONTADO</v>
      </c>
      <c r="B256" s="70" t="b">
        <f>+IF((PROVEEDORES[[#This Row],[FECHA DE PAGO]]-PROVEEDORES[[#This Row],[FECHA DE FACTURACIÓN]])&gt;PROVEEDORES[[#This Row],[PLAZO Días]],"PAGO VENCIDO")</f>
        <v>0</v>
      </c>
      <c r="C256" s="27">
        <f>+VLOOKUP(PROVEEDORES[[#This Row],[PROVEEDOR]],TERCEROS_INFO[#All],2,FALSE)</f>
        <v>30</v>
      </c>
      <c r="D256" s="37">
        <f>+SUMIFS(PROVEEDORES[Total],PROVEEDORES[PROVEEDOR],PROVEEDORES[[#This Row],[PROVEEDOR]],PROVEEDORES[FECHA DE PAGO],"")</f>
        <v>0</v>
      </c>
      <c r="E256" s="37"/>
      <c r="F256" s="108" t="str">
        <f>+VLOOKUP(PROVEEDORES[[#This Row],[PROVEEDOR]],TERCEROS_INFO[[PROVEEDOR]:[CORREO]],5,FALSE)</f>
        <v/>
      </c>
      <c r="G256" s="143">
        <v>44533</v>
      </c>
      <c r="H256" s="38" t="s">
        <v>266</v>
      </c>
      <c r="I256" s="30">
        <v>44533</v>
      </c>
      <c r="J256" s="58" t="s">
        <v>1313</v>
      </c>
      <c r="K256" s="32">
        <v>424000</v>
      </c>
      <c r="L256" s="32"/>
      <c r="M256" s="33">
        <f>(PROVEEDORES[[#This Row],[SUBTOTAL]]-PROVEEDORES[[#This Row],[descuento antes de IVA]])*VLOOKUP(PROVEEDORES[[#This Row],[PROVEEDOR]],TERCEROS_INFO[#All],3,FALSE)</f>
        <v>0</v>
      </c>
      <c r="N256" s="34"/>
      <c r="O256" s="33">
        <f>+PROVEEDORES[[#This Row],[Descuento sobre subtotal %]]*(PROVEEDORES[[#This Row],[SUBTOTAL]]-PROVEEDORES[[#This Row],[descuento antes de IVA]])</f>
        <v>0</v>
      </c>
      <c r="P2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6" s="33">
        <f>+(PROVEEDORES[[#This Row],[SUBTOTAL]]-PROVEEDORES[[#This Row],[descuento antes de IVA]])*PROVEEDORES[[#This Row],[Rete Fuente %]]</f>
        <v>0</v>
      </c>
      <c r="R256" s="32">
        <f>+PROVEEDORES[[#This Row],[SUBTOTAL]]+PROVEEDORES[[#This Row],[IVA 19%]]-PROVEEDORES[[#This Row],[descuento antes de IVA]]-PROVEEDORES[[#This Row],[Descuento sobre subtotal $]]-PROVEEDORES[[#This Row],[Rete Fuente $]]</f>
        <v>424000</v>
      </c>
      <c r="S25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6" s="40"/>
      <c r="U256" s="97"/>
      <c r="V256" s="36"/>
      <c r="W256" s="36"/>
      <c r="X256" s="36"/>
      <c r="Y256" s="36"/>
      <c r="Z256" s="41"/>
      <c r="AA256" s="42"/>
      <c r="AF256" s="36"/>
      <c r="AG256" s="36"/>
    </row>
    <row r="257" spans="1:33" ht="21.95" hidden="1" customHeight="1" x14ac:dyDescent="0.25">
      <c r="A257" s="35" t="str">
        <f>+IF(PROVEEDORES[[#This Row],[FECHA DE PAGO]]=PROVEEDORES[[#This Row],[FECHA DE FACTURACIÓN]],"DE CONTADO","CRÉDITO")</f>
        <v>DE CONTADO</v>
      </c>
      <c r="B257" s="70" t="b">
        <f>+IF((PROVEEDORES[[#This Row],[FECHA DE PAGO]]-PROVEEDORES[[#This Row],[FECHA DE FACTURACIÓN]])&gt;PROVEEDORES[[#This Row],[PLAZO Días]],"PAGO VENCIDO")</f>
        <v>0</v>
      </c>
      <c r="C257" s="27">
        <f>+VLOOKUP(PROVEEDORES[[#This Row],[PROVEEDOR]],TERCEROS_INFO[#All],2,FALSE)</f>
        <v>30</v>
      </c>
      <c r="D257" s="37">
        <f>+SUMIFS(PROVEEDORES[Total],PROVEEDORES[PROVEEDOR],PROVEEDORES[[#This Row],[PROVEEDOR]],PROVEEDORES[FECHA DE PAGO],"")</f>
        <v>0</v>
      </c>
      <c r="E257" s="37"/>
      <c r="F257" s="108" t="str">
        <f>+VLOOKUP(PROVEEDORES[[#This Row],[PROVEEDOR]],TERCEROS_INFO[[PROVEEDOR]:[CORREO]],5,FALSE)</f>
        <v/>
      </c>
      <c r="G257" s="30">
        <v>44552</v>
      </c>
      <c r="H257" s="38" t="s">
        <v>266</v>
      </c>
      <c r="I257" s="30">
        <v>44552</v>
      </c>
      <c r="J257" s="58" t="s">
        <v>1326</v>
      </c>
      <c r="K257" s="32">
        <v>820000</v>
      </c>
      <c r="L257" s="32"/>
      <c r="M257" s="33">
        <f>(PROVEEDORES[[#This Row],[SUBTOTAL]]-PROVEEDORES[[#This Row],[descuento antes de IVA]])*VLOOKUP(PROVEEDORES[[#This Row],[PROVEEDOR]],TERCEROS_INFO[#All],3,FALSE)</f>
        <v>0</v>
      </c>
      <c r="N257" s="34"/>
      <c r="O257" s="33">
        <f>+PROVEEDORES[[#This Row],[Descuento sobre subtotal %]]*(PROVEEDORES[[#This Row],[SUBTOTAL]]-PROVEEDORES[[#This Row],[descuento antes de IVA]])</f>
        <v>0</v>
      </c>
      <c r="P2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7" s="33">
        <f>+(PROVEEDORES[[#This Row],[SUBTOTAL]]-PROVEEDORES[[#This Row],[descuento antes de IVA]])*PROVEEDORES[[#This Row],[Rete Fuente %]]</f>
        <v>0</v>
      </c>
      <c r="R257" s="32">
        <f>+PROVEEDORES[[#This Row],[SUBTOTAL]]+PROVEEDORES[[#This Row],[IVA 19%]]-PROVEEDORES[[#This Row],[descuento antes de IVA]]-PROVEEDORES[[#This Row],[Descuento sobre subtotal $]]-PROVEEDORES[[#This Row],[Rete Fuente $]]</f>
        <v>820000</v>
      </c>
      <c r="S25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7" s="40"/>
      <c r="U257" s="97"/>
      <c r="V257" s="36"/>
      <c r="W257" s="36"/>
      <c r="X257" s="36"/>
      <c r="Y257" s="36"/>
      <c r="Z257" s="41"/>
      <c r="AA257" s="42"/>
      <c r="AF257" s="36"/>
      <c r="AG257" s="36"/>
    </row>
    <row r="258" spans="1:33" ht="21.95" hidden="1" customHeight="1" x14ac:dyDescent="0.25">
      <c r="A258" s="39" t="str">
        <f>+IF(PROVEEDORES[[#This Row],[FECHA DE PAGO]]=PROVEEDORES[[#This Row],[FECHA DE FACTURACIÓN]],"DE CONTADO","CRÉDITO")</f>
        <v>CRÉDITO</v>
      </c>
      <c r="B258" s="67" t="str">
        <f>+IF((PROVEEDORES[[#This Row],[FECHA DE PAGO]]-PROVEEDORES[[#This Row],[FECHA DE FACTURACIÓN]])&gt;PROVEEDORES[[#This Row],[PLAZO Días]],"PAGO VENCIDO")</f>
        <v>PAGO VENCIDO</v>
      </c>
      <c r="C258" s="27">
        <f>+VLOOKUP(PROVEEDORES[[#This Row],[PROVEEDOR]],TERCEROS_INFO[#All],2,FALSE)</f>
        <v>30</v>
      </c>
      <c r="D258" s="37">
        <f>+SUMIFS(PROVEEDORES[Total],PROVEEDORES[PROVEEDOR],PROVEEDORES[[#This Row],[PROVEEDOR]],PROVEEDORES[FECHA DE PAGO],"")</f>
        <v>0</v>
      </c>
      <c r="E258" s="37"/>
      <c r="F258" s="108" t="str">
        <f>+VLOOKUP(PROVEEDORES[[#This Row],[PROVEEDOR]],TERCEROS_INFO[[PROVEEDOR]:[CORREO]],5,FALSE)</f>
        <v/>
      </c>
      <c r="G258" s="143">
        <v>43901</v>
      </c>
      <c r="H258" s="38" t="s">
        <v>267</v>
      </c>
      <c r="I258" s="30">
        <v>43832</v>
      </c>
      <c r="J258" s="58" t="s">
        <v>1022</v>
      </c>
      <c r="K258" s="32">
        <v>771400</v>
      </c>
      <c r="L258" s="32"/>
      <c r="M258" s="33">
        <f>(PROVEEDORES[[#This Row],[SUBTOTAL]]-PROVEEDORES[[#This Row],[descuento antes de IVA]])*VLOOKUP(PROVEEDORES[[#This Row],[PROVEEDOR]],TERCEROS_INFO[#All],3,FALSE)</f>
        <v>0</v>
      </c>
      <c r="N258" s="34"/>
      <c r="O258" s="33">
        <f>+PROVEEDORES[[#This Row],[Descuento sobre subtotal %]]*(PROVEEDORES[[#This Row],[SUBTOTAL]]-PROVEEDORES[[#This Row],[descuento antes de IVA]])</f>
        <v>0</v>
      </c>
      <c r="P2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8" s="33">
        <f>+(PROVEEDORES[[#This Row],[SUBTOTAL]]-PROVEEDORES[[#This Row],[descuento antes de IVA]])*PROVEEDORES[[#This Row],[Rete Fuente %]]</f>
        <v>0</v>
      </c>
      <c r="R258" s="32">
        <f>+PROVEEDORES[[#This Row],[SUBTOTAL]]+PROVEEDORES[[#This Row],[IVA 19%]]-PROVEEDORES[[#This Row],[descuento antes de IVA]]-PROVEEDORES[[#This Row],[Descuento sobre subtotal $]]-PROVEEDORES[[#This Row],[Rete Fuente $]]</f>
        <v>771400</v>
      </c>
      <c r="S25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8" s="40"/>
      <c r="U258" s="97"/>
      <c r="V258" s="36"/>
      <c r="W258" s="36"/>
      <c r="X258" s="36"/>
      <c r="Y258" s="36"/>
      <c r="Z258" s="41"/>
      <c r="AA258" s="42"/>
      <c r="AF258" s="36"/>
      <c r="AG258" s="36"/>
    </row>
    <row r="259" spans="1:33" ht="21.95" hidden="1" customHeight="1" x14ac:dyDescent="0.25">
      <c r="A259" s="129" t="str">
        <f>+IF(PROVEEDORES[[#This Row],[FECHA DE PAGO]]=PROVEEDORES[[#This Row],[FECHA DE FACTURACIÓN]],"DE CONTADO","CRÉDITO")</f>
        <v>CRÉDITO</v>
      </c>
      <c r="B259" s="70" t="str">
        <f>+IF((PROVEEDORES[[#This Row],[FECHA DE PAGO]]-PROVEEDORES[[#This Row],[FECHA DE FACTURACIÓN]])&gt;PROVEEDORES[[#This Row],[PLAZO Días]],"PAGO VENCIDO")</f>
        <v>PAGO VENCIDO</v>
      </c>
      <c r="C259" s="27">
        <f>+VLOOKUP(PROVEEDORES[[#This Row],[PROVEEDOR]],TERCEROS_INFO[#All],2,FALSE)</f>
        <v>30</v>
      </c>
      <c r="D259" s="37">
        <f>+SUMIFS(PROVEEDORES[Total],PROVEEDORES[PROVEEDOR],PROVEEDORES[[#This Row],[PROVEEDOR]],PROVEEDORES[FECHA DE PAGO],"")</f>
        <v>0</v>
      </c>
      <c r="E259" s="37"/>
      <c r="F259" s="108" t="str">
        <f>+VLOOKUP(PROVEEDORES[[#This Row],[PROVEEDOR]],TERCEROS_INFO[[PROVEEDOR]:[CORREO]],5,FALSE)</f>
        <v/>
      </c>
      <c r="G259" s="143">
        <v>44418</v>
      </c>
      <c r="H259" s="38" t="s">
        <v>267</v>
      </c>
      <c r="I259" s="30">
        <v>44371</v>
      </c>
      <c r="J259" s="58" t="s">
        <v>1171</v>
      </c>
      <c r="K259" s="32">
        <v>473000</v>
      </c>
      <c r="L259" s="32"/>
      <c r="M259" s="33">
        <f>(PROVEEDORES[[#This Row],[SUBTOTAL]]-PROVEEDORES[[#This Row],[descuento antes de IVA]])*VLOOKUP(PROVEEDORES[[#This Row],[PROVEEDOR]],TERCEROS_INFO[#All],3,FALSE)</f>
        <v>0</v>
      </c>
      <c r="N259" s="34"/>
      <c r="O259" s="33">
        <f>+PROVEEDORES[[#This Row],[Descuento sobre subtotal %]]*(PROVEEDORES[[#This Row],[SUBTOTAL]]-PROVEEDORES[[#This Row],[descuento antes de IVA]])</f>
        <v>0</v>
      </c>
      <c r="P2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59" s="33">
        <f>+(PROVEEDORES[[#This Row],[SUBTOTAL]]-PROVEEDORES[[#This Row],[descuento antes de IVA]])*PROVEEDORES[[#This Row],[Rete Fuente %]]</f>
        <v>0</v>
      </c>
      <c r="R259" s="32">
        <f>+PROVEEDORES[[#This Row],[SUBTOTAL]]+PROVEEDORES[[#This Row],[IVA 19%]]-PROVEEDORES[[#This Row],[descuento antes de IVA]]-PROVEEDORES[[#This Row],[Descuento sobre subtotal $]]-PROVEEDORES[[#This Row],[Rete Fuente $]]</f>
        <v>473000</v>
      </c>
      <c r="S259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9" s="40"/>
      <c r="U259" s="97"/>
      <c r="V259" s="36"/>
      <c r="W259" s="36"/>
      <c r="X259" s="36"/>
      <c r="Y259" s="36"/>
      <c r="Z259" s="41"/>
      <c r="AA259" s="42"/>
      <c r="AF259" s="36"/>
      <c r="AG259" s="36"/>
    </row>
    <row r="260" spans="1:33" ht="21.95" hidden="1" customHeight="1" x14ac:dyDescent="0.25">
      <c r="A260" s="39" t="str">
        <f>+IF(PROVEEDORES[[#This Row],[FECHA DE PAGO]]=PROVEEDORES[[#This Row],[FECHA DE FACTURACIÓN]],"DE CONTADO","CRÉDITO")</f>
        <v>DE CONTADO</v>
      </c>
      <c r="B260" s="67" t="b">
        <f>+IF((PROVEEDORES[[#This Row],[FECHA DE PAGO]]-PROVEEDORES[[#This Row],[FECHA DE FACTURACIÓN]])&gt;PROVEEDORES[[#This Row],[PLAZO Días]],"PAGO VENCIDO")</f>
        <v>0</v>
      </c>
      <c r="C260" s="27">
        <f>+VLOOKUP(PROVEEDORES[[#This Row],[PROVEEDOR]],TERCEROS_INFO[#All],2,FALSE)</f>
        <v>30</v>
      </c>
      <c r="D260" s="37">
        <f>+SUMIFS(PROVEEDORES[Total],PROVEEDORES[PROVEEDOR],PROVEEDORES[[#This Row],[PROVEEDOR]],PROVEEDORES[FECHA DE PAGO],"")</f>
        <v>0</v>
      </c>
      <c r="E260" s="37"/>
      <c r="F260" s="108" t="str">
        <f>+VLOOKUP(PROVEEDORES[[#This Row],[PROVEEDOR]],TERCEROS_INFO[[PROVEEDOR]:[CORREO]],5,FALSE)</f>
        <v/>
      </c>
      <c r="G260" s="143">
        <v>44147</v>
      </c>
      <c r="H260" s="38" t="s">
        <v>268</v>
      </c>
      <c r="I260" s="30">
        <v>44147</v>
      </c>
      <c r="J260" s="58">
        <v>1195</v>
      </c>
      <c r="K260" s="32">
        <v>112000</v>
      </c>
      <c r="L260" s="32"/>
      <c r="M260" s="33">
        <f>(PROVEEDORES[[#This Row],[SUBTOTAL]]-PROVEEDORES[[#This Row],[descuento antes de IVA]])*VLOOKUP(PROVEEDORES[[#This Row],[PROVEEDOR]],TERCEROS_INFO[#All],3,FALSE)</f>
        <v>0</v>
      </c>
      <c r="N260" s="34"/>
      <c r="O260" s="33">
        <f>+PROVEEDORES[[#This Row],[Descuento sobre subtotal %]]*(PROVEEDORES[[#This Row],[SUBTOTAL]]-PROVEEDORES[[#This Row],[descuento antes de IVA]])</f>
        <v>0</v>
      </c>
      <c r="P2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0" s="33">
        <f>+(PROVEEDORES[[#This Row],[SUBTOTAL]]-PROVEEDORES[[#This Row],[descuento antes de IVA]])*PROVEEDORES[[#This Row],[Rete Fuente %]]</f>
        <v>0</v>
      </c>
      <c r="R260" s="32">
        <f>+PROVEEDORES[[#This Row],[SUBTOTAL]]+PROVEEDORES[[#This Row],[IVA 19%]]-PROVEEDORES[[#This Row],[descuento antes de IVA]]-PROVEEDORES[[#This Row],[Descuento sobre subtotal $]]-PROVEEDORES[[#This Row],[Rete Fuente $]]</f>
        <v>112000</v>
      </c>
      <c r="S26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0" s="40"/>
      <c r="U260" s="97"/>
      <c r="V260" s="36"/>
      <c r="W260" s="36"/>
      <c r="X260" s="36"/>
      <c r="Y260" s="36"/>
      <c r="Z260" s="41"/>
      <c r="AA260" s="42"/>
      <c r="AF260" s="36"/>
      <c r="AG260" s="36"/>
    </row>
    <row r="261" spans="1:33" ht="21.95" hidden="1" customHeight="1" x14ac:dyDescent="0.25">
      <c r="A261" s="35" t="str">
        <f>+IF(PROVEEDORES[[#This Row],[FECHA DE PAGO]]=PROVEEDORES[[#This Row],[FECHA DE FACTURACIÓN]],"DE CONTADO","CRÉDITO")</f>
        <v>CRÉDITO</v>
      </c>
      <c r="B261" s="70" t="b">
        <f>+IF((PROVEEDORES[[#This Row],[FECHA DE PAGO]]-PROVEEDORES[[#This Row],[FECHA DE FACTURACIÓN]])&gt;PROVEEDORES[[#This Row],[PLAZO Días]],"PAGO VENCIDO")</f>
        <v>0</v>
      </c>
      <c r="C261" s="27">
        <f>+VLOOKUP(PROVEEDORES[[#This Row],[PROVEEDOR]],TERCEROS_INFO[#All],2,FALSE)</f>
        <v>30</v>
      </c>
      <c r="D261" s="37">
        <f>+SUMIFS(PROVEEDORES[Total],PROVEEDORES[PROVEEDOR],PROVEEDORES[[#This Row],[PROVEEDOR]],PROVEEDORES[FECHA DE PAGO],"")</f>
        <v>0</v>
      </c>
      <c r="E261" s="37"/>
      <c r="F261" s="108" t="str">
        <f>+VLOOKUP(PROVEEDORES[[#This Row],[PROVEEDOR]],TERCEROS_INFO[[PROVEEDOR]:[CORREO]],5,FALSE)</f>
        <v/>
      </c>
      <c r="G261" s="143">
        <v>44561</v>
      </c>
      <c r="H261" s="38" t="s">
        <v>268</v>
      </c>
      <c r="I261" s="30">
        <v>44544</v>
      </c>
      <c r="J261" s="58" t="s">
        <v>1331</v>
      </c>
      <c r="K261" s="32">
        <v>96000</v>
      </c>
      <c r="L261" s="32"/>
      <c r="M261" s="33">
        <f>(PROVEEDORES[[#This Row],[SUBTOTAL]]-PROVEEDORES[[#This Row],[descuento antes de IVA]])*VLOOKUP(PROVEEDORES[[#This Row],[PROVEEDOR]],TERCEROS_INFO[#All],3,FALSE)</f>
        <v>0</v>
      </c>
      <c r="N261" s="34"/>
      <c r="O261" s="33">
        <f>+PROVEEDORES[[#This Row],[Descuento sobre subtotal %]]*(PROVEEDORES[[#This Row],[SUBTOTAL]]-PROVEEDORES[[#This Row],[descuento antes de IVA]])</f>
        <v>0</v>
      </c>
      <c r="P2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1" s="33">
        <f>+(PROVEEDORES[[#This Row],[SUBTOTAL]]-PROVEEDORES[[#This Row],[descuento antes de IVA]])*PROVEEDORES[[#This Row],[Rete Fuente %]]</f>
        <v>0</v>
      </c>
      <c r="R261" s="32">
        <f>+PROVEEDORES[[#This Row],[SUBTOTAL]]+PROVEEDORES[[#This Row],[IVA 19%]]-PROVEEDORES[[#This Row],[descuento antes de IVA]]-PROVEEDORES[[#This Row],[Descuento sobre subtotal $]]-PROVEEDORES[[#This Row],[Rete Fuente $]]</f>
        <v>96000</v>
      </c>
      <c r="S26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1" s="40"/>
      <c r="U261" s="97"/>
      <c r="V261" s="36"/>
      <c r="W261" s="36"/>
      <c r="X261" s="36"/>
      <c r="Y261" s="36"/>
      <c r="Z261" s="41"/>
      <c r="AA261" s="42"/>
      <c r="AF261" s="36"/>
      <c r="AG261" s="36"/>
    </row>
    <row r="262" spans="1:33" ht="21.95" hidden="1" customHeight="1" x14ac:dyDescent="0.25">
      <c r="A262" s="35" t="str">
        <f>+IF(PROVEEDORES[[#This Row],[FECHA DE PAGO]]=PROVEEDORES[[#This Row],[FECHA DE FACTURACIÓN]],"DE CONTADO","CRÉDITO")</f>
        <v>CRÉDITO</v>
      </c>
      <c r="B262" s="67" t="b">
        <f>+IF((PROVEEDORES[[#This Row],[FECHA DE PAGO]]-PROVEEDORES[[#This Row],[FECHA DE FACTURACIÓN]])&gt;PROVEEDORES[[#This Row],[PLAZO Días]],"PAGO VENCIDO")</f>
        <v>0</v>
      </c>
      <c r="C262" s="27">
        <f>+VLOOKUP(PROVEEDORES[[#This Row],[PROVEEDOR]],TERCEROS_INFO[#All],2,FALSE)</f>
        <v>30</v>
      </c>
      <c r="D262" s="37">
        <f>+SUMIFS(PROVEEDORES[Total],PROVEEDORES[PROVEEDOR],PROVEEDORES[[#This Row],[PROVEEDOR]],PROVEEDORES[FECHA DE PAGO],"")</f>
        <v>0</v>
      </c>
      <c r="E262" s="37"/>
      <c r="F262" s="108" t="str">
        <f>+VLOOKUP(PROVEEDORES[[#This Row],[PROVEEDOR]],TERCEROS_INFO[[PROVEEDOR]:[CORREO]],5,FALSE)</f>
        <v>BRIGHTSIDELED2019@gmail.com;girlesa.ruiz@servipilas.com;joriescobar64@gmail.com</v>
      </c>
      <c r="G262" s="143">
        <v>44235</v>
      </c>
      <c r="H262" s="38" t="s">
        <v>417</v>
      </c>
      <c r="I262" s="30">
        <v>44218</v>
      </c>
      <c r="J262" s="58">
        <v>3971</v>
      </c>
      <c r="K262" s="32">
        <v>800000</v>
      </c>
      <c r="L262" s="32"/>
      <c r="M262" s="33">
        <f>(PROVEEDORES[[#This Row],[SUBTOTAL]]-PROVEEDORES[[#This Row],[descuento antes de IVA]])*VLOOKUP(PROVEEDORES[[#This Row],[PROVEEDOR]],TERCEROS_INFO[#All],3,FALSE)</f>
        <v>0</v>
      </c>
      <c r="N262" s="34"/>
      <c r="O262" s="33">
        <f>+PROVEEDORES[[#This Row],[Descuento sobre subtotal %]]*(PROVEEDORES[[#This Row],[SUBTOTAL]]-PROVEEDORES[[#This Row],[descuento antes de IVA]])</f>
        <v>0</v>
      </c>
      <c r="P2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2" s="33">
        <f>+(PROVEEDORES[[#This Row],[SUBTOTAL]]-PROVEEDORES[[#This Row],[descuento antes de IVA]])*PROVEEDORES[[#This Row],[Rete Fuente %]]</f>
        <v>0</v>
      </c>
      <c r="R262" s="32">
        <f>+PROVEEDORES[[#This Row],[SUBTOTAL]]+PROVEEDORES[[#This Row],[IVA 19%]]-PROVEEDORES[[#This Row],[descuento antes de IVA]]-PROVEEDORES[[#This Row],[Descuento sobre subtotal $]]-PROVEEDORES[[#This Row],[Rete Fuente $]]</f>
        <v>800000</v>
      </c>
      <c r="S26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2" s="40"/>
      <c r="U262" s="97"/>
      <c r="V262" s="36"/>
      <c r="W262" s="36"/>
      <c r="X262" s="36"/>
      <c r="Y262" s="36"/>
      <c r="Z262" s="41"/>
      <c r="AA262" s="42"/>
      <c r="AF262" s="36"/>
      <c r="AG262" s="36"/>
    </row>
    <row r="263" spans="1:33" ht="21.95" hidden="1" customHeight="1" x14ac:dyDescent="0.25">
      <c r="A263" s="88" t="str">
        <f>+IF(PROVEEDORES[[#This Row],[FECHA DE PAGO]]=PROVEEDORES[[#This Row],[FECHA DE FACTURACIÓN]],"DE CONTADO","CRÉDITO")</f>
        <v>CRÉDITO</v>
      </c>
      <c r="B263" s="70" t="b">
        <f>+IF((PROVEEDORES[[#This Row],[FECHA DE PAGO]]-PROVEEDORES[[#This Row],[FECHA DE FACTURACIÓN]])&gt;PROVEEDORES[[#This Row],[PLAZO Días]],"PAGO VENCIDO")</f>
        <v>0</v>
      </c>
      <c r="C263" s="27">
        <f>+VLOOKUP(PROVEEDORES[[#This Row],[PROVEEDOR]],TERCEROS_INFO[#All],2,FALSE)</f>
        <v>30</v>
      </c>
      <c r="D263" s="37">
        <f>+SUMIFS(PROVEEDORES[Total],PROVEEDORES[PROVEEDOR],PROVEEDORES[[#This Row],[PROVEEDOR]],PROVEEDORES[FECHA DE PAGO],"")</f>
        <v>0</v>
      </c>
      <c r="E263" s="37"/>
      <c r="F263" s="108" t="str">
        <f>+VLOOKUP(PROVEEDORES[[#This Row],[PROVEEDOR]],TERCEROS_INFO[[PROVEEDOR]:[CORREO]],5,FALSE)</f>
        <v>BRIGHTSIDELED2019@gmail.com;girlesa.ruiz@servipilas.com;joriescobar64@gmail.com</v>
      </c>
      <c r="G263" s="143">
        <v>44264</v>
      </c>
      <c r="H263" s="38" t="s">
        <v>417</v>
      </c>
      <c r="I263" s="30">
        <v>44243</v>
      </c>
      <c r="J263" s="58">
        <v>4110</v>
      </c>
      <c r="K263" s="32">
        <v>530000</v>
      </c>
      <c r="L263" s="32"/>
      <c r="M263" s="33">
        <f>(PROVEEDORES[[#This Row],[SUBTOTAL]]-PROVEEDORES[[#This Row],[descuento antes de IVA]])*VLOOKUP(PROVEEDORES[[#This Row],[PROVEEDOR]],TERCEROS_INFO[#All],3,FALSE)</f>
        <v>0</v>
      </c>
      <c r="N263" s="34"/>
      <c r="O263" s="33">
        <f>+PROVEEDORES[[#This Row],[Descuento sobre subtotal %]]*(PROVEEDORES[[#This Row],[SUBTOTAL]]-PROVEEDORES[[#This Row],[descuento antes de IVA]])</f>
        <v>0</v>
      </c>
      <c r="P2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3" s="33">
        <f>+(PROVEEDORES[[#This Row],[SUBTOTAL]]-PROVEEDORES[[#This Row],[descuento antes de IVA]])*PROVEEDORES[[#This Row],[Rete Fuente %]]</f>
        <v>0</v>
      </c>
      <c r="R263" s="32">
        <f>+PROVEEDORES[[#This Row],[SUBTOTAL]]+PROVEEDORES[[#This Row],[IVA 19%]]-PROVEEDORES[[#This Row],[descuento antes de IVA]]-PROVEEDORES[[#This Row],[Descuento sobre subtotal $]]-PROVEEDORES[[#This Row],[Rete Fuente $]]</f>
        <v>530000</v>
      </c>
      <c r="S26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3" s="40"/>
      <c r="U263" s="97"/>
      <c r="V263" s="36"/>
      <c r="W263" s="36"/>
      <c r="X263" s="36"/>
      <c r="Y263" s="36"/>
      <c r="Z263" s="41"/>
      <c r="AA263" s="42"/>
      <c r="AF263" s="36"/>
      <c r="AG263" s="36"/>
    </row>
    <row r="264" spans="1:33" ht="21.95" hidden="1" customHeight="1" x14ac:dyDescent="0.25">
      <c r="A264" s="153" t="str">
        <f>+IF(PROVEEDORES[[#This Row],[FECHA DE PAGO]]=PROVEEDORES[[#This Row],[FECHA DE FACTURACIÓN]],"DE CONTADO","CRÉDITO")</f>
        <v>CRÉDITO</v>
      </c>
      <c r="B264" s="70" t="str">
        <f>+IF((PROVEEDORES[[#This Row],[FECHA DE PAGO]]-PROVEEDORES[[#This Row],[FECHA DE FACTURACIÓN]])&gt;PROVEEDORES[[#This Row],[PLAZO Días]],"PAGO VENCIDO")</f>
        <v>PAGO VENCIDO</v>
      </c>
      <c r="C264" s="27">
        <f>+VLOOKUP(PROVEEDORES[[#This Row],[PROVEEDOR]],TERCEROS_INFO[#All],2,FALSE)</f>
        <v>30</v>
      </c>
      <c r="D264" s="37">
        <f>+SUMIFS(PROVEEDORES[Total],PROVEEDORES[PROVEEDOR],PROVEEDORES[[#This Row],[PROVEEDOR]],PROVEEDORES[FECHA DE PAGO],"")</f>
        <v>0</v>
      </c>
      <c r="E264" s="37"/>
      <c r="F264" s="108" t="str">
        <f>+VLOOKUP(PROVEEDORES[[#This Row],[PROVEEDOR]],TERCEROS_INFO[[PROVEEDOR]:[CORREO]],5,FALSE)</f>
        <v>BRIGHTSIDELED2019@gmail.com;girlesa.ruiz@servipilas.com;joriescobar64@gmail.com</v>
      </c>
      <c r="G264" s="143">
        <v>44490</v>
      </c>
      <c r="H264" s="38" t="s">
        <v>417</v>
      </c>
      <c r="I264" s="30">
        <v>44459</v>
      </c>
      <c r="J264" s="58" t="s">
        <v>1252</v>
      </c>
      <c r="K264" s="32">
        <v>1500000</v>
      </c>
      <c r="L264" s="32"/>
      <c r="M264" s="33">
        <f>(PROVEEDORES[[#This Row],[SUBTOTAL]]-PROVEEDORES[[#This Row],[descuento antes de IVA]])*VLOOKUP(PROVEEDORES[[#This Row],[PROVEEDOR]],TERCEROS_INFO[#All],3,FALSE)</f>
        <v>0</v>
      </c>
      <c r="N264" s="34"/>
      <c r="O264" s="33">
        <f>+PROVEEDORES[[#This Row],[Descuento sobre subtotal %]]*(PROVEEDORES[[#This Row],[SUBTOTAL]]-PROVEEDORES[[#This Row],[descuento antes de IVA]])</f>
        <v>0</v>
      </c>
      <c r="P2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4" s="33">
        <f>+(PROVEEDORES[[#This Row],[SUBTOTAL]]-PROVEEDORES[[#This Row],[descuento antes de IVA]])*PROVEEDORES[[#This Row],[Rete Fuente %]]</f>
        <v>0</v>
      </c>
      <c r="R264" s="32">
        <f>+PROVEEDORES[[#This Row],[SUBTOTAL]]+PROVEEDORES[[#This Row],[IVA 19%]]-PROVEEDORES[[#This Row],[descuento antes de IVA]]-PROVEEDORES[[#This Row],[Descuento sobre subtotal $]]-PROVEEDORES[[#This Row],[Rete Fuente $]]</f>
        <v>1500000</v>
      </c>
      <c r="S264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4" s="40"/>
      <c r="U264" s="97"/>
      <c r="V264" s="36"/>
      <c r="W264" s="36"/>
      <c r="X264" s="36"/>
      <c r="Y264" s="36"/>
      <c r="Z264" s="41"/>
      <c r="AA264" s="42"/>
      <c r="AF264" s="36"/>
      <c r="AG264" s="36"/>
    </row>
    <row r="265" spans="1:33" ht="21.95" hidden="1" customHeight="1" x14ac:dyDescent="0.25">
      <c r="A265" s="167" t="str">
        <f>+IF(PROVEEDORES[[#This Row],[FECHA DE PAGO]]=PROVEEDORES[[#This Row],[FECHA DE FACTURACIÓN]],"DE CONTADO","CRÉDITO")</f>
        <v>CRÉDITO</v>
      </c>
      <c r="B265" s="70" t="str">
        <f>+IF((PROVEEDORES[[#This Row],[FECHA DE PAGO]]-PROVEEDORES[[#This Row],[FECHA DE FACTURACIÓN]])&gt;PROVEEDORES[[#This Row],[PLAZO Días]],"PAGO VENCIDO")</f>
        <v>PAGO VENCIDO</v>
      </c>
      <c r="C265" s="27">
        <f>+VLOOKUP(PROVEEDORES[[#This Row],[PROVEEDOR]],TERCEROS_INFO[#All],2,FALSE)</f>
        <v>30</v>
      </c>
      <c r="D265" s="37">
        <f>+SUMIFS(PROVEEDORES[Total],PROVEEDORES[PROVEEDOR],PROVEEDORES[[#This Row],[PROVEEDOR]],PROVEEDORES[FECHA DE PAGO],"")</f>
        <v>0</v>
      </c>
      <c r="E265" s="37"/>
      <c r="F265" s="108" t="str">
        <f>+VLOOKUP(PROVEEDORES[[#This Row],[PROVEEDOR]],TERCEROS_INFO[[PROVEEDOR]:[CORREO]],5,FALSE)</f>
        <v>BRIGHTSIDELED2019@gmail.com;girlesa.ruiz@servipilas.com;joriescobar64@gmail.com</v>
      </c>
      <c r="G265" s="143">
        <v>44551</v>
      </c>
      <c r="H265" s="38" t="s">
        <v>417</v>
      </c>
      <c r="I265" s="30">
        <v>44518</v>
      </c>
      <c r="J265" s="58" t="s">
        <v>1301</v>
      </c>
      <c r="K265" s="32">
        <v>1163000</v>
      </c>
      <c r="L265" s="32"/>
      <c r="M265" s="33">
        <f>(PROVEEDORES[[#This Row],[SUBTOTAL]]-PROVEEDORES[[#This Row],[descuento antes de IVA]])*VLOOKUP(PROVEEDORES[[#This Row],[PROVEEDOR]],TERCEROS_INFO[#All],3,FALSE)</f>
        <v>0</v>
      </c>
      <c r="N265" s="34"/>
      <c r="O265" s="33">
        <f>+PROVEEDORES[[#This Row],[Descuento sobre subtotal %]]*(PROVEEDORES[[#This Row],[SUBTOTAL]]-PROVEEDORES[[#This Row],[descuento antes de IVA]])</f>
        <v>0</v>
      </c>
      <c r="P2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5" s="33">
        <f>+(PROVEEDORES[[#This Row],[SUBTOTAL]]-PROVEEDORES[[#This Row],[descuento antes de IVA]])*PROVEEDORES[[#This Row],[Rete Fuente %]]</f>
        <v>0</v>
      </c>
      <c r="R265" s="32">
        <f>+PROVEEDORES[[#This Row],[SUBTOTAL]]+PROVEEDORES[[#This Row],[IVA 19%]]-PROVEEDORES[[#This Row],[descuento antes de IVA]]-PROVEEDORES[[#This Row],[Descuento sobre subtotal $]]-PROVEEDORES[[#This Row],[Rete Fuente $]]</f>
        <v>1163000</v>
      </c>
      <c r="S265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5" s="40"/>
      <c r="U265" s="97"/>
      <c r="V265" s="36"/>
      <c r="W265" s="36"/>
      <c r="X265" s="36"/>
      <c r="Y265" s="36"/>
      <c r="Z265" s="41"/>
      <c r="AA265" s="42"/>
      <c r="AF265" s="36"/>
      <c r="AG265" s="36"/>
    </row>
    <row r="266" spans="1:33" ht="21.95" hidden="1" customHeight="1" x14ac:dyDescent="0.25">
      <c r="A266" s="139" t="str">
        <f>+IF(PROVEEDORES[[#This Row],[FECHA DE PAGO]]=PROVEEDORES[[#This Row],[FECHA DE FACTURACIÓN]],"DE CONTADO","CRÉDITO")</f>
        <v>DE CONTADO</v>
      </c>
      <c r="B266" s="70" t="b">
        <f>+IF((PROVEEDORES[[#This Row],[FECHA DE PAGO]]-PROVEEDORES[[#This Row],[FECHA DE FACTURACIÓN]])&gt;PROVEEDORES[[#This Row],[PLAZO Días]],"PAGO VENCIDO")</f>
        <v>0</v>
      </c>
      <c r="C266" s="27">
        <f>+VLOOKUP(PROVEEDORES[[#This Row],[PROVEEDOR]],TERCEROS_INFO[#All],2,FALSE)</f>
        <v>30</v>
      </c>
      <c r="D266" s="37">
        <f>+SUMIFS(PROVEEDORES[Total],PROVEEDORES[PROVEEDOR],PROVEEDORES[[#This Row],[PROVEEDOR]],PROVEEDORES[FECHA DE PAGO],"")</f>
        <v>0</v>
      </c>
      <c r="E266" s="37"/>
      <c r="F266" s="108">
        <f>+VLOOKUP(PROVEEDORES[[#This Row],[PROVEEDOR]],TERCEROS_INFO[[PROVEEDOR]:[CORREO]],5,FALSE)</f>
        <v>0</v>
      </c>
      <c r="G266" s="143">
        <v>44408</v>
      </c>
      <c r="H266" s="38" t="s">
        <v>776</v>
      </c>
      <c r="I266" s="30">
        <v>44408</v>
      </c>
      <c r="J266" s="58"/>
      <c r="K266" s="32">
        <v>378000</v>
      </c>
      <c r="L266" s="32"/>
      <c r="M266" s="33">
        <f>(PROVEEDORES[[#This Row],[SUBTOTAL]]-PROVEEDORES[[#This Row],[descuento antes de IVA]])*VLOOKUP(PROVEEDORES[[#This Row],[PROVEEDOR]],TERCEROS_INFO[#All],3,FALSE)</f>
        <v>0</v>
      </c>
      <c r="N266" s="34"/>
      <c r="O266" s="33">
        <f>+PROVEEDORES[[#This Row],[Descuento sobre subtotal %]]*(PROVEEDORES[[#This Row],[SUBTOTAL]]-PROVEEDORES[[#This Row],[descuento antes de IVA]])</f>
        <v>0</v>
      </c>
      <c r="P2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6" s="33">
        <f>+(PROVEEDORES[[#This Row],[SUBTOTAL]]-PROVEEDORES[[#This Row],[descuento antes de IVA]])*PROVEEDORES[[#This Row],[Rete Fuente %]]</f>
        <v>0</v>
      </c>
      <c r="R266" s="32">
        <f>+PROVEEDORES[[#This Row],[SUBTOTAL]]+PROVEEDORES[[#This Row],[IVA 19%]]-PROVEEDORES[[#This Row],[descuento antes de IVA]]-PROVEEDORES[[#This Row],[Descuento sobre subtotal $]]-PROVEEDORES[[#This Row],[Rete Fuente $]]</f>
        <v>378000</v>
      </c>
      <c r="S266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6" s="40"/>
      <c r="U266" s="97"/>
      <c r="V266" s="36"/>
      <c r="W266" s="36"/>
      <c r="X266" s="36"/>
      <c r="Y266" s="36"/>
      <c r="Z266" s="41"/>
      <c r="AA266" s="42"/>
      <c r="AF266" s="36"/>
      <c r="AG266" s="36"/>
    </row>
    <row r="267" spans="1:33" ht="21.95" hidden="1" customHeight="1" x14ac:dyDescent="0.25">
      <c r="A267" s="39" t="str">
        <f>+IF(PROVEEDORES[[#This Row],[FECHA DE PAGO]]=PROVEEDORES[[#This Row],[FECHA DE FACTURACIÓN]],"DE CONTADO","CRÉDITO")</f>
        <v>CRÉDITO</v>
      </c>
      <c r="B267" s="67" t="b">
        <f>+IF((PROVEEDORES[[#This Row],[FECHA DE PAGO]]-PROVEEDORES[[#This Row],[FECHA DE FACTURACIÓN]])&gt;PROVEEDORES[[#This Row],[PLAZO Días]],"PAGO VENCIDO")</f>
        <v>0</v>
      </c>
      <c r="C267" s="27">
        <f>+VLOOKUP(PROVEEDORES[[#This Row],[PROVEEDOR]],TERCEROS_INFO[#All],2,FALSE)</f>
        <v>30</v>
      </c>
      <c r="D267" s="37">
        <f>+SUMIFS(PROVEEDORES[Total],PROVEEDORES[PROVEEDOR],PROVEEDORES[[#This Row],[PROVEEDOR]],PROVEEDORES[FECHA DE PAGO],"")</f>
        <v>176000</v>
      </c>
      <c r="E267" s="37"/>
      <c r="F267" s="108" t="str">
        <f>+VLOOKUP(PROVEEDORES[[#This Row],[PROVEEDOR]],TERCEROS_INFO[[PROVEEDOR]:[CORREO]],5,FALSE)</f>
        <v>CARLOSARCILAMENSAJERIA@gmail.com;girlesa.ruiz@servipilas.com;joriescobar64@gmail.com</v>
      </c>
      <c r="G267" s="143">
        <v>44196</v>
      </c>
      <c r="H267" s="38" t="s">
        <v>382</v>
      </c>
      <c r="I267" s="30">
        <v>44185</v>
      </c>
      <c r="J267" s="58"/>
      <c r="K267" s="32">
        <v>273000</v>
      </c>
      <c r="L267" s="32"/>
      <c r="M267" s="33">
        <f>(PROVEEDORES[[#This Row],[SUBTOTAL]]-PROVEEDORES[[#This Row],[descuento antes de IVA]])*VLOOKUP(PROVEEDORES[[#This Row],[PROVEEDOR]],TERCEROS_INFO[#All],3,FALSE)</f>
        <v>0</v>
      </c>
      <c r="N267" s="34"/>
      <c r="O267" s="33">
        <f>+PROVEEDORES[[#This Row],[Descuento sobre subtotal %]]*(PROVEEDORES[[#This Row],[SUBTOTAL]]-PROVEEDORES[[#This Row],[descuento antes de IVA]])</f>
        <v>0</v>
      </c>
      <c r="P2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7" s="33">
        <f>+(PROVEEDORES[[#This Row],[SUBTOTAL]]-PROVEEDORES[[#This Row],[descuento antes de IVA]])*PROVEEDORES[[#This Row],[Rete Fuente %]]</f>
        <v>0</v>
      </c>
      <c r="R267" s="32">
        <f>+PROVEEDORES[[#This Row],[SUBTOTAL]]+PROVEEDORES[[#This Row],[IVA 19%]]-PROVEEDORES[[#This Row],[descuento antes de IVA]]-PROVEEDORES[[#This Row],[Descuento sobre subtotal $]]-PROVEEDORES[[#This Row],[Rete Fuente $]]</f>
        <v>273000</v>
      </c>
      <c r="S26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7" s="40"/>
      <c r="U267" s="97"/>
      <c r="V267" s="36"/>
      <c r="W267" s="36"/>
      <c r="X267" s="36"/>
      <c r="Y267" s="36"/>
      <c r="Z267" s="41"/>
      <c r="AA267" s="42"/>
      <c r="AF267" s="36"/>
      <c r="AG267" s="36"/>
    </row>
    <row r="268" spans="1:33" ht="21.95" hidden="1" customHeight="1" x14ac:dyDescent="0.25">
      <c r="A268" s="39" t="str">
        <f>+IF(PROVEEDORES[[#This Row],[FECHA DE PAGO]]=PROVEEDORES[[#This Row],[FECHA DE FACTURACIÓN]],"DE CONTADO","CRÉDITO")</f>
        <v>CRÉDITO</v>
      </c>
      <c r="B268" s="67" t="b">
        <f>+IF((PROVEEDORES[[#This Row],[FECHA DE PAGO]]-PROVEEDORES[[#This Row],[FECHA DE FACTURACIÓN]])&gt;PROVEEDORES[[#This Row],[PLAZO Días]],"PAGO VENCIDO")</f>
        <v>0</v>
      </c>
      <c r="C268" s="27">
        <f>+VLOOKUP(PROVEEDORES[[#This Row],[PROVEEDOR]],TERCEROS_INFO[#All],2,FALSE)</f>
        <v>30</v>
      </c>
      <c r="D268" s="37">
        <f>+SUMIFS(PROVEEDORES[Total],PROVEEDORES[PROVEEDOR],PROVEEDORES[[#This Row],[PROVEEDOR]],PROVEEDORES[FECHA DE PAGO],"")</f>
        <v>176000</v>
      </c>
      <c r="E268" s="37"/>
      <c r="F268" s="108" t="str">
        <f>+VLOOKUP(PROVEEDORES[[#This Row],[PROVEEDOR]],TERCEROS_INFO[[PROVEEDOR]:[CORREO]],5,FALSE)</f>
        <v>CARLOSARCILAMENSAJERIA@gmail.com;girlesa.ruiz@servipilas.com;joriescobar64@gmail.com</v>
      </c>
      <c r="G268" s="143">
        <v>44210</v>
      </c>
      <c r="H268" s="38" t="s">
        <v>382</v>
      </c>
      <c r="I268" s="30">
        <v>44209</v>
      </c>
      <c r="J268" s="58"/>
      <c r="K268" s="32">
        <v>241000</v>
      </c>
      <c r="L268" s="32"/>
      <c r="M268" s="33">
        <f>(PROVEEDORES[[#This Row],[SUBTOTAL]]-PROVEEDORES[[#This Row],[descuento antes de IVA]])*VLOOKUP(PROVEEDORES[[#This Row],[PROVEEDOR]],TERCEROS_INFO[#All],3,FALSE)</f>
        <v>0</v>
      </c>
      <c r="N268" s="34"/>
      <c r="O268" s="33">
        <f>+PROVEEDORES[[#This Row],[Descuento sobre subtotal %]]*(PROVEEDORES[[#This Row],[SUBTOTAL]]-PROVEEDORES[[#This Row],[descuento antes de IVA]])</f>
        <v>0</v>
      </c>
      <c r="P2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8" s="33">
        <f>+(PROVEEDORES[[#This Row],[SUBTOTAL]]-PROVEEDORES[[#This Row],[descuento antes de IVA]])*PROVEEDORES[[#This Row],[Rete Fuente %]]</f>
        <v>0</v>
      </c>
      <c r="R268" s="32">
        <f>+PROVEEDORES[[#This Row],[SUBTOTAL]]+PROVEEDORES[[#This Row],[IVA 19%]]-PROVEEDORES[[#This Row],[descuento antes de IVA]]-PROVEEDORES[[#This Row],[Descuento sobre subtotal $]]-PROVEEDORES[[#This Row],[Rete Fuente $]]</f>
        <v>241000</v>
      </c>
      <c r="S26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8" s="40"/>
      <c r="U268" s="97"/>
      <c r="V268" s="36"/>
      <c r="W268" s="36"/>
      <c r="X268" s="36"/>
      <c r="Y268" s="36"/>
      <c r="Z268" s="41"/>
      <c r="AA268" s="42"/>
      <c r="AF268" s="36"/>
      <c r="AG268" s="36"/>
    </row>
    <row r="269" spans="1:33" ht="21.95" hidden="1" customHeight="1" x14ac:dyDescent="0.25">
      <c r="A269" s="35" t="str">
        <f>+IF(PROVEEDORES[[#This Row],[FECHA DE PAGO]]=PROVEEDORES[[#This Row],[FECHA DE FACTURACIÓN]],"DE CONTADO","CRÉDITO")</f>
        <v>CRÉDITO</v>
      </c>
      <c r="B269" s="67" t="b">
        <f>+IF((PROVEEDORES[[#This Row],[FECHA DE PAGO]]-PROVEEDORES[[#This Row],[FECHA DE FACTURACIÓN]])&gt;PROVEEDORES[[#This Row],[PLAZO Días]],"PAGO VENCIDO")</f>
        <v>0</v>
      </c>
      <c r="C269" s="27">
        <f>+VLOOKUP(PROVEEDORES[[#This Row],[PROVEEDOR]],TERCEROS_INFO[#All],2,FALSE)</f>
        <v>30</v>
      </c>
      <c r="D269" s="37">
        <f>+SUMIFS(PROVEEDORES[Total],PROVEEDORES[PROVEEDOR],PROVEEDORES[[#This Row],[PROVEEDOR]],PROVEEDORES[FECHA DE PAGO],"")</f>
        <v>176000</v>
      </c>
      <c r="E269" s="37"/>
      <c r="F269" s="108" t="str">
        <f>+VLOOKUP(PROVEEDORES[[#This Row],[PROVEEDOR]],TERCEROS_INFO[[PROVEEDOR]:[CORREO]],5,FALSE)</f>
        <v>CARLOSARCILAMENSAJERIA@gmail.com;girlesa.ruiz@servipilas.com;joriescobar64@gmail.com</v>
      </c>
      <c r="G269" s="143">
        <v>44221</v>
      </c>
      <c r="H269" s="38" t="s">
        <v>382</v>
      </c>
      <c r="I269" s="30">
        <v>44216</v>
      </c>
      <c r="J269" s="58">
        <v>260</v>
      </c>
      <c r="K269" s="32">
        <v>160000</v>
      </c>
      <c r="L269" s="32"/>
      <c r="M269" s="33">
        <f>(PROVEEDORES[[#This Row],[SUBTOTAL]]-PROVEEDORES[[#This Row],[descuento antes de IVA]])*VLOOKUP(PROVEEDORES[[#This Row],[PROVEEDOR]],TERCEROS_INFO[#All],3,FALSE)</f>
        <v>0</v>
      </c>
      <c r="N269" s="34"/>
      <c r="O269" s="33">
        <f>+PROVEEDORES[[#This Row],[Descuento sobre subtotal %]]*(PROVEEDORES[[#This Row],[SUBTOTAL]]-PROVEEDORES[[#This Row],[descuento antes de IVA]])</f>
        <v>0</v>
      </c>
      <c r="P2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69" s="33">
        <f>+(PROVEEDORES[[#This Row],[SUBTOTAL]]-PROVEEDORES[[#This Row],[descuento antes de IVA]])*PROVEEDORES[[#This Row],[Rete Fuente %]]</f>
        <v>0</v>
      </c>
      <c r="R269" s="32">
        <f>+PROVEEDORES[[#This Row],[SUBTOTAL]]+PROVEEDORES[[#This Row],[IVA 19%]]-PROVEEDORES[[#This Row],[descuento antes de IVA]]-PROVEEDORES[[#This Row],[Descuento sobre subtotal $]]-PROVEEDORES[[#This Row],[Rete Fuente $]]</f>
        <v>160000</v>
      </c>
      <c r="S26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9" s="40"/>
      <c r="U269" s="97"/>
      <c r="V269" s="36"/>
      <c r="W269" s="36"/>
      <c r="X269" s="36"/>
      <c r="Y269" s="36"/>
      <c r="Z269" s="41"/>
      <c r="AA269" s="42"/>
      <c r="AF269" s="36"/>
      <c r="AG269" s="36"/>
    </row>
    <row r="270" spans="1:33" ht="21.95" hidden="1" customHeight="1" x14ac:dyDescent="0.25">
      <c r="A270" s="39" t="str">
        <f>+IF(PROVEEDORES[[#This Row],[FECHA DE PAGO]]=PROVEEDORES[[#This Row],[FECHA DE FACTURACIÓN]],"DE CONTADO","CRÉDITO")</f>
        <v>CRÉDITO</v>
      </c>
      <c r="B270" s="67" t="b">
        <f>+IF((PROVEEDORES[[#This Row],[FECHA DE PAGO]]-PROVEEDORES[[#This Row],[FECHA DE FACTURACIÓN]])&gt;PROVEEDORES[[#This Row],[PLAZO Días]],"PAGO VENCIDO")</f>
        <v>0</v>
      </c>
      <c r="C270" s="27">
        <f>+VLOOKUP(PROVEEDORES[[#This Row],[PROVEEDOR]],TERCEROS_INFO[#All],2,FALSE)</f>
        <v>30</v>
      </c>
      <c r="D270" s="37">
        <f>+SUMIFS(PROVEEDORES[Total],PROVEEDORES[PROVEEDOR],PROVEEDORES[[#This Row],[PROVEEDOR]],PROVEEDORES[FECHA DE PAGO],"")</f>
        <v>176000</v>
      </c>
      <c r="E270" s="37"/>
      <c r="F270" s="108" t="str">
        <f>+VLOOKUP(PROVEEDORES[[#This Row],[PROVEEDOR]],TERCEROS_INFO[[PROVEEDOR]:[CORREO]],5,FALSE)</f>
        <v>CARLOSARCILAMENSAJERIA@gmail.com;girlesa.ruiz@servipilas.com;joriescobar64@gmail.com</v>
      </c>
      <c r="G270" s="143">
        <v>44235</v>
      </c>
      <c r="H270" s="38" t="s">
        <v>382</v>
      </c>
      <c r="I270" s="30">
        <v>44228</v>
      </c>
      <c r="J270" s="58">
        <v>263</v>
      </c>
      <c r="K270" s="32">
        <v>184000</v>
      </c>
      <c r="L270" s="32"/>
      <c r="M270" s="33">
        <f>(PROVEEDORES[[#This Row],[SUBTOTAL]]-PROVEEDORES[[#This Row],[descuento antes de IVA]])*VLOOKUP(PROVEEDORES[[#This Row],[PROVEEDOR]],TERCEROS_INFO[#All],3,FALSE)</f>
        <v>0</v>
      </c>
      <c r="N270" s="34"/>
      <c r="O270" s="33">
        <f>+PROVEEDORES[[#This Row],[Descuento sobre subtotal %]]*(PROVEEDORES[[#This Row],[SUBTOTAL]]-PROVEEDORES[[#This Row],[descuento antes de IVA]])</f>
        <v>0</v>
      </c>
      <c r="P2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0" s="33">
        <f>+(PROVEEDORES[[#This Row],[SUBTOTAL]]-PROVEEDORES[[#This Row],[descuento antes de IVA]])*PROVEEDORES[[#This Row],[Rete Fuente %]]</f>
        <v>0</v>
      </c>
      <c r="R270" s="32">
        <f>+PROVEEDORES[[#This Row],[SUBTOTAL]]+PROVEEDORES[[#This Row],[IVA 19%]]-PROVEEDORES[[#This Row],[descuento antes de IVA]]-PROVEEDORES[[#This Row],[Descuento sobre subtotal $]]-PROVEEDORES[[#This Row],[Rete Fuente $]]</f>
        <v>184000</v>
      </c>
      <c r="S27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0" s="40"/>
      <c r="U270" s="97"/>
      <c r="V270" s="36"/>
      <c r="W270" s="36"/>
      <c r="X270" s="36"/>
      <c r="Y270" s="36"/>
      <c r="Z270" s="41"/>
      <c r="AA270" s="42"/>
      <c r="AF270" s="36"/>
      <c r="AG270" s="36"/>
    </row>
    <row r="271" spans="1:33" ht="21.95" hidden="1" customHeight="1" x14ac:dyDescent="0.25">
      <c r="A271" s="88" t="str">
        <f>+IF(PROVEEDORES[[#This Row],[FECHA DE PAGO]]=PROVEEDORES[[#This Row],[FECHA DE FACTURACIÓN]],"DE CONTADO","CRÉDITO")</f>
        <v>CRÉDITO</v>
      </c>
      <c r="B271" s="70" t="b">
        <f>+IF((PROVEEDORES[[#This Row],[FECHA DE PAGO]]-PROVEEDORES[[#This Row],[FECHA DE FACTURACIÓN]])&gt;PROVEEDORES[[#This Row],[PLAZO Días]],"PAGO VENCIDO")</f>
        <v>0</v>
      </c>
      <c r="C271" s="27">
        <f>+VLOOKUP(PROVEEDORES[[#This Row],[PROVEEDOR]],TERCEROS_INFO[#All],2,FALSE)</f>
        <v>30</v>
      </c>
      <c r="D271" s="37">
        <f>+SUMIFS(PROVEEDORES[Total],PROVEEDORES[PROVEEDOR],PROVEEDORES[[#This Row],[PROVEEDOR]],PROVEEDORES[FECHA DE PAGO],"")</f>
        <v>176000</v>
      </c>
      <c r="E271" s="37"/>
      <c r="F271" s="108" t="str">
        <f>+VLOOKUP(PROVEEDORES[[#This Row],[PROVEEDOR]],TERCEROS_INFO[[PROVEEDOR]:[CORREO]],5,FALSE)</f>
        <v>CARLOSARCILAMENSAJERIA@gmail.com;girlesa.ruiz@servipilas.com;joriescobar64@gmail.com</v>
      </c>
      <c r="G271" s="143">
        <v>44279</v>
      </c>
      <c r="H271" s="38" t="s">
        <v>382</v>
      </c>
      <c r="I271" s="30">
        <v>44273</v>
      </c>
      <c r="J271" s="58">
        <v>270</v>
      </c>
      <c r="K271" s="32">
        <v>192000</v>
      </c>
      <c r="L271" s="32"/>
      <c r="M271" s="33">
        <f>(PROVEEDORES[[#This Row],[SUBTOTAL]]-PROVEEDORES[[#This Row],[descuento antes de IVA]])*VLOOKUP(PROVEEDORES[[#This Row],[PROVEEDOR]],TERCEROS_INFO[#All],3,FALSE)</f>
        <v>0</v>
      </c>
      <c r="N271" s="34"/>
      <c r="O271" s="33">
        <f>+PROVEEDORES[[#This Row],[Descuento sobre subtotal %]]*(PROVEEDORES[[#This Row],[SUBTOTAL]]-PROVEEDORES[[#This Row],[descuento antes de IVA]])</f>
        <v>0</v>
      </c>
      <c r="P2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1" s="33">
        <f>+(PROVEEDORES[[#This Row],[SUBTOTAL]]-PROVEEDORES[[#This Row],[descuento antes de IVA]])*PROVEEDORES[[#This Row],[Rete Fuente %]]</f>
        <v>0</v>
      </c>
      <c r="R271" s="32">
        <f>+PROVEEDORES[[#This Row],[SUBTOTAL]]+PROVEEDORES[[#This Row],[IVA 19%]]-PROVEEDORES[[#This Row],[descuento antes de IVA]]-PROVEEDORES[[#This Row],[Descuento sobre subtotal $]]-PROVEEDORES[[#This Row],[Rete Fuente $]]</f>
        <v>192000</v>
      </c>
      <c r="S271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1" s="40"/>
      <c r="U271" s="97"/>
      <c r="V271" s="36"/>
      <c r="W271" s="36"/>
      <c r="X271" s="36"/>
      <c r="Y271" s="36"/>
      <c r="Z271" s="41"/>
      <c r="AA271" s="42"/>
      <c r="AF271" s="36"/>
      <c r="AG271" s="36"/>
    </row>
    <row r="272" spans="1:33" ht="21.95" hidden="1" customHeight="1" x14ac:dyDescent="0.25">
      <c r="A272" s="35" t="str">
        <f>+IF(PROVEEDORES[[#This Row],[FECHA DE PAGO]]=PROVEEDORES[[#This Row],[FECHA DE FACTURACIÓN]],"DE CONTADO","CRÉDITO")</f>
        <v>CRÉDITO</v>
      </c>
      <c r="B272" s="70" t="b">
        <f>+IF((PROVEEDORES[[#This Row],[FECHA DE PAGO]]-PROVEEDORES[[#This Row],[FECHA DE FACTURACIÓN]])&gt;PROVEEDORES[[#This Row],[PLAZO Días]],"PAGO VENCIDO")</f>
        <v>0</v>
      </c>
      <c r="C272" s="27">
        <f>+VLOOKUP(PROVEEDORES[[#This Row],[PROVEEDOR]],TERCEROS_INFO[#All],2,FALSE)</f>
        <v>30</v>
      </c>
      <c r="D272" s="37">
        <f>+SUMIFS(PROVEEDORES[Total],PROVEEDORES[PROVEEDOR],PROVEEDORES[[#This Row],[PROVEEDOR]],PROVEEDORES[FECHA DE PAGO],"")</f>
        <v>176000</v>
      </c>
      <c r="E272" s="37"/>
      <c r="F272" s="108" t="str">
        <f>+VLOOKUP(PROVEEDORES[[#This Row],[PROVEEDOR]],TERCEROS_INFO[[PROVEEDOR]:[CORREO]],5,FALSE)</f>
        <v>CARLOSARCILAMENSAJERIA@gmail.com;girlesa.ruiz@servipilas.com;joriescobar64@gmail.com</v>
      </c>
      <c r="G272" s="143">
        <v>44292</v>
      </c>
      <c r="H272" s="38" t="s">
        <v>382</v>
      </c>
      <c r="I272" s="30">
        <v>44290</v>
      </c>
      <c r="J272" s="58">
        <v>271</v>
      </c>
      <c r="K272" s="32">
        <v>264000</v>
      </c>
      <c r="L272" s="32"/>
      <c r="M272" s="33">
        <f>(PROVEEDORES[[#This Row],[SUBTOTAL]]-PROVEEDORES[[#This Row],[descuento antes de IVA]])*VLOOKUP(PROVEEDORES[[#This Row],[PROVEEDOR]],TERCEROS_INFO[#All],3,FALSE)</f>
        <v>0</v>
      </c>
      <c r="N272" s="34"/>
      <c r="O272" s="33">
        <f>+PROVEEDORES[[#This Row],[Descuento sobre subtotal %]]*(PROVEEDORES[[#This Row],[SUBTOTAL]]-PROVEEDORES[[#This Row],[descuento antes de IVA]])</f>
        <v>0</v>
      </c>
      <c r="P2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2" s="33">
        <f>+(PROVEEDORES[[#This Row],[SUBTOTAL]]-PROVEEDORES[[#This Row],[descuento antes de IVA]])*PROVEEDORES[[#This Row],[Rete Fuente %]]</f>
        <v>0</v>
      </c>
      <c r="R272" s="32">
        <f>+PROVEEDORES[[#This Row],[SUBTOTAL]]+PROVEEDORES[[#This Row],[IVA 19%]]-PROVEEDORES[[#This Row],[descuento antes de IVA]]-PROVEEDORES[[#This Row],[Descuento sobre subtotal $]]-PROVEEDORES[[#This Row],[Rete Fuente $]]</f>
        <v>264000</v>
      </c>
      <c r="S27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2" s="40"/>
      <c r="U272" s="97"/>
      <c r="V272" s="36"/>
      <c r="W272" s="36"/>
      <c r="X272" s="36"/>
      <c r="Y272" s="36"/>
      <c r="Z272" s="41"/>
      <c r="AA272" s="42"/>
      <c r="AF272" s="36"/>
      <c r="AG272" s="36"/>
    </row>
    <row r="273" spans="1:33" ht="21.95" hidden="1" customHeight="1" x14ac:dyDescent="0.25">
      <c r="A273" s="35" t="str">
        <f>+IF(PROVEEDORES[[#This Row],[FECHA DE PAGO]]=PROVEEDORES[[#This Row],[FECHA DE FACTURACIÓN]],"DE CONTADO","CRÉDITO")</f>
        <v>CRÉDITO</v>
      </c>
      <c r="B273" s="70" t="b">
        <f>+IF((PROVEEDORES[[#This Row],[FECHA DE PAGO]]-PROVEEDORES[[#This Row],[FECHA DE FACTURACIÓN]])&gt;PROVEEDORES[[#This Row],[PLAZO Días]],"PAGO VENCIDO")</f>
        <v>0</v>
      </c>
      <c r="C273" s="27">
        <f>+VLOOKUP(PROVEEDORES[[#This Row],[PROVEEDOR]],TERCEROS_INFO[#All],2,FALSE)</f>
        <v>30</v>
      </c>
      <c r="D273" s="37">
        <f>+SUMIFS(PROVEEDORES[Total],PROVEEDORES[PROVEEDOR],PROVEEDORES[[#This Row],[PROVEEDOR]],PROVEEDORES[FECHA DE PAGO],"")</f>
        <v>176000</v>
      </c>
      <c r="E273" s="37"/>
      <c r="F273" s="108" t="str">
        <f>+VLOOKUP(PROVEEDORES[[#This Row],[PROVEEDOR]],TERCEROS_INFO[[PROVEEDOR]:[CORREO]],5,FALSE)</f>
        <v>CARLOSARCILAMENSAJERIA@gmail.com;girlesa.ruiz@servipilas.com;joriescobar64@gmail.com</v>
      </c>
      <c r="G273" s="143">
        <v>44553</v>
      </c>
      <c r="H273" s="38" t="s">
        <v>382</v>
      </c>
      <c r="I273" s="30">
        <v>44552</v>
      </c>
      <c r="J273" s="58">
        <v>316</v>
      </c>
      <c r="K273" s="32">
        <v>154000</v>
      </c>
      <c r="L273" s="32"/>
      <c r="M273" s="33">
        <f>(PROVEEDORES[[#This Row],[SUBTOTAL]]-PROVEEDORES[[#This Row],[descuento antes de IVA]])*VLOOKUP(PROVEEDORES[[#This Row],[PROVEEDOR]],TERCEROS_INFO[#All],3,FALSE)</f>
        <v>0</v>
      </c>
      <c r="N273" s="34"/>
      <c r="O273" s="33">
        <f>+PROVEEDORES[[#This Row],[Descuento sobre subtotal %]]*(PROVEEDORES[[#This Row],[SUBTOTAL]]-PROVEEDORES[[#This Row],[descuento antes de IVA]])</f>
        <v>0</v>
      </c>
      <c r="P2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3" s="33">
        <f>+(PROVEEDORES[[#This Row],[SUBTOTAL]]-PROVEEDORES[[#This Row],[descuento antes de IVA]])*PROVEEDORES[[#This Row],[Rete Fuente %]]</f>
        <v>0</v>
      </c>
      <c r="R273" s="32">
        <f>+PROVEEDORES[[#This Row],[SUBTOTAL]]+PROVEEDORES[[#This Row],[IVA 19%]]-PROVEEDORES[[#This Row],[descuento antes de IVA]]-PROVEEDORES[[#This Row],[Descuento sobre subtotal $]]-PROVEEDORES[[#This Row],[Rete Fuente $]]</f>
        <v>154000</v>
      </c>
      <c r="S27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3" s="40"/>
      <c r="U273" s="97"/>
      <c r="V273" s="36"/>
      <c r="W273" s="36"/>
      <c r="X273" s="36"/>
      <c r="Y273" s="36"/>
      <c r="Z273" s="41"/>
      <c r="AA273" s="42"/>
      <c r="AF273" s="36"/>
      <c r="AG273" s="36"/>
    </row>
    <row r="274" spans="1:33" ht="21.95" hidden="1" customHeight="1" x14ac:dyDescent="0.25">
      <c r="A274" s="35" t="str">
        <f>+IF(PROVEEDORES[[#This Row],[FECHA DE PAGO]]=PROVEEDORES[[#This Row],[FECHA DE FACTURACIÓN]],"DE CONTADO","CRÉDITO")</f>
        <v>CRÉDITO</v>
      </c>
      <c r="B274" s="70" t="b">
        <f>+IF((PROVEEDORES[[#This Row],[FECHA DE PAGO]]-PROVEEDORES[[#This Row],[FECHA DE FACTURACIÓN]])&gt;PROVEEDORES[[#This Row],[PLAZO Días]],"PAGO VENCIDO")</f>
        <v>0</v>
      </c>
      <c r="C274" s="27">
        <f>+VLOOKUP(PROVEEDORES[[#This Row],[PROVEEDOR]],TERCEROS_INFO[#All],2,FALSE)</f>
        <v>30</v>
      </c>
      <c r="D274" s="37">
        <f>+SUMIFS(PROVEEDORES[Total],PROVEEDORES[PROVEEDOR],PROVEEDORES[[#This Row],[PROVEEDOR]],PROVEEDORES[FECHA DE PAGO],"")</f>
        <v>176000</v>
      </c>
      <c r="E274" s="37"/>
      <c r="F274" s="108" t="str">
        <f>+VLOOKUP(PROVEEDORES[[#This Row],[PROVEEDOR]],TERCEROS_INFO[[PROVEEDOR]:[CORREO]],5,FALSE)</f>
        <v>CARLOSARCILAMENSAJERIA@gmail.com;girlesa.ruiz@servipilas.com;joriescobar64@gmail.com</v>
      </c>
      <c r="H274" s="38" t="s">
        <v>382</v>
      </c>
      <c r="I274" s="30">
        <v>44565</v>
      </c>
      <c r="J274" s="58">
        <v>319</v>
      </c>
      <c r="K274" s="32">
        <v>176000</v>
      </c>
      <c r="L274" s="32"/>
      <c r="M274" s="33">
        <f>(PROVEEDORES[[#This Row],[SUBTOTAL]]-PROVEEDORES[[#This Row],[descuento antes de IVA]])*VLOOKUP(PROVEEDORES[[#This Row],[PROVEEDOR]],TERCEROS_INFO[#All],3,FALSE)</f>
        <v>0</v>
      </c>
      <c r="N274" s="34"/>
      <c r="O274" s="33">
        <f>+PROVEEDORES[[#This Row],[Descuento sobre subtotal %]]*(PROVEEDORES[[#This Row],[SUBTOTAL]]-PROVEEDORES[[#This Row],[descuento antes de IVA]])</f>
        <v>0</v>
      </c>
      <c r="P2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4" s="33">
        <f>+(PROVEEDORES[[#This Row],[SUBTOTAL]]-PROVEEDORES[[#This Row],[descuento antes de IVA]])*PROVEEDORES[[#This Row],[Rete Fuente %]]</f>
        <v>0</v>
      </c>
      <c r="R274" s="32">
        <f>+PROVEEDORES[[#This Row],[SUBTOTAL]]+PROVEEDORES[[#This Row],[IVA 19%]]-PROVEEDORES[[#This Row],[descuento antes de IVA]]-PROVEEDORES[[#This Row],[Descuento sobre subtotal $]]-PROVEEDORES[[#This Row],[Rete Fuente $]]</f>
        <v>176000</v>
      </c>
      <c r="S274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274" s="40"/>
      <c r="U274" s="97"/>
      <c r="V274" s="36"/>
      <c r="W274" s="36"/>
      <c r="X274" s="36"/>
      <c r="Y274" s="36"/>
      <c r="Z274" s="41"/>
      <c r="AA274" s="42"/>
      <c r="AF274" s="36"/>
      <c r="AG274" s="36"/>
    </row>
    <row r="275" spans="1:33" ht="21.95" hidden="1" customHeight="1" x14ac:dyDescent="0.25">
      <c r="A275" s="39" t="str">
        <f>+IF(PROVEEDORES[[#This Row],[FECHA DE PAGO]]=PROVEEDORES[[#This Row],[FECHA DE FACTURACIÓN]],"DE CONTADO","CRÉDITO")</f>
        <v>CRÉDITO</v>
      </c>
      <c r="B275" s="67" t="str">
        <f>+IF((PROVEEDORES[[#This Row],[FECHA DE PAGO]]-PROVEEDORES[[#This Row],[FECHA DE FACTURACIÓN]])&gt;PROVEEDORES[[#This Row],[PLAZO Días]],"PAGO VENCIDO")</f>
        <v>PAGO VENCIDO</v>
      </c>
      <c r="C275" s="27">
        <f>+VLOOKUP(PROVEEDORES[[#This Row],[PROVEEDOR]],TERCEROS_INFO[#All],2,FALSE)</f>
        <v>30</v>
      </c>
      <c r="D275" s="37">
        <f>+SUMIFS(PROVEEDORES[Total],PROVEEDORES[PROVEEDOR],PROVEEDORES[[#This Row],[PROVEEDOR]],PROVEEDORES[FECHA DE PAGO],"")</f>
        <v>0</v>
      </c>
      <c r="E275" s="37" t="s">
        <v>338</v>
      </c>
      <c r="F275" s="108">
        <f>+VLOOKUP(PROVEEDORES[[#This Row],[PROVEEDOR]],TERCEROS_INFO[[PROVEEDOR]:[CORREO]],5,FALSE)</f>
        <v>0</v>
      </c>
      <c r="G275" s="143">
        <v>44014</v>
      </c>
      <c r="H275" s="38" t="s">
        <v>835</v>
      </c>
      <c r="I275" s="30">
        <v>43861</v>
      </c>
      <c r="J275" s="58" t="s">
        <v>1032</v>
      </c>
      <c r="K275" s="32">
        <v>82097</v>
      </c>
      <c r="L275" s="32"/>
      <c r="M275" s="33">
        <f>(PROVEEDORES[[#This Row],[SUBTOTAL]]-PROVEEDORES[[#This Row],[descuento antes de IVA]])*VLOOKUP(PROVEEDORES[[#This Row],[PROVEEDOR]],TERCEROS_INFO[#All],3,FALSE)</f>
        <v>0</v>
      </c>
      <c r="N275" s="34"/>
      <c r="O275" s="33">
        <f>+PROVEEDORES[[#This Row],[Descuento sobre subtotal %]]*(PROVEEDORES[[#This Row],[SUBTOTAL]]-PROVEEDORES[[#This Row],[descuento antes de IVA]])</f>
        <v>0</v>
      </c>
      <c r="P2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5" s="33">
        <f>+(PROVEEDORES[[#This Row],[SUBTOTAL]]-PROVEEDORES[[#This Row],[descuento antes de IVA]])*PROVEEDORES[[#This Row],[Rete Fuente %]]</f>
        <v>0</v>
      </c>
      <c r="R275" s="32">
        <f>+PROVEEDORES[[#This Row],[SUBTOTAL]]+PROVEEDORES[[#This Row],[IVA 19%]]-PROVEEDORES[[#This Row],[descuento antes de IVA]]-PROVEEDORES[[#This Row],[Descuento sobre subtotal $]]-PROVEEDORES[[#This Row],[Rete Fuente $]]</f>
        <v>82097</v>
      </c>
      <c r="S27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5" s="40"/>
      <c r="U275" s="97"/>
      <c r="V275" s="36"/>
      <c r="W275" s="36"/>
      <c r="X275" s="36"/>
      <c r="Y275" s="36"/>
      <c r="Z275" s="41"/>
      <c r="AA275" s="42"/>
      <c r="AF275" s="36"/>
      <c r="AG275" s="36"/>
    </row>
    <row r="276" spans="1:33" ht="21.95" hidden="1" customHeight="1" x14ac:dyDescent="0.25">
      <c r="A276" s="39" t="str">
        <f>+IF(PROVEEDORES[[#This Row],[FECHA DE PAGO]]=PROVEEDORES[[#This Row],[FECHA DE FACTURACIÓN]],"DE CONTADO","CRÉDITO")</f>
        <v>CRÉDITO</v>
      </c>
      <c r="B276" s="67" t="b">
        <f>+IF((PROVEEDORES[[#This Row],[FECHA DE PAGO]]-PROVEEDORES[[#This Row],[FECHA DE FACTURACIÓN]])&gt;PROVEEDORES[[#This Row],[PLAZO Días]],"PAGO VENCIDO")</f>
        <v>0</v>
      </c>
      <c r="C276" s="27">
        <f>+VLOOKUP(PROVEEDORES[[#This Row],[PROVEEDOR]],TERCEROS_INFO[#All],2,FALSE)</f>
        <v>30</v>
      </c>
      <c r="D276" s="37">
        <f>+SUMIFS(PROVEEDORES[Total],PROVEEDORES[PROVEEDOR],PROVEEDORES[[#This Row],[PROVEEDOR]],PROVEEDORES[FECHA DE PAGO],"")</f>
        <v>0</v>
      </c>
      <c r="E276" s="37" t="s">
        <v>337</v>
      </c>
      <c r="F276" s="108">
        <f>+VLOOKUP(PROVEEDORES[[#This Row],[PROVEEDOR]],TERCEROS_INFO[[PROVEEDOR]:[CORREO]],5,FALSE)</f>
        <v>0</v>
      </c>
      <c r="G276" s="143">
        <v>44027</v>
      </c>
      <c r="H276" s="38" t="s">
        <v>835</v>
      </c>
      <c r="I276" s="30">
        <v>44015</v>
      </c>
      <c r="J276" s="58" t="s">
        <v>1074</v>
      </c>
      <c r="K276" s="32">
        <v>49210</v>
      </c>
      <c r="L276" s="32"/>
      <c r="M276" s="33">
        <f>(PROVEEDORES[[#This Row],[SUBTOTAL]]-PROVEEDORES[[#This Row],[descuento antes de IVA]])*VLOOKUP(PROVEEDORES[[#This Row],[PROVEEDOR]],TERCEROS_INFO[#All],3,FALSE)</f>
        <v>0</v>
      </c>
      <c r="N276" s="34"/>
      <c r="O276" s="33">
        <f>+PROVEEDORES[[#This Row],[Descuento sobre subtotal %]]*(PROVEEDORES[[#This Row],[SUBTOTAL]]-PROVEEDORES[[#This Row],[descuento antes de IVA]])</f>
        <v>0</v>
      </c>
      <c r="P2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6" s="33">
        <f>+(PROVEEDORES[[#This Row],[SUBTOTAL]]-PROVEEDORES[[#This Row],[descuento antes de IVA]])*PROVEEDORES[[#This Row],[Rete Fuente %]]</f>
        <v>0</v>
      </c>
      <c r="R276" s="32">
        <f>+PROVEEDORES[[#This Row],[SUBTOTAL]]+PROVEEDORES[[#This Row],[IVA 19%]]-PROVEEDORES[[#This Row],[descuento antes de IVA]]-PROVEEDORES[[#This Row],[Descuento sobre subtotal $]]-PROVEEDORES[[#This Row],[Rete Fuente $]]</f>
        <v>49210</v>
      </c>
      <c r="S27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6" s="40"/>
      <c r="U276" s="97"/>
      <c r="V276" s="36"/>
      <c r="W276" s="36"/>
      <c r="X276" s="36"/>
      <c r="Y276" s="36"/>
      <c r="Z276" s="41"/>
      <c r="AA276" s="42"/>
      <c r="AF276" s="36"/>
      <c r="AG276" s="36"/>
    </row>
    <row r="277" spans="1:33" ht="21.95" hidden="1" customHeight="1" x14ac:dyDescent="0.25">
      <c r="A277" s="144" t="str">
        <f>+IF(PROVEEDORES[[#This Row],[FECHA DE PAGO]]=PROVEEDORES[[#This Row],[FECHA DE FACTURACIÓN]],"DE CONTADO","CRÉDITO")</f>
        <v>DE CONTADO</v>
      </c>
      <c r="B277" s="70" t="b">
        <f>+IF((PROVEEDORES[[#This Row],[FECHA DE PAGO]]-PROVEEDORES[[#This Row],[FECHA DE FACTURACIÓN]])&gt;PROVEEDORES[[#This Row],[PLAZO Días]],"PAGO VENCIDO")</f>
        <v>0</v>
      </c>
      <c r="C277" s="27">
        <f>+VLOOKUP(PROVEEDORES[[#This Row],[PROVEEDOR]],TERCEROS_INFO[#All],2,FALSE)</f>
        <v>30</v>
      </c>
      <c r="D277" s="37">
        <f>+SUMIFS(PROVEEDORES[Total],PROVEEDORES[PROVEEDOR],PROVEEDORES[[#This Row],[PROVEEDOR]],PROVEEDORES[FECHA DE PAGO],"")</f>
        <v>0</v>
      </c>
      <c r="E277" s="37"/>
      <c r="F277" s="108">
        <f>+VLOOKUP(PROVEEDORES[[#This Row],[PROVEEDOR]],TERCEROS_INFO[[PROVEEDOR]:[CORREO]],5,FALSE)</f>
        <v>0</v>
      </c>
      <c r="G277" s="30">
        <v>44431</v>
      </c>
      <c r="H277" s="38" t="s">
        <v>835</v>
      </c>
      <c r="I277" s="30">
        <v>44431</v>
      </c>
      <c r="J277" s="58" t="s">
        <v>1222</v>
      </c>
      <c r="K277" s="32">
        <v>1000000</v>
      </c>
      <c r="L277" s="32"/>
      <c r="M277" s="33">
        <f>(PROVEEDORES[[#This Row],[SUBTOTAL]]-PROVEEDORES[[#This Row],[descuento antes de IVA]])*VLOOKUP(PROVEEDORES[[#This Row],[PROVEEDOR]],TERCEROS_INFO[#All],3,FALSE)</f>
        <v>0</v>
      </c>
      <c r="N277" s="34"/>
      <c r="O277" s="33">
        <f>+PROVEEDORES[[#This Row],[Descuento sobre subtotal %]]*(PROVEEDORES[[#This Row],[SUBTOTAL]]-PROVEEDORES[[#This Row],[descuento antes de IVA]])</f>
        <v>0</v>
      </c>
      <c r="P2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7" s="33">
        <f>+(PROVEEDORES[[#This Row],[SUBTOTAL]]-PROVEEDORES[[#This Row],[descuento antes de IVA]])*PROVEEDORES[[#This Row],[Rete Fuente %]]</f>
        <v>0</v>
      </c>
      <c r="R277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277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7" s="40"/>
      <c r="U277" s="97"/>
      <c r="V277" s="36"/>
      <c r="W277" s="36"/>
      <c r="X277" s="36"/>
      <c r="Y277" s="36"/>
      <c r="Z277" s="41"/>
      <c r="AA277" s="42"/>
      <c r="AF277" s="36"/>
      <c r="AG277" s="36"/>
    </row>
    <row r="278" spans="1:33" ht="21.95" hidden="1" customHeight="1" x14ac:dyDescent="0.25">
      <c r="A278" s="151" t="str">
        <f>+IF(PROVEEDORES[[#This Row],[FECHA DE PAGO]]=PROVEEDORES[[#This Row],[FECHA DE FACTURACIÓN]],"DE CONTADO","CRÉDITO")</f>
        <v>CRÉDITO</v>
      </c>
      <c r="B278" s="70" t="b">
        <f>+IF((PROVEEDORES[[#This Row],[FECHA DE PAGO]]-PROVEEDORES[[#This Row],[FECHA DE FACTURACIÓN]])&gt;PROVEEDORES[[#This Row],[PLAZO Días]],"PAGO VENCIDO")</f>
        <v>0</v>
      </c>
      <c r="C278" s="27">
        <f>+VLOOKUP(PROVEEDORES[[#This Row],[PROVEEDOR]],TERCEROS_INFO[#All],2,FALSE)</f>
        <v>30</v>
      </c>
      <c r="D278" s="37">
        <f>+SUMIFS(PROVEEDORES[Total],PROVEEDORES[PROVEEDOR],PROVEEDORES[[#This Row],[PROVEEDOR]],PROVEEDORES[FECHA DE PAGO],"")</f>
        <v>0</v>
      </c>
      <c r="E278" s="37"/>
      <c r="F278" s="108">
        <f>+VLOOKUP(PROVEEDORES[[#This Row],[PROVEEDOR]],TERCEROS_INFO[[PROVEEDOR]:[CORREO]],5,FALSE)</f>
        <v>0</v>
      </c>
      <c r="G278" s="143">
        <v>44453</v>
      </c>
      <c r="H278" s="38" t="s">
        <v>835</v>
      </c>
      <c r="I278" s="30">
        <v>44440</v>
      </c>
      <c r="J278" s="58" t="s">
        <v>1233</v>
      </c>
      <c r="K278" s="32">
        <f>155750.5/2</f>
        <v>77875.25</v>
      </c>
      <c r="L278" s="32"/>
      <c r="M278" s="33">
        <f>(PROVEEDORES[[#This Row],[SUBTOTAL]]-PROVEEDORES[[#This Row],[descuento antes de IVA]])*VLOOKUP(PROVEEDORES[[#This Row],[PROVEEDOR]],TERCEROS_INFO[#All],3,FALSE)</f>
        <v>0</v>
      </c>
      <c r="N278" s="34"/>
      <c r="O278" s="33">
        <f>+PROVEEDORES[[#This Row],[Descuento sobre subtotal %]]*(PROVEEDORES[[#This Row],[SUBTOTAL]]-PROVEEDORES[[#This Row],[descuento antes de IVA]])</f>
        <v>0</v>
      </c>
      <c r="P2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8" s="33">
        <f>+(PROVEEDORES[[#This Row],[SUBTOTAL]]-PROVEEDORES[[#This Row],[descuento antes de IVA]])*PROVEEDORES[[#This Row],[Rete Fuente %]]</f>
        <v>0</v>
      </c>
      <c r="R278" s="32">
        <f>+PROVEEDORES[[#This Row],[SUBTOTAL]]+PROVEEDORES[[#This Row],[IVA 19%]]-PROVEEDORES[[#This Row],[descuento antes de IVA]]-PROVEEDORES[[#This Row],[Descuento sobre subtotal $]]-PROVEEDORES[[#This Row],[Rete Fuente $]]</f>
        <v>77875.25</v>
      </c>
      <c r="S278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8" s="40"/>
      <c r="U278" s="97"/>
      <c r="V278" s="36"/>
      <c r="W278" s="36"/>
      <c r="X278" s="36"/>
      <c r="Y278" s="36"/>
      <c r="Z278" s="41"/>
      <c r="AA278" s="42"/>
      <c r="AF278" s="36"/>
      <c r="AG278" s="36"/>
    </row>
    <row r="279" spans="1:33" ht="21.95" hidden="1" customHeight="1" x14ac:dyDescent="0.25">
      <c r="A279" s="39" t="str">
        <f>+IF(PROVEEDORES[[#This Row],[FECHA DE PAGO]]=PROVEEDORES[[#This Row],[FECHA DE FACTURACIÓN]],"DE CONTADO","CRÉDITO")</f>
        <v>CRÉDITO</v>
      </c>
      <c r="B279" s="67" t="str">
        <f>+IF((PROVEEDORES[[#This Row],[FECHA DE PAGO]]-PROVEEDORES[[#This Row],[FECHA DE FACTURACIÓN]])&gt;PROVEEDORES[[#This Row],[PLAZO Días]],"PAGO VENCIDO")</f>
        <v>PAGO VENCIDO</v>
      </c>
      <c r="C279" s="27">
        <f>+VLOOKUP(PROVEEDORES[[#This Row],[PROVEEDOR]],TERCEROS_INFO[#All],2,FALSE)</f>
        <v>30</v>
      </c>
      <c r="D279" s="37">
        <f>+SUMIFS(PROVEEDORES[Total],PROVEEDORES[PROVEEDOR],PROVEEDORES[[#This Row],[PROVEEDOR]],PROVEEDORES[FECHA DE PAGO],"")</f>
        <v>2365000</v>
      </c>
      <c r="E279" s="37"/>
      <c r="F279" s="108" t="str">
        <f>+VLOOKUP(PROVEEDORES[[#This Row],[PROVEEDOR]],TERCEROS_INFO[[PROVEEDOR]:[CORREO]],5,FALSE)</f>
        <v>jarlysas@gmail.com;o.clockinternational@gmail.com;girlesa.ruiz@servipilas.com;joriescobar64@gmail.com</v>
      </c>
      <c r="G279" s="143">
        <v>44146</v>
      </c>
      <c r="H279" s="38" t="s">
        <v>500</v>
      </c>
      <c r="I279" s="30">
        <v>43879</v>
      </c>
      <c r="J279" s="58" t="s">
        <v>1050</v>
      </c>
      <c r="K279" s="32">
        <v>1812500</v>
      </c>
      <c r="L279" s="32"/>
      <c r="M279" s="33">
        <f>(PROVEEDORES[[#This Row],[SUBTOTAL]]-PROVEEDORES[[#This Row],[descuento antes de IVA]])*VLOOKUP(PROVEEDORES[[#This Row],[PROVEEDOR]],TERCEROS_INFO[#All],3,FALSE)</f>
        <v>0</v>
      </c>
      <c r="N279" s="34"/>
      <c r="O279" s="33">
        <f>+PROVEEDORES[[#This Row],[Descuento sobre subtotal %]]*(PROVEEDORES[[#This Row],[SUBTOTAL]]-PROVEEDORES[[#This Row],[descuento antes de IVA]])</f>
        <v>0</v>
      </c>
      <c r="P2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79" s="33">
        <f>+(PROVEEDORES[[#This Row],[SUBTOTAL]]-PROVEEDORES[[#This Row],[descuento antes de IVA]])*PROVEEDORES[[#This Row],[Rete Fuente %]]</f>
        <v>0</v>
      </c>
      <c r="R279" s="32">
        <f>+PROVEEDORES[[#This Row],[SUBTOTAL]]+PROVEEDORES[[#This Row],[IVA 19%]]-PROVEEDORES[[#This Row],[descuento antes de IVA]]-PROVEEDORES[[#This Row],[Descuento sobre subtotal $]]-PROVEEDORES[[#This Row],[Rete Fuente $]]</f>
        <v>1812500</v>
      </c>
      <c r="S27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9" s="40"/>
      <c r="U279" s="97"/>
      <c r="V279" s="36"/>
      <c r="W279" s="36"/>
      <c r="X279" s="36"/>
      <c r="Y279" s="36"/>
      <c r="Z279" s="41"/>
      <c r="AA279" s="42"/>
      <c r="AF279" s="36"/>
      <c r="AG279" s="36"/>
    </row>
    <row r="280" spans="1:33" ht="21.95" hidden="1" customHeight="1" x14ac:dyDescent="0.25">
      <c r="A280" s="39" t="str">
        <f>+IF(PROVEEDORES[[#This Row],[FECHA DE PAGO]]=PROVEEDORES[[#This Row],[FECHA DE FACTURACIÓN]],"DE CONTADO","CRÉDITO")</f>
        <v>CRÉDITO</v>
      </c>
      <c r="B280" s="67" t="str">
        <f>+IF((PROVEEDORES[[#This Row],[FECHA DE PAGO]]-PROVEEDORES[[#This Row],[FECHA DE FACTURACIÓN]])&gt;PROVEEDORES[[#This Row],[PLAZO Días]],"PAGO VENCIDO")</f>
        <v>PAGO VENCIDO</v>
      </c>
      <c r="C280" s="27">
        <f>+VLOOKUP(PROVEEDORES[[#This Row],[PROVEEDOR]],TERCEROS_INFO[#All],2,FALSE)</f>
        <v>30</v>
      </c>
      <c r="D280" s="37">
        <f>+SUMIFS(PROVEEDORES[Total],PROVEEDORES[PROVEEDOR],PROVEEDORES[[#This Row],[PROVEEDOR]],PROVEEDORES[FECHA DE PAGO],"")</f>
        <v>2365000</v>
      </c>
      <c r="E280" s="37"/>
      <c r="F280" s="108" t="str">
        <f>+VLOOKUP(PROVEEDORES[[#This Row],[PROVEEDOR]],TERCEROS_INFO[[PROVEEDOR]:[CORREO]],5,FALSE)</f>
        <v>jarlysas@gmail.com;o.clockinternational@gmail.com;girlesa.ruiz@servipilas.com;joriescobar64@gmail.com</v>
      </c>
      <c r="G280" s="143">
        <v>44007</v>
      </c>
      <c r="H280" s="38" t="s">
        <v>500</v>
      </c>
      <c r="I280" s="30">
        <v>43880</v>
      </c>
      <c r="J280" s="58">
        <v>5683</v>
      </c>
      <c r="K280" s="32">
        <v>1650800</v>
      </c>
      <c r="L280" s="32"/>
      <c r="M280" s="33">
        <f>(PROVEEDORES[[#This Row],[SUBTOTAL]]-PROVEEDORES[[#This Row],[descuento antes de IVA]])*VLOOKUP(PROVEEDORES[[#This Row],[PROVEEDOR]],TERCEROS_INFO[#All],3,FALSE)</f>
        <v>0</v>
      </c>
      <c r="N280" s="34"/>
      <c r="O280" s="33">
        <f>+PROVEEDORES[[#This Row],[Descuento sobre subtotal %]]*(PROVEEDORES[[#This Row],[SUBTOTAL]]-PROVEEDORES[[#This Row],[descuento antes de IVA]])</f>
        <v>0</v>
      </c>
      <c r="P2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0" s="33">
        <f>+(PROVEEDORES[[#This Row],[SUBTOTAL]]-PROVEEDORES[[#This Row],[descuento antes de IVA]])*PROVEEDORES[[#This Row],[Rete Fuente %]]</f>
        <v>0</v>
      </c>
      <c r="R280" s="32">
        <f>+PROVEEDORES[[#This Row],[SUBTOTAL]]+PROVEEDORES[[#This Row],[IVA 19%]]-PROVEEDORES[[#This Row],[descuento antes de IVA]]-PROVEEDORES[[#This Row],[Descuento sobre subtotal $]]-PROVEEDORES[[#This Row],[Rete Fuente $]]</f>
        <v>1650800</v>
      </c>
      <c r="S28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0" s="40"/>
      <c r="U280" s="97"/>
      <c r="V280" s="36"/>
      <c r="W280" s="36"/>
      <c r="X280" s="36"/>
      <c r="Y280" s="36"/>
      <c r="Z280" s="41"/>
      <c r="AA280" s="42"/>
      <c r="AF280" s="36"/>
      <c r="AG280" s="36"/>
    </row>
    <row r="281" spans="1:33" ht="21.95" hidden="1" customHeight="1" x14ac:dyDescent="0.25">
      <c r="A281" s="39" t="str">
        <f>+IF(PROVEEDORES[[#This Row],[FECHA DE PAGO]]=PROVEEDORES[[#This Row],[FECHA DE FACTURACIÓN]],"DE CONTADO","CRÉDITO")</f>
        <v>CRÉDITO</v>
      </c>
      <c r="B281" s="67" t="str">
        <f>+IF((PROVEEDORES[[#This Row],[FECHA DE PAGO]]-PROVEEDORES[[#This Row],[FECHA DE FACTURACIÓN]])&gt;PROVEEDORES[[#This Row],[PLAZO Días]],"PAGO VENCIDO")</f>
        <v>PAGO VENCIDO</v>
      </c>
      <c r="C281" s="27">
        <f>+VLOOKUP(PROVEEDORES[[#This Row],[PROVEEDOR]],TERCEROS_INFO[#All],2,FALSE)</f>
        <v>30</v>
      </c>
      <c r="D281" s="37">
        <f>+SUMIFS(PROVEEDORES[Total],PROVEEDORES[PROVEEDOR],PROVEEDORES[[#This Row],[PROVEEDOR]],PROVEEDORES[FECHA DE PAGO],"")</f>
        <v>2365000</v>
      </c>
      <c r="E281" s="37" t="s">
        <v>502</v>
      </c>
      <c r="F281" s="108" t="str">
        <f>+VLOOKUP(PROVEEDORES[[#This Row],[PROVEEDOR]],TERCEROS_INFO[[PROVEEDOR]:[CORREO]],5,FALSE)</f>
        <v>jarlysas@gmail.com;o.clockinternational@gmail.com;girlesa.ruiz@servipilas.com;joriescobar64@gmail.com</v>
      </c>
      <c r="G281" s="143">
        <v>44414</v>
      </c>
      <c r="H281" s="38" t="s">
        <v>500</v>
      </c>
      <c r="I281" s="30">
        <v>44196</v>
      </c>
      <c r="J281" s="58" t="s">
        <v>1095</v>
      </c>
      <c r="K281" s="32">
        <v>-510000.68</v>
      </c>
      <c r="L281" s="32"/>
      <c r="M281" s="33">
        <v>0</v>
      </c>
      <c r="N281" s="34"/>
      <c r="O281" s="33">
        <f>+PROVEEDORES[[#This Row],[Descuento sobre subtotal %]]*(PROVEEDORES[[#This Row],[SUBTOTAL]]-PROVEEDORES[[#This Row],[descuento antes de IVA]])</f>
        <v>0</v>
      </c>
      <c r="P2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1" s="33">
        <f>+(PROVEEDORES[[#This Row],[SUBTOTAL]]-PROVEEDORES[[#This Row],[descuento antes de IVA]])*PROVEEDORES[[#This Row],[Rete Fuente %]]</f>
        <v>0</v>
      </c>
      <c r="R281" s="32">
        <v>-510000.68</v>
      </c>
      <c r="S28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1" s="40"/>
      <c r="U281" s="97"/>
      <c r="V281" s="36"/>
      <c r="W281" s="36"/>
      <c r="X281" s="36"/>
      <c r="Y281" s="36"/>
      <c r="Z281" s="41"/>
      <c r="AA281" s="42"/>
      <c r="AF281" s="36"/>
      <c r="AG281" s="36"/>
    </row>
    <row r="282" spans="1:33" ht="21.95" hidden="1" customHeight="1" x14ac:dyDescent="0.25">
      <c r="A282" s="88" t="str">
        <f>+IF(PROVEEDORES[[#This Row],[FECHA DE PAGO]]=PROVEEDORES[[#This Row],[FECHA DE FACTURACIÓN]],"DE CONTADO","CRÉDITO")</f>
        <v>CRÉDITO</v>
      </c>
      <c r="B282" s="70" t="b">
        <f>+IF((PROVEEDORES[[#This Row],[FECHA DE PAGO]]-PROVEEDORES[[#This Row],[FECHA DE FACTURACIÓN]])&gt;PROVEEDORES[[#This Row],[PLAZO Días]],"PAGO VENCIDO")</f>
        <v>0</v>
      </c>
      <c r="C282" s="27">
        <f>+VLOOKUP(PROVEEDORES[[#This Row],[PROVEEDOR]],TERCEROS_INFO[#All],2,FALSE)</f>
        <v>30</v>
      </c>
      <c r="D282" s="37">
        <f>+SUMIFS(PROVEEDORES[Total],PROVEEDORES[PROVEEDOR],PROVEEDORES[[#This Row],[PROVEEDOR]],PROVEEDORES[FECHA DE PAGO],"")</f>
        <v>2365000</v>
      </c>
      <c r="E282" s="37"/>
      <c r="F282" s="108" t="str">
        <f>+VLOOKUP(PROVEEDORES[[#This Row],[PROVEEDOR]],TERCEROS_INFO[[PROVEEDOR]:[CORREO]],5,FALSE)</f>
        <v>jarlysas@gmail.com;o.clockinternational@gmail.com;girlesa.ruiz@servipilas.com;joriescobar64@gmail.com</v>
      </c>
      <c r="G282" s="143">
        <v>44243</v>
      </c>
      <c r="H282" s="38" t="s">
        <v>500</v>
      </c>
      <c r="I282" s="30">
        <v>44228</v>
      </c>
      <c r="J282" s="58" t="s">
        <v>493</v>
      </c>
      <c r="K282" s="32">
        <v>714500</v>
      </c>
      <c r="L282" s="32"/>
      <c r="M282" s="33">
        <f>(PROVEEDORES[[#This Row],[SUBTOTAL]]-PROVEEDORES[[#This Row],[descuento antes de IVA]])*VLOOKUP(PROVEEDORES[[#This Row],[PROVEEDOR]],TERCEROS_INFO[#All],3,FALSE)</f>
        <v>0</v>
      </c>
      <c r="N282" s="34"/>
      <c r="O282" s="33">
        <f>+PROVEEDORES[[#This Row],[Descuento sobre subtotal %]]*(PROVEEDORES[[#This Row],[SUBTOTAL]]-PROVEEDORES[[#This Row],[descuento antes de IVA]])</f>
        <v>0</v>
      </c>
      <c r="P2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2" s="33">
        <f>+(PROVEEDORES[[#This Row],[SUBTOTAL]]-PROVEEDORES[[#This Row],[descuento antes de IVA]])*PROVEEDORES[[#This Row],[Rete Fuente %]]</f>
        <v>0</v>
      </c>
      <c r="R282" s="32">
        <f>+PROVEEDORES[[#This Row],[SUBTOTAL]]+PROVEEDORES[[#This Row],[IVA 19%]]-PROVEEDORES[[#This Row],[descuento antes de IVA]]-PROVEEDORES[[#This Row],[Descuento sobre subtotal $]]-PROVEEDORES[[#This Row],[Rete Fuente $]]</f>
        <v>714500</v>
      </c>
      <c r="S28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2" s="40"/>
      <c r="U282" s="97"/>
      <c r="V282" s="36"/>
      <c r="W282" s="36"/>
      <c r="X282" s="36"/>
      <c r="Y282" s="36"/>
      <c r="Z282" s="41"/>
      <c r="AA282" s="42"/>
      <c r="AF282" s="36"/>
      <c r="AG282" s="36"/>
    </row>
    <row r="283" spans="1:33" ht="21.95" hidden="1" customHeight="1" x14ac:dyDescent="0.25">
      <c r="A283" s="127" t="str">
        <f>+IF(PROVEEDORES[[#This Row],[FECHA DE PAGO]]=PROVEEDORES[[#This Row],[FECHA DE FACTURACIÓN]],"DE CONTADO","CRÉDITO")</f>
        <v>CRÉDITO</v>
      </c>
      <c r="B283" s="70" t="str">
        <f>+IF((PROVEEDORES[[#This Row],[FECHA DE PAGO]]-PROVEEDORES[[#This Row],[FECHA DE FACTURACIÓN]])&gt;PROVEEDORES[[#This Row],[PLAZO Días]],"PAGO VENCIDO")</f>
        <v>PAGO VENCIDO</v>
      </c>
      <c r="C283" s="27">
        <f>+VLOOKUP(PROVEEDORES[[#This Row],[PROVEEDOR]],TERCEROS_INFO[#All],2,FALSE)</f>
        <v>30</v>
      </c>
      <c r="D283" s="37">
        <f>+SUMIFS(PROVEEDORES[Total],PROVEEDORES[PROVEEDOR],PROVEEDORES[[#This Row],[PROVEEDOR]],PROVEEDORES[FECHA DE PAGO],"")</f>
        <v>2365000</v>
      </c>
      <c r="E283" s="37"/>
      <c r="F283" s="108" t="str">
        <f>+VLOOKUP(PROVEEDORES[[#This Row],[PROVEEDOR]],TERCEROS_INFO[[PROVEEDOR]:[CORREO]],5,FALSE)</f>
        <v>jarlysas@gmail.com;o.clockinternational@gmail.com;girlesa.ruiz@servipilas.com;joriescobar64@gmail.com</v>
      </c>
      <c r="G283" s="143">
        <v>44414</v>
      </c>
      <c r="H283" s="38" t="s">
        <v>500</v>
      </c>
      <c r="I283" s="30">
        <v>44365</v>
      </c>
      <c r="J283" s="58" t="s">
        <v>1160</v>
      </c>
      <c r="K283" s="32">
        <v>4333600</v>
      </c>
      <c r="L283" s="32"/>
      <c r="M283" s="33">
        <f>(PROVEEDORES[[#This Row],[SUBTOTAL]]-PROVEEDORES[[#This Row],[descuento antes de IVA]])*VLOOKUP(PROVEEDORES[[#This Row],[PROVEEDOR]],TERCEROS_INFO[#All],3,FALSE)</f>
        <v>0</v>
      </c>
      <c r="N283" s="34"/>
      <c r="O283" s="33">
        <v>384399</v>
      </c>
      <c r="P2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3" s="33">
        <f>+(PROVEEDORES[[#This Row],[SUBTOTAL]]-PROVEEDORES[[#This Row],[descuento antes de IVA]])*PROVEEDORES[[#This Row],[Rete Fuente %]]</f>
        <v>0</v>
      </c>
      <c r="R283" s="32">
        <f>+PROVEEDORES[[#This Row],[SUBTOTAL]]+PROVEEDORES[[#This Row],[IVA 19%]]-PROVEEDORES[[#This Row],[descuento antes de IVA]]-PROVEEDORES[[#This Row],[Descuento sobre subtotal $]]-PROVEEDORES[[#This Row],[Rete Fuente $]]</f>
        <v>3949201</v>
      </c>
      <c r="S283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3" s="40"/>
      <c r="U283" s="97"/>
      <c r="V283" s="36"/>
      <c r="W283" s="36"/>
      <c r="X283" s="36"/>
      <c r="Y283" s="36"/>
      <c r="Z283" s="41"/>
      <c r="AA283" s="42"/>
      <c r="AF283" s="36"/>
      <c r="AG283" s="36"/>
    </row>
    <row r="284" spans="1:33" ht="21.95" hidden="1" customHeight="1" x14ac:dyDescent="0.25">
      <c r="A284" s="138" t="str">
        <f>+IF(PROVEEDORES[[#This Row],[FECHA DE PAGO]]=PROVEEDORES[[#This Row],[FECHA DE FACTURACIÓN]],"DE CONTADO","CRÉDITO")</f>
        <v>CRÉDITO</v>
      </c>
      <c r="B284" s="70" t="b">
        <f>+IF((PROVEEDORES[[#This Row],[FECHA DE PAGO]]-PROVEEDORES[[#This Row],[FECHA DE FACTURACIÓN]])&gt;PROVEEDORES[[#This Row],[PLAZO Días]],"PAGO VENCIDO")</f>
        <v>0</v>
      </c>
      <c r="C284" s="27">
        <f>+VLOOKUP(PROVEEDORES[[#This Row],[PROVEEDOR]],TERCEROS_INFO[#All],2,FALSE)</f>
        <v>30</v>
      </c>
      <c r="D284" s="37">
        <f>+SUMIFS(PROVEEDORES[Total],PROVEEDORES[PROVEEDOR],PROVEEDORES[[#This Row],[PROVEEDOR]],PROVEEDORES[FECHA DE PAGO],"")</f>
        <v>2365000</v>
      </c>
      <c r="E284" s="112"/>
      <c r="F284" s="108" t="str">
        <f>+VLOOKUP(PROVEEDORES[[#This Row],[PROVEEDOR]],TERCEROS_INFO[[PROVEEDOR]:[CORREO]],5,FALSE)</f>
        <v>jarlysas@gmail.com;o.clockinternational@gmail.com;girlesa.ruiz@servipilas.com;joriescobar64@gmail.com</v>
      </c>
      <c r="G284" s="143">
        <v>44414</v>
      </c>
      <c r="H284" s="38" t="s">
        <v>500</v>
      </c>
      <c r="I284" s="30">
        <v>44411</v>
      </c>
      <c r="J284" s="58" t="s">
        <v>1202</v>
      </c>
      <c r="K284" s="32">
        <v>213600</v>
      </c>
      <c r="L284" s="32"/>
      <c r="M284" s="33">
        <f>(PROVEEDORES[[#This Row],[SUBTOTAL]]-PROVEEDORES[[#This Row],[descuento antes de IVA]])*VLOOKUP(PROVEEDORES[[#This Row],[PROVEEDOR]],TERCEROS_INFO[#All],3,FALSE)</f>
        <v>0</v>
      </c>
      <c r="N284" s="34"/>
      <c r="O284" s="33">
        <v>18800</v>
      </c>
      <c r="P2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4" s="33">
        <f>+(PROVEEDORES[[#This Row],[SUBTOTAL]]-PROVEEDORES[[#This Row],[descuento antes de IVA]])*PROVEEDORES[[#This Row],[Rete Fuente %]]</f>
        <v>0</v>
      </c>
      <c r="R284" s="32">
        <f>+PROVEEDORES[[#This Row],[SUBTOTAL]]+PROVEEDORES[[#This Row],[IVA 19%]]-PROVEEDORES[[#This Row],[descuento antes de IVA]]-PROVEEDORES[[#This Row],[Descuento sobre subtotal $]]-PROVEEDORES[[#This Row],[Rete Fuente $]]</f>
        <v>194800</v>
      </c>
      <c r="S284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4" s="40"/>
      <c r="U284" s="97"/>
      <c r="V284" s="36"/>
      <c r="W284" s="36"/>
      <c r="X284" s="36"/>
      <c r="Y284" s="36"/>
      <c r="Z284" s="41"/>
      <c r="AA284" s="42"/>
      <c r="AF284" s="36"/>
      <c r="AG284" s="36"/>
    </row>
    <row r="285" spans="1:33" ht="21.95" hidden="1" customHeight="1" x14ac:dyDescent="0.25">
      <c r="A285" s="142" t="str">
        <f>+IF(PROVEEDORES[[#This Row],[FECHA DE PAGO]]=PROVEEDORES[[#This Row],[FECHA DE FACTURACIÓN]],"DE CONTADO","CRÉDITO")</f>
        <v>CRÉDITO</v>
      </c>
      <c r="B285" s="70" t="b">
        <f>+IF((PROVEEDORES[[#This Row],[FECHA DE PAGO]]-PROVEEDORES[[#This Row],[FECHA DE FACTURACIÓN]])&gt;PROVEEDORES[[#This Row],[PLAZO Días]],"PAGO VENCIDO")</f>
        <v>0</v>
      </c>
      <c r="C285" s="27">
        <f>+VLOOKUP(PROVEEDORES[[#This Row],[PROVEEDOR]],TERCEROS_INFO[#All],2,FALSE)</f>
        <v>30</v>
      </c>
      <c r="D285" s="37">
        <f>+SUMIFS(PROVEEDORES[Total],PROVEEDORES[PROVEEDOR],PROVEEDORES[[#This Row],[PROVEEDOR]],PROVEEDORES[FECHA DE PAGO],"")</f>
        <v>2365000</v>
      </c>
      <c r="E285" s="37"/>
      <c r="F285" s="108" t="str">
        <f>+VLOOKUP(PROVEEDORES[[#This Row],[PROVEEDOR]],TERCEROS_INFO[[PROVEEDOR]:[CORREO]],5,FALSE)</f>
        <v>jarlysas@gmail.com;o.clockinternational@gmail.com;girlesa.ruiz@servipilas.com;joriescobar64@gmail.com</v>
      </c>
      <c r="G285" s="143">
        <v>44414</v>
      </c>
      <c r="H285" s="38" t="s">
        <v>500</v>
      </c>
      <c r="I285" s="30">
        <v>44425</v>
      </c>
      <c r="J285" s="58" t="s">
        <v>1214</v>
      </c>
      <c r="K285" s="32">
        <v>488000</v>
      </c>
      <c r="L285" s="32"/>
      <c r="M285" s="33">
        <f>(PROVEEDORES[[#This Row],[SUBTOTAL]]-PROVEEDORES[[#This Row],[descuento antes de IVA]])*VLOOKUP(PROVEEDORES[[#This Row],[PROVEEDOR]],TERCEROS_INFO[#All],3,FALSE)</f>
        <v>0</v>
      </c>
      <c r="N285" s="34"/>
      <c r="O285" s="33">
        <f>+PROVEEDORES[[#This Row],[Descuento sobre subtotal %]]*(PROVEEDORES[[#This Row],[SUBTOTAL]]-PROVEEDORES[[#This Row],[descuento antes de IVA]])</f>
        <v>0</v>
      </c>
      <c r="P2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5" s="33">
        <f>+(PROVEEDORES[[#This Row],[SUBTOTAL]]-PROVEEDORES[[#This Row],[descuento antes de IVA]])*PROVEEDORES[[#This Row],[Rete Fuente %]]</f>
        <v>0</v>
      </c>
      <c r="R285" s="32">
        <f>+PROVEEDORES[[#This Row],[SUBTOTAL]]+PROVEEDORES[[#This Row],[IVA 19%]]-PROVEEDORES[[#This Row],[descuento antes de IVA]]-PROVEEDORES[[#This Row],[Descuento sobre subtotal $]]-PROVEEDORES[[#This Row],[Rete Fuente $]]</f>
        <v>488000</v>
      </c>
      <c r="S285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5" s="40"/>
      <c r="U285" s="97"/>
      <c r="V285" s="36"/>
      <c r="W285" s="36"/>
      <c r="X285" s="36"/>
      <c r="Y285" s="36"/>
      <c r="Z285" s="41"/>
      <c r="AA285" s="42"/>
      <c r="AF285" s="36"/>
      <c r="AG285" s="36"/>
    </row>
    <row r="286" spans="1:33" ht="21.95" hidden="1" customHeight="1" x14ac:dyDescent="0.25">
      <c r="A286" s="35" t="str">
        <f>+IF(PROVEEDORES[[#This Row],[FECHA DE PAGO]]=PROVEEDORES[[#This Row],[FECHA DE FACTURACIÓN]],"DE CONTADO","CRÉDITO")</f>
        <v>CRÉDITO</v>
      </c>
      <c r="B286" s="70" t="b">
        <f>+IF((PROVEEDORES[[#This Row],[FECHA DE PAGO]]-PROVEEDORES[[#This Row],[FECHA DE FACTURACIÓN]])&gt;PROVEEDORES[[#This Row],[PLAZO Días]],"PAGO VENCIDO")</f>
        <v>0</v>
      </c>
      <c r="C286" s="27">
        <f>+VLOOKUP(PROVEEDORES[[#This Row],[PROVEEDOR]],TERCEROS_INFO[#All],2,FALSE)</f>
        <v>30</v>
      </c>
      <c r="D286" s="37">
        <f>+SUMIFS(PROVEEDORES[Total],PROVEEDORES[PROVEEDOR],PROVEEDORES[[#This Row],[PROVEEDOR]],PROVEEDORES[FECHA DE PAGO],"")</f>
        <v>2365000</v>
      </c>
      <c r="E286" s="37"/>
      <c r="F286" s="108" t="str">
        <f>+VLOOKUP(PROVEEDORES[[#This Row],[PROVEEDOR]],TERCEROS_INFO[[PROVEEDOR]:[CORREO]],5,FALSE)</f>
        <v>jarlysas@gmail.com;o.clockinternational@gmail.com;girlesa.ruiz@servipilas.com;joriescobar64@gmail.com</v>
      </c>
      <c r="G286" s="143">
        <v>44566</v>
      </c>
      <c r="H286" s="38" t="s">
        <v>500</v>
      </c>
      <c r="I286" s="30">
        <v>44539</v>
      </c>
      <c r="J286" s="58" t="s">
        <v>1019</v>
      </c>
      <c r="K286" s="32">
        <v>9473700</v>
      </c>
      <c r="L286" s="176"/>
      <c r="M286" s="33">
        <f>(PROVEEDORES[[#This Row],[SUBTOTAL]]-PROVEEDORES[[#This Row],[descuento antes de IVA]])*VLOOKUP(PROVEEDORES[[#This Row],[PROVEEDOR]],TERCEROS_INFO[#All],3,FALSE)</f>
        <v>0</v>
      </c>
      <c r="N286" s="34">
        <v>0.09</v>
      </c>
      <c r="O286" s="33">
        <f>+PROVEEDORES[[#This Row],[Descuento sobre subtotal %]]*(PROVEEDORES[[#This Row],[SUBTOTAL]]-PROVEEDORES[[#This Row],[descuento antes de IVA]])</f>
        <v>852633</v>
      </c>
      <c r="P2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6" s="33">
        <f>+(PROVEEDORES[[#This Row],[SUBTOTAL]]-PROVEEDORES[[#This Row],[descuento antes de IVA]])*PROVEEDORES[[#This Row],[Rete Fuente %]]</f>
        <v>0</v>
      </c>
      <c r="R286" s="32">
        <f>+PROVEEDORES[[#This Row],[SUBTOTAL]]+PROVEEDORES[[#This Row],[IVA 19%]]-PROVEEDORES[[#This Row],[descuento antes de IVA]]-PROVEEDORES[[#This Row],[Descuento sobre subtotal $]]-PROVEEDORES[[#This Row],[Rete Fuente $]]</f>
        <v>8621067</v>
      </c>
      <c r="S28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6" s="40"/>
      <c r="U286" s="97"/>
      <c r="V286" s="36"/>
      <c r="W286" s="36"/>
      <c r="X286" s="36"/>
      <c r="Y286" s="36"/>
      <c r="Z286" s="41"/>
      <c r="AA286" s="42"/>
      <c r="AF286" s="36"/>
      <c r="AG286" s="36"/>
    </row>
    <row r="287" spans="1:33" ht="21.95" hidden="1" customHeight="1" x14ac:dyDescent="0.25">
      <c r="A287" s="35" t="str">
        <f>+IF(PROVEEDORES[[#This Row],[FECHA DE PAGO]]=PROVEEDORES[[#This Row],[FECHA DE FACTURACIÓN]],"DE CONTADO","CRÉDITO")</f>
        <v>CRÉDITO</v>
      </c>
      <c r="B287" s="70" t="b">
        <f>+IF((PROVEEDORES[[#This Row],[FECHA DE PAGO]]-PROVEEDORES[[#This Row],[FECHA DE FACTURACIÓN]])&gt;PROVEEDORES[[#This Row],[PLAZO Días]],"PAGO VENCIDO")</f>
        <v>0</v>
      </c>
      <c r="C287" s="27">
        <f>+VLOOKUP(PROVEEDORES[[#This Row],[PROVEEDOR]],TERCEROS_INFO[#All],2,FALSE)</f>
        <v>30</v>
      </c>
      <c r="D287" s="37">
        <f>+SUMIFS(PROVEEDORES[Total],PROVEEDORES[PROVEEDOR],PROVEEDORES[[#This Row],[PROVEEDOR]],PROVEEDORES[FECHA DE PAGO],"")</f>
        <v>2365000</v>
      </c>
      <c r="E287" s="37"/>
      <c r="F287" s="108" t="str">
        <f>+VLOOKUP(PROVEEDORES[[#This Row],[PROVEEDOR]],TERCEROS_INFO[[PROVEEDOR]:[CORREO]],5,FALSE)</f>
        <v>jarlysas@gmail.com;o.clockinternational@gmail.com;girlesa.ruiz@servipilas.com;joriescobar64@gmail.com</v>
      </c>
      <c r="H287" s="38" t="s">
        <v>500</v>
      </c>
      <c r="I287" s="30">
        <v>44545</v>
      </c>
      <c r="J287" s="58" t="s">
        <v>1330</v>
      </c>
      <c r="K287" s="32">
        <v>2365000</v>
      </c>
      <c r="L287" s="32"/>
      <c r="M287" s="33">
        <f>(PROVEEDORES[[#This Row],[SUBTOTAL]]-PROVEEDORES[[#This Row],[descuento antes de IVA]])*VLOOKUP(PROVEEDORES[[#This Row],[PROVEEDOR]],TERCEROS_INFO[#All],3,FALSE)</f>
        <v>0</v>
      </c>
      <c r="N287" s="34"/>
      <c r="O287" s="33">
        <f>+PROVEEDORES[[#This Row],[Descuento sobre subtotal %]]*(PROVEEDORES[[#This Row],[SUBTOTAL]]-PROVEEDORES[[#This Row],[descuento antes de IVA]])</f>
        <v>0</v>
      </c>
      <c r="P2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7" s="33">
        <f>+(PROVEEDORES[[#This Row],[SUBTOTAL]]-PROVEEDORES[[#This Row],[descuento antes de IVA]])*PROVEEDORES[[#This Row],[Rete Fuente %]]</f>
        <v>0</v>
      </c>
      <c r="R287" s="32">
        <f>+PROVEEDORES[[#This Row],[SUBTOTAL]]+PROVEEDORES[[#This Row],[IVA 19%]]-PROVEEDORES[[#This Row],[descuento antes de IVA]]-PROVEEDORES[[#This Row],[Descuento sobre subtotal $]]-PROVEEDORES[[#This Row],[Rete Fuente $]]</f>
        <v>2365000</v>
      </c>
      <c r="S287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287" s="40"/>
      <c r="U287" s="97"/>
      <c r="V287" s="36"/>
      <c r="W287" s="36"/>
      <c r="X287" s="36"/>
      <c r="Y287" s="36"/>
      <c r="Z287" s="41"/>
      <c r="AA287" s="42"/>
      <c r="AF287" s="36"/>
      <c r="AG287" s="36"/>
    </row>
    <row r="288" spans="1:33" ht="21.95" hidden="1" customHeight="1" x14ac:dyDescent="0.25">
      <c r="A288" s="39" t="str">
        <f>+IF(PROVEEDORES[[#This Row],[FECHA DE PAGO]]=PROVEEDORES[[#This Row],[FECHA DE FACTURACIÓN]],"DE CONTADO","CRÉDITO")</f>
        <v>CRÉDITO</v>
      </c>
      <c r="B288" s="67" t="str">
        <f>+IF((PROVEEDORES[[#This Row],[FECHA DE PAGO]]-PROVEEDORES[[#This Row],[FECHA DE FACTURACIÓN]])&gt;PROVEEDORES[[#This Row],[PLAZO Días]],"PAGO VENCIDO")</f>
        <v>PAGO VENCIDO</v>
      </c>
      <c r="C288" s="27">
        <f>+VLOOKUP(PROVEEDORES[[#This Row],[PROVEEDOR]],TERCEROS_INFO[#All],2,FALSE)</f>
        <v>30</v>
      </c>
      <c r="D288" s="37">
        <f>+SUMIFS(PROVEEDORES[Total],PROVEEDORES[PROVEEDOR],PROVEEDORES[[#This Row],[PROVEEDOR]],PROVEEDORES[FECHA DE PAGO],"")</f>
        <v>0</v>
      </c>
      <c r="E288" s="37"/>
      <c r="F288" s="108" t="str">
        <f>+VLOOKUP(PROVEEDORES[[#This Row],[PROVEEDOR]],TERCEROS_INFO[[PROVEEDOR]:[CORREO]],5,FALSE)</f>
        <v/>
      </c>
      <c r="G288" s="143">
        <v>44131</v>
      </c>
      <c r="H288" s="38" t="s">
        <v>315</v>
      </c>
      <c r="I288" s="30">
        <v>44094</v>
      </c>
      <c r="J288" s="58">
        <v>2914</v>
      </c>
      <c r="K288" s="32">
        <v>1200000</v>
      </c>
      <c r="L288" s="32"/>
      <c r="M288" s="33">
        <f>(PROVEEDORES[[#This Row],[SUBTOTAL]]-PROVEEDORES[[#This Row],[descuento antes de IVA]])*VLOOKUP(PROVEEDORES[[#This Row],[PROVEEDOR]],TERCEROS_INFO[#All],3,FALSE)</f>
        <v>0</v>
      </c>
      <c r="N288" s="34"/>
      <c r="O288" s="33">
        <f>+PROVEEDORES[[#This Row],[Descuento sobre subtotal %]]*(PROVEEDORES[[#This Row],[SUBTOTAL]]-PROVEEDORES[[#This Row],[descuento antes de IVA]])</f>
        <v>0</v>
      </c>
      <c r="P2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8" s="33">
        <f>+(PROVEEDORES[[#This Row],[SUBTOTAL]]-PROVEEDORES[[#This Row],[descuento antes de IVA]])*PROVEEDORES[[#This Row],[Rete Fuente %]]</f>
        <v>0</v>
      </c>
      <c r="R288" s="32">
        <f>+PROVEEDORES[[#This Row],[SUBTOTAL]]+PROVEEDORES[[#This Row],[IVA 19%]]-PROVEEDORES[[#This Row],[descuento antes de IVA]]-PROVEEDORES[[#This Row],[Descuento sobre subtotal $]]-PROVEEDORES[[#This Row],[Rete Fuente $]]</f>
        <v>1200000</v>
      </c>
      <c r="S28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8" s="40"/>
      <c r="U288" s="97"/>
      <c r="V288" s="36"/>
      <c r="W288" s="36"/>
      <c r="X288" s="36"/>
      <c r="Y288" s="36"/>
      <c r="Z288" s="41"/>
      <c r="AA288" s="42"/>
      <c r="AF288" s="36"/>
      <c r="AG288" s="36"/>
    </row>
    <row r="289" spans="1:33" ht="21.95" hidden="1" customHeight="1" x14ac:dyDescent="0.25">
      <c r="A289" s="39" t="str">
        <f>+IF(PROVEEDORES[[#This Row],[FECHA DE PAGO]]=PROVEEDORES[[#This Row],[FECHA DE FACTURACIÓN]],"DE CONTADO","CRÉDITO")</f>
        <v>CRÉDITO</v>
      </c>
      <c r="B289" s="67" t="str">
        <f>+IF((PROVEEDORES[[#This Row],[FECHA DE PAGO]]-PROVEEDORES[[#This Row],[FECHA DE FACTURACIÓN]])&gt;PROVEEDORES[[#This Row],[PLAZO Días]],"PAGO VENCIDO")</f>
        <v>PAGO VENCIDO</v>
      </c>
      <c r="C289" s="27">
        <f>+VLOOKUP(PROVEEDORES[[#This Row],[PROVEEDOR]],TERCEROS_INFO[#All],2,FALSE)</f>
        <v>30</v>
      </c>
      <c r="D289" s="37">
        <f>+SUMIFS(PROVEEDORES[Total],PROVEEDORES[PROVEEDOR],PROVEEDORES[[#This Row],[PROVEEDOR]],PROVEEDORES[FECHA DE PAGO],"")</f>
        <v>11370000</v>
      </c>
      <c r="E289" s="37" t="s">
        <v>339</v>
      </c>
      <c r="F289" s="108" t="str">
        <f>+VLOOKUP(PROVEEDORES[[#This Row],[PROVEEDOR]],TERCEROS_INFO[[PROVEEDOR]:[CORREO]],5,FALSE)</f>
        <v/>
      </c>
      <c r="G289" s="143">
        <v>44008</v>
      </c>
      <c r="H289" s="38" t="s">
        <v>270</v>
      </c>
      <c r="I289" s="30">
        <v>43875</v>
      </c>
      <c r="J289" s="58" t="s">
        <v>1047</v>
      </c>
      <c r="K289" s="32">
        <v>577000</v>
      </c>
      <c r="L289" s="32"/>
      <c r="M289" s="33">
        <f>(PROVEEDORES[[#This Row],[SUBTOTAL]]-PROVEEDORES[[#This Row],[descuento antes de IVA]])*VLOOKUP(PROVEEDORES[[#This Row],[PROVEEDOR]],TERCEROS_INFO[#All],3,FALSE)</f>
        <v>0</v>
      </c>
      <c r="N289" s="34"/>
      <c r="O289" s="33">
        <f>+PROVEEDORES[[#This Row],[Descuento sobre subtotal %]]*(PROVEEDORES[[#This Row],[SUBTOTAL]]-PROVEEDORES[[#This Row],[descuento antes de IVA]])</f>
        <v>0</v>
      </c>
      <c r="P2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89" s="33">
        <f>+(PROVEEDORES[[#This Row],[SUBTOTAL]]-PROVEEDORES[[#This Row],[descuento antes de IVA]])*PROVEEDORES[[#This Row],[Rete Fuente %]]</f>
        <v>0</v>
      </c>
      <c r="R289" s="32">
        <f>+PROVEEDORES[[#This Row],[SUBTOTAL]]+PROVEEDORES[[#This Row],[IVA 19%]]-PROVEEDORES[[#This Row],[descuento antes de IVA]]-PROVEEDORES[[#This Row],[Descuento sobre subtotal $]]-PROVEEDORES[[#This Row],[Rete Fuente $]]</f>
        <v>577000</v>
      </c>
      <c r="S2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9" s="40"/>
      <c r="U289" s="97"/>
      <c r="V289" s="36"/>
      <c r="W289" s="36"/>
      <c r="X289" s="36"/>
      <c r="Y289" s="36"/>
      <c r="Z289" s="41"/>
      <c r="AA289" s="42"/>
      <c r="AF289" s="36"/>
      <c r="AG289" s="36"/>
    </row>
    <row r="290" spans="1:33" ht="21.95" hidden="1" customHeight="1" x14ac:dyDescent="0.25">
      <c r="A290" s="39" t="str">
        <f>+IF(PROVEEDORES[[#This Row],[FECHA DE PAGO]]=PROVEEDORES[[#This Row],[FECHA DE FACTURACIÓN]],"DE CONTADO","CRÉDITO")</f>
        <v>CRÉDITO</v>
      </c>
      <c r="B290" s="67" t="str">
        <f>+IF((PROVEEDORES[[#This Row],[FECHA DE PAGO]]-PROVEEDORES[[#This Row],[FECHA DE FACTURACIÓN]])&gt;PROVEEDORES[[#This Row],[PLAZO Días]],"PAGO VENCIDO")</f>
        <v>PAGO VENCIDO</v>
      </c>
      <c r="C290" s="27">
        <f>+VLOOKUP(PROVEEDORES[[#This Row],[PROVEEDOR]],TERCEROS_INFO[#All],2,FALSE)</f>
        <v>30</v>
      </c>
      <c r="D290" s="37">
        <f>+SUMIFS(PROVEEDORES[Total],PROVEEDORES[PROVEEDOR],PROVEEDORES[[#This Row],[PROVEEDOR]],PROVEEDORES[FECHA DE PAGO],"")</f>
        <v>11370000</v>
      </c>
      <c r="E290" s="37" t="s">
        <v>339</v>
      </c>
      <c r="F290" s="108" t="str">
        <f>+VLOOKUP(PROVEEDORES[[#This Row],[PROVEEDOR]],TERCEROS_INFO[[PROVEEDOR]:[CORREO]],5,FALSE)</f>
        <v/>
      </c>
      <c r="G290" s="143">
        <v>44081</v>
      </c>
      <c r="H290" s="38" t="s">
        <v>270</v>
      </c>
      <c r="I290" s="30">
        <v>43896</v>
      </c>
      <c r="J290" s="58" t="s">
        <v>1060</v>
      </c>
      <c r="K290" s="32">
        <v>2530000</v>
      </c>
      <c r="L290" s="32"/>
      <c r="M290" s="33">
        <f>(PROVEEDORES[[#This Row],[SUBTOTAL]]-PROVEEDORES[[#This Row],[descuento antes de IVA]])*VLOOKUP(PROVEEDORES[[#This Row],[PROVEEDOR]],TERCEROS_INFO[#All],3,FALSE)</f>
        <v>0</v>
      </c>
      <c r="N290" s="34"/>
      <c r="O290" s="33">
        <f>+PROVEEDORES[[#This Row],[Descuento sobre subtotal %]]*(PROVEEDORES[[#This Row],[SUBTOTAL]]-PROVEEDORES[[#This Row],[descuento antes de IVA]])</f>
        <v>0</v>
      </c>
      <c r="P2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0" s="33">
        <f>+(PROVEEDORES[[#This Row],[SUBTOTAL]]-PROVEEDORES[[#This Row],[descuento antes de IVA]])*PROVEEDORES[[#This Row],[Rete Fuente %]]</f>
        <v>0</v>
      </c>
      <c r="R290" s="32">
        <f>+PROVEEDORES[[#This Row],[SUBTOTAL]]+PROVEEDORES[[#This Row],[IVA 19%]]-PROVEEDORES[[#This Row],[descuento antes de IVA]]-PROVEEDORES[[#This Row],[Descuento sobre subtotal $]]-PROVEEDORES[[#This Row],[Rete Fuente $]]</f>
        <v>2530000</v>
      </c>
      <c r="S29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0" s="40"/>
      <c r="U290" s="97"/>
      <c r="V290" s="36"/>
      <c r="W290" s="36"/>
      <c r="X290" s="36"/>
      <c r="Y290" s="36"/>
      <c r="Z290" s="41"/>
      <c r="AA290" s="42"/>
      <c r="AF290" s="36"/>
      <c r="AG290" s="36"/>
    </row>
    <row r="291" spans="1:33" ht="21.95" hidden="1" customHeight="1" x14ac:dyDescent="0.25">
      <c r="A291" s="35" t="str">
        <f>+IF(PROVEEDORES[[#This Row],[FECHA DE PAGO]]=PROVEEDORES[[#This Row],[FECHA DE FACTURACIÓN]],"DE CONTADO","CRÉDITO")</f>
        <v>CRÉDITO</v>
      </c>
      <c r="B291" s="70" t="str">
        <f>+IF((PROVEEDORES[[#This Row],[FECHA DE PAGO]]-PROVEEDORES[[#This Row],[FECHA DE FACTURACIÓN]])&gt;PROVEEDORES[[#This Row],[PLAZO Días]],"PAGO VENCIDO")</f>
        <v>PAGO VENCIDO</v>
      </c>
      <c r="C291" s="27">
        <f>+VLOOKUP(PROVEEDORES[[#This Row],[PROVEEDOR]],TERCEROS_INFO[#All],2,FALSE)</f>
        <v>30</v>
      </c>
      <c r="D291" s="37">
        <f>+SUMIFS(PROVEEDORES[Total],PROVEEDORES[PROVEEDOR],PROVEEDORES[[#This Row],[PROVEEDOR]],PROVEEDORES[FECHA DE PAGO],"")</f>
        <v>11370000</v>
      </c>
      <c r="E291" s="37"/>
      <c r="F291" s="108" t="str">
        <f>+VLOOKUP(PROVEEDORES[[#This Row],[PROVEEDOR]],TERCEROS_INFO[[PROVEEDOR]:[CORREO]],5,FALSE)</f>
        <v/>
      </c>
      <c r="G291" s="143">
        <v>44382</v>
      </c>
      <c r="H291" s="38" t="s">
        <v>270</v>
      </c>
      <c r="I291" s="30">
        <v>44340</v>
      </c>
      <c r="J291" s="58" t="s">
        <v>1140</v>
      </c>
      <c r="K291" s="32">
        <v>2732000</v>
      </c>
      <c r="L291" s="32"/>
      <c r="M291" s="33">
        <f>(PROVEEDORES[[#This Row],[SUBTOTAL]]-PROVEEDORES[[#This Row],[descuento antes de IVA]])*VLOOKUP(PROVEEDORES[[#This Row],[PROVEEDOR]],TERCEROS_INFO[#All],3,FALSE)</f>
        <v>0</v>
      </c>
      <c r="N291" s="34"/>
      <c r="O291" s="33">
        <f>+PROVEEDORES[[#This Row],[Descuento sobre subtotal %]]*(PROVEEDORES[[#This Row],[SUBTOTAL]]-PROVEEDORES[[#This Row],[descuento antes de IVA]])</f>
        <v>0</v>
      </c>
      <c r="P2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1" s="33">
        <f>+(PROVEEDORES[[#This Row],[SUBTOTAL]]-PROVEEDORES[[#This Row],[descuento antes de IVA]])*PROVEEDORES[[#This Row],[Rete Fuente %]]</f>
        <v>0</v>
      </c>
      <c r="R291" s="32">
        <f>+PROVEEDORES[[#This Row],[SUBTOTAL]]+PROVEEDORES[[#This Row],[IVA 19%]]-PROVEEDORES[[#This Row],[descuento antes de IVA]]-PROVEEDORES[[#This Row],[Descuento sobre subtotal $]]-PROVEEDORES[[#This Row],[Rete Fuente $]]</f>
        <v>2732000</v>
      </c>
      <c r="S29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1" s="40"/>
      <c r="U291" s="97"/>
      <c r="V291" s="36"/>
      <c r="W291" s="36"/>
      <c r="X291" s="36"/>
      <c r="Y291" s="36"/>
      <c r="Z291" s="41"/>
      <c r="AA291" s="42"/>
      <c r="AF291" s="36"/>
      <c r="AG291" s="36"/>
    </row>
    <row r="292" spans="1:33" ht="21.95" hidden="1" customHeight="1" x14ac:dyDescent="0.25">
      <c r="A292" s="127" t="str">
        <f>+IF(PROVEEDORES[[#This Row],[FECHA DE PAGO]]=PROVEEDORES[[#This Row],[FECHA DE FACTURACIÓN]],"DE CONTADO","CRÉDITO")</f>
        <v>CRÉDITO</v>
      </c>
      <c r="B292" s="70" t="str">
        <f>+IF((PROVEEDORES[[#This Row],[FECHA DE PAGO]]-PROVEEDORES[[#This Row],[FECHA DE FACTURACIÓN]])&gt;PROVEEDORES[[#This Row],[PLAZO Días]],"PAGO VENCIDO")</f>
        <v>PAGO VENCIDO</v>
      </c>
      <c r="C292" s="27">
        <f>+VLOOKUP(PROVEEDORES[[#This Row],[PROVEEDOR]],TERCEROS_INFO[#All],2,FALSE)</f>
        <v>30</v>
      </c>
      <c r="D292" s="37">
        <f>+SUMIFS(PROVEEDORES[Total],PROVEEDORES[PROVEEDOR],PROVEEDORES[[#This Row],[PROVEEDOR]],PROVEEDORES[FECHA DE PAGO],"")</f>
        <v>11370000</v>
      </c>
      <c r="E292" s="37"/>
      <c r="F292" s="108" t="str">
        <f>+VLOOKUP(PROVEEDORES[[#This Row],[PROVEEDOR]],TERCEROS_INFO[[PROVEEDOR]:[CORREO]],5,FALSE)</f>
        <v/>
      </c>
      <c r="G292" s="143">
        <v>44418</v>
      </c>
      <c r="H292" s="38" t="s">
        <v>270</v>
      </c>
      <c r="I292" s="30">
        <v>44369</v>
      </c>
      <c r="J292" s="58" t="s">
        <v>1168</v>
      </c>
      <c r="K292" s="32">
        <v>3400000</v>
      </c>
      <c r="L292" s="32"/>
      <c r="M292" s="33">
        <f>(PROVEEDORES[[#This Row],[SUBTOTAL]]-PROVEEDORES[[#This Row],[descuento antes de IVA]])*VLOOKUP(PROVEEDORES[[#This Row],[PROVEEDOR]],TERCEROS_INFO[#All],3,FALSE)</f>
        <v>0</v>
      </c>
      <c r="N292" s="34"/>
      <c r="O292" s="33">
        <f>+PROVEEDORES[[#This Row],[Descuento sobre subtotal %]]*(PROVEEDORES[[#This Row],[SUBTOTAL]]-PROVEEDORES[[#This Row],[descuento antes de IVA]])</f>
        <v>0</v>
      </c>
      <c r="P2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2" s="33">
        <f>+(PROVEEDORES[[#This Row],[SUBTOTAL]]-PROVEEDORES[[#This Row],[descuento antes de IVA]])*PROVEEDORES[[#This Row],[Rete Fuente %]]</f>
        <v>0</v>
      </c>
      <c r="R292" s="32">
        <f>+PROVEEDORES[[#This Row],[SUBTOTAL]]+PROVEEDORES[[#This Row],[IVA 19%]]-PROVEEDORES[[#This Row],[descuento antes de IVA]]-PROVEEDORES[[#This Row],[Descuento sobre subtotal $]]-PROVEEDORES[[#This Row],[Rete Fuente $]]</f>
        <v>3400000</v>
      </c>
      <c r="S292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2" s="40"/>
      <c r="U292" s="97"/>
      <c r="V292" s="36"/>
      <c r="W292" s="36"/>
      <c r="X292" s="36"/>
      <c r="Y292" s="36"/>
      <c r="Z292" s="41"/>
      <c r="AA292" s="42"/>
      <c r="AF292" s="36"/>
      <c r="AG292" s="36"/>
    </row>
    <row r="293" spans="1:33" ht="21.95" hidden="1" customHeight="1" x14ac:dyDescent="0.25">
      <c r="A293" s="35" t="str">
        <f>+IF(PROVEEDORES[[#This Row],[FECHA DE PAGO]]=PROVEEDORES[[#This Row],[FECHA DE FACTURACIÓN]],"DE CONTADO","CRÉDITO")</f>
        <v>CRÉDITO</v>
      </c>
      <c r="B293" s="70" t="str">
        <f>+IF((PROVEEDORES[[#This Row],[FECHA DE PAGO]]-PROVEEDORES[[#This Row],[FECHA DE FACTURACIÓN]])&gt;PROVEEDORES[[#This Row],[PLAZO Días]],"PAGO VENCIDO")</f>
        <v>PAGO VENCIDO</v>
      </c>
      <c r="C293" s="27">
        <f>+VLOOKUP(PROVEEDORES[[#This Row],[PROVEEDOR]],TERCEROS_INFO[#All],2,FALSE)</f>
        <v>30</v>
      </c>
      <c r="D293" s="37">
        <f>+SUMIFS(PROVEEDORES[Total],PROVEEDORES[PROVEEDOR],PROVEEDORES[[#This Row],[PROVEEDOR]],PROVEEDORES[FECHA DE PAGO],"")</f>
        <v>11370000</v>
      </c>
      <c r="E293" s="37"/>
      <c r="F293" s="108" t="str">
        <f>+VLOOKUP(PROVEEDORES[[#This Row],[PROVEEDOR]],TERCEROS_INFO[[PROVEEDOR]:[CORREO]],5,FALSE)</f>
        <v/>
      </c>
      <c r="G293" s="143">
        <v>44510</v>
      </c>
      <c r="H293" s="38" t="s">
        <v>270</v>
      </c>
      <c r="I293" s="30">
        <v>44449</v>
      </c>
      <c r="J293" s="58" t="s">
        <v>1244</v>
      </c>
      <c r="K293" s="32">
        <v>1140000</v>
      </c>
      <c r="L293" s="32"/>
      <c r="M293" s="33">
        <f>(PROVEEDORES[[#This Row],[SUBTOTAL]]-PROVEEDORES[[#This Row],[descuento antes de IVA]])*VLOOKUP(PROVEEDORES[[#This Row],[PROVEEDOR]],TERCEROS_INFO[#All],3,FALSE)</f>
        <v>0</v>
      </c>
      <c r="N293" s="34"/>
      <c r="O293" s="33">
        <f>+PROVEEDORES[[#This Row],[Descuento sobre subtotal %]]*(PROVEEDORES[[#This Row],[SUBTOTAL]]-PROVEEDORES[[#This Row],[descuento antes de IVA]])</f>
        <v>0</v>
      </c>
      <c r="P2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3" s="33">
        <f>+(PROVEEDORES[[#This Row],[SUBTOTAL]]-PROVEEDORES[[#This Row],[descuento antes de IVA]])*PROVEEDORES[[#This Row],[Rete Fuente %]]</f>
        <v>0</v>
      </c>
      <c r="R293" s="32">
        <f>+PROVEEDORES[[#This Row],[SUBTOTAL]]+PROVEEDORES[[#This Row],[IVA 19%]]-PROVEEDORES[[#This Row],[descuento antes de IVA]]-PROVEEDORES[[#This Row],[Descuento sobre subtotal $]]-PROVEEDORES[[#This Row],[Rete Fuente $]]</f>
        <v>1140000</v>
      </c>
      <c r="S29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3" s="40"/>
      <c r="U293" s="97"/>
      <c r="V293" s="36"/>
      <c r="W293" s="36"/>
      <c r="X293" s="36"/>
      <c r="Y293" s="36"/>
      <c r="Z293" s="41"/>
      <c r="AA293" s="42"/>
      <c r="AF293" s="36"/>
      <c r="AG293" s="36"/>
    </row>
    <row r="294" spans="1:33" ht="21.95" hidden="1" customHeight="1" x14ac:dyDescent="0.25">
      <c r="A294" s="35" t="str">
        <f>+IF(PROVEEDORES[[#This Row],[FECHA DE PAGO]]=PROVEEDORES[[#This Row],[FECHA DE FACTURACIÓN]],"DE CONTADO","CRÉDITO")</f>
        <v>CRÉDITO</v>
      </c>
      <c r="B294" s="70" t="str">
        <f>+IF((PROVEEDORES[[#This Row],[FECHA DE PAGO]]-PROVEEDORES[[#This Row],[FECHA DE FACTURACIÓN]])&gt;PROVEEDORES[[#This Row],[PLAZO Días]],"PAGO VENCIDO")</f>
        <v>PAGO VENCIDO</v>
      </c>
      <c r="C294" s="27">
        <f>+VLOOKUP(PROVEEDORES[[#This Row],[PROVEEDOR]],TERCEROS_INFO[#All],2,FALSE)</f>
        <v>30</v>
      </c>
      <c r="D294" s="37">
        <f>+SUMIFS(PROVEEDORES[Total],PROVEEDORES[PROVEEDOR],PROVEEDORES[[#This Row],[PROVEEDOR]],PROVEEDORES[FECHA DE PAGO],"")</f>
        <v>11370000</v>
      </c>
      <c r="E294" s="37"/>
      <c r="F294" s="108" t="str">
        <f>+VLOOKUP(PROVEEDORES[[#This Row],[PROVEEDOR]],TERCEROS_INFO[[PROVEEDOR]:[CORREO]],5,FALSE)</f>
        <v/>
      </c>
      <c r="G294" s="143">
        <v>44524</v>
      </c>
      <c r="H294" s="38" t="s">
        <v>270</v>
      </c>
      <c r="I294" s="30">
        <v>44454</v>
      </c>
      <c r="J294" s="58" t="s">
        <v>1248</v>
      </c>
      <c r="K294" s="32">
        <v>4740000</v>
      </c>
      <c r="L294" s="32"/>
      <c r="M294" s="33">
        <f>(PROVEEDORES[[#This Row],[SUBTOTAL]]-PROVEEDORES[[#This Row],[descuento antes de IVA]])*VLOOKUP(PROVEEDORES[[#This Row],[PROVEEDOR]],TERCEROS_INFO[#All],3,FALSE)</f>
        <v>0</v>
      </c>
      <c r="N294" s="34"/>
      <c r="O294" s="33">
        <f>+PROVEEDORES[[#This Row],[Descuento sobre subtotal %]]*(PROVEEDORES[[#This Row],[SUBTOTAL]]-PROVEEDORES[[#This Row],[descuento antes de IVA]])</f>
        <v>0</v>
      </c>
      <c r="P2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4" s="33">
        <f>+(PROVEEDORES[[#This Row],[SUBTOTAL]]-PROVEEDORES[[#This Row],[descuento antes de IVA]])*PROVEEDORES[[#This Row],[Rete Fuente %]]</f>
        <v>0</v>
      </c>
      <c r="R294" s="32">
        <f>+PROVEEDORES[[#This Row],[SUBTOTAL]]+PROVEEDORES[[#This Row],[IVA 19%]]-PROVEEDORES[[#This Row],[descuento antes de IVA]]-PROVEEDORES[[#This Row],[Descuento sobre subtotal $]]-PROVEEDORES[[#This Row],[Rete Fuente $]]</f>
        <v>4740000</v>
      </c>
      <c r="S29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4" s="40"/>
      <c r="U294" s="97"/>
      <c r="V294" s="36"/>
      <c r="W294" s="36"/>
      <c r="X294" s="36"/>
      <c r="Y294" s="36"/>
      <c r="Z294" s="41"/>
      <c r="AA294" s="42"/>
      <c r="AF294" s="36"/>
      <c r="AG294" s="36"/>
    </row>
    <row r="295" spans="1:33" ht="21.95" hidden="1" customHeight="1" x14ac:dyDescent="0.25">
      <c r="A295" s="167" t="str">
        <f>+IF(PROVEEDORES[[#This Row],[FECHA DE PAGO]]=PROVEEDORES[[#This Row],[FECHA DE FACTURACIÓN]],"DE CONTADO","CRÉDITO")</f>
        <v>CRÉDITO</v>
      </c>
      <c r="B295" s="70" t="b">
        <f>+IF((PROVEEDORES[[#This Row],[FECHA DE PAGO]]-PROVEEDORES[[#This Row],[FECHA DE FACTURACIÓN]])&gt;PROVEEDORES[[#This Row],[PLAZO Días]],"PAGO VENCIDO")</f>
        <v>0</v>
      </c>
      <c r="C295" s="27">
        <f>+VLOOKUP(PROVEEDORES[[#This Row],[PROVEEDOR]],TERCEROS_INFO[#All],2,FALSE)</f>
        <v>30</v>
      </c>
      <c r="D295" s="37">
        <f>+SUMIFS(PROVEEDORES[Total],PROVEEDORES[PROVEEDOR],PROVEEDORES[[#This Row],[PROVEEDOR]],PROVEEDORES[FECHA DE PAGO],"")</f>
        <v>11370000</v>
      </c>
      <c r="E295" s="37"/>
      <c r="F295" s="108" t="str">
        <f>+VLOOKUP(PROVEEDORES[[#This Row],[PROVEEDOR]],TERCEROS_INFO[[PROVEEDOR]:[CORREO]],5,FALSE)</f>
        <v/>
      </c>
      <c r="H295" s="38" t="s">
        <v>270</v>
      </c>
      <c r="I295" s="30">
        <v>44552</v>
      </c>
      <c r="J295" s="58" t="s">
        <v>1322</v>
      </c>
      <c r="K295" s="32">
        <v>4310000</v>
      </c>
      <c r="L295" s="32"/>
      <c r="M295" s="33">
        <f>(PROVEEDORES[[#This Row],[SUBTOTAL]]-PROVEEDORES[[#This Row],[descuento antes de IVA]])*VLOOKUP(PROVEEDORES[[#This Row],[PROVEEDOR]],TERCEROS_INFO[#All],3,FALSE)</f>
        <v>0</v>
      </c>
      <c r="N295" s="34"/>
      <c r="O295" s="33">
        <f>+PROVEEDORES[[#This Row],[Descuento sobre subtotal %]]*(PROVEEDORES[[#This Row],[SUBTOTAL]]-PROVEEDORES[[#This Row],[descuento antes de IVA]])</f>
        <v>0</v>
      </c>
      <c r="P2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5" s="33">
        <f>+(PROVEEDORES[[#This Row],[SUBTOTAL]]-PROVEEDORES[[#This Row],[descuento antes de IVA]])*PROVEEDORES[[#This Row],[Rete Fuente %]]</f>
        <v>0</v>
      </c>
      <c r="R295" s="32">
        <f>+PROVEEDORES[[#This Row],[SUBTOTAL]]+PROVEEDORES[[#This Row],[IVA 19%]]-PROVEEDORES[[#This Row],[descuento antes de IVA]]-PROVEEDORES[[#This Row],[Descuento sobre subtotal $]]-PROVEEDORES[[#This Row],[Rete Fuente $]]</f>
        <v>4310000</v>
      </c>
      <c r="S295" s="16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295" s="40"/>
      <c r="U295" s="97"/>
      <c r="V295" s="36"/>
      <c r="W295" s="36"/>
      <c r="X295" s="36"/>
      <c r="Y295" s="36"/>
      <c r="Z295" s="41"/>
      <c r="AA295" s="42"/>
      <c r="AF295" s="36"/>
      <c r="AG295" s="36"/>
    </row>
    <row r="296" spans="1:33" ht="21.95" hidden="1" customHeight="1" x14ac:dyDescent="0.25">
      <c r="A296" s="35" t="str">
        <f>+IF(PROVEEDORES[[#This Row],[FECHA DE PAGO]]=PROVEEDORES[[#This Row],[FECHA DE FACTURACIÓN]],"DE CONTADO","CRÉDITO")</f>
        <v>CRÉDITO</v>
      </c>
      <c r="B296" s="70" t="b">
        <f>+IF((PROVEEDORES[[#This Row],[FECHA DE PAGO]]-PROVEEDORES[[#This Row],[FECHA DE FACTURACIÓN]])&gt;PROVEEDORES[[#This Row],[PLAZO Días]],"PAGO VENCIDO")</f>
        <v>0</v>
      </c>
      <c r="C296" s="27">
        <f>+VLOOKUP(PROVEEDORES[[#This Row],[PROVEEDOR]],TERCEROS_INFO[#All],2,FALSE)</f>
        <v>30</v>
      </c>
      <c r="D296" s="37">
        <f>+SUMIFS(PROVEEDORES[Total],PROVEEDORES[PROVEEDOR],PROVEEDORES[[#This Row],[PROVEEDOR]],PROVEEDORES[FECHA DE PAGO],"")</f>
        <v>11370000</v>
      </c>
      <c r="E296" s="37"/>
      <c r="F296" s="108" t="str">
        <f>+VLOOKUP(PROVEEDORES[[#This Row],[PROVEEDOR]],TERCEROS_INFO[[PROVEEDOR]:[CORREO]],5,FALSE)</f>
        <v/>
      </c>
      <c r="H296" s="38" t="s">
        <v>270</v>
      </c>
      <c r="I296" s="30">
        <v>44545</v>
      </c>
      <c r="J296" s="58" t="s">
        <v>1329</v>
      </c>
      <c r="K296" s="32">
        <v>7060000</v>
      </c>
      <c r="L296" s="32"/>
      <c r="M296" s="33">
        <f>(PROVEEDORES[[#This Row],[SUBTOTAL]]-PROVEEDORES[[#This Row],[descuento antes de IVA]])*VLOOKUP(PROVEEDORES[[#This Row],[PROVEEDOR]],TERCEROS_INFO[#All],3,FALSE)</f>
        <v>0</v>
      </c>
      <c r="N296" s="34"/>
      <c r="O296" s="33">
        <f>+PROVEEDORES[[#This Row],[Descuento sobre subtotal %]]*(PROVEEDORES[[#This Row],[SUBTOTAL]]-PROVEEDORES[[#This Row],[descuento antes de IVA]])</f>
        <v>0</v>
      </c>
      <c r="P2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6" s="33">
        <f>+(PROVEEDORES[[#This Row],[SUBTOTAL]]-PROVEEDORES[[#This Row],[descuento antes de IVA]])*PROVEEDORES[[#This Row],[Rete Fuente %]]</f>
        <v>0</v>
      </c>
      <c r="R296" s="32">
        <f>+PROVEEDORES[[#This Row],[SUBTOTAL]]+PROVEEDORES[[#This Row],[IVA 19%]]-PROVEEDORES[[#This Row],[descuento antes de IVA]]-PROVEEDORES[[#This Row],[Descuento sobre subtotal $]]-PROVEEDORES[[#This Row],[Rete Fuente $]]</f>
        <v>7060000</v>
      </c>
      <c r="S296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296" s="40"/>
      <c r="U296" s="97"/>
      <c r="V296" s="36"/>
      <c r="W296" s="36"/>
      <c r="X296" s="36"/>
      <c r="Y296" s="36"/>
      <c r="Z296" s="41"/>
      <c r="AA296" s="42"/>
      <c r="AF296" s="36"/>
      <c r="AG296" s="36"/>
    </row>
    <row r="297" spans="1:33" ht="21.95" hidden="1" customHeight="1" x14ac:dyDescent="0.25">
      <c r="A297" s="39" t="str">
        <f>+IF(PROVEEDORES[[#This Row],[FECHA DE PAGO]]=PROVEEDORES[[#This Row],[FECHA DE FACTURACIÓN]],"DE CONTADO","CRÉDITO")</f>
        <v>DE CONTADO</v>
      </c>
      <c r="B297" s="67" t="b">
        <f>+IF((PROVEEDORES[[#This Row],[FECHA DE PAGO]]-PROVEEDORES[[#This Row],[FECHA DE FACTURACIÓN]])&gt;PROVEEDORES[[#This Row],[PLAZO Días]],"PAGO VENCIDO")</f>
        <v>0</v>
      </c>
      <c r="C297" s="27">
        <f>+VLOOKUP(PROVEEDORES[[#This Row],[PROVEEDOR]],TERCEROS_INFO[#All],2,FALSE)</f>
        <v>30</v>
      </c>
      <c r="D297" s="37">
        <f>+SUMIFS(PROVEEDORES[Total],PROVEEDORES[PROVEEDOR],PROVEEDORES[[#This Row],[PROVEEDOR]],PROVEEDORES[FECHA DE PAGO],"")</f>
        <v>0</v>
      </c>
      <c r="E297" s="37"/>
      <c r="F297" s="108" t="str">
        <f>+VLOOKUP(PROVEEDORES[[#This Row],[PROVEEDOR]],TERCEROS_INFO[[PROVEEDOR]:[CORREO]],5,FALSE)</f>
        <v/>
      </c>
      <c r="G297" s="143">
        <v>43861</v>
      </c>
      <c r="H297" s="38" t="s">
        <v>271</v>
      </c>
      <c r="I297" s="30">
        <v>43861</v>
      </c>
      <c r="J297" s="58" t="s">
        <v>1033</v>
      </c>
      <c r="K297" s="32">
        <v>144873.94957983194</v>
      </c>
      <c r="L297" s="32"/>
      <c r="M297" s="33">
        <f>(PROVEEDORES[[#This Row],[SUBTOTAL]]-PROVEEDORES[[#This Row],[descuento antes de IVA]])*VLOOKUP(PROVEEDORES[[#This Row],[PROVEEDOR]],TERCEROS_INFO[#All],3,FALSE)</f>
        <v>0</v>
      </c>
      <c r="N297" s="34"/>
      <c r="O297" s="33">
        <f>+PROVEEDORES[[#This Row],[Descuento sobre subtotal %]]*(PROVEEDORES[[#This Row],[SUBTOTAL]]-PROVEEDORES[[#This Row],[descuento antes de IVA]])</f>
        <v>0</v>
      </c>
      <c r="P2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7" s="33">
        <f>+(PROVEEDORES[[#This Row],[SUBTOTAL]]-PROVEEDORES[[#This Row],[descuento antes de IVA]])*PROVEEDORES[[#This Row],[Rete Fuente %]]</f>
        <v>0</v>
      </c>
      <c r="R297" s="32">
        <f>+PROVEEDORES[[#This Row],[SUBTOTAL]]+PROVEEDORES[[#This Row],[IVA 19%]]-PROVEEDORES[[#This Row],[descuento antes de IVA]]-PROVEEDORES[[#This Row],[Descuento sobre subtotal $]]-PROVEEDORES[[#This Row],[Rete Fuente $]]</f>
        <v>144873.94957983194</v>
      </c>
      <c r="S29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7" s="40"/>
      <c r="U297" s="97"/>
      <c r="V297" s="36"/>
      <c r="W297" s="36"/>
      <c r="X297" s="36"/>
      <c r="Y297" s="36"/>
      <c r="Z297" s="41"/>
      <c r="AA297" s="42"/>
      <c r="AF297" s="36"/>
      <c r="AG297" s="36"/>
    </row>
    <row r="298" spans="1:33" ht="21.95" hidden="1" customHeight="1" x14ac:dyDescent="0.25">
      <c r="A298" s="39" t="str">
        <f>+IF(PROVEEDORES[[#This Row],[FECHA DE PAGO]]=PROVEEDORES[[#This Row],[FECHA DE FACTURACIÓN]],"DE CONTADO","CRÉDITO")</f>
        <v>DE CONTADO</v>
      </c>
      <c r="B298" s="67" t="b">
        <f>+IF((PROVEEDORES[[#This Row],[FECHA DE PAGO]]-PROVEEDORES[[#This Row],[FECHA DE FACTURACIÓN]])&gt;PROVEEDORES[[#This Row],[PLAZO Días]],"PAGO VENCIDO")</f>
        <v>0</v>
      </c>
      <c r="C298" s="27">
        <f>+VLOOKUP(PROVEEDORES[[#This Row],[PROVEEDOR]],TERCEROS_INFO[#All],2,FALSE)</f>
        <v>30</v>
      </c>
      <c r="D298" s="37">
        <f>+SUMIFS(PROVEEDORES[Total],PROVEEDORES[PROVEEDOR],PROVEEDORES[[#This Row],[PROVEEDOR]],PROVEEDORES[FECHA DE PAGO],"")</f>
        <v>0</v>
      </c>
      <c r="E298" s="37"/>
      <c r="F298" s="108" t="str">
        <f>+VLOOKUP(PROVEEDORES[[#This Row],[PROVEEDOR]],TERCEROS_INFO[[PROVEEDOR]:[CORREO]],5,FALSE)</f>
        <v/>
      </c>
      <c r="G298" s="143">
        <v>43890</v>
      </c>
      <c r="H298" s="38" t="s">
        <v>271</v>
      </c>
      <c r="I298" s="30">
        <v>43890</v>
      </c>
      <c r="J298" s="58" t="s">
        <v>53</v>
      </c>
      <c r="K298" s="32">
        <v>31932.773109243699</v>
      </c>
      <c r="L298" s="32"/>
      <c r="M298" s="33">
        <f>(PROVEEDORES[[#This Row],[SUBTOTAL]]-PROVEEDORES[[#This Row],[descuento antes de IVA]])*VLOOKUP(PROVEEDORES[[#This Row],[PROVEEDOR]],TERCEROS_INFO[#All],3,FALSE)</f>
        <v>0</v>
      </c>
      <c r="N298" s="34"/>
      <c r="O298" s="33">
        <f>+PROVEEDORES[[#This Row],[Descuento sobre subtotal %]]*(PROVEEDORES[[#This Row],[SUBTOTAL]]-PROVEEDORES[[#This Row],[descuento antes de IVA]])</f>
        <v>0</v>
      </c>
      <c r="P2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8" s="33">
        <f>+(PROVEEDORES[[#This Row],[SUBTOTAL]]-PROVEEDORES[[#This Row],[descuento antes de IVA]])*PROVEEDORES[[#This Row],[Rete Fuente %]]</f>
        <v>0</v>
      </c>
      <c r="R298" s="32">
        <f>+PROVEEDORES[[#This Row],[SUBTOTAL]]+PROVEEDORES[[#This Row],[IVA 19%]]-PROVEEDORES[[#This Row],[descuento antes de IVA]]-PROVEEDORES[[#This Row],[Descuento sobre subtotal $]]-PROVEEDORES[[#This Row],[Rete Fuente $]]</f>
        <v>31932.773109243699</v>
      </c>
      <c r="S29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8" s="40"/>
      <c r="U298" s="97"/>
      <c r="V298" s="36"/>
      <c r="W298" s="36"/>
      <c r="X298" s="36"/>
      <c r="Y298" s="36"/>
      <c r="Z298" s="41"/>
      <c r="AA298" s="42"/>
      <c r="AF298" s="36"/>
      <c r="AG298" s="36"/>
    </row>
    <row r="299" spans="1:33" ht="21.95" hidden="1" customHeight="1" x14ac:dyDescent="0.25">
      <c r="A299" s="39" t="str">
        <f>+IF(PROVEEDORES[[#This Row],[FECHA DE PAGO]]=PROVEEDORES[[#This Row],[FECHA DE FACTURACIÓN]],"DE CONTADO","CRÉDITO")</f>
        <v>DE CONTADO</v>
      </c>
      <c r="B299" s="67" t="b">
        <f>+IF((PROVEEDORES[[#This Row],[FECHA DE PAGO]]-PROVEEDORES[[#This Row],[FECHA DE FACTURACIÓN]])&gt;PROVEEDORES[[#This Row],[PLAZO Días]],"PAGO VENCIDO")</f>
        <v>0</v>
      </c>
      <c r="C299" s="27">
        <f>+VLOOKUP(PROVEEDORES[[#This Row],[PROVEEDOR]],TERCEROS_INFO[#All],2,FALSE)</f>
        <v>30</v>
      </c>
      <c r="D299" s="37">
        <f>+SUMIFS(PROVEEDORES[Total],PROVEEDORES[PROVEEDOR],PROVEEDORES[[#This Row],[PROVEEDOR]],PROVEEDORES[FECHA DE PAGO],"")</f>
        <v>0</v>
      </c>
      <c r="E299" s="37"/>
      <c r="F299" s="108" t="str">
        <f>+VLOOKUP(PROVEEDORES[[#This Row],[PROVEEDOR]],TERCEROS_INFO[[PROVEEDOR]:[CORREO]],5,FALSE)</f>
        <v/>
      </c>
      <c r="G299" s="143">
        <v>43921</v>
      </c>
      <c r="H299" s="38" t="s">
        <v>271</v>
      </c>
      <c r="I299" s="30">
        <v>43921</v>
      </c>
      <c r="J299" s="58" t="s">
        <v>1033</v>
      </c>
      <c r="K299" s="32">
        <v>255462.18487394959</v>
      </c>
      <c r="L299" s="32"/>
      <c r="M299" s="33">
        <f>(PROVEEDORES[[#This Row],[SUBTOTAL]]-PROVEEDORES[[#This Row],[descuento antes de IVA]])*VLOOKUP(PROVEEDORES[[#This Row],[PROVEEDOR]],TERCEROS_INFO[#All],3,FALSE)</f>
        <v>0</v>
      </c>
      <c r="N299" s="34"/>
      <c r="O299" s="33">
        <f>+PROVEEDORES[[#This Row],[Descuento sobre subtotal %]]*(PROVEEDORES[[#This Row],[SUBTOTAL]]-PROVEEDORES[[#This Row],[descuento antes de IVA]])</f>
        <v>0</v>
      </c>
      <c r="P2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299" s="33">
        <f>+(PROVEEDORES[[#This Row],[SUBTOTAL]]-PROVEEDORES[[#This Row],[descuento antes de IVA]])*PROVEEDORES[[#This Row],[Rete Fuente %]]</f>
        <v>0</v>
      </c>
      <c r="R299" s="32">
        <f>+PROVEEDORES[[#This Row],[SUBTOTAL]]+PROVEEDORES[[#This Row],[IVA 19%]]-PROVEEDORES[[#This Row],[descuento antes de IVA]]-PROVEEDORES[[#This Row],[Descuento sobre subtotal $]]-PROVEEDORES[[#This Row],[Rete Fuente $]]</f>
        <v>255462.18487394959</v>
      </c>
      <c r="S29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9" s="40"/>
      <c r="U299" s="97"/>
      <c r="V299" s="36"/>
      <c r="W299" s="36"/>
      <c r="X299" s="36"/>
      <c r="Y299" s="36"/>
      <c r="Z299" s="41"/>
      <c r="AA299" s="42"/>
      <c r="AF299" s="36"/>
      <c r="AG299" s="36"/>
    </row>
    <row r="300" spans="1:33" ht="21.95" hidden="1" customHeight="1" x14ac:dyDescent="0.25">
      <c r="A300" s="39" t="str">
        <f>+IF(PROVEEDORES[[#This Row],[FECHA DE PAGO]]=PROVEEDORES[[#This Row],[FECHA DE FACTURACIÓN]],"DE CONTADO","CRÉDITO")</f>
        <v>DE CONTADO</v>
      </c>
      <c r="B300" s="67" t="b">
        <f>+IF((PROVEEDORES[[#This Row],[FECHA DE PAGO]]-PROVEEDORES[[#This Row],[FECHA DE FACTURACIÓN]])&gt;PROVEEDORES[[#This Row],[PLAZO Días]],"PAGO VENCIDO")</f>
        <v>0</v>
      </c>
      <c r="C300" s="27">
        <f>+VLOOKUP(PROVEEDORES[[#This Row],[PROVEEDOR]],TERCEROS_INFO[#All],2,FALSE)</f>
        <v>30</v>
      </c>
      <c r="D300" s="37">
        <f>+SUMIFS(PROVEEDORES[Total],PROVEEDORES[PROVEEDOR],PROVEEDORES[[#This Row],[PROVEEDOR]],PROVEEDORES[FECHA DE PAGO],"")</f>
        <v>0</v>
      </c>
      <c r="E300" s="37"/>
      <c r="F300" s="108" t="str">
        <f>+VLOOKUP(PROVEEDORES[[#This Row],[PROVEEDOR]],TERCEROS_INFO[[PROVEEDOR]:[CORREO]],5,FALSE)</f>
        <v/>
      </c>
      <c r="G300" s="143">
        <v>44012</v>
      </c>
      <c r="H300" s="38" t="s">
        <v>271</v>
      </c>
      <c r="I300" s="30">
        <v>44012</v>
      </c>
      <c r="J300" s="58"/>
      <c r="K300" s="32">
        <v>262000</v>
      </c>
      <c r="L300" s="32"/>
      <c r="M300" s="33">
        <f>(PROVEEDORES[[#This Row],[SUBTOTAL]]-PROVEEDORES[[#This Row],[descuento antes de IVA]])*VLOOKUP(PROVEEDORES[[#This Row],[PROVEEDOR]],TERCEROS_INFO[#All],3,FALSE)</f>
        <v>0</v>
      </c>
      <c r="N300" s="34"/>
      <c r="O300" s="33">
        <f>+PROVEEDORES[[#This Row],[Descuento sobre subtotal %]]*(PROVEEDORES[[#This Row],[SUBTOTAL]]-PROVEEDORES[[#This Row],[descuento antes de IVA]])</f>
        <v>0</v>
      </c>
      <c r="P3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0" s="33">
        <f>+(PROVEEDORES[[#This Row],[SUBTOTAL]]-PROVEEDORES[[#This Row],[descuento antes de IVA]])*PROVEEDORES[[#This Row],[Rete Fuente %]]</f>
        <v>0</v>
      </c>
      <c r="R300" s="32">
        <f>+PROVEEDORES[[#This Row],[SUBTOTAL]]+PROVEEDORES[[#This Row],[IVA 19%]]-PROVEEDORES[[#This Row],[descuento antes de IVA]]-PROVEEDORES[[#This Row],[Descuento sobre subtotal $]]-PROVEEDORES[[#This Row],[Rete Fuente $]]</f>
        <v>262000</v>
      </c>
      <c r="S30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0" s="40"/>
      <c r="U300" s="97"/>
      <c r="V300" s="36"/>
      <c r="W300" s="36"/>
      <c r="X300" s="36"/>
      <c r="Y300" s="36"/>
      <c r="Z300" s="41"/>
      <c r="AA300" s="42"/>
      <c r="AF300" s="36"/>
      <c r="AG300" s="36"/>
    </row>
    <row r="301" spans="1:33" ht="21.95" hidden="1" customHeight="1" x14ac:dyDescent="0.25">
      <c r="A301" s="39" t="str">
        <f>+IF(PROVEEDORES[[#This Row],[FECHA DE PAGO]]=PROVEEDORES[[#This Row],[FECHA DE FACTURACIÓN]],"DE CONTADO","CRÉDITO")</f>
        <v>DE CONTADO</v>
      </c>
      <c r="B301" s="67" t="b">
        <f>+IF((PROVEEDORES[[#This Row],[FECHA DE PAGO]]-PROVEEDORES[[#This Row],[FECHA DE FACTURACIÓN]])&gt;PROVEEDORES[[#This Row],[PLAZO Días]],"PAGO VENCIDO")</f>
        <v>0</v>
      </c>
      <c r="C301" s="27">
        <f>+VLOOKUP(PROVEEDORES[[#This Row],[PROVEEDOR]],TERCEROS_INFO[#All],2,FALSE)</f>
        <v>30</v>
      </c>
      <c r="D301" s="37">
        <f>+SUMIFS(PROVEEDORES[Total],PROVEEDORES[PROVEEDOR],PROVEEDORES[[#This Row],[PROVEEDOR]],PROVEEDORES[FECHA DE PAGO],"")</f>
        <v>0</v>
      </c>
      <c r="E301" s="37"/>
      <c r="F301" s="108" t="str">
        <f>+VLOOKUP(PROVEEDORES[[#This Row],[PROVEEDOR]],TERCEROS_INFO[[PROVEEDOR]:[CORREO]],5,FALSE)</f>
        <v/>
      </c>
      <c r="G301" s="143">
        <v>44043</v>
      </c>
      <c r="H301" s="38" t="s">
        <v>271</v>
      </c>
      <c r="I301" s="30">
        <v>44043</v>
      </c>
      <c r="J301" s="58" t="s">
        <v>1076</v>
      </c>
      <c r="K301" s="32">
        <v>165500</v>
      </c>
      <c r="L301" s="32"/>
      <c r="M301" s="33">
        <f>(PROVEEDORES[[#This Row],[SUBTOTAL]]-PROVEEDORES[[#This Row],[descuento antes de IVA]])*VLOOKUP(PROVEEDORES[[#This Row],[PROVEEDOR]],TERCEROS_INFO[#All],3,FALSE)</f>
        <v>0</v>
      </c>
      <c r="N301" s="34"/>
      <c r="O301" s="33">
        <f>+PROVEEDORES[[#This Row],[Descuento sobre subtotal %]]*(PROVEEDORES[[#This Row],[SUBTOTAL]]-PROVEEDORES[[#This Row],[descuento antes de IVA]])</f>
        <v>0</v>
      </c>
      <c r="P3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1" s="33">
        <f>+(PROVEEDORES[[#This Row],[SUBTOTAL]]-PROVEEDORES[[#This Row],[descuento antes de IVA]])*PROVEEDORES[[#This Row],[Rete Fuente %]]</f>
        <v>0</v>
      </c>
      <c r="R301" s="32">
        <f>+PROVEEDORES[[#This Row],[SUBTOTAL]]+PROVEEDORES[[#This Row],[IVA 19%]]-PROVEEDORES[[#This Row],[descuento antes de IVA]]-PROVEEDORES[[#This Row],[Descuento sobre subtotal $]]-PROVEEDORES[[#This Row],[Rete Fuente $]]</f>
        <v>165500</v>
      </c>
      <c r="S30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1" s="40"/>
      <c r="U301" s="97"/>
      <c r="V301" s="36"/>
      <c r="W301" s="36"/>
      <c r="X301" s="36"/>
      <c r="Y301" s="36"/>
      <c r="Z301" s="41"/>
      <c r="AA301" s="42"/>
      <c r="AF301" s="36"/>
      <c r="AG301" s="36"/>
    </row>
    <row r="302" spans="1:33" ht="21.95" hidden="1" customHeight="1" x14ac:dyDescent="0.25">
      <c r="A302" s="39" t="str">
        <f>+IF(PROVEEDORES[[#This Row],[FECHA DE PAGO]]=PROVEEDORES[[#This Row],[FECHA DE FACTURACIÓN]],"DE CONTADO","CRÉDITO")</f>
        <v>DE CONTADO</v>
      </c>
      <c r="B302" s="67" t="b">
        <f>+IF((PROVEEDORES[[#This Row],[FECHA DE PAGO]]-PROVEEDORES[[#This Row],[FECHA DE FACTURACIÓN]])&gt;PROVEEDORES[[#This Row],[PLAZO Días]],"PAGO VENCIDO")</f>
        <v>0</v>
      </c>
      <c r="C302" s="27">
        <f>+VLOOKUP(PROVEEDORES[[#This Row],[PROVEEDOR]],TERCEROS_INFO[#All],2,FALSE)</f>
        <v>30</v>
      </c>
      <c r="D302" s="37">
        <f>+SUMIFS(PROVEEDORES[Total],PROVEEDORES[PROVEEDOR],PROVEEDORES[[#This Row],[PROVEEDOR]],PROVEEDORES[FECHA DE PAGO],"")</f>
        <v>0</v>
      </c>
      <c r="E302" s="37"/>
      <c r="F302" s="108" t="str">
        <f>+VLOOKUP(PROVEEDORES[[#This Row],[PROVEEDOR]],TERCEROS_INFO[[PROVEEDOR]:[CORREO]],5,FALSE)</f>
        <v/>
      </c>
      <c r="G302" s="143">
        <v>44074</v>
      </c>
      <c r="H302" s="38" t="s">
        <v>271</v>
      </c>
      <c r="I302" s="30">
        <v>44074</v>
      </c>
      <c r="J302" s="58" t="s">
        <v>1076</v>
      </c>
      <c r="K302" s="32">
        <v>22000</v>
      </c>
      <c r="L302" s="32"/>
      <c r="M302" s="33">
        <f>(PROVEEDORES[[#This Row],[SUBTOTAL]]-PROVEEDORES[[#This Row],[descuento antes de IVA]])*VLOOKUP(PROVEEDORES[[#This Row],[PROVEEDOR]],TERCEROS_INFO[#All],3,FALSE)</f>
        <v>0</v>
      </c>
      <c r="N302" s="34"/>
      <c r="O302" s="33">
        <f>+PROVEEDORES[[#This Row],[Descuento sobre subtotal %]]*(PROVEEDORES[[#This Row],[SUBTOTAL]]-PROVEEDORES[[#This Row],[descuento antes de IVA]])</f>
        <v>0</v>
      </c>
      <c r="P3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2" s="33">
        <f>+(PROVEEDORES[[#This Row],[SUBTOTAL]]-PROVEEDORES[[#This Row],[descuento antes de IVA]])*PROVEEDORES[[#This Row],[Rete Fuente %]]</f>
        <v>0</v>
      </c>
      <c r="R302" s="32">
        <f>+PROVEEDORES[[#This Row],[SUBTOTAL]]+PROVEEDORES[[#This Row],[IVA 19%]]-PROVEEDORES[[#This Row],[descuento antes de IVA]]-PROVEEDORES[[#This Row],[Descuento sobre subtotal $]]-PROVEEDORES[[#This Row],[Rete Fuente $]]</f>
        <v>22000</v>
      </c>
      <c r="S30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2" s="40"/>
      <c r="U302" s="97"/>
      <c r="V302" s="36"/>
      <c r="W302" s="36"/>
      <c r="X302" s="36"/>
      <c r="Y302" s="36"/>
      <c r="Z302" s="41"/>
      <c r="AA302" s="42"/>
      <c r="AF302" s="36"/>
      <c r="AG302" s="36"/>
    </row>
    <row r="303" spans="1:33" ht="21.95" hidden="1" customHeight="1" x14ac:dyDescent="0.25">
      <c r="A303" s="39" t="str">
        <f>+IF(PROVEEDORES[[#This Row],[FECHA DE PAGO]]=PROVEEDORES[[#This Row],[FECHA DE FACTURACIÓN]],"DE CONTADO","CRÉDITO")</f>
        <v>DE CONTADO</v>
      </c>
      <c r="B303" s="67" t="b">
        <f>+IF((PROVEEDORES[[#This Row],[FECHA DE PAGO]]-PROVEEDORES[[#This Row],[FECHA DE FACTURACIÓN]])&gt;PROVEEDORES[[#This Row],[PLAZO Días]],"PAGO VENCIDO")</f>
        <v>0</v>
      </c>
      <c r="C303" s="27">
        <f>+VLOOKUP(PROVEEDORES[[#This Row],[PROVEEDOR]],TERCEROS_INFO[#All],2,FALSE)</f>
        <v>30</v>
      </c>
      <c r="D303" s="37">
        <f>+SUMIFS(PROVEEDORES[Total],PROVEEDORES[PROVEEDOR],PROVEEDORES[[#This Row],[PROVEEDOR]],PROVEEDORES[FECHA DE PAGO],"")</f>
        <v>0</v>
      </c>
      <c r="E303" s="37"/>
      <c r="F303" s="108" t="str">
        <f>+VLOOKUP(PROVEEDORES[[#This Row],[PROVEEDOR]],TERCEROS_INFO[[PROVEEDOR]:[CORREO]],5,FALSE)</f>
        <v/>
      </c>
      <c r="G303" s="143">
        <v>44135</v>
      </c>
      <c r="H303" s="38" t="s">
        <v>271</v>
      </c>
      <c r="I303" s="30">
        <v>44135</v>
      </c>
      <c r="J303" s="58" t="s">
        <v>1076</v>
      </c>
      <c r="K303" s="32">
        <v>68000</v>
      </c>
      <c r="L303" s="32"/>
      <c r="M303" s="33">
        <f>(PROVEEDORES[[#This Row],[SUBTOTAL]]-PROVEEDORES[[#This Row],[descuento antes de IVA]])*VLOOKUP(PROVEEDORES[[#This Row],[PROVEEDOR]],TERCEROS_INFO[#All],3,FALSE)</f>
        <v>0</v>
      </c>
      <c r="N303" s="34"/>
      <c r="O303" s="33">
        <f>+PROVEEDORES[[#This Row],[Descuento sobre subtotal %]]*(PROVEEDORES[[#This Row],[SUBTOTAL]]-PROVEEDORES[[#This Row],[descuento antes de IVA]])</f>
        <v>0</v>
      </c>
      <c r="P3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3" s="33">
        <f>+(PROVEEDORES[[#This Row],[SUBTOTAL]]-PROVEEDORES[[#This Row],[descuento antes de IVA]])*PROVEEDORES[[#This Row],[Rete Fuente %]]</f>
        <v>0</v>
      </c>
      <c r="R303" s="32">
        <f>+PROVEEDORES[[#This Row],[SUBTOTAL]]+PROVEEDORES[[#This Row],[IVA 19%]]-PROVEEDORES[[#This Row],[descuento antes de IVA]]-PROVEEDORES[[#This Row],[Descuento sobre subtotal $]]-PROVEEDORES[[#This Row],[Rete Fuente $]]</f>
        <v>68000</v>
      </c>
      <c r="S30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3" s="40"/>
      <c r="U303" s="97"/>
      <c r="V303" s="36"/>
      <c r="W303" s="36"/>
      <c r="X303" s="36"/>
      <c r="Y303" s="36"/>
      <c r="Z303" s="41"/>
      <c r="AA303" s="42"/>
      <c r="AF303" s="36"/>
      <c r="AG303" s="36"/>
    </row>
    <row r="304" spans="1:33" ht="21.95" hidden="1" customHeight="1" x14ac:dyDescent="0.25">
      <c r="A304" s="39" t="str">
        <f>+IF(PROVEEDORES[[#This Row],[FECHA DE PAGO]]=PROVEEDORES[[#This Row],[FECHA DE FACTURACIÓN]],"DE CONTADO","CRÉDITO")</f>
        <v>DE CONTADO</v>
      </c>
      <c r="B304" s="67" t="b">
        <f>+IF((PROVEEDORES[[#This Row],[FECHA DE PAGO]]-PROVEEDORES[[#This Row],[FECHA DE FACTURACIÓN]])&gt;PROVEEDORES[[#This Row],[PLAZO Días]],"PAGO VENCIDO")</f>
        <v>0</v>
      </c>
      <c r="C304" s="27">
        <f>+VLOOKUP(PROVEEDORES[[#This Row],[PROVEEDOR]],TERCEROS_INFO[#All],2,FALSE)</f>
        <v>30</v>
      </c>
      <c r="D304" s="37">
        <f>+SUMIFS(PROVEEDORES[Total],PROVEEDORES[PROVEEDOR],PROVEEDORES[[#This Row],[PROVEEDOR]],PROVEEDORES[FECHA DE PAGO],"")</f>
        <v>0</v>
      </c>
      <c r="E304" s="37"/>
      <c r="F304" s="108" t="str">
        <f>+VLOOKUP(PROVEEDORES[[#This Row],[PROVEEDOR]],TERCEROS_INFO[[PROVEEDOR]:[CORREO]],5,FALSE)</f>
        <v/>
      </c>
      <c r="G304" s="143">
        <v>44165</v>
      </c>
      <c r="H304" s="38" t="s">
        <v>271</v>
      </c>
      <c r="I304" s="30">
        <v>44165</v>
      </c>
      <c r="J304" s="58"/>
      <c r="K304" s="32">
        <v>117000</v>
      </c>
      <c r="L304" s="32"/>
      <c r="M304" s="33">
        <f>(PROVEEDORES[[#This Row],[SUBTOTAL]]-PROVEEDORES[[#This Row],[descuento antes de IVA]])*VLOOKUP(PROVEEDORES[[#This Row],[PROVEEDOR]],TERCEROS_INFO[#All],3,FALSE)</f>
        <v>0</v>
      </c>
      <c r="N304" s="34"/>
      <c r="O304" s="33">
        <f>+PROVEEDORES[[#This Row],[Descuento sobre subtotal %]]*(PROVEEDORES[[#This Row],[SUBTOTAL]]-PROVEEDORES[[#This Row],[descuento antes de IVA]])</f>
        <v>0</v>
      </c>
      <c r="P3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4" s="33">
        <f>+(PROVEEDORES[[#This Row],[SUBTOTAL]]-PROVEEDORES[[#This Row],[descuento antes de IVA]])*PROVEEDORES[[#This Row],[Rete Fuente %]]</f>
        <v>0</v>
      </c>
      <c r="R304" s="32">
        <f>+PROVEEDORES[[#This Row],[SUBTOTAL]]+PROVEEDORES[[#This Row],[IVA 19%]]-PROVEEDORES[[#This Row],[descuento antes de IVA]]-PROVEEDORES[[#This Row],[Descuento sobre subtotal $]]-PROVEEDORES[[#This Row],[Rete Fuente $]]</f>
        <v>117000</v>
      </c>
      <c r="S30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4" s="40"/>
      <c r="U304" s="97"/>
      <c r="V304" s="36"/>
      <c r="W304" s="36"/>
      <c r="X304" s="36"/>
      <c r="Y304" s="36"/>
      <c r="Z304" s="41"/>
      <c r="AA304" s="42"/>
      <c r="AF304" s="36"/>
      <c r="AG304" s="36"/>
    </row>
    <row r="305" spans="1:33" ht="21.95" hidden="1" customHeight="1" x14ac:dyDescent="0.25">
      <c r="A305" s="39" t="str">
        <f>+IF(PROVEEDORES[[#This Row],[FECHA DE PAGO]]=PROVEEDORES[[#This Row],[FECHA DE FACTURACIÓN]],"DE CONTADO","CRÉDITO")</f>
        <v>DE CONTADO</v>
      </c>
      <c r="B305" s="67" t="b">
        <f>+IF((PROVEEDORES[[#This Row],[FECHA DE PAGO]]-PROVEEDORES[[#This Row],[FECHA DE FACTURACIÓN]])&gt;PROVEEDORES[[#This Row],[PLAZO Días]],"PAGO VENCIDO")</f>
        <v>0</v>
      </c>
      <c r="C305" s="27">
        <f>+VLOOKUP(PROVEEDORES[[#This Row],[PROVEEDOR]],TERCEROS_INFO[#All],2,FALSE)</f>
        <v>30</v>
      </c>
      <c r="D305" s="37">
        <f>+SUMIFS(PROVEEDORES[Total],PROVEEDORES[PROVEEDOR],PROVEEDORES[[#This Row],[PROVEEDOR]],PROVEEDORES[FECHA DE PAGO],"")</f>
        <v>0</v>
      </c>
      <c r="E305" s="37"/>
      <c r="F305" s="108" t="str">
        <f>+VLOOKUP(PROVEEDORES[[#This Row],[PROVEEDOR]],TERCEROS_INFO[[PROVEEDOR]:[CORREO]],5,FALSE)</f>
        <v/>
      </c>
      <c r="G305" s="143">
        <v>44196</v>
      </c>
      <c r="H305" s="38" t="s">
        <v>271</v>
      </c>
      <c r="I305" s="30">
        <v>44196</v>
      </c>
      <c r="J305" s="58"/>
      <c r="K305" s="32">
        <v>47400</v>
      </c>
      <c r="L305" s="32"/>
      <c r="M305" s="33">
        <f>(PROVEEDORES[[#This Row],[SUBTOTAL]]-PROVEEDORES[[#This Row],[descuento antes de IVA]])*VLOOKUP(PROVEEDORES[[#This Row],[PROVEEDOR]],TERCEROS_INFO[#All],3,FALSE)</f>
        <v>0</v>
      </c>
      <c r="N305" s="34"/>
      <c r="O305" s="33">
        <f>+PROVEEDORES[[#This Row],[Descuento sobre subtotal %]]*(PROVEEDORES[[#This Row],[SUBTOTAL]]-PROVEEDORES[[#This Row],[descuento antes de IVA]])</f>
        <v>0</v>
      </c>
      <c r="P3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5" s="33">
        <f>+(PROVEEDORES[[#This Row],[SUBTOTAL]]-PROVEEDORES[[#This Row],[descuento antes de IVA]])*PROVEEDORES[[#This Row],[Rete Fuente %]]</f>
        <v>0</v>
      </c>
      <c r="R305" s="32">
        <f>+PROVEEDORES[[#This Row],[SUBTOTAL]]+PROVEEDORES[[#This Row],[IVA 19%]]-PROVEEDORES[[#This Row],[descuento antes de IVA]]-PROVEEDORES[[#This Row],[Descuento sobre subtotal $]]-PROVEEDORES[[#This Row],[Rete Fuente $]]</f>
        <v>47400</v>
      </c>
      <c r="S3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5" s="40"/>
      <c r="U305" s="97"/>
      <c r="V305" s="36"/>
      <c r="W305" s="36"/>
      <c r="X305" s="36"/>
      <c r="Y305" s="36"/>
      <c r="Z305" s="41"/>
      <c r="AA305" s="42"/>
      <c r="AF305" s="36"/>
      <c r="AG305" s="36"/>
    </row>
    <row r="306" spans="1:33" ht="21.95" hidden="1" customHeight="1" x14ac:dyDescent="0.25">
      <c r="A306" s="101" t="str">
        <f>+IF(PROVEEDORES[[#This Row],[FECHA DE PAGO]]=PROVEEDORES[[#This Row],[FECHA DE FACTURACIÓN]],"DE CONTADO","CRÉDITO")</f>
        <v>DE CONTADO</v>
      </c>
      <c r="B306" s="70" t="b">
        <f>+IF((PROVEEDORES[[#This Row],[FECHA DE PAGO]]-PROVEEDORES[[#This Row],[FECHA DE FACTURACIÓN]])&gt;PROVEEDORES[[#This Row],[PLAZO Días]],"PAGO VENCIDO")</f>
        <v>0</v>
      </c>
      <c r="C306" s="27">
        <f>+VLOOKUP(PROVEEDORES[[#This Row],[PROVEEDOR]],TERCEROS_INFO[#All],2,FALSE)</f>
        <v>30</v>
      </c>
      <c r="D306" s="37">
        <f>+SUMIFS(PROVEEDORES[Total],PROVEEDORES[PROVEEDOR],PROVEEDORES[[#This Row],[PROVEEDOR]],PROVEEDORES[FECHA DE PAGO],"")</f>
        <v>0</v>
      </c>
      <c r="E306" s="37"/>
      <c r="F306" s="108" t="str">
        <f>+VLOOKUP(PROVEEDORES[[#This Row],[PROVEEDOR]],TERCEROS_INFO[[PROVEEDOR]:[CORREO]],5,FALSE)</f>
        <v/>
      </c>
      <c r="G306" s="143">
        <v>44286</v>
      </c>
      <c r="H306" s="38" t="s">
        <v>271</v>
      </c>
      <c r="I306" s="30">
        <v>44286</v>
      </c>
      <c r="J306" s="58"/>
      <c r="K306" s="32">
        <v>132400</v>
      </c>
      <c r="L306" s="32"/>
      <c r="M306" s="33">
        <f>(PROVEEDORES[[#This Row],[SUBTOTAL]]-PROVEEDORES[[#This Row],[descuento antes de IVA]])*VLOOKUP(PROVEEDORES[[#This Row],[PROVEEDOR]],TERCEROS_INFO[#All],3,FALSE)</f>
        <v>0</v>
      </c>
      <c r="N306" s="34"/>
      <c r="O306" s="33">
        <f>+PROVEEDORES[[#This Row],[Descuento sobre subtotal %]]*(PROVEEDORES[[#This Row],[SUBTOTAL]]-PROVEEDORES[[#This Row],[descuento antes de IVA]])</f>
        <v>0</v>
      </c>
      <c r="P3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6" s="33">
        <f>+(PROVEEDORES[[#This Row],[SUBTOTAL]]-PROVEEDORES[[#This Row],[descuento antes de IVA]])*PROVEEDORES[[#This Row],[Rete Fuente %]]</f>
        <v>0</v>
      </c>
      <c r="R306" s="32">
        <f>+PROVEEDORES[[#This Row],[SUBTOTAL]]+PROVEEDORES[[#This Row],[IVA 19%]]-PROVEEDORES[[#This Row],[descuento antes de IVA]]-PROVEEDORES[[#This Row],[Descuento sobre subtotal $]]-PROVEEDORES[[#This Row],[Rete Fuente $]]</f>
        <v>132400</v>
      </c>
      <c r="S306" s="10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6" s="40"/>
      <c r="U306" s="97"/>
      <c r="V306" s="36"/>
      <c r="W306" s="36"/>
      <c r="X306" s="36"/>
      <c r="Y306" s="36"/>
      <c r="Z306" s="41"/>
      <c r="AA306" s="42"/>
      <c r="AF306" s="36"/>
      <c r="AG306" s="36"/>
    </row>
    <row r="307" spans="1:33" ht="21.95" hidden="1" customHeight="1" x14ac:dyDescent="0.25">
      <c r="A307" s="107" t="str">
        <f>+IF(PROVEEDORES[[#This Row],[FECHA DE PAGO]]=PROVEEDORES[[#This Row],[FECHA DE FACTURACIÓN]],"DE CONTADO","CRÉDITO")</f>
        <v>DE CONTADO</v>
      </c>
      <c r="B307" s="70" t="b">
        <f>+IF((PROVEEDORES[[#This Row],[FECHA DE PAGO]]-PROVEEDORES[[#This Row],[FECHA DE FACTURACIÓN]])&gt;PROVEEDORES[[#This Row],[PLAZO Días]],"PAGO VENCIDO")</f>
        <v>0</v>
      </c>
      <c r="C307" s="27">
        <f>+VLOOKUP(PROVEEDORES[[#This Row],[PROVEEDOR]],TERCEROS_INFO[#All],2,FALSE)</f>
        <v>30</v>
      </c>
      <c r="D307" s="37">
        <f>+SUMIFS(PROVEEDORES[Total],PROVEEDORES[PROVEEDOR],PROVEEDORES[[#This Row],[PROVEEDOR]],PROVEEDORES[FECHA DE PAGO],"")</f>
        <v>0</v>
      </c>
      <c r="E307" s="37"/>
      <c r="F307" s="108" t="str">
        <f>+VLOOKUP(PROVEEDORES[[#This Row],[PROVEEDOR]],TERCEROS_INFO[[PROVEEDOR]:[CORREO]],5,FALSE)</f>
        <v/>
      </c>
      <c r="G307" s="143">
        <v>44316</v>
      </c>
      <c r="H307" s="38" t="s">
        <v>271</v>
      </c>
      <c r="I307" s="30">
        <v>44316</v>
      </c>
      <c r="J307" s="58"/>
      <c r="K307" s="32">
        <v>82400</v>
      </c>
      <c r="L307" s="32"/>
      <c r="M307" s="33">
        <f>(PROVEEDORES[[#This Row],[SUBTOTAL]]-PROVEEDORES[[#This Row],[descuento antes de IVA]])*VLOOKUP(PROVEEDORES[[#This Row],[PROVEEDOR]],TERCEROS_INFO[#All],3,FALSE)</f>
        <v>0</v>
      </c>
      <c r="N307" s="34"/>
      <c r="O307" s="33">
        <f>+PROVEEDORES[[#This Row],[Descuento sobre subtotal %]]*(PROVEEDORES[[#This Row],[SUBTOTAL]]-PROVEEDORES[[#This Row],[descuento antes de IVA]])</f>
        <v>0</v>
      </c>
      <c r="P3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7" s="33">
        <f>+(PROVEEDORES[[#This Row],[SUBTOTAL]]-PROVEEDORES[[#This Row],[descuento antes de IVA]])*PROVEEDORES[[#This Row],[Rete Fuente %]]</f>
        <v>0</v>
      </c>
      <c r="R307" s="32">
        <f>+PROVEEDORES[[#This Row],[SUBTOTAL]]+PROVEEDORES[[#This Row],[IVA 19%]]-PROVEEDORES[[#This Row],[descuento antes de IVA]]-PROVEEDORES[[#This Row],[Descuento sobre subtotal $]]-PROVEEDORES[[#This Row],[Rete Fuente $]]</f>
        <v>82400</v>
      </c>
      <c r="S307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7" s="40"/>
      <c r="U307" s="97"/>
      <c r="V307" s="36"/>
      <c r="W307" s="36"/>
      <c r="X307" s="36"/>
      <c r="Y307" s="36"/>
      <c r="Z307" s="41"/>
      <c r="AA307" s="42"/>
      <c r="AF307" s="36"/>
      <c r="AG307" s="36"/>
    </row>
    <row r="308" spans="1:33" ht="21.95" hidden="1" customHeight="1" x14ac:dyDescent="0.25">
      <c r="A308" s="119" t="str">
        <f>+IF(PROVEEDORES[[#This Row],[FECHA DE PAGO]]=PROVEEDORES[[#This Row],[FECHA DE FACTURACIÓN]],"DE CONTADO","CRÉDITO")</f>
        <v>DE CONTADO</v>
      </c>
      <c r="B308" s="70" t="b">
        <f>+IF((PROVEEDORES[[#This Row],[FECHA DE PAGO]]-PROVEEDORES[[#This Row],[FECHA DE FACTURACIÓN]])&gt;PROVEEDORES[[#This Row],[PLAZO Días]],"PAGO VENCIDO")</f>
        <v>0</v>
      </c>
      <c r="C308" s="27">
        <f>+VLOOKUP(PROVEEDORES[[#This Row],[PROVEEDOR]],TERCEROS_INFO[#All],2,FALSE)</f>
        <v>30</v>
      </c>
      <c r="D308" s="37">
        <f>+SUMIFS(PROVEEDORES[Total],PROVEEDORES[PROVEEDOR],PROVEEDORES[[#This Row],[PROVEEDOR]],PROVEEDORES[FECHA DE PAGO],"")</f>
        <v>0</v>
      </c>
      <c r="E308" s="37"/>
      <c r="F308" s="108" t="str">
        <f>+VLOOKUP(PROVEEDORES[[#This Row],[PROVEEDOR]],TERCEROS_INFO[[PROVEEDOR]:[CORREO]],5,FALSE)</f>
        <v/>
      </c>
      <c r="G308" s="143">
        <v>44347</v>
      </c>
      <c r="H308" s="38" t="s">
        <v>271</v>
      </c>
      <c r="I308" s="30">
        <v>44347</v>
      </c>
      <c r="J308" s="58"/>
      <c r="K308" s="32">
        <v>0</v>
      </c>
      <c r="L308" s="32"/>
      <c r="M308" s="33">
        <f>(PROVEEDORES[[#This Row],[SUBTOTAL]]-PROVEEDORES[[#This Row],[descuento antes de IVA]])*VLOOKUP(PROVEEDORES[[#This Row],[PROVEEDOR]],TERCEROS_INFO[#All],3,FALSE)</f>
        <v>0</v>
      </c>
      <c r="N308" s="34"/>
      <c r="O308" s="33">
        <f>+PROVEEDORES[[#This Row],[Descuento sobre subtotal %]]*(PROVEEDORES[[#This Row],[SUBTOTAL]]-PROVEEDORES[[#This Row],[descuento antes de IVA]])</f>
        <v>0</v>
      </c>
      <c r="P3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8" s="33">
        <f>+(PROVEEDORES[[#This Row],[SUBTOTAL]]-PROVEEDORES[[#This Row],[descuento antes de IVA]])*PROVEEDORES[[#This Row],[Rete Fuente %]]</f>
        <v>0</v>
      </c>
      <c r="R308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308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8" s="40"/>
      <c r="U308" s="97"/>
      <c r="V308" s="36"/>
      <c r="W308" s="36"/>
      <c r="X308" s="36"/>
      <c r="Y308" s="36"/>
      <c r="Z308" s="41"/>
      <c r="AA308" s="42"/>
      <c r="AF308" s="36"/>
      <c r="AG308" s="36"/>
    </row>
    <row r="309" spans="1:33" ht="21.95" hidden="1" customHeight="1" x14ac:dyDescent="0.25">
      <c r="A309" s="129" t="str">
        <f>+IF(PROVEEDORES[[#This Row],[FECHA DE PAGO]]=PROVEEDORES[[#This Row],[FECHA DE FACTURACIÓN]],"DE CONTADO","CRÉDITO")</f>
        <v>DE CONTADO</v>
      </c>
      <c r="B309" s="70" t="b">
        <f>+IF((PROVEEDORES[[#This Row],[FECHA DE PAGO]]-PROVEEDORES[[#This Row],[FECHA DE FACTURACIÓN]])&gt;PROVEEDORES[[#This Row],[PLAZO Días]],"PAGO VENCIDO")</f>
        <v>0</v>
      </c>
      <c r="C309" s="27">
        <f>+VLOOKUP(PROVEEDORES[[#This Row],[PROVEEDOR]],TERCEROS_INFO[#All],2,FALSE)</f>
        <v>30</v>
      </c>
      <c r="D309" s="37">
        <f>+SUMIFS(PROVEEDORES[Total],PROVEEDORES[PROVEEDOR],PROVEEDORES[[#This Row],[PROVEEDOR]],PROVEEDORES[FECHA DE PAGO],"")</f>
        <v>0</v>
      </c>
      <c r="E309" s="37"/>
      <c r="F309" s="108" t="str">
        <f>+VLOOKUP(PROVEEDORES[[#This Row],[PROVEEDOR]],TERCEROS_INFO[[PROVEEDOR]:[CORREO]],5,FALSE)</f>
        <v/>
      </c>
      <c r="G309" s="143">
        <v>44377</v>
      </c>
      <c r="H309" s="38" t="s">
        <v>271</v>
      </c>
      <c r="I309" s="30">
        <v>44377</v>
      </c>
      <c r="J309" s="58"/>
      <c r="K309" s="32">
        <v>0</v>
      </c>
      <c r="L309" s="32"/>
      <c r="M309" s="33">
        <f>(PROVEEDORES[[#This Row],[SUBTOTAL]]-PROVEEDORES[[#This Row],[descuento antes de IVA]])*VLOOKUP(PROVEEDORES[[#This Row],[PROVEEDOR]],TERCEROS_INFO[#All],3,FALSE)</f>
        <v>0</v>
      </c>
      <c r="N309" s="34"/>
      <c r="O309" s="33">
        <f>+PROVEEDORES[[#This Row],[Descuento sobre subtotal %]]*(PROVEEDORES[[#This Row],[SUBTOTAL]]-PROVEEDORES[[#This Row],[descuento antes de IVA]])</f>
        <v>0</v>
      </c>
      <c r="P3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09" s="33">
        <f>+(PROVEEDORES[[#This Row],[SUBTOTAL]]-PROVEEDORES[[#This Row],[descuento antes de IVA]])*PROVEEDORES[[#This Row],[Rete Fuente %]]</f>
        <v>0</v>
      </c>
      <c r="R309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309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9" s="40"/>
      <c r="U309" s="97"/>
      <c r="V309" s="36"/>
      <c r="W309" s="36"/>
      <c r="X309" s="36"/>
      <c r="Y309" s="36"/>
      <c r="Z309" s="41"/>
      <c r="AA309" s="42"/>
      <c r="AF309" s="36"/>
      <c r="AG309" s="36"/>
    </row>
    <row r="310" spans="1:33" ht="21.95" hidden="1" customHeight="1" x14ac:dyDescent="0.25">
      <c r="A310" s="139" t="str">
        <f>+IF(PROVEEDORES[[#This Row],[FECHA DE PAGO]]=PROVEEDORES[[#This Row],[FECHA DE FACTURACIÓN]],"DE CONTADO","CRÉDITO")</f>
        <v>DE CONTADO</v>
      </c>
      <c r="B310" s="70" t="b">
        <f>+IF((PROVEEDORES[[#This Row],[FECHA DE PAGO]]-PROVEEDORES[[#This Row],[FECHA DE FACTURACIÓN]])&gt;PROVEEDORES[[#This Row],[PLAZO Días]],"PAGO VENCIDO")</f>
        <v>0</v>
      </c>
      <c r="C310" s="27">
        <f>+VLOOKUP(PROVEEDORES[[#This Row],[PROVEEDOR]],TERCEROS_INFO[#All],2,FALSE)</f>
        <v>30</v>
      </c>
      <c r="D310" s="37">
        <f>+SUMIFS(PROVEEDORES[Total],PROVEEDORES[PROVEEDOR],PROVEEDORES[[#This Row],[PROVEEDOR]],PROVEEDORES[FECHA DE PAGO],"")</f>
        <v>0</v>
      </c>
      <c r="E310" s="37"/>
      <c r="F310" s="108" t="str">
        <f>+VLOOKUP(PROVEEDORES[[#This Row],[PROVEEDOR]],TERCEROS_INFO[[PROVEEDOR]:[CORREO]],5,FALSE)</f>
        <v/>
      </c>
      <c r="G310" s="143">
        <v>44408</v>
      </c>
      <c r="H310" s="38" t="s">
        <v>271</v>
      </c>
      <c r="I310" s="30">
        <v>44408</v>
      </c>
      <c r="J310" s="58"/>
      <c r="K310" s="32">
        <v>0</v>
      </c>
      <c r="L310" s="32"/>
      <c r="M310" s="33">
        <f>(PROVEEDORES[[#This Row],[SUBTOTAL]]-PROVEEDORES[[#This Row],[descuento antes de IVA]])*VLOOKUP(PROVEEDORES[[#This Row],[PROVEEDOR]],TERCEROS_INFO[#All],3,FALSE)</f>
        <v>0</v>
      </c>
      <c r="N310" s="34"/>
      <c r="O310" s="33">
        <f>+PROVEEDORES[[#This Row],[Descuento sobre subtotal %]]*(PROVEEDORES[[#This Row],[SUBTOTAL]]-PROVEEDORES[[#This Row],[descuento antes de IVA]])</f>
        <v>0</v>
      </c>
      <c r="P3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0" s="33">
        <f>+(PROVEEDORES[[#This Row],[SUBTOTAL]]-PROVEEDORES[[#This Row],[descuento antes de IVA]])*PROVEEDORES[[#This Row],[Rete Fuente %]]</f>
        <v>0</v>
      </c>
      <c r="R310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310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0" s="40"/>
      <c r="U310" s="97"/>
      <c r="V310" s="36"/>
      <c r="W310" s="36"/>
      <c r="X310" s="36"/>
      <c r="Y310" s="36"/>
      <c r="Z310" s="41"/>
      <c r="AA310" s="42"/>
      <c r="AF310" s="36"/>
      <c r="AG310" s="36"/>
    </row>
    <row r="311" spans="1:33" ht="21.95" hidden="1" customHeight="1" x14ac:dyDescent="0.25">
      <c r="A311" s="126" t="str">
        <f>+IF(PROVEEDORES[[#This Row],[FECHA DE PAGO]]=PROVEEDORES[[#This Row],[FECHA DE FACTURACIÓN]],"DE CONTADO","CRÉDITO")</f>
        <v>CRÉDITO</v>
      </c>
      <c r="B311" s="70" t="str">
        <f>+IF((PROVEEDORES[[#This Row],[FECHA DE PAGO]]-PROVEEDORES[[#This Row],[FECHA DE FACTURACIÓN]])&gt;PROVEEDORES[[#This Row],[PLAZO Días]],"PAGO VENCIDO")</f>
        <v>PAGO VENCIDO</v>
      </c>
      <c r="C311" s="27">
        <f>+VLOOKUP(PROVEEDORES[[#This Row],[PROVEEDOR]],TERCEROS_INFO[#All],2,FALSE)</f>
        <v>20</v>
      </c>
      <c r="D311" s="37">
        <f>+SUMIFS(PROVEEDORES[Total],PROVEEDORES[PROVEEDOR],PROVEEDORES[[#This Row],[PROVEEDOR]],PROVEEDORES[FECHA DE PAGO],"")</f>
        <v>0</v>
      </c>
      <c r="E311" s="37"/>
      <c r="F311" s="108">
        <f>+VLOOKUP(PROVEEDORES[[#This Row],[PROVEEDOR]],TERCEROS_INFO[[PROVEEDOR]:[CORREO]],5,FALSE)</f>
        <v>0</v>
      </c>
      <c r="G311" s="143">
        <v>44400</v>
      </c>
      <c r="H311" s="57" t="s">
        <v>709</v>
      </c>
      <c r="I311" s="30">
        <v>44363</v>
      </c>
      <c r="J311" s="58" t="s">
        <v>1156</v>
      </c>
      <c r="K311" s="32">
        <v>1035000</v>
      </c>
      <c r="L311" s="32"/>
      <c r="M311" s="33">
        <f>(PROVEEDORES[[#This Row],[SUBTOTAL]]-PROVEEDORES[[#This Row],[descuento antes de IVA]])*VLOOKUP(PROVEEDORES[[#This Row],[PROVEEDOR]],TERCEROS_INFO[#All],3,FALSE)</f>
        <v>0</v>
      </c>
      <c r="N311" s="34"/>
      <c r="O311" s="33">
        <f>+PROVEEDORES[[#This Row],[Descuento sobre subtotal %]]*(PROVEEDORES[[#This Row],[SUBTOTAL]]-PROVEEDORES[[#This Row],[descuento antes de IVA]])</f>
        <v>0</v>
      </c>
      <c r="P3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1" s="33">
        <f>+(PROVEEDORES[[#This Row],[SUBTOTAL]]-PROVEEDORES[[#This Row],[descuento antes de IVA]])*PROVEEDORES[[#This Row],[Rete Fuente %]]</f>
        <v>0</v>
      </c>
      <c r="R311" s="32">
        <f>+PROVEEDORES[[#This Row],[SUBTOTAL]]+PROVEEDORES[[#This Row],[IVA 19%]]-PROVEEDORES[[#This Row],[descuento antes de IVA]]-PROVEEDORES[[#This Row],[Descuento sobre subtotal $]]-PROVEEDORES[[#This Row],[Rete Fuente $]]</f>
        <v>1035000</v>
      </c>
      <c r="S311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1" s="40"/>
      <c r="U311" s="97"/>
      <c r="V311" s="36"/>
      <c r="W311" s="36"/>
      <c r="X311" s="36"/>
      <c r="Y311" s="36"/>
      <c r="Z311" s="41"/>
      <c r="AA311" s="42"/>
      <c r="AF311" s="36"/>
      <c r="AG311" s="36"/>
    </row>
    <row r="312" spans="1:33" ht="21.95" hidden="1" customHeight="1" x14ac:dyDescent="0.25">
      <c r="A312" s="134" t="str">
        <f>+IF(PROVEEDORES[[#This Row],[FECHA DE PAGO]]=PROVEEDORES[[#This Row],[FECHA DE FACTURACIÓN]],"DE CONTADO","CRÉDITO")</f>
        <v>CRÉDITO</v>
      </c>
      <c r="B312" s="70" t="str">
        <f>+IF((PROVEEDORES[[#This Row],[FECHA DE PAGO]]-PROVEEDORES[[#This Row],[FECHA DE FACTURACIÓN]])&gt;PROVEEDORES[[#This Row],[PLAZO Días]],"PAGO VENCIDO")</f>
        <v>PAGO VENCIDO</v>
      </c>
      <c r="C312" s="27">
        <f>+VLOOKUP(PROVEEDORES[[#This Row],[PROVEEDOR]],TERCEROS_INFO[#All],2,FALSE)</f>
        <v>20</v>
      </c>
      <c r="D312" s="37">
        <f>+SUMIFS(PROVEEDORES[Total],PROVEEDORES[PROVEEDOR],PROVEEDORES[[#This Row],[PROVEEDOR]],PROVEEDORES[FECHA DE PAGO],"")</f>
        <v>0</v>
      </c>
      <c r="E312" s="37"/>
      <c r="F312" s="108">
        <f>+VLOOKUP(PROVEEDORES[[#This Row],[PROVEEDOR]],TERCEROS_INFO[[PROVEEDOR]:[CORREO]],5,FALSE)</f>
        <v>0</v>
      </c>
      <c r="G312" s="143">
        <v>44448</v>
      </c>
      <c r="H312" s="57" t="s">
        <v>709</v>
      </c>
      <c r="I312" s="30">
        <v>44400</v>
      </c>
      <c r="J312" s="58" t="s">
        <v>1189</v>
      </c>
      <c r="K312" s="32">
        <v>1793000</v>
      </c>
      <c r="L312" s="32"/>
      <c r="M312" s="33">
        <f>(PROVEEDORES[[#This Row],[SUBTOTAL]]-PROVEEDORES[[#This Row],[descuento antes de IVA]])*VLOOKUP(PROVEEDORES[[#This Row],[PROVEEDOR]],TERCEROS_INFO[#All],3,FALSE)</f>
        <v>0</v>
      </c>
      <c r="N312" s="34"/>
      <c r="O312" s="33">
        <f>+PROVEEDORES[[#This Row],[Descuento sobre subtotal %]]*(PROVEEDORES[[#This Row],[SUBTOTAL]]-PROVEEDORES[[#This Row],[descuento antes de IVA]])</f>
        <v>0</v>
      </c>
      <c r="P3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2" s="33">
        <f>+(PROVEEDORES[[#This Row],[SUBTOTAL]]-PROVEEDORES[[#This Row],[descuento antes de IVA]])*PROVEEDORES[[#This Row],[Rete Fuente %]]</f>
        <v>0</v>
      </c>
      <c r="R312" s="32">
        <f>+PROVEEDORES[[#This Row],[SUBTOTAL]]+PROVEEDORES[[#This Row],[IVA 19%]]-PROVEEDORES[[#This Row],[descuento antes de IVA]]-PROVEEDORES[[#This Row],[Descuento sobre subtotal $]]-PROVEEDORES[[#This Row],[Rete Fuente $]]</f>
        <v>1793000</v>
      </c>
      <c r="S312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2" s="40"/>
      <c r="U312" s="97"/>
      <c r="V312" s="36"/>
      <c r="W312" s="36"/>
      <c r="X312" s="36"/>
      <c r="Y312" s="36"/>
      <c r="Z312" s="41"/>
      <c r="AA312" s="42"/>
      <c r="AF312" s="36"/>
      <c r="AG312" s="36"/>
    </row>
    <row r="313" spans="1:33" ht="21.95" hidden="1" customHeight="1" x14ac:dyDescent="0.25">
      <c r="A313" s="39" t="str">
        <f>+IF(PROVEEDORES[[#This Row],[FECHA DE PAGO]]=PROVEEDORES[[#This Row],[FECHA DE FACTURACIÓN]],"DE CONTADO","CRÉDITO")</f>
        <v>DE CONTADO</v>
      </c>
      <c r="B313" s="67" t="b">
        <f>+IF((PROVEEDORES[[#This Row],[FECHA DE PAGO]]-PROVEEDORES[[#This Row],[FECHA DE FACTURACIÓN]])&gt;PROVEEDORES[[#This Row],[PLAZO Días]],"PAGO VENCIDO")</f>
        <v>0</v>
      </c>
      <c r="C313" s="27">
        <f>+VLOOKUP(PROVEEDORES[[#This Row],[PROVEEDOR]],TERCEROS_INFO[#All],2,FALSE)</f>
        <v>30</v>
      </c>
      <c r="D313" s="37">
        <f>+SUMIFS(PROVEEDORES[Total],PROVEEDORES[PROVEEDOR],PROVEEDORES[[#This Row],[PROVEEDOR]],PROVEEDORES[FECHA DE PAGO],"")</f>
        <v>0</v>
      </c>
      <c r="E313" s="37"/>
      <c r="F313" s="108" t="str">
        <f>+VLOOKUP(PROVEEDORES[[#This Row],[PROVEEDOR]],TERCEROS_INFO[[PROVEEDOR]:[CORREO]],5,FALSE)</f>
        <v/>
      </c>
      <c r="G313" s="143">
        <v>44084</v>
      </c>
      <c r="H313" s="38" t="s">
        <v>316</v>
      </c>
      <c r="I313" s="30">
        <v>44084</v>
      </c>
      <c r="J313" s="58"/>
      <c r="K313" s="32">
        <v>124000</v>
      </c>
      <c r="L313" s="32"/>
      <c r="M313" s="33">
        <f>(PROVEEDORES[[#This Row],[SUBTOTAL]]-PROVEEDORES[[#This Row],[descuento antes de IVA]])*VLOOKUP(PROVEEDORES[[#This Row],[PROVEEDOR]],TERCEROS_INFO[#All],3,FALSE)</f>
        <v>0</v>
      </c>
      <c r="N313" s="34"/>
      <c r="O313" s="33">
        <f>+PROVEEDORES[[#This Row],[Descuento sobre subtotal %]]*(PROVEEDORES[[#This Row],[SUBTOTAL]]-PROVEEDORES[[#This Row],[descuento antes de IVA]])</f>
        <v>0</v>
      </c>
      <c r="P3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3" s="33">
        <f>+(PROVEEDORES[[#This Row],[SUBTOTAL]]-PROVEEDORES[[#This Row],[descuento antes de IVA]])*PROVEEDORES[[#This Row],[Rete Fuente %]]</f>
        <v>0</v>
      </c>
      <c r="R313" s="32">
        <f>+PROVEEDORES[[#This Row],[SUBTOTAL]]+PROVEEDORES[[#This Row],[IVA 19%]]-PROVEEDORES[[#This Row],[descuento antes de IVA]]-PROVEEDORES[[#This Row],[Descuento sobre subtotal $]]-PROVEEDORES[[#This Row],[Rete Fuente $]]</f>
        <v>124000</v>
      </c>
      <c r="S31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3" s="40"/>
      <c r="U313" s="97"/>
      <c r="V313" s="36"/>
      <c r="W313" s="36"/>
      <c r="X313" s="36"/>
      <c r="Y313" s="36"/>
      <c r="Z313" s="41"/>
      <c r="AA313" s="42"/>
      <c r="AF313" s="36"/>
      <c r="AG313" s="36"/>
    </row>
    <row r="314" spans="1:33" ht="21.95" hidden="1" customHeight="1" x14ac:dyDescent="0.25">
      <c r="A314" s="39" t="str">
        <f>+IF(PROVEEDORES[[#This Row],[FECHA DE PAGO]]=PROVEEDORES[[#This Row],[FECHA DE FACTURACIÓN]],"DE CONTADO","CRÉDITO")</f>
        <v>CRÉDITO</v>
      </c>
      <c r="B314" s="67" t="str">
        <f>+IF((PROVEEDORES[[#This Row],[FECHA DE PAGO]]-PROVEEDORES[[#This Row],[FECHA DE FACTURACIÓN]])&gt;PROVEEDORES[[#This Row],[PLAZO Días]],"PAGO VENCIDO")</f>
        <v>PAGO VENCIDO</v>
      </c>
      <c r="C314" s="27">
        <f>+VLOOKUP(PROVEEDORES[[#This Row],[PROVEEDOR]],TERCEROS_INFO[#All],2,FALSE)</f>
        <v>30</v>
      </c>
      <c r="D314" s="37">
        <f>+SUMIFS(PROVEEDORES[Total],PROVEEDORES[PROVEEDOR],PROVEEDORES[[#This Row],[PROVEEDOR]],PROVEEDORES[FECHA DE PAGO],"")</f>
        <v>0</v>
      </c>
      <c r="E314" s="37" t="s">
        <v>340</v>
      </c>
      <c r="F314" s="108" t="str">
        <f>+VLOOKUP(PROVEEDORES[[#This Row],[PROVEEDOR]],TERCEROS_INFO[[PROVEEDOR]:[CORREO]],5,FALSE)</f>
        <v/>
      </c>
      <c r="G314" s="143">
        <v>44020</v>
      </c>
      <c r="H314" s="38" t="s">
        <v>273</v>
      </c>
      <c r="I314" s="30">
        <v>43899</v>
      </c>
      <c r="J314" s="58" t="s">
        <v>81</v>
      </c>
      <c r="K314" s="32">
        <v>370978</v>
      </c>
      <c r="L314" s="32"/>
      <c r="M314" s="33">
        <f>(PROVEEDORES[[#This Row],[SUBTOTAL]]-PROVEEDORES[[#This Row],[descuento antes de IVA]])*VLOOKUP(PROVEEDORES[[#This Row],[PROVEEDOR]],TERCEROS_INFO[#All],3,FALSE)</f>
        <v>0</v>
      </c>
      <c r="N314" s="34"/>
      <c r="O314" s="33">
        <f>+PROVEEDORES[[#This Row],[Descuento sobre subtotal %]]*(PROVEEDORES[[#This Row],[SUBTOTAL]]-PROVEEDORES[[#This Row],[descuento antes de IVA]])</f>
        <v>0</v>
      </c>
      <c r="P3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4" s="33">
        <f>+(PROVEEDORES[[#This Row],[SUBTOTAL]]-PROVEEDORES[[#This Row],[descuento antes de IVA]])*PROVEEDORES[[#This Row],[Rete Fuente %]]</f>
        <v>0</v>
      </c>
      <c r="R314" s="32">
        <f>+PROVEEDORES[[#This Row],[SUBTOTAL]]+PROVEEDORES[[#This Row],[IVA 19%]]-PROVEEDORES[[#This Row],[descuento antes de IVA]]-PROVEEDORES[[#This Row],[Descuento sobre subtotal $]]-PROVEEDORES[[#This Row],[Rete Fuente $]]</f>
        <v>370978</v>
      </c>
      <c r="S3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4" s="40"/>
      <c r="U314" s="97"/>
      <c r="V314" s="36"/>
      <c r="W314" s="36"/>
      <c r="X314" s="36"/>
      <c r="Y314" s="36"/>
      <c r="Z314" s="41"/>
      <c r="AA314" s="42"/>
      <c r="AF314" s="36"/>
      <c r="AG314" s="36"/>
    </row>
    <row r="315" spans="1:33" ht="21.95" hidden="1" customHeight="1" x14ac:dyDescent="0.25">
      <c r="A315" s="39" t="str">
        <f>+IF(PROVEEDORES[[#This Row],[FECHA DE PAGO]]=PROVEEDORES[[#This Row],[FECHA DE FACTURACIÓN]],"DE CONTADO","CRÉDITO")</f>
        <v>CRÉDITO</v>
      </c>
      <c r="B315" s="67" t="str">
        <f>+IF((PROVEEDORES[[#This Row],[FECHA DE PAGO]]-PROVEEDORES[[#This Row],[FECHA DE FACTURACIÓN]])&gt;PROVEEDORES[[#This Row],[PLAZO Días]],"PAGO VENCIDO")</f>
        <v>PAGO VENCIDO</v>
      </c>
      <c r="C315" s="27">
        <f>+VLOOKUP(PROVEEDORES[[#This Row],[PROVEEDOR]],TERCEROS_INFO[#All],2,FALSE)</f>
        <v>30</v>
      </c>
      <c r="D315" s="37">
        <f>+SUMIFS(PROVEEDORES[Total],PROVEEDORES[PROVEEDOR],PROVEEDORES[[#This Row],[PROVEEDOR]],PROVEEDORES[FECHA DE PAGO],"")</f>
        <v>0</v>
      </c>
      <c r="E315" s="37"/>
      <c r="F315" s="108" t="str">
        <f>+VLOOKUP(PROVEEDORES[[#This Row],[PROVEEDOR]],TERCEROS_INFO[[PROVEEDOR]:[CORREO]],5,FALSE)</f>
        <v/>
      </c>
      <c r="G315" s="143">
        <v>43899</v>
      </c>
      <c r="H315" s="38" t="s">
        <v>274</v>
      </c>
      <c r="I315" s="30">
        <v>43840</v>
      </c>
      <c r="J315" s="58" t="s">
        <v>1022</v>
      </c>
      <c r="K315" s="32">
        <v>2470000</v>
      </c>
      <c r="L315" s="32"/>
      <c r="M315" s="33">
        <f>(PROVEEDORES[[#This Row],[SUBTOTAL]]-PROVEEDORES[[#This Row],[descuento antes de IVA]])*VLOOKUP(PROVEEDORES[[#This Row],[PROVEEDOR]],TERCEROS_INFO[#All],3,FALSE)</f>
        <v>0</v>
      </c>
      <c r="N315" s="34"/>
      <c r="O315" s="33">
        <f>+PROVEEDORES[[#This Row],[Descuento sobre subtotal %]]*(PROVEEDORES[[#This Row],[SUBTOTAL]]-PROVEEDORES[[#This Row],[descuento antes de IVA]])</f>
        <v>0</v>
      </c>
      <c r="P3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5" s="33">
        <f>+(PROVEEDORES[[#This Row],[SUBTOTAL]]-PROVEEDORES[[#This Row],[descuento antes de IVA]])*PROVEEDORES[[#This Row],[Rete Fuente %]]</f>
        <v>0</v>
      </c>
      <c r="R315" s="32">
        <f>+PROVEEDORES[[#This Row],[SUBTOTAL]]+PROVEEDORES[[#This Row],[IVA 19%]]-PROVEEDORES[[#This Row],[descuento antes de IVA]]-PROVEEDORES[[#This Row],[Descuento sobre subtotal $]]-PROVEEDORES[[#This Row],[Rete Fuente $]]</f>
        <v>2470000</v>
      </c>
      <c r="S3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5" s="40"/>
      <c r="U315" s="97"/>
      <c r="V315" s="36"/>
      <c r="W315" s="36"/>
      <c r="X315" s="36"/>
      <c r="Y315" s="36"/>
      <c r="Z315" s="41"/>
      <c r="AA315" s="42"/>
      <c r="AF315" s="36"/>
      <c r="AG315" s="36"/>
    </row>
    <row r="316" spans="1:33" ht="21.95" hidden="1" customHeight="1" x14ac:dyDescent="0.25">
      <c r="A316" s="39" t="str">
        <f>+IF(PROVEEDORES[[#This Row],[FECHA DE PAGO]]=PROVEEDORES[[#This Row],[FECHA DE FACTURACIÓN]],"DE CONTADO","CRÉDITO")</f>
        <v>CRÉDITO</v>
      </c>
      <c r="B316" s="67" t="str">
        <f>+IF((PROVEEDORES[[#This Row],[FECHA DE PAGO]]-PROVEEDORES[[#This Row],[FECHA DE FACTURACIÓN]])&gt;PROVEEDORES[[#This Row],[PLAZO Días]],"PAGO VENCIDO")</f>
        <v>PAGO VENCIDO</v>
      </c>
      <c r="C316" s="27">
        <f>+VLOOKUP(PROVEEDORES[[#This Row],[PROVEEDOR]],TERCEROS_INFO[#All],2,FALSE)</f>
        <v>30</v>
      </c>
      <c r="D316" s="37">
        <f>+SUMIFS(PROVEEDORES[Total],PROVEEDORES[PROVEEDOR],PROVEEDORES[[#This Row],[PROVEEDOR]],PROVEEDORES[FECHA DE PAGO],"")</f>
        <v>0</v>
      </c>
      <c r="E316" s="37" t="s">
        <v>341</v>
      </c>
      <c r="F316" s="108" t="str">
        <f>+VLOOKUP(PROVEEDORES[[#This Row],[PROVEEDOR]],TERCEROS_INFO[[PROVEEDOR]:[CORREO]],5,FALSE)</f>
        <v/>
      </c>
      <c r="G316" s="143">
        <v>44184</v>
      </c>
      <c r="H316" s="38" t="s">
        <v>274</v>
      </c>
      <c r="I316" s="30">
        <v>44127</v>
      </c>
      <c r="J316" s="58">
        <v>2977</v>
      </c>
      <c r="K316" s="32">
        <v>3690000</v>
      </c>
      <c r="L316" s="32"/>
      <c r="M316" s="33">
        <f>(PROVEEDORES[[#This Row],[SUBTOTAL]]-PROVEEDORES[[#This Row],[descuento antes de IVA]])*VLOOKUP(PROVEEDORES[[#This Row],[PROVEEDOR]],TERCEROS_INFO[#All],3,FALSE)</f>
        <v>0</v>
      </c>
      <c r="N316" s="34"/>
      <c r="O316" s="33">
        <f>+PROVEEDORES[[#This Row],[Descuento sobre subtotal %]]*(PROVEEDORES[[#This Row],[SUBTOTAL]]-PROVEEDORES[[#This Row],[descuento antes de IVA]])</f>
        <v>0</v>
      </c>
      <c r="P3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6" s="33">
        <f>+(PROVEEDORES[[#This Row],[SUBTOTAL]]-PROVEEDORES[[#This Row],[descuento antes de IVA]])*PROVEEDORES[[#This Row],[Rete Fuente %]]</f>
        <v>0</v>
      </c>
      <c r="R316" s="32">
        <f>+PROVEEDORES[[#This Row],[SUBTOTAL]]+PROVEEDORES[[#This Row],[IVA 19%]]-PROVEEDORES[[#This Row],[descuento antes de IVA]]-PROVEEDORES[[#This Row],[Descuento sobre subtotal $]]-PROVEEDORES[[#This Row],[Rete Fuente $]]</f>
        <v>3690000</v>
      </c>
      <c r="S3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6" s="40"/>
      <c r="U316" s="97"/>
      <c r="V316" s="36"/>
      <c r="W316" s="36"/>
      <c r="X316" s="36"/>
      <c r="Y316" s="36"/>
      <c r="Z316" s="41"/>
      <c r="AA316" s="42"/>
      <c r="AF316" s="36"/>
      <c r="AG316" s="36"/>
    </row>
    <row r="317" spans="1:33" ht="21.95" hidden="1" customHeight="1" x14ac:dyDescent="0.25">
      <c r="A317" s="39" t="str">
        <f>+IF(PROVEEDORES[[#This Row],[FECHA DE PAGO]]=PROVEEDORES[[#This Row],[FECHA DE FACTURACIÓN]],"DE CONTADO","CRÉDITO")</f>
        <v>DE CONTADO</v>
      </c>
      <c r="B317" s="67" t="b">
        <f>+IF((PROVEEDORES[[#This Row],[FECHA DE PAGO]]-PROVEEDORES[[#This Row],[FECHA DE FACTURACIÓN]])&gt;PROVEEDORES[[#This Row],[PLAZO Días]],"PAGO VENCIDO")</f>
        <v>0</v>
      </c>
      <c r="C317" s="27">
        <f>+VLOOKUP(PROVEEDORES[[#This Row],[PROVEEDOR]],TERCEROS_INFO[#All],2,FALSE)</f>
        <v>30</v>
      </c>
      <c r="D317" s="37">
        <f>+SUMIFS(PROVEEDORES[Total],PROVEEDORES[PROVEEDOR],PROVEEDORES[[#This Row],[PROVEEDOR]],PROVEEDORES[FECHA DE PAGO],"")</f>
        <v>0</v>
      </c>
      <c r="E317" s="37"/>
      <c r="F317" s="108" t="str">
        <f>+VLOOKUP(PROVEEDORES[[#This Row],[PROVEEDOR]],TERCEROS_INFO[[PROVEEDOR]:[CORREO]],5,FALSE)</f>
        <v/>
      </c>
      <c r="G317" s="143">
        <v>44160</v>
      </c>
      <c r="H317" s="38" t="s">
        <v>274</v>
      </c>
      <c r="I317" s="30">
        <v>44160</v>
      </c>
      <c r="J317" s="58">
        <v>3051</v>
      </c>
      <c r="K317" s="32">
        <v>150000</v>
      </c>
      <c r="L317" s="32"/>
      <c r="M317" s="33">
        <f>(PROVEEDORES[[#This Row],[SUBTOTAL]]-PROVEEDORES[[#This Row],[descuento antes de IVA]])*VLOOKUP(PROVEEDORES[[#This Row],[PROVEEDOR]],TERCEROS_INFO[#All],3,FALSE)</f>
        <v>0</v>
      </c>
      <c r="N317" s="34"/>
      <c r="O317" s="33">
        <f>+PROVEEDORES[[#This Row],[Descuento sobre subtotal %]]*(PROVEEDORES[[#This Row],[SUBTOTAL]]-PROVEEDORES[[#This Row],[descuento antes de IVA]])</f>
        <v>0</v>
      </c>
      <c r="P3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7" s="33">
        <f>+(PROVEEDORES[[#This Row],[SUBTOTAL]]-PROVEEDORES[[#This Row],[descuento antes de IVA]])*PROVEEDORES[[#This Row],[Rete Fuente %]]</f>
        <v>0</v>
      </c>
      <c r="R317" s="32">
        <f>+PROVEEDORES[[#This Row],[SUBTOTAL]]+PROVEEDORES[[#This Row],[IVA 19%]]-PROVEEDORES[[#This Row],[descuento antes de IVA]]-PROVEEDORES[[#This Row],[Descuento sobre subtotal $]]-PROVEEDORES[[#This Row],[Rete Fuente $]]</f>
        <v>150000</v>
      </c>
      <c r="S31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7" s="40"/>
      <c r="U317" s="97"/>
      <c r="V317" s="36"/>
      <c r="W317" s="36"/>
      <c r="X317" s="36"/>
      <c r="Y317" s="36"/>
      <c r="Z317" s="41"/>
      <c r="AA317" s="42"/>
      <c r="AF317" s="36"/>
      <c r="AG317" s="36"/>
    </row>
    <row r="318" spans="1:33" ht="21.95" hidden="1" customHeight="1" x14ac:dyDescent="0.25">
      <c r="A318" s="39" t="str">
        <f>+IF(PROVEEDORES[[#This Row],[FECHA DE PAGO]]=PROVEEDORES[[#This Row],[FECHA DE FACTURACIÓN]],"DE CONTADO","CRÉDITO")</f>
        <v>DE CONTADO</v>
      </c>
      <c r="B318" s="67" t="b">
        <f>+IF((PROVEEDORES[[#This Row],[FECHA DE PAGO]]-PROVEEDORES[[#This Row],[FECHA DE FACTURACIÓN]])&gt;PROVEEDORES[[#This Row],[PLAZO Días]],"PAGO VENCIDO")</f>
        <v>0</v>
      </c>
      <c r="C318" s="27">
        <f>+VLOOKUP(PROVEEDORES[[#This Row],[PROVEEDOR]],TERCEROS_INFO[#All],2,FALSE)</f>
        <v>30</v>
      </c>
      <c r="D318" s="37">
        <f>+SUMIFS(PROVEEDORES[Total],PROVEEDORES[PROVEEDOR],PROVEEDORES[[#This Row],[PROVEEDOR]],PROVEEDORES[FECHA DE PAGO],"")</f>
        <v>0</v>
      </c>
      <c r="E318" s="37"/>
      <c r="F318" s="108" t="str">
        <f>+VLOOKUP(PROVEEDORES[[#This Row],[PROVEEDOR]],TERCEROS_INFO[[PROVEEDOR]:[CORREO]],5,FALSE)</f>
        <v/>
      </c>
      <c r="G318" s="143">
        <v>43861</v>
      </c>
      <c r="H318" s="38" t="s">
        <v>275</v>
      </c>
      <c r="I318" s="30">
        <v>43861</v>
      </c>
      <c r="J318" s="58" t="s">
        <v>1033</v>
      </c>
      <c r="K318" s="32">
        <v>60504.201680672275</v>
      </c>
      <c r="L318" s="32"/>
      <c r="M318" s="33">
        <f>(PROVEEDORES[[#This Row],[SUBTOTAL]]-PROVEEDORES[[#This Row],[descuento antes de IVA]])*VLOOKUP(PROVEEDORES[[#This Row],[PROVEEDOR]],TERCEROS_INFO[#All],3,FALSE)</f>
        <v>0</v>
      </c>
      <c r="N318" s="34"/>
      <c r="O318" s="33">
        <f>+PROVEEDORES[[#This Row],[Descuento sobre subtotal %]]*(PROVEEDORES[[#This Row],[SUBTOTAL]]-PROVEEDORES[[#This Row],[descuento antes de IVA]])</f>
        <v>0</v>
      </c>
      <c r="P3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8" s="33">
        <f>+(PROVEEDORES[[#This Row],[SUBTOTAL]]-PROVEEDORES[[#This Row],[descuento antes de IVA]])*PROVEEDORES[[#This Row],[Rete Fuente %]]</f>
        <v>0</v>
      </c>
      <c r="R318" s="32">
        <f>+PROVEEDORES[[#This Row],[SUBTOTAL]]+PROVEEDORES[[#This Row],[IVA 19%]]-PROVEEDORES[[#This Row],[descuento antes de IVA]]-PROVEEDORES[[#This Row],[Descuento sobre subtotal $]]-PROVEEDORES[[#This Row],[Rete Fuente $]]</f>
        <v>60504.201680672275</v>
      </c>
      <c r="S3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8" s="40"/>
      <c r="U318" s="97"/>
      <c r="V318" s="36"/>
      <c r="W318" s="36"/>
      <c r="X318" s="36"/>
      <c r="Y318" s="36"/>
      <c r="Z318" s="41"/>
      <c r="AA318" s="42"/>
      <c r="AF318" s="36"/>
      <c r="AG318" s="36"/>
    </row>
    <row r="319" spans="1:33" ht="21.95" hidden="1" customHeight="1" x14ac:dyDescent="0.25">
      <c r="A319" s="39" t="str">
        <f>+IF(PROVEEDORES[[#This Row],[FECHA DE PAGO]]=PROVEEDORES[[#This Row],[FECHA DE FACTURACIÓN]],"DE CONTADO","CRÉDITO")</f>
        <v>DE CONTADO</v>
      </c>
      <c r="B319" s="67" t="b">
        <f>+IF((PROVEEDORES[[#This Row],[FECHA DE PAGO]]-PROVEEDORES[[#This Row],[FECHA DE FACTURACIÓN]])&gt;PROVEEDORES[[#This Row],[PLAZO Días]],"PAGO VENCIDO")</f>
        <v>0</v>
      </c>
      <c r="C319" s="27">
        <f>+VLOOKUP(PROVEEDORES[[#This Row],[PROVEEDOR]],TERCEROS_INFO[#All],2,FALSE)</f>
        <v>30</v>
      </c>
      <c r="D319" s="37">
        <f>+SUMIFS(PROVEEDORES[Total],PROVEEDORES[PROVEEDOR],PROVEEDORES[[#This Row],[PROVEEDOR]],PROVEEDORES[FECHA DE PAGO],"")</f>
        <v>0</v>
      </c>
      <c r="E319" s="37"/>
      <c r="F319" s="108" t="str">
        <f>+VLOOKUP(PROVEEDORES[[#This Row],[PROVEEDOR]],TERCEROS_INFO[[PROVEEDOR]:[CORREO]],5,FALSE)</f>
        <v/>
      </c>
      <c r="G319" s="143">
        <v>43921</v>
      </c>
      <c r="H319" s="38" t="s">
        <v>275</v>
      </c>
      <c r="I319" s="30">
        <v>43921</v>
      </c>
      <c r="J319" s="58" t="s">
        <v>1033</v>
      </c>
      <c r="K319" s="32">
        <v>289075.63025210088</v>
      </c>
      <c r="L319" s="32"/>
      <c r="M319" s="33">
        <f>(PROVEEDORES[[#This Row],[SUBTOTAL]]-PROVEEDORES[[#This Row],[descuento antes de IVA]])*VLOOKUP(PROVEEDORES[[#This Row],[PROVEEDOR]],TERCEROS_INFO[#All],3,FALSE)</f>
        <v>0</v>
      </c>
      <c r="N319" s="34"/>
      <c r="O319" s="33">
        <f>+PROVEEDORES[[#This Row],[Descuento sobre subtotal %]]*(PROVEEDORES[[#This Row],[SUBTOTAL]]-PROVEEDORES[[#This Row],[descuento antes de IVA]])</f>
        <v>0</v>
      </c>
      <c r="P3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19" s="33">
        <f>+(PROVEEDORES[[#This Row],[SUBTOTAL]]-PROVEEDORES[[#This Row],[descuento antes de IVA]])*PROVEEDORES[[#This Row],[Rete Fuente %]]</f>
        <v>0</v>
      </c>
      <c r="R319" s="32">
        <f>+PROVEEDORES[[#This Row],[SUBTOTAL]]+PROVEEDORES[[#This Row],[IVA 19%]]-PROVEEDORES[[#This Row],[descuento antes de IVA]]-PROVEEDORES[[#This Row],[Descuento sobre subtotal $]]-PROVEEDORES[[#This Row],[Rete Fuente $]]</f>
        <v>289075.63025210088</v>
      </c>
      <c r="S31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9" s="40"/>
      <c r="U319" s="97"/>
      <c r="V319" s="36"/>
      <c r="W319" s="36"/>
      <c r="X319" s="36"/>
      <c r="Y319" s="36"/>
      <c r="Z319" s="41"/>
      <c r="AA319" s="42"/>
      <c r="AF319" s="36"/>
      <c r="AG319" s="36"/>
    </row>
    <row r="320" spans="1:33" ht="21.95" hidden="1" customHeight="1" x14ac:dyDescent="0.25">
      <c r="A320" s="39" t="str">
        <f>+IF(PROVEEDORES[[#This Row],[FECHA DE PAGO]]=PROVEEDORES[[#This Row],[FECHA DE FACTURACIÓN]],"DE CONTADO","CRÉDITO")</f>
        <v>DE CONTADO</v>
      </c>
      <c r="B320" s="67" t="b">
        <f>+IF((PROVEEDORES[[#This Row],[FECHA DE PAGO]]-PROVEEDORES[[#This Row],[FECHA DE FACTURACIÓN]])&gt;PROVEEDORES[[#This Row],[PLAZO Días]],"PAGO VENCIDO")</f>
        <v>0</v>
      </c>
      <c r="C320" s="27">
        <f>+VLOOKUP(PROVEEDORES[[#This Row],[PROVEEDOR]],TERCEROS_INFO[#All],2,FALSE)</f>
        <v>30</v>
      </c>
      <c r="D320" s="37">
        <f>+SUMIFS(PROVEEDORES[Total],PROVEEDORES[PROVEEDOR],PROVEEDORES[[#This Row],[PROVEEDOR]],PROVEEDORES[FECHA DE PAGO],"")</f>
        <v>0</v>
      </c>
      <c r="E320" s="37"/>
      <c r="F320" s="108" t="str">
        <f>+VLOOKUP(PROVEEDORES[[#This Row],[PROVEEDOR]],TERCEROS_INFO[[PROVEEDOR]:[CORREO]],5,FALSE)</f>
        <v/>
      </c>
      <c r="G320" s="143">
        <v>44012</v>
      </c>
      <c r="H320" s="38" t="s">
        <v>275</v>
      </c>
      <c r="I320" s="30">
        <v>44012</v>
      </c>
      <c r="J320" s="58"/>
      <c r="K320" s="32">
        <v>510100</v>
      </c>
      <c r="L320" s="32"/>
      <c r="M320" s="33">
        <f>(PROVEEDORES[[#This Row],[SUBTOTAL]]-PROVEEDORES[[#This Row],[descuento antes de IVA]])*VLOOKUP(PROVEEDORES[[#This Row],[PROVEEDOR]],TERCEROS_INFO[#All],3,FALSE)</f>
        <v>0</v>
      </c>
      <c r="N320" s="34"/>
      <c r="O320" s="33">
        <f>+PROVEEDORES[[#This Row],[Descuento sobre subtotal %]]*(PROVEEDORES[[#This Row],[SUBTOTAL]]-PROVEEDORES[[#This Row],[descuento antes de IVA]])</f>
        <v>0</v>
      </c>
      <c r="P3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0" s="33">
        <f>+(PROVEEDORES[[#This Row],[SUBTOTAL]]-PROVEEDORES[[#This Row],[descuento antes de IVA]])*PROVEEDORES[[#This Row],[Rete Fuente %]]</f>
        <v>0</v>
      </c>
      <c r="R320" s="32">
        <f>+PROVEEDORES[[#This Row],[SUBTOTAL]]+PROVEEDORES[[#This Row],[IVA 19%]]-PROVEEDORES[[#This Row],[descuento antes de IVA]]-PROVEEDORES[[#This Row],[Descuento sobre subtotal $]]-PROVEEDORES[[#This Row],[Rete Fuente $]]</f>
        <v>510100</v>
      </c>
      <c r="S3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0" s="40"/>
      <c r="U320" s="97"/>
      <c r="V320" s="36"/>
      <c r="W320" s="36"/>
      <c r="X320" s="36"/>
      <c r="Y320" s="36"/>
      <c r="Z320" s="41"/>
      <c r="AA320" s="42"/>
      <c r="AF320" s="36"/>
      <c r="AG320" s="36"/>
    </row>
    <row r="321" spans="1:33" ht="21.95" hidden="1" customHeight="1" x14ac:dyDescent="0.25">
      <c r="A321" s="39" t="str">
        <f>+IF(PROVEEDORES[[#This Row],[FECHA DE PAGO]]=PROVEEDORES[[#This Row],[FECHA DE FACTURACIÓN]],"DE CONTADO","CRÉDITO")</f>
        <v>DE CONTADO</v>
      </c>
      <c r="B321" s="67" t="b">
        <f>+IF((PROVEEDORES[[#This Row],[FECHA DE PAGO]]-PROVEEDORES[[#This Row],[FECHA DE FACTURACIÓN]])&gt;PROVEEDORES[[#This Row],[PLAZO Días]],"PAGO VENCIDO")</f>
        <v>0</v>
      </c>
      <c r="C321" s="27">
        <f>+VLOOKUP(PROVEEDORES[[#This Row],[PROVEEDOR]],TERCEROS_INFO[#All],2,FALSE)</f>
        <v>30</v>
      </c>
      <c r="D321" s="37">
        <f>+SUMIFS(PROVEEDORES[Total],PROVEEDORES[PROVEEDOR],PROVEEDORES[[#This Row],[PROVEEDOR]],PROVEEDORES[FECHA DE PAGO],"")</f>
        <v>0</v>
      </c>
      <c r="E321" s="37"/>
      <c r="F321" s="108" t="str">
        <f>+VLOOKUP(PROVEEDORES[[#This Row],[PROVEEDOR]],TERCEROS_INFO[[PROVEEDOR]:[CORREO]],5,FALSE)</f>
        <v/>
      </c>
      <c r="G321" s="143">
        <v>44043</v>
      </c>
      <c r="H321" s="38" t="s">
        <v>275</v>
      </c>
      <c r="I321" s="30">
        <v>44043</v>
      </c>
      <c r="J321" s="58" t="s">
        <v>1076</v>
      </c>
      <c r="K321" s="32">
        <v>191000</v>
      </c>
      <c r="L321" s="32"/>
      <c r="M321" s="33">
        <f>(PROVEEDORES[[#This Row],[SUBTOTAL]]-PROVEEDORES[[#This Row],[descuento antes de IVA]])*VLOOKUP(PROVEEDORES[[#This Row],[PROVEEDOR]],TERCEROS_INFO[#All],3,FALSE)</f>
        <v>0</v>
      </c>
      <c r="N321" s="34"/>
      <c r="O321" s="33">
        <f>+PROVEEDORES[[#This Row],[Descuento sobre subtotal %]]*(PROVEEDORES[[#This Row],[SUBTOTAL]]-PROVEEDORES[[#This Row],[descuento antes de IVA]])</f>
        <v>0</v>
      </c>
      <c r="P3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1" s="33">
        <f>+(PROVEEDORES[[#This Row],[SUBTOTAL]]-PROVEEDORES[[#This Row],[descuento antes de IVA]])*PROVEEDORES[[#This Row],[Rete Fuente %]]</f>
        <v>0</v>
      </c>
      <c r="R321" s="32">
        <f>+PROVEEDORES[[#This Row],[SUBTOTAL]]+PROVEEDORES[[#This Row],[IVA 19%]]-PROVEEDORES[[#This Row],[descuento antes de IVA]]-PROVEEDORES[[#This Row],[Descuento sobre subtotal $]]-PROVEEDORES[[#This Row],[Rete Fuente $]]</f>
        <v>191000</v>
      </c>
      <c r="S3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1" s="40"/>
      <c r="U321" s="97"/>
      <c r="V321" s="36"/>
      <c r="W321" s="36"/>
      <c r="X321" s="36"/>
      <c r="Y321" s="36"/>
      <c r="Z321" s="41"/>
      <c r="AA321" s="42"/>
      <c r="AF321" s="36"/>
      <c r="AG321" s="36"/>
    </row>
    <row r="322" spans="1:33" ht="21.95" hidden="1" customHeight="1" x14ac:dyDescent="0.25">
      <c r="A322" s="39" t="str">
        <f>+IF(PROVEEDORES[[#This Row],[FECHA DE PAGO]]=PROVEEDORES[[#This Row],[FECHA DE FACTURACIÓN]],"DE CONTADO","CRÉDITO")</f>
        <v>DE CONTADO</v>
      </c>
      <c r="B322" s="67" t="b">
        <f>+IF((PROVEEDORES[[#This Row],[FECHA DE PAGO]]-PROVEEDORES[[#This Row],[FECHA DE FACTURACIÓN]])&gt;PROVEEDORES[[#This Row],[PLAZO Días]],"PAGO VENCIDO")</f>
        <v>0</v>
      </c>
      <c r="C322" s="27">
        <f>+VLOOKUP(PROVEEDORES[[#This Row],[PROVEEDOR]],TERCEROS_INFO[#All],2,FALSE)</f>
        <v>30</v>
      </c>
      <c r="D322" s="37">
        <f>+SUMIFS(PROVEEDORES[Total],PROVEEDORES[PROVEEDOR],PROVEEDORES[[#This Row],[PROVEEDOR]],PROVEEDORES[FECHA DE PAGO],"")</f>
        <v>0</v>
      </c>
      <c r="E322" s="37"/>
      <c r="F322" s="108" t="str">
        <f>+VLOOKUP(PROVEEDORES[[#This Row],[PROVEEDOR]],TERCEROS_INFO[[PROVEEDOR]:[CORREO]],5,FALSE)</f>
        <v/>
      </c>
      <c r="G322" s="143">
        <v>44074</v>
      </c>
      <c r="H322" s="38" t="s">
        <v>275</v>
      </c>
      <c r="I322" s="30">
        <v>44074</v>
      </c>
      <c r="J322" s="58" t="s">
        <v>1076</v>
      </c>
      <c r="K322" s="32">
        <v>128000</v>
      </c>
      <c r="L322" s="32"/>
      <c r="M322" s="33">
        <f>(PROVEEDORES[[#This Row],[SUBTOTAL]]-PROVEEDORES[[#This Row],[descuento antes de IVA]])*VLOOKUP(PROVEEDORES[[#This Row],[PROVEEDOR]],TERCEROS_INFO[#All],3,FALSE)</f>
        <v>0</v>
      </c>
      <c r="N322" s="34"/>
      <c r="O322" s="33">
        <f>+PROVEEDORES[[#This Row],[Descuento sobre subtotal %]]*(PROVEEDORES[[#This Row],[SUBTOTAL]]-PROVEEDORES[[#This Row],[descuento antes de IVA]])</f>
        <v>0</v>
      </c>
      <c r="P3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2" s="33">
        <f>+(PROVEEDORES[[#This Row],[SUBTOTAL]]-PROVEEDORES[[#This Row],[descuento antes de IVA]])*PROVEEDORES[[#This Row],[Rete Fuente %]]</f>
        <v>0</v>
      </c>
      <c r="R322" s="32">
        <f>+PROVEEDORES[[#This Row],[SUBTOTAL]]+PROVEEDORES[[#This Row],[IVA 19%]]-PROVEEDORES[[#This Row],[descuento antes de IVA]]-PROVEEDORES[[#This Row],[Descuento sobre subtotal $]]-PROVEEDORES[[#This Row],[Rete Fuente $]]</f>
        <v>128000</v>
      </c>
      <c r="S3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2" s="40"/>
      <c r="U322" s="97"/>
      <c r="V322" s="36"/>
      <c r="W322" s="36"/>
      <c r="X322" s="36"/>
      <c r="Y322" s="36"/>
      <c r="Z322" s="41"/>
      <c r="AA322" s="42"/>
      <c r="AF322" s="36"/>
      <c r="AG322" s="36"/>
    </row>
    <row r="323" spans="1:33" ht="21.95" hidden="1" customHeight="1" x14ac:dyDescent="0.25">
      <c r="A323" s="39" t="str">
        <f>+IF(PROVEEDORES[[#This Row],[FECHA DE PAGO]]=PROVEEDORES[[#This Row],[FECHA DE FACTURACIÓN]],"DE CONTADO","CRÉDITO")</f>
        <v>DE CONTADO</v>
      </c>
      <c r="B323" s="67" t="b">
        <f>+IF((PROVEEDORES[[#This Row],[FECHA DE PAGO]]-PROVEEDORES[[#This Row],[FECHA DE FACTURACIÓN]])&gt;PROVEEDORES[[#This Row],[PLAZO Días]],"PAGO VENCIDO")</f>
        <v>0</v>
      </c>
      <c r="C323" s="27">
        <f>+VLOOKUP(PROVEEDORES[[#This Row],[PROVEEDOR]],TERCEROS_INFO[#All],2,FALSE)</f>
        <v>30</v>
      </c>
      <c r="D323" s="37">
        <f>+SUMIFS(PROVEEDORES[Total],PROVEEDORES[PROVEEDOR],PROVEEDORES[[#This Row],[PROVEEDOR]],PROVEEDORES[FECHA DE PAGO],"")</f>
        <v>0</v>
      </c>
      <c r="E323" s="37"/>
      <c r="F323" s="108" t="str">
        <f>+VLOOKUP(PROVEEDORES[[#This Row],[PROVEEDOR]],TERCEROS_INFO[[PROVEEDOR]:[CORREO]],5,FALSE)</f>
        <v/>
      </c>
      <c r="G323" s="143">
        <v>44135</v>
      </c>
      <c r="H323" s="38" t="s">
        <v>275</v>
      </c>
      <c r="I323" s="30">
        <v>44135</v>
      </c>
      <c r="J323" s="58" t="s">
        <v>1076</v>
      </c>
      <c r="K323" s="32">
        <v>114000</v>
      </c>
      <c r="L323" s="32"/>
      <c r="M323" s="33">
        <f>(PROVEEDORES[[#This Row],[SUBTOTAL]]-PROVEEDORES[[#This Row],[descuento antes de IVA]])*VLOOKUP(PROVEEDORES[[#This Row],[PROVEEDOR]],TERCEROS_INFO[#All],3,FALSE)</f>
        <v>0</v>
      </c>
      <c r="N323" s="34"/>
      <c r="O323" s="33">
        <f>+PROVEEDORES[[#This Row],[Descuento sobre subtotal %]]*(PROVEEDORES[[#This Row],[SUBTOTAL]]-PROVEEDORES[[#This Row],[descuento antes de IVA]])</f>
        <v>0</v>
      </c>
      <c r="P3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3" s="33">
        <f>+(PROVEEDORES[[#This Row],[SUBTOTAL]]-PROVEEDORES[[#This Row],[descuento antes de IVA]])*PROVEEDORES[[#This Row],[Rete Fuente %]]</f>
        <v>0</v>
      </c>
      <c r="R323" s="32">
        <f>+PROVEEDORES[[#This Row],[SUBTOTAL]]+PROVEEDORES[[#This Row],[IVA 19%]]-PROVEEDORES[[#This Row],[descuento antes de IVA]]-PROVEEDORES[[#This Row],[Descuento sobre subtotal $]]-PROVEEDORES[[#This Row],[Rete Fuente $]]</f>
        <v>114000</v>
      </c>
      <c r="S3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3" s="40"/>
      <c r="U323" s="97"/>
      <c r="V323" s="36"/>
      <c r="W323" s="36"/>
      <c r="X323" s="36"/>
      <c r="Y323" s="36"/>
      <c r="Z323" s="41"/>
      <c r="AA323" s="42"/>
      <c r="AF323" s="36"/>
      <c r="AG323" s="36"/>
    </row>
    <row r="324" spans="1:33" ht="21.95" hidden="1" customHeight="1" x14ac:dyDescent="0.25">
      <c r="A324" s="39" t="str">
        <f>+IF(PROVEEDORES[[#This Row],[FECHA DE PAGO]]=PROVEEDORES[[#This Row],[FECHA DE FACTURACIÓN]],"DE CONTADO","CRÉDITO")</f>
        <v>DE CONTADO</v>
      </c>
      <c r="B324" s="67" t="b">
        <f>+IF((PROVEEDORES[[#This Row],[FECHA DE PAGO]]-PROVEEDORES[[#This Row],[FECHA DE FACTURACIÓN]])&gt;PROVEEDORES[[#This Row],[PLAZO Días]],"PAGO VENCIDO")</f>
        <v>0</v>
      </c>
      <c r="C324" s="27">
        <f>+VLOOKUP(PROVEEDORES[[#This Row],[PROVEEDOR]],TERCEROS_INFO[#All],2,FALSE)</f>
        <v>30</v>
      </c>
      <c r="D324" s="37">
        <f>+SUMIFS(PROVEEDORES[Total],PROVEEDORES[PROVEEDOR],PROVEEDORES[[#This Row],[PROVEEDOR]],PROVEEDORES[FECHA DE PAGO],"")</f>
        <v>0</v>
      </c>
      <c r="E324" s="37"/>
      <c r="F324" s="108" t="str">
        <f>+VLOOKUP(PROVEEDORES[[#This Row],[PROVEEDOR]],TERCEROS_INFO[[PROVEEDOR]:[CORREO]],5,FALSE)</f>
        <v/>
      </c>
      <c r="G324" s="143">
        <v>44165</v>
      </c>
      <c r="H324" s="38" t="s">
        <v>275</v>
      </c>
      <c r="I324" s="30">
        <v>44165</v>
      </c>
      <c r="J324" s="58"/>
      <c r="K324" s="32">
        <v>766000</v>
      </c>
      <c r="L324" s="32"/>
      <c r="M324" s="33">
        <f>(PROVEEDORES[[#This Row],[SUBTOTAL]]-PROVEEDORES[[#This Row],[descuento antes de IVA]])*VLOOKUP(PROVEEDORES[[#This Row],[PROVEEDOR]],TERCEROS_INFO[#All],3,FALSE)</f>
        <v>0</v>
      </c>
      <c r="N324" s="34"/>
      <c r="O324" s="33">
        <f>+PROVEEDORES[[#This Row],[Descuento sobre subtotal %]]*(PROVEEDORES[[#This Row],[SUBTOTAL]]-PROVEEDORES[[#This Row],[descuento antes de IVA]])</f>
        <v>0</v>
      </c>
      <c r="P3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4" s="33">
        <f>+(PROVEEDORES[[#This Row],[SUBTOTAL]]-PROVEEDORES[[#This Row],[descuento antes de IVA]])*PROVEEDORES[[#This Row],[Rete Fuente %]]</f>
        <v>0</v>
      </c>
      <c r="R324" s="32">
        <f>+PROVEEDORES[[#This Row],[SUBTOTAL]]+PROVEEDORES[[#This Row],[IVA 19%]]-PROVEEDORES[[#This Row],[descuento antes de IVA]]-PROVEEDORES[[#This Row],[Descuento sobre subtotal $]]-PROVEEDORES[[#This Row],[Rete Fuente $]]</f>
        <v>766000</v>
      </c>
      <c r="S3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4" s="40"/>
      <c r="U324" s="97"/>
      <c r="V324" s="36"/>
      <c r="W324" s="36"/>
      <c r="X324" s="36"/>
      <c r="Y324" s="36"/>
      <c r="Z324" s="41"/>
      <c r="AA324" s="42"/>
      <c r="AF324" s="36"/>
      <c r="AG324" s="36"/>
    </row>
    <row r="325" spans="1:33" ht="21.95" hidden="1" customHeight="1" x14ac:dyDescent="0.25">
      <c r="A325" s="39" t="str">
        <f>+IF(PROVEEDORES[[#This Row],[FECHA DE PAGO]]=PROVEEDORES[[#This Row],[FECHA DE FACTURACIÓN]],"DE CONTADO","CRÉDITO")</f>
        <v>DE CONTADO</v>
      </c>
      <c r="B325" s="67" t="b">
        <f>+IF((PROVEEDORES[[#This Row],[FECHA DE PAGO]]-PROVEEDORES[[#This Row],[FECHA DE FACTURACIÓN]])&gt;PROVEEDORES[[#This Row],[PLAZO Días]],"PAGO VENCIDO")</f>
        <v>0</v>
      </c>
      <c r="C325" s="27">
        <f>+VLOOKUP(PROVEEDORES[[#This Row],[PROVEEDOR]],TERCEROS_INFO[#All],2,FALSE)</f>
        <v>30</v>
      </c>
      <c r="D325" s="37">
        <f>+SUMIFS(PROVEEDORES[Total],PROVEEDORES[PROVEEDOR],PROVEEDORES[[#This Row],[PROVEEDOR]],PROVEEDORES[FECHA DE PAGO],"")</f>
        <v>0</v>
      </c>
      <c r="E325" s="37"/>
      <c r="F325" s="108" t="str">
        <f>+VLOOKUP(PROVEEDORES[[#This Row],[PROVEEDOR]],TERCEROS_INFO[[PROVEEDOR]:[CORREO]],5,FALSE)</f>
        <v/>
      </c>
      <c r="G325" s="143">
        <v>44196</v>
      </c>
      <c r="H325" s="38" t="s">
        <v>275</v>
      </c>
      <c r="I325" s="30">
        <v>44196</v>
      </c>
      <c r="J325" s="58"/>
      <c r="K325" s="32">
        <v>185000</v>
      </c>
      <c r="L325" s="32"/>
      <c r="M325" s="33">
        <f>(PROVEEDORES[[#This Row],[SUBTOTAL]]-PROVEEDORES[[#This Row],[descuento antes de IVA]])*VLOOKUP(PROVEEDORES[[#This Row],[PROVEEDOR]],TERCEROS_INFO[#All],3,FALSE)</f>
        <v>0</v>
      </c>
      <c r="N325" s="34"/>
      <c r="O325" s="33">
        <f>+PROVEEDORES[[#This Row],[Descuento sobre subtotal %]]*(PROVEEDORES[[#This Row],[SUBTOTAL]]-PROVEEDORES[[#This Row],[descuento antes de IVA]])</f>
        <v>0</v>
      </c>
      <c r="P3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5" s="33">
        <f>+(PROVEEDORES[[#This Row],[SUBTOTAL]]-PROVEEDORES[[#This Row],[descuento antes de IVA]])*PROVEEDORES[[#This Row],[Rete Fuente %]]</f>
        <v>0</v>
      </c>
      <c r="R325" s="32">
        <f>+PROVEEDORES[[#This Row],[SUBTOTAL]]+PROVEEDORES[[#This Row],[IVA 19%]]-PROVEEDORES[[#This Row],[descuento antes de IVA]]-PROVEEDORES[[#This Row],[Descuento sobre subtotal $]]-PROVEEDORES[[#This Row],[Rete Fuente $]]</f>
        <v>185000</v>
      </c>
      <c r="S3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5" s="40"/>
      <c r="U325" s="97"/>
      <c r="V325" s="36"/>
      <c r="W325" s="36"/>
      <c r="X325" s="36"/>
      <c r="Y325" s="36"/>
      <c r="Z325" s="41"/>
      <c r="AA325" s="42"/>
      <c r="AF325" s="36"/>
      <c r="AG325" s="36"/>
    </row>
    <row r="326" spans="1:33" ht="21.95" hidden="1" customHeight="1" x14ac:dyDescent="0.25">
      <c r="A326" s="101" t="str">
        <f>+IF(PROVEEDORES[[#This Row],[FECHA DE PAGO]]=PROVEEDORES[[#This Row],[FECHA DE FACTURACIÓN]],"DE CONTADO","CRÉDITO")</f>
        <v>DE CONTADO</v>
      </c>
      <c r="B326" s="70" t="b">
        <f>+IF((PROVEEDORES[[#This Row],[FECHA DE PAGO]]-PROVEEDORES[[#This Row],[FECHA DE FACTURACIÓN]])&gt;PROVEEDORES[[#This Row],[PLAZO Días]],"PAGO VENCIDO")</f>
        <v>0</v>
      </c>
      <c r="C326" s="27">
        <f>+VLOOKUP(PROVEEDORES[[#This Row],[PROVEEDOR]],TERCEROS_INFO[#All],2,FALSE)</f>
        <v>30</v>
      </c>
      <c r="D326" s="37">
        <f>+SUMIFS(PROVEEDORES[Total],PROVEEDORES[PROVEEDOR],PROVEEDORES[[#This Row],[PROVEEDOR]],PROVEEDORES[FECHA DE PAGO],"")</f>
        <v>0</v>
      </c>
      <c r="E326" s="37"/>
      <c r="F326" s="108" t="str">
        <f>+VLOOKUP(PROVEEDORES[[#This Row],[PROVEEDOR]],TERCEROS_INFO[[PROVEEDOR]:[CORREO]],5,FALSE)</f>
        <v/>
      </c>
      <c r="G326" s="143">
        <v>44286</v>
      </c>
      <c r="H326" s="38" t="s">
        <v>275</v>
      </c>
      <c r="I326" s="30">
        <v>44286</v>
      </c>
      <c r="J326" s="58"/>
      <c r="K326" s="32">
        <v>323500</v>
      </c>
      <c r="L326" s="32"/>
      <c r="M326" s="33">
        <f>(PROVEEDORES[[#This Row],[SUBTOTAL]]-PROVEEDORES[[#This Row],[descuento antes de IVA]])*VLOOKUP(PROVEEDORES[[#This Row],[PROVEEDOR]],TERCEROS_INFO[#All],3,FALSE)</f>
        <v>0</v>
      </c>
      <c r="N326" s="34"/>
      <c r="O326" s="33">
        <f>+PROVEEDORES[[#This Row],[Descuento sobre subtotal %]]*(PROVEEDORES[[#This Row],[SUBTOTAL]]-PROVEEDORES[[#This Row],[descuento antes de IVA]])</f>
        <v>0</v>
      </c>
      <c r="P3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6" s="33">
        <f>+(PROVEEDORES[[#This Row],[SUBTOTAL]]-PROVEEDORES[[#This Row],[descuento antes de IVA]])*PROVEEDORES[[#This Row],[Rete Fuente %]]</f>
        <v>0</v>
      </c>
      <c r="R326" s="32">
        <f>+PROVEEDORES[[#This Row],[SUBTOTAL]]+PROVEEDORES[[#This Row],[IVA 19%]]-PROVEEDORES[[#This Row],[descuento antes de IVA]]-PROVEEDORES[[#This Row],[Descuento sobre subtotal $]]-PROVEEDORES[[#This Row],[Rete Fuente $]]</f>
        <v>323500</v>
      </c>
      <c r="S326" s="10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6" s="40"/>
      <c r="U326" s="97"/>
      <c r="V326" s="36"/>
      <c r="W326" s="36"/>
      <c r="X326" s="36"/>
      <c r="Y326" s="36"/>
      <c r="Z326" s="41"/>
      <c r="AA326" s="42"/>
      <c r="AF326" s="36"/>
      <c r="AG326" s="36"/>
    </row>
    <row r="327" spans="1:33" ht="21.95" hidden="1" customHeight="1" x14ac:dyDescent="0.25">
      <c r="A327" s="107" t="str">
        <f>+IF(PROVEEDORES[[#This Row],[FECHA DE PAGO]]=PROVEEDORES[[#This Row],[FECHA DE FACTURACIÓN]],"DE CONTADO","CRÉDITO")</f>
        <v>DE CONTADO</v>
      </c>
      <c r="B327" s="70" t="b">
        <f>+IF((PROVEEDORES[[#This Row],[FECHA DE PAGO]]-PROVEEDORES[[#This Row],[FECHA DE FACTURACIÓN]])&gt;PROVEEDORES[[#This Row],[PLAZO Días]],"PAGO VENCIDO")</f>
        <v>0</v>
      </c>
      <c r="C327" s="27">
        <f>+VLOOKUP(PROVEEDORES[[#This Row],[PROVEEDOR]],TERCEROS_INFO[#All],2,FALSE)</f>
        <v>30</v>
      </c>
      <c r="D327" s="37">
        <f>+SUMIFS(PROVEEDORES[Total],PROVEEDORES[PROVEEDOR],PROVEEDORES[[#This Row],[PROVEEDOR]],PROVEEDORES[FECHA DE PAGO],"")</f>
        <v>0</v>
      </c>
      <c r="E327" s="37"/>
      <c r="F327" s="108" t="str">
        <f>+VLOOKUP(PROVEEDORES[[#This Row],[PROVEEDOR]],TERCEROS_INFO[[PROVEEDOR]:[CORREO]],5,FALSE)</f>
        <v/>
      </c>
      <c r="G327" s="143">
        <v>44316</v>
      </c>
      <c r="H327" s="38" t="s">
        <v>275</v>
      </c>
      <c r="I327" s="30">
        <v>44316</v>
      </c>
      <c r="J327" s="58"/>
      <c r="K327" s="32">
        <v>166000</v>
      </c>
      <c r="L327" s="32"/>
      <c r="M327" s="33">
        <f>(PROVEEDORES[[#This Row],[SUBTOTAL]]-PROVEEDORES[[#This Row],[descuento antes de IVA]])*VLOOKUP(PROVEEDORES[[#This Row],[PROVEEDOR]],TERCEROS_INFO[#All],3,FALSE)</f>
        <v>0</v>
      </c>
      <c r="N327" s="34"/>
      <c r="O327" s="33">
        <f>+PROVEEDORES[[#This Row],[Descuento sobre subtotal %]]*(PROVEEDORES[[#This Row],[SUBTOTAL]]-PROVEEDORES[[#This Row],[descuento antes de IVA]])</f>
        <v>0</v>
      </c>
      <c r="P3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7" s="33">
        <f>+(PROVEEDORES[[#This Row],[SUBTOTAL]]-PROVEEDORES[[#This Row],[descuento antes de IVA]])*PROVEEDORES[[#This Row],[Rete Fuente %]]</f>
        <v>0</v>
      </c>
      <c r="R327" s="32">
        <f>+PROVEEDORES[[#This Row],[SUBTOTAL]]+PROVEEDORES[[#This Row],[IVA 19%]]-PROVEEDORES[[#This Row],[descuento antes de IVA]]-PROVEEDORES[[#This Row],[Descuento sobre subtotal $]]-PROVEEDORES[[#This Row],[Rete Fuente $]]</f>
        <v>166000</v>
      </c>
      <c r="S327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7" s="40"/>
      <c r="U327" s="97"/>
      <c r="V327" s="36"/>
      <c r="W327" s="36"/>
      <c r="X327" s="36"/>
      <c r="Y327" s="36"/>
      <c r="Z327" s="41"/>
      <c r="AA327" s="42"/>
      <c r="AF327" s="36"/>
      <c r="AG327" s="36"/>
    </row>
    <row r="328" spans="1:33" ht="21.95" hidden="1" customHeight="1" x14ac:dyDescent="0.25">
      <c r="A328" s="119" t="str">
        <f>+IF(PROVEEDORES[[#This Row],[FECHA DE PAGO]]=PROVEEDORES[[#This Row],[FECHA DE FACTURACIÓN]],"DE CONTADO","CRÉDITO")</f>
        <v>DE CONTADO</v>
      </c>
      <c r="B328" s="70" t="b">
        <f>+IF((PROVEEDORES[[#This Row],[FECHA DE PAGO]]-PROVEEDORES[[#This Row],[FECHA DE FACTURACIÓN]])&gt;PROVEEDORES[[#This Row],[PLAZO Días]],"PAGO VENCIDO")</f>
        <v>0</v>
      </c>
      <c r="C328" s="27">
        <f>+VLOOKUP(PROVEEDORES[[#This Row],[PROVEEDOR]],TERCEROS_INFO[#All],2,FALSE)</f>
        <v>30</v>
      </c>
      <c r="D328" s="37">
        <f>+SUMIFS(PROVEEDORES[Total],PROVEEDORES[PROVEEDOR],PROVEEDORES[[#This Row],[PROVEEDOR]],PROVEEDORES[FECHA DE PAGO],"")</f>
        <v>0</v>
      </c>
      <c r="E328" s="37"/>
      <c r="F328" s="108" t="str">
        <f>+VLOOKUP(PROVEEDORES[[#This Row],[PROVEEDOR]],TERCEROS_INFO[[PROVEEDOR]:[CORREO]],5,FALSE)</f>
        <v/>
      </c>
      <c r="G328" s="143">
        <v>44347</v>
      </c>
      <c r="H328" s="38" t="s">
        <v>275</v>
      </c>
      <c r="I328" s="30">
        <v>44347</v>
      </c>
      <c r="J328" s="58"/>
      <c r="K328" s="32">
        <v>2264200</v>
      </c>
      <c r="L328" s="32"/>
      <c r="M328" s="33">
        <f>(PROVEEDORES[[#This Row],[SUBTOTAL]]-PROVEEDORES[[#This Row],[descuento antes de IVA]])*VLOOKUP(PROVEEDORES[[#This Row],[PROVEEDOR]],TERCEROS_INFO[#All],3,FALSE)</f>
        <v>0</v>
      </c>
      <c r="N328" s="34"/>
      <c r="O328" s="33">
        <f>+PROVEEDORES[[#This Row],[Descuento sobre subtotal %]]*(PROVEEDORES[[#This Row],[SUBTOTAL]]-PROVEEDORES[[#This Row],[descuento antes de IVA]])</f>
        <v>0</v>
      </c>
      <c r="P3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8" s="33">
        <f>+(PROVEEDORES[[#This Row],[SUBTOTAL]]-PROVEEDORES[[#This Row],[descuento antes de IVA]])*PROVEEDORES[[#This Row],[Rete Fuente %]]</f>
        <v>0</v>
      </c>
      <c r="R328" s="32">
        <f>+PROVEEDORES[[#This Row],[SUBTOTAL]]+PROVEEDORES[[#This Row],[IVA 19%]]-PROVEEDORES[[#This Row],[descuento antes de IVA]]-PROVEEDORES[[#This Row],[Descuento sobre subtotal $]]-PROVEEDORES[[#This Row],[Rete Fuente $]]</f>
        <v>2264200</v>
      </c>
      <c r="S328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8" s="40"/>
      <c r="U328" s="97"/>
      <c r="V328" s="36"/>
      <c r="W328" s="36"/>
      <c r="X328" s="36"/>
      <c r="Y328" s="36"/>
      <c r="Z328" s="41"/>
      <c r="AA328" s="42"/>
      <c r="AF328" s="36"/>
      <c r="AG328" s="36"/>
    </row>
    <row r="329" spans="1:33" ht="21.95" hidden="1" customHeight="1" x14ac:dyDescent="0.25">
      <c r="A329" s="129" t="str">
        <f>+IF(PROVEEDORES[[#This Row],[FECHA DE PAGO]]=PROVEEDORES[[#This Row],[FECHA DE FACTURACIÓN]],"DE CONTADO","CRÉDITO")</f>
        <v>DE CONTADO</v>
      </c>
      <c r="B329" s="70" t="b">
        <f>+IF((PROVEEDORES[[#This Row],[FECHA DE PAGO]]-PROVEEDORES[[#This Row],[FECHA DE FACTURACIÓN]])&gt;PROVEEDORES[[#This Row],[PLAZO Días]],"PAGO VENCIDO")</f>
        <v>0</v>
      </c>
      <c r="C329" s="27">
        <f>+VLOOKUP(PROVEEDORES[[#This Row],[PROVEEDOR]],TERCEROS_INFO[#All],2,FALSE)</f>
        <v>30</v>
      </c>
      <c r="D329" s="37">
        <f>+SUMIFS(PROVEEDORES[Total],PROVEEDORES[PROVEEDOR],PROVEEDORES[[#This Row],[PROVEEDOR]],PROVEEDORES[FECHA DE PAGO],"")</f>
        <v>0</v>
      </c>
      <c r="E329" s="37"/>
      <c r="F329" s="108" t="str">
        <f>+VLOOKUP(PROVEEDORES[[#This Row],[PROVEEDOR]],TERCEROS_INFO[[PROVEEDOR]:[CORREO]],5,FALSE)</f>
        <v/>
      </c>
      <c r="G329" s="143">
        <v>44377</v>
      </c>
      <c r="H329" s="38" t="s">
        <v>275</v>
      </c>
      <c r="I329" s="30">
        <v>44377</v>
      </c>
      <c r="J329" s="58"/>
      <c r="K329" s="32">
        <v>484200</v>
      </c>
      <c r="L329" s="32"/>
      <c r="M329" s="33">
        <f>(PROVEEDORES[[#This Row],[SUBTOTAL]]-PROVEEDORES[[#This Row],[descuento antes de IVA]])*VLOOKUP(PROVEEDORES[[#This Row],[PROVEEDOR]],TERCEROS_INFO[#All],3,FALSE)</f>
        <v>0</v>
      </c>
      <c r="N329" s="34"/>
      <c r="O329" s="33">
        <f>+PROVEEDORES[[#This Row],[Descuento sobre subtotal %]]*(PROVEEDORES[[#This Row],[SUBTOTAL]]-PROVEEDORES[[#This Row],[descuento antes de IVA]])</f>
        <v>0</v>
      </c>
      <c r="P3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29" s="33">
        <f>+(PROVEEDORES[[#This Row],[SUBTOTAL]]-PROVEEDORES[[#This Row],[descuento antes de IVA]])*PROVEEDORES[[#This Row],[Rete Fuente %]]</f>
        <v>0</v>
      </c>
      <c r="R329" s="32">
        <f>+PROVEEDORES[[#This Row],[SUBTOTAL]]+PROVEEDORES[[#This Row],[IVA 19%]]-PROVEEDORES[[#This Row],[descuento antes de IVA]]-PROVEEDORES[[#This Row],[Descuento sobre subtotal $]]-PROVEEDORES[[#This Row],[Rete Fuente $]]</f>
        <v>484200</v>
      </c>
      <c r="S329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9" s="40"/>
      <c r="U329" s="97"/>
      <c r="V329" s="36"/>
      <c r="W329" s="36"/>
      <c r="X329" s="36"/>
      <c r="Y329" s="36"/>
      <c r="Z329" s="41"/>
      <c r="AA329" s="42"/>
      <c r="AF329" s="36"/>
      <c r="AG329" s="36"/>
    </row>
    <row r="330" spans="1:33" ht="21.95" hidden="1" customHeight="1" x14ac:dyDescent="0.25">
      <c r="A330" s="139" t="str">
        <f>+IF(PROVEEDORES[[#This Row],[FECHA DE PAGO]]=PROVEEDORES[[#This Row],[FECHA DE FACTURACIÓN]],"DE CONTADO","CRÉDITO")</f>
        <v>DE CONTADO</v>
      </c>
      <c r="B330" s="70" t="b">
        <f>+IF((PROVEEDORES[[#This Row],[FECHA DE PAGO]]-PROVEEDORES[[#This Row],[FECHA DE FACTURACIÓN]])&gt;PROVEEDORES[[#This Row],[PLAZO Días]],"PAGO VENCIDO")</f>
        <v>0</v>
      </c>
      <c r="C330" s="27">
        <f>+VLOOKUP(PROVEEDORES[[#This Row],[PROVEEDOR]],TERCEROS_INFO[#All],2,FALSE)</f>
        <v>30</v>
      </c>
      <c r="D330" s="37">
        <f>+SUMIFS(PROVEEDORES[Total],PROVEEDORES[PROVEEDOR],PROVEEDORES[[#This Row],[PROVEEDOR]],PROVEEDORES[FECHA DE PAGO],"")</f>
        <v>0</v>
      </c>
      <c r="E330" s="37"/>
      <c r="F330" s="108" t="str">
        <f>+VLOOKUP(PROVEEDORES[[#This Row],[PROVEEDOR]],TERCEROS_INFO[[PROVEEDOR]:[CORREO]],5,FALSE)</f>
        <v/>
      </c>
      <c r="G330" s="143">
        <v>44408</v>
      </c>
      <c r="H330" s="38" t="s">
        <v>275</v>
      </c>
      <c r="I330" s="30">
        <v>44408</v>
      </c>
      <c r="J330" s="58"/>
      <c r="K330" s="32">
        <v>68000</v>
      </c>
      <c r="L330" s="32"/>
      <c r="M330" s="33">
        <f>(PROVEEDORES[[#This Row],[SUBTOTAL]]-PROVEEDORES[[#This Row],[descuento antes de IVA]])*VLOOKUP(PROVEEDORES[[#This Row],[PROVEEDOR]],TERCEROS_INFO[#All],3,FALSE)</f>
        <v>0</v>
      </c>
      <c r="N330" s="34"/>
      <c r="O330" s="33">
        <f>+PROVEEDORES[[#This Row],[Descuento sobre subtotal %]]*(PROVEEDORES[[#This Row],[SUBTOTAL]]-PROVEEDORES[[#This Row],[descuento antes de IVA]])</f>
        <v>0</v>
      </c>
      <c r="P3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0" s="33">
        <f>+(PROVEEDORES[[#This Row],[SUBTOTAL]]-PROVEEDORES[[#This Row],[descuento antes de IVA]])*PROVEEDORES[[#This Row],[Rete Fuente %]]</f>
        <v>0</v>
      </c>
      <c r="R330" s="32">
        <f>+PROVEEDORES[[#This Row],[SUBTOTAL]]+PROVEEDORES[[#This Row],[IVA 19%]]-PROVEEDORES[[#This Row],[descuento antes de IVA]]-PROVEEDORES[[#This Row],[Descuento sobre subtotal $]]-PROVEEDORES[[#This Row],[Rete Fuente $]]</f>
        <v>68000</v>
      </c>
      <c r="S330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0" s="40"/>
      <c r="U330" s="97"/>
      <c r="V330" s="36"/>
      <c r="W330" s="36"/>
      <c r="X330" s="36"/>
      <c r="Y330" s="36"/>
      <c r="Z330" s="41"/>
      <c r="AA330" s="42"/>
      <c r="AF330" s="36"/>
      <c r="AG330" s="36"/>
    </row>
    <row r="331" spans="1:33" ht="21.95" hidden="1" customHeight="1" x14ac:dyDescent="0.25">
      <c r="A331" s="39" t="str">
        <f>+IF(PROVEEDORES[[#This Row],[FECHA DE PAGO]]=PROVEEDORES[[#This Row],[FECHA DE FACTURACIÓN]],"DE CONTADO","CRÉDITO")</f>
        <v>DE CONTADO</v>
      </c>
      <c r="B331" s="67" t="b">
        <f>+IF((PROVEEDORES[[#This Row],[FECHA DE PAGO]]-PROVEEDORES[[#This Row],[FECHA DE FACTURACIÓN]])&gt;PROVEEDORES[[#This Row],[PLAZO Días]],"PAGO VENCIDO")</f>
        <v>0</v>
      </c>
      <c r="C331" s="27">
        <f>+VLOOKUP(PROVEEDORES[[#This Row],[PROVEEDOR]],TERCEROS_INFO[#All],2,FALSE)</f>
        <v>30</v>
      </c>
      <c r="D331" s="37">
        <f>+SUMIFS(PROVEEDORES[Total],PROVEEDORES[PROVEEDOR],PROVEEDORES[[#This Row],[PROVEEDOR]],PROVEEDORES[FECHA DE PAGO],"")</f>
        <v>0</v>
      </c>
      <c r="E331" s="37"/>
      <c r="F331" s="108" t="str">
        <f>+VLOOKUP(PROVEEDORES[[#This Row],[PROVEEDOR]],TERCEROS_INFO[[PROVEEDOR]:[CORREO]],5,FALSE)</f>
        <v/>
      </c>
      <c r="G331" s="143">
        <v>43861</v>
      </c>
      <c r="H331" s="38" t="s">
        <v>276</v>
      </c>
      <c r="I331" s="30">
        <v>43861</v>
      </c>
      <c r="J331" s="58" t="s">
        <v>1034</v>
      </c>
      <c r="K331" s="32">
        <v>7861000</v>
      </c>
      <c r="L331" s="32"/>
      <c r="M331" s="33">
        <f>(PROVEEDORES[[#This Row],[SUBTOTAL]]-PROVEEDORES[[#This Row],[descuento antes de IVA]])*VLOOKUP(PROVEEDORES[[#This Row],[PROVEEDOR]],TERCEROS_INFO[#All],3,FALSE)</f>
        <v>0</v>
      </c>
      <c r="N331" s="34"/>
      <c r="O331" s="33">
        <f>+PROVEEDORES[[#This Row],[Descuento sobre subtotal %]]*(PROVEEDORES[[#This Row],[SUBTOTAL]]-PROVEEDORES[[#This Row],[descuento antes de IVA]])</f>
        <v>0</v>
      </c>
      <c r="P3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1" s="33">
        <f>+(PROVEEDORES[[#This Row],[SUBTOTAL]]-PROVEEDORES[[#This Row],[descuento antes de IVA]])*PROVEEDORES[[#This Row],[Rete Fuente %]]</f>
        <v>0</v>
      </c>
      <c r="R331" s="32">
        <f>+PROVEEDORES[[#This Row],[SUBTOTAL]]+PROVEEDORES[[#This Row],[IVA 19%]]-PROVEEDORES[[#This Row],[descuento antes de IVA]]-PROVEEDORES[[#This Row],[Descuento sobre subtotal $]]-PROVEEDORES[[#This Row],[Rete Fuente $]]</f>
        <v>7861000</v>
      </c>
      <c r="S33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1" s="40"/>
      <c r="U331" s="97"/>
      <c r="V331" s="36"/>
      <c r="W331" s="36"/>
      <c r="X331" s="36"/>
      <c r="Y331" s="36"/>
      <c r="Z331" s="41"/>
      <c r="AA331" s="42"/>
      <c r="AF331" s="36"/>
      <c r="AG331" s="36"/>
    </row>
    <row r="332" spans="1:33" ht="21.95" hidden="1" customHeight="1" x14ac:dyDescent="0.25">
      <c r="A332" s="39" t="str">
        <f>+IF(PROVEEDORES[[#This Row],[FECHA DE PAGO]]=PROVEEDORES[[#This Row],[FECHA DE FACTURACIÓN]],"DE CONTADO","CRÉDITO")</f>
        <v>DE CONTADO</v>
      </c>
      <c r="B332" s="67" t="b">
        <f>+IF((PROVEEDORES[[#This Row],[FECHA DE PAGO]]-PROVEEDORES[[#This Row],[FECHA DE FACTURACIÓN]])&gt;PROVEEDORES[[#This Row],[PLAZO Días]],"PAGO VENCIDO")</f>
        <v>0</v>
      </c>
      <c r="C332" s="27">
        <f>+VLOOKUP(PROVEEDORES[[#This Row],[PROVEEDOR]],TERCEROS_INFO[#All],2,FALSE)</f>
        <v>30</v>
      </c>
      <c r="D332" s="37">
        <f>+SUMIFS(PROVEEDORES[Total],PROVEEDORES[PROVEEDOR],PROVEEDORES[[#This Row],[PROVEEDOR]],PROVEEDORES[FECHA DE PAGO],"")</f>
        <v>0</v>
      </c>
      <c r="E332" s="37"/>
      <c r="F332" s="108" t="str">
        <f>+VLOOKUP(PROVEEDORES[[#This Row],[PROVEEDOR]],TERCEROS_INFO[[PROVEEDOR]:[CORREO]],5,FALSE)</f>
        <v/>
      </c>
      <c r="G332" s="143">
        <v>43890</v>
      </c>
      <c r="H332" s="38" t="s">
        <v>276</v>
      </c>
      <c r="I332" s="30">
        <v>43890</v>
      </c>
      <c r="J332" s="58" t="s">
        <v>1034</v>
      </c>
      <c r="K332" s="32">
        <v>7200000</v>
      </c>
      <c r="L332" s="32"/>
      <c r="M332" s="33">
        <f>(PROVEEDORES[[#This Row],[SUBTOTAL]]-PROVEEDORES[[#This Row],[descuento antes de IVA]])*VLOOKUP(PROVEEDORES[[#This Row],[PROVEEDOR]],TERCEROS_INFO[#All],3,FALSE)</f>
        <v>0</v>
      </c>
      <c r="N332" s="34"/>
      <c r="O332" s="33">
        <f>+PROVEEDORES[[#This Row],[Descuento sobre subtotal %]]*(PROVEEDORES[[#This Row],[SUBTOTAL]]-PROVEEDORES[[#This Row],[descuento antes de IVA]])</f>
        <v>0</v>
      </c>
      <c r="P3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2" s="33">
        <f>+(PROVEEDORES[[#This Row],[SUBTOTAL]]-PROVEEDORES[[#This Row],[descuento antes de IVA]])*PROVEEDORES[[#This Row],[Rete Fuente %]]</f>
        <v>0</v>
      </c>
      <c r="R332" s="32">
        <f>+PROVEEDORES[[#This Row],[SUBTOTAL]]+PROVEEDORES[[#This Row],[IVA 19%]]-PROVEEDORES[[#This Row],[descuento antes de IVA]]-PROVEEDORES[[#This Row],[Descuento sobre subtotal $]]-PROVEEDORES[[#This Row],[Rete Fuente $]]</f>
        <v>7200000</v>
      </c>
      <c r="S33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2" s="40"/>
      <c r="U332" s="97"/>
      <c r="V332" s="36"/>
      <c r="W332" s="36"/>
      <c r="X332" s="36"/>
      <c r="Y332" s="36"/>
      <c r="Z332" s="41"/>
      <c r="AA332" s="42"/>
      <c r="AF332" s="36"/>
      <c r="AG332" s="36"/>
    </row>
    <row r="333" spans="1:33" ht="21.95" hidden="1" customHeight="1" x14ac:dyDescent="0.25">
      <c r="A333" s="39" t="str">
        <f>+IF(PROVEEDORES[[#This Row],[FECHA DE PAGO]]=PROVEEDORES[[#This Row],[FECHA DE FACTURACIÓN]],"DE CONTADO","CRÉDITO")</f>
        <v>DE CONTADO</v>
      </c>
      <c r="B333" s="67" t="b">
        <f>+IF((PROVEEDORES[[#This Row],[FECHA DE PAGO]]-PROVEEDORES[[#This Row],[FECHA DE FACTURACIÓN]])&gt;PROVEEDORES[[#This Row],[PLAZO Días]],"PAGO VENCIDO")</f>
        <v>0</v>
      </c>
      <c r="C333" s="27">
        <f>+VLOOKUP(PROVEEDORES[[#This Row],[PROVEEDOR]],TERCEROS_INFO[#All],2,FALSE)</f>
        <v>30</v>
      </c>
      <c r="D333" s="37">
        <f>+SUMIFS(PROVEEDORES[Total],PROVEEDORES[PROVEEDOR],PROVEEDORES[[#This Row],[PROVEEDOR]],PROVEEDORES[FECHA DE PAGO],"")</f>
        <v>0</v>
      </c>
      <c r="E333" s="37"/>
      <c r="F333" s="108" t="str">
        <f>+VLOOKUP(PROVEEDORES[[#This Row],[PROVEEDOR]],TERCEROS_INFO[[PROVEEDOR]:[CORREO]],5,FALSE)</f>
        <v/>
      </c>
      <c r="G333" s="143">
        <v>43921</v>
      </c>
      <c r="H333" s="38" t="s">
        <v>276</v>
      </c>
      <c r="I333" s="30">
        <v>43921</v>
      </c>
      <c r="J333" s="58" t="s">
        <v>1034</v>
      </c>
      <c r="K333" s="32">
        <v>5200000</v>
      </c>
      <c r="L333" s="32"/>
      <c r="M333" s="33">
        <f>(PROVEEDORES[[#This Row],[SUBTOTAL]]-PROVEEDORES[[#This Row],[descuento antes de IVA]])*VLOOKUP(PROVEEDORES[[#This Row],[PROVEEDOR]],TERCEROS_INFO[#All],3,FALSE)</f>
        <v>0</v>
      </c>
      <c r="N333" s="34"/>
      <c r="O333" s="33">
        <f>+PROVEEDORES[[#This Row],[Descuento sobre subtotal %]]*(PROVEEDORES[[#This Row],[SUBTOTAL]]-PROVEEDORES[[#This Row],[descuento antes de IVA]])</f>
        <v>0</v>
      </c>
      <c r="P3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3" s="33">
        <f>+(PROVEEDORES[[#This Row],[SUBTOTAL]]-PROVEEDORES[[#This Row],[descuento antes de IVA]])*PROVEEDORES[[#This Row],[Rete Fuente %]]</f>
        <v>0</v>
      </c>
      <c r="R333" s="32">
        <f>+PROVEEDORES[[#This Row],[SUBTOTAL]]+PROVEEDORES[[#This Row],[IVA 19%]]-PROVEEDORES[[#This Row],[descuento antes de IVA]]-PROVEEDORES[[#This Row],[Descuento sobre subtotal $]]-PROVEEDORES[[#This Row],[Rete Fuente $]]</f>
        <v>5200000</v>
      </c>
      <c r="S33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3" s="40"/>
      <c r="U333" s="97"/>
      <c r="V333" s="36"/>
      <c r="W333" s="36"/>
      <c r="X333" s="36"/>
      <c r="Y333" s="36"/>
      <c r="Z333" s="41"/>
      <c r="AA333" s="42"/>
      <c r="AF333" s="36"/>
      <c r="AG333" s="36"/>
    </row>
    <row r="334" spans="1:33" ht="21.95" hidden="1" customHeight="1" x14ac:dyDescent="0.25">
      <c r="A334" s="39" t="str">
        <f>+IF(PROVEEDORES[[#This Row],[FECHA DE PAGO]]=PROVEEDORES[[#This Row],[FECHA DE FACTURACIÓN]],"DE CONTADO","CRÉDITO")</f>
        <v>DE CONTADO</v>
      </c>
      <c r="B334" s="67" t="b">
        <f>+IF((PROVEEDORES[[#This Row],[FECHA DE PAGO]]-PROVEEDORES[[#This Row],[FECHA DE FACTURACIÓN]])&gt;PROVEEDORES[[#This Row],[PLAZO Días]],"PAGO VENCIDO")</f>
        <v>0</v>
      </c>
      <c r="C334" s="27">
        <f>+VLOOKUP(PROVEEDORES[[#This Row],[PROVEEDOR]],TERCEROS_INFO[#All],2,FALSE)</f>
        <v>30</v>
      </c>
      <c r="D334" s="37">
        <f>+SUMIFS(PROVEEDORES[Total],PROVEEDORES[PROVEEDOR],PROVEEDORES[[#This Row],[PROVEEDOR]],PROVEEDORES[FECHA DE PAGO],"")</f>
        <v>0</v>
      </c>
      <c r="E334" s="37"/>
      <c r="F334" s="108" t="str">
        <f>+VLOOKUP(PROVEEDORES[[#This Row],[PROVEEDOR]],TERCEROS_INFO[[PROVEEDOR]:[CORREO]],5,FALSE)</f>
        <v/>
      </c>
      <c r="G334" s="143">
        <v>44043</v>
      </c>
      <c r="H334" s="38" t="s">
        <v>276</v>
      </c>
      <c r="I334" s="30">
        <v>44043</v>
      </c>
      <c r="J334" s="58" t="s">
        <v>1034</v>
      </c>
      <c r="K334" s="32">
        <v>2800000</v>
      </c>
      <c r="L334" s="32"/>
      <c r="M334" s="33">
        <f>(PROVEEDORES[[#This Row],[SUBTOTAL]]-PROVEEDORES[[#This Row],[descuento antes de IVA]])*VLOOKUP(PROVEEDORES[[#This Row],[PROVEEDOR]],TERCEROS_INFO[#All],3,FALSE)</f>
        <v>0</v>
      </c>
      <c r="N334" s="34"/>
      <c r="O334" s="33">
        <f>+PROVEEDORES[[#This Row],[Descuento sobre subtotal %]]*(PROVEEDORES[[#This Row],[SUBTOTAL]]-PROVEEDORES[[#This Row],[descuento antes de IVA]])</f>
        <v>0</v>
      </c>
      <c r="P3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4" s="33">
        <f>+(PROVEEDORES[[#This Row],[SUBTOTAL]]-PROVEEDORES[[#This Row],[descuento antes de IVA]])*PROVEEDORES[[#This Row],[Rete Fuente %]]</f>
        <v>0</v>
      </c>
      <c r="R334" s="32">
        <f>+PROVEEDORES[[#This Row],[SUBTOTAL]]+PROVEEDORES[[#This Row],[IVA 19%]]-PROVEEDORES[[#This Row],[descuento antes de IVA]]-PROVEEDORES[[#This Row],[Descuento sobre subtotal $]]-PROVEEDORES[[#This Row],[Rete Fuente $]]</f>
        <v>2800000</v>
      </c>
      <c r="S33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4" s="40"/>
      <c r="U334" s="97"/>
      <c r="V334" s="36"/>
      <c r="W334" s="36"/>
      <c r="X334" s="36"/>
      <c r="Y334" s="36"/>
      <c r="Z334" s="41"/>
      <c r="AA334" s="42"/>
      <c r="AF334" s="36"/>
      <c r="AG334" s="36"/>
    </row>
    <row r="335" spans="1:33" ht="21.95" hidden="1" customHeight="1" x14ac:dyDescent="0.25">
      <c r="A335" s="39" t="str">
        <f>+IF(PROVEEDORES[[#This Row],[FECHA DE PAGO]]=PROVEEDORES[[#This Row],[FECHA DE FACTURACIÓN]],"DE CONTADO","CRÉDITO")</f>
        <v>DE CONTADO</v>
      </c>
      <c r="B335" s="67" t="b">
        <f>+IF((PROVEEDORES[[#This Row],[FECHA DE PAGO]]-PROVEEDORES[[#This Row],[FECHA DE FACTURACIÓN]])&gt;PROVEEDORES[[#This Row],[PLAZO Días]],"PAGO VENCIDO")</f>
        <v>0</v>
      </c>
      <c r="C335" s="27">
        <f>+VLOOKUP(PROVEEDORES[[#This Row],[PROVEEDOR]],TERCEROS_INFO[#All],2,FALSE)</f>
        <v>30</v>
      </c>
      <c r="D335" s="37">
        <f>+SUMIFS(PROVEEDORES[Total],PROVEEDORES[PROVEEDOR],PROVEEDORES[[#This Row],[PROVEEDOR]],PROVEEDORES[FECHA DE PAGO],"")</f>
        <v>0</v>
      </c>
      <c r="E335" s="37"/>
      <c r="F335" s="108" t="str">
        <f>+VLOOKUP(PROVEEDORES[[#This Row],[PROVEEDOR]],TERCEROS_INFO[[PROVEEDOR]:[CORREO]],5,FALSE)</f>
        <v/>
      </c>
      <c r="G335" s="143">
        <v>44074</v>
      </c>
      <c r="H335" s="38" t="s">
        <v>276</v>
      </c>
      <c r="I335" s="30">
        <v>44074</v>
      </c>
      <c r="J335" s="58"/>
      <c r="K335" s="32">
        <v>1600000</v>
      </c>
      <c r="L335" s="32"/>
      <c r="M335" s="33">
        <f>(PROVEEDORES[[#This Row],[SUBTOTAL]]-PROVEEDORES[[#This Row],[descuento antes de IVA]])*VLOOKUP(PROVEEDORES[[#This Row],[PROVEEDOR]],TERCEROS_INFO[#All],3,FALSE)</f>
        <v>0</v>
      </c>
      <c r="N335" s="34"/>
      <c r="O335" s="33">
        <f>+PROVEEDORES[[#This Row],[Descuento sobre subtotal %]]*(PROVEEDORES[[#This Row],[SUBTOTAL]]-PROVEEDORES[[#This Row],[descuento antes de IVA]])</f>
        <v>0</v>
      </c>
      <c r="P3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5" s="33">
        <f>+(PROVEEDORES[[#This Row],[SUBTOTAL]]-PROVEEDORES[[#This Row],[descuento antes de IVA]])*PROVEEDORES[[#This Row],[Rete Fuente %]]</f>
        <v>0</v>
      </c>
      <c r="R335" s="32">
        <f>+PROVEEDORES[[#This Row],[SUBTOTAL]]+PROVEEDORES[[#This Row],[IVA 19%]]-PROVEEDORES[[#This Row],[descuento antes de IVA]]-PROVEEDORES[[#This Row],[Descuento sobre subtotal $]]-PROVEEDORES[[#This Row],[Rete Fuente $]]</f>
        <v>1600000</v>
      </c>
      <c r="S33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5" s="40"/>
      <c r="U335" s="97"/>
      <c r="V335" s="36"/>
      <c r="W335" s="36"/>
      <c r="X335" s="36"/>
      <c r="Y335" s="36"/>
      <c r="Z335" s="41"/>
      <c r="AA335" s="42"/>
      <c r="AF335" s="36"/>
      <c r="AG335" s="36"/>
    </row>
    <row r="336" spans="1:33" ht="21.95" hidden="1" customHeight="1" x14ac:dyDescent="0.25">
      <c r="A336" s="39" t="str">
        <f>+IF(PROVEEDORES[[#This Row],[FECHA DE PAGO]]=PROVEEDORES[[#This Row],[FECHA DE FACTURACIÓN]],"DE CONTADO","CRÉDITO")</f>
        <v>DE CONTADO</v>
      </c>
      <c r="B336" s="67" t="b">
        <f>+IF((PROVEEDORES[[#This Row],[FECHA DE PAGO]]-PROVEEDORES[[#This Row],[FECHA DE FACTURACIÓN]])&gt;PROVEEDORES[[#This Row],[PLAZO Días]],"PAGO VENCIDO")</f>
        <v>0</v>
      </c>
      <c r="C336" s="27">
        <f>+VLOOKUP(PROVEEDORES[[#This Row],[PROVEEDOR]],TERCEROS_INFO[#All],2,FALSE)</f>
        <v>30</v>
      </c>
      <c r="D336" s="37">
        <f>+SUMIFS(PROVEEDORES[Total],PROVEEDORES[PROVEEDOR],PROVEEDORES[[#This Row],[PROVEEDOR]],PROVEEDORES[FECHA DE PAGO],"")</f>
        <v>0</v>
      </c>
      <c r="E336" s="37"/>
      <c r="F336" s="108" t="str">
        <f>+VLOOKUP(PROVEEDORES[[#This Row],[PROVEEDOR]],TERCEROS_INFO[[PROVEEDOR]:[CORREO]],5,FALSE)</f>
        <v/>
      </c>
      <c r="G336" s="143">
        <v>44104</v>
      </c>
      <c r="H336" s="38" t="s">
        <v>276</v>
      </c>
      <c r="I336" s="30">
        <v>44104</v>
      </c>
      <c r="J336" s="58"/>
      <c r="K336" s="32">
        <v>5075200</v>
      </c>
      <c r="L336" s="32"/>
      <c r="M336" s="33">
        <f>(PROVEEDORES[[#This Row],[SUBTOTAL]]-PROVEEDORES[[#This Row],[descuento antes de IVA]])*VLOOKUP(PROVEEDORES[[#This Row],[PROVEEDOR]],TERCEROS_INFO[#All],3,FALSE)</f>
        <v>0</v>
      </c>
      <c r="N336" s="34"/>
      <c r="O336" s="33">
        <f>+PROVEEDORES[[#This Row],[Descuento sobre subtotal %]]*(PROVEEDORES[[#This Row],[SUBTOTAL]]-PROVEEDORES[[#This Row],[descuento antes de IVA]])</f>
        <v>0</v>
      </c>
      <c r="P3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6" s="33">
        <f>+(PROVEEDORES[[#This Row],[SUBTOTAL]]-PROVEEDORES[[#This Row],[descuento antes de IVA]])*PROVEEDORES[[#This Row],[Rete Fuente %]]</f>
        <v>0</v>
      </c>
      <c r="R336" s="32">
        <f>+PROVEEDORES[[#This Row],[SUBTOTAL]]+PROVEEDORES[[#This Row],[IVA 19%]]-PROVEEDORES[[#This Row],[descuento antes de IVA]]-PROVEEDORES[[#This Row],[Descuento sobre subtotal $]]-PROVEEDORES[[#This Row],[Rete Fuente $]]</f>
        <v>5075200</v>
      </c>
      <c r="S33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6" s="40"/>
      <c r="U336" s="97"/>
      <c r="V336" s="36"/>
      <c r="W336" s="36"/>
      <c r="X336" s="36"/>
      <c r="Y336" s="36"/>
      <c r="Z336" s="41"/>
      <c r="AA336" s="42"/>
      <c r="AF336" s="36"/>
      <c r="AG336" s="36"/>
    </row>
    <row r="337" spans="1:33" ht="21.95" hidden="1" customHeight="1" x14ac:dyDescent="0.25">
      <c r="A337" s="39" t="str">
        <f>+IF(PROVEEDORES[[#This Row],[FECHA DE PAGO]]=PROVEEDORES[[#This Row],[FECHA DE FACTURACIÓN]],"DE CONTADO","CRÉDITO")</f>
        <v>DE CONTADO</v>
      </c>
      <c r="B337" s="67" t="b">
        <f>+IF((PROVEEDORES[[#This Row],[FECHA DE PAGO]]-PROVEEDORES[[#This Row],[FECHA DE FACTURACIÓN]])&gt;PROVEEDORES[[#This Row],[PLAZO Días]],"PAGO VENCIDO")</f>
        <v>0</v>
      </c>
      <c r="C337" s="27">
        <f>+VLOOKUP(PROVEEDORES[[#This Row],[PROVEEDOR]],TERCEROS_INFO[#All],2,FALSE)</f>
        <v>30</v>
      </c>
      <c r="D337" s="37">
        <f>+SUMIFS(PROVEEDORES[Total],PROVEEDORES[PROVEEDOR],PROVEEDORES[[#This Row],[PROVEEDOR]],PROVEEDORES[FECHA DE PAGO],"")</f>
        <v>0</v>
      </c>
      <c r="E337" s="37"/>
      <c r="F337" s="108" t="str">
        <f>+VLOOKUP(PROVEEDORES[[#This Row],[PROVEEDOR]],TERCEROS_INFO[[PROVEEDOR]:[CORREO]],5,FALSE)</f>
        <v/>
      </c>
      <c r="G337" s="143">
        <v>44112</v>
      </c>
      <c r="H337" s="38" t="s">
        <v>276</v>
      </c>
      <c r="I337" s="30">
        <v>44112</v>
      </c>
      <c r="J337" s="58"/>
      <c r="K337" s="32">
        <v>1000000</v>
      </c>
      <c r="L337" s="32"/>
      <c r="M337" s="33">
        <f>(PROVEEDORES[[#This Row],[SUBTOTAL]]-PROVEEDORES[[#This Row],[descuento antes de IVA]])*VLOOKUP(PROVEEDORES[[#This Row],[PROVEEDOR]],TERCEROS_INFO[#All],3,FALSE)</f>
        <v>0</v>
      </c>
      <c r="N337" s="34"/>
      <c r="O337" s="33">
        <f>+PROVEEDORES[[#This Row],[Descuento sobre subtotal %]]*(PROVEEDORES[[#This Row],[SUBTOTAL]]-PROVEEDORES[[#This Row],[descuento antes de IVA]])</f>
        <v>0</v>
      </c>
      <c r="P3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7" s="33">
        <f>+(PROVEEDORES[[#This Row],[SUBTOTAL]]-PROVEEDORES[[#This Row],[descuento antes de IVA]])*PROVEEDORES[[#This Row],[Rete Fuente %]]</f>
        <v>0</v>
      </c>
      <c r="R337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3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7" s="40"/>
      <c r="U337" s="97"/>
      <c r="V337" s="36"/>
      <c r="W337" s="36"/>
      <c r="X337" s="36"/>
      <c r="Y337" s="36"/>
      <c r="Z337" s="41"/>
      <c r="AA337" s="42"/>
      <c r="AF337" s="36"/>
      <c r="AG337" s="36"/>
    </row>
    <row r="338" spans="1:33" ht="21.95" hidden="1" customHeight="1" x14ac:dyDescent="0.25">
      <c r="A338" s="39" t="str">
        <f>+IF(PROVEEDORES[[#This Row],[FECHA DE PAGO]]=PROVEEDORES[[#This Row],[FECHA DE FACTURACIÓN]],"DE CONTADO","CRÉDITO")</f>
        <v>DE CONTADO</v>
      </c>
      <c r="B338" s="67" t="b">
        <f>+IF((PROVEEDORES[[#This Row],[FECHA DE PAGO]]-PROVEEDORES[[#This Row],[FECHA DE FACTURACIÓN]])&gt;PROVEEDORES[[#This Row],[PLAZO Días]],"PAGO VENCIDO")</f>
        <v>0</v>
      </c>
      <c r="C338" s="27">
        <f>+VLOOKUP(PROVEEDORES[[#This Row],[PROVEEDOR]],TERCEROS_INFO[#All],2,FALSE)</f>
        <v>30</v>
      </c>
      <c r="D338" s="37">
        <f>+SUMIFS(PROVEEDORES[Total],PROVEEDORES[PROVEEDOR],PROVEEDORES[[#This Row],[PROVEEDOR]],PROVEEDORES[FECHA DE PAGO],"")</f>
        <v>0</v>
      </c>
      <c r="E338" s="37"/>
      <c r="F338" s="108" t="str">
        <f>+VLOOKUP(PROVEEDORES[[#This Row],[PROVEEDOR]],TERCEROS_INFO[[PROVEEDOR]:[CORREO]],5,FALSE)</f>
        <v/>
      </c>
      <c r="G338" s="143">
        <v>44120</v>
      </c>
      <c r="H338" s="38" t="s">
        <v>276</v>
      </c>
      <c r="I338" s="30">
        <v>44120</v>
      </c>
      <c r="J338" s="58"/>
      <c r="K338" s="32">
        <v>1000000</v>
      </c>
      <c r="L338" s="32"/>
      <c r="M338" s="33">
        <f>(PROVEEDORES[[#This Row],[SUBTOTAL]]-PROVEEDORES[[#This Row],[descuento antes de IVA]])*VLOOKUP(PROVEEDORES[[#This Row],[PROVEEDOR]],TERCEROS_INFO[#All],3,FALSE)</f>
        <v>0</v>
      </c>
      <c r="N338" s="34"/>
      <c r="O338" s="33">
        <f>+PROVEEDORES[[#This Row],[Descuento sobre subtotal %]]*(PROVEEDORES[[#This Row],[SUBTOTAL]]-PROVEEDORES[[#This Row],[descuento antes de IVA]])</f>
        <v>0</v>
      </c>
      <c r="P3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8" s="33">
        <f>+(PROVEEDORES[[#This Row],[SUBTOTAL]]-PROVEEDORES[[#This Row],[descuento antes de IVA]])*PROVEEDORES[[#This Row],[Rete Fuente %]]</f>
        <v>0</v>
      </c>
      <c r="R338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3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8" s="40"/>
      <c r="U338" s="97"/>
      <c r="V338" s="36"/>
      <c r="W338" s="36"/>
      <c r="X338" s="36"/>
      <c r="Y338" s="36"/>
      <c r="Z338" s="41"/>
      <c r="AA338" s="42"/>
      <c r="AF338" s="36"/>
      <c r="AG338" s="36"/>
    </row>
    <row r="339" spans="1:33" ht="21.95" hidden="1" customHeight="1" x14ac:dyDescent="0.25">
      <c r="A339" s="39" t="str">
        <f>+IF(PROVEEDORES[[#This Row],[FECHA DE PAGO]]=PROVEEDORES[[#This Row],[FECHA DE FACTURACIÓN]],"DE CONTADO","CRÉDITO")</f>
        <v>DE CONTADO</v>
      </c>
      <c r="B339" s="67" t="b">
        <f>+IF((PROVEEDORES[[#This Row],[FECHA DE PAGO]]-PROVEEDORES[[#This Row],[FECHA DE FACTURACIÓN]])&gt;PROVEEDORES[[#This Row],[PLAZO Días]],"PAGO VENCIDO")</f>
        <v>0</v>
      </c>
      <c r="C339" s="27">
        <f>+VLOOKUP(PROVEEDORES[[#This Row],[PROVEEDOR]],TERCEROS_INFO[#All],2,FALSE)</f>
        <v>30</v>
      </c>
      <c r="D339" s="37">
        <f>+SUMIFS(PROVEEDORES[Total],PROVEEDORES[PROVEEDOR],PROVEEDORES[[#This Row],[PROVEEDOR]],PROVEEDORES[FECHA DE PAGO],"")</f>
        <v>0</v>
      </c>
      <c r="E339" s="37"/>
      <c r="F339" s="108" t="str">
        <f>+VLOOKUP(PROVEEDORES[[#This Row],[PROVEEDOR]],TERCEROS_INFO[[PROVEEDOR]:[CORREO]],5,FALSE)</f>
        <v/>
      </c>
      <c r="G339" s="143">
        <v>44124</v>
      </c>
      <c r="H339" s="38" t="s">
        <v>276</v>
      </c>
      <c r="I339" s="30">
        <v>44124</v>
      </c>
      <c r="J339" s="58"/>
      <c r="K339" s="32">
        <v>1000000</v>
      </c>
      <c r="L339" s="32"/>
      <c r="M339" s="33">
        <f>(PROVEEDORES[[#This Row],[SUBTOTAL]]-PROVEEDORES[[#This Row],[descuento antes de IVA]])*VLOOKUP(PROVEEDORES[[#This Row],[PROVEEDOR]],TERCEROS_INFO[#All],3,FALSE)</f>
        <v>0</v>
      </c>
      <c r="N339" s="34"/>
      <c r="O339" s="33">
        <f>+PROVEEDORES[[#This Row],[Descuento sobre subtotal %]]*(PROVEEDORES[[#This Row],[SUBTOTAL]]-PROVEEDORES[[#This Row],[descuento antes de IVA]])</f>
        <v>0</v>
      </c>
      <c r="P3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39" s="33">
        <f>+(PROVEEDORES[[#This Row],[SUBTOTAL]]-PROVEEDORES[[#This Row],[descuento antes de IVA]])*PROVEEDORES[[#This Row],[Rete Fuente %]]</f>
        <v>0</v>
      </c>
      <c r="R339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3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9" s="40"/>
      <c r="U339" s="97"/>
      <c r="V339" s="36"/>
      <c r="W339" s="36"/>
      <c r="X339" s="36"/>
      <c r="Y339" s="36"/>
      <c r="Z339" s="41"/>
      <c r="AA339" s="42"/>
      <c r="AF339" s="36"/>
      <c r="AG339" s="36"/>
    </row>
    <row r="340" spans="1:33" ht="21.95" hidden="1" customHeight="1" x14ac:dyDescent="0.25">
      <c r="A340" s="39" t="str">
        <f>+IF(PROVEEDORES[[#This Row],[FECHA DE PAGO]]=PROVEEDORES[[#This Row],[FECHA DE FACTURACIÓN]],"DE CONTADO","CRÉDITO")</f>
        <v>DE CONTADO</v>
      </c>
      <c r="B340" s="67" t="b">
        <f>+IF((PROVEEDORES[[#This Row],[FECHA DE PAGO]]-PROVEEDORES[[#This Row],[FECHA DE FACTURACIÓN]])&gt;PROVEEDORES[[#This Row],[PLAZO Días]],"PAGO VENCIDO")</f>
        <v>0</v>
      </c>
      <c r="C340" s="27">
        <f>+VLOOKUP(PROVEEDORES[[#This Row],[PROVEEDOR]],TERCEROS_INFO[#All],2,FALSE)</f>
        <v>30</v>
      </c>
      <c r="D340" s="37">
        <f>+SUMIFS(PROVEEDORES[Total],PROVEEDORES[PROVEEDOR],PROVEEDORES[[#This Row],[PROVEEDOR]],PROVEEDORES[FECHA DE PAGO],"")</f>
        <v>0</v>
      </c>
      <c r="E340" s="37"/>
      <c r="F340" s="108" t="str">
        <f>+VLOOKUP(PROVEEDORES[[#This Row],[PROVEEDOR]],TERCEROS_INFO[[PROVEEDOR]:[CORREO]],5,FALSE)</f>
        <v/>
      </c>
      <c r="G340" s="143">
        <v>44132</v>
      </c>
      <c r="H340" s="38" t="s">
        <v>276</v>
      </c>
      <c r="I340" s="30">
        <v>44132</v>
      </c>
      <c r="J340" s="58"/>
      <c r="K340" s="32">
        <v>2000000</v>
      </c>
      <c r="L340" s="32"/>
      <c r="M340" s="33">
        <f>(PROVEEDORES[[#This Row],[SUBTOTAL]]-PROVEEDORES[[#This Row],[descuento antes de IVA]])*VLOOKUP(PROVEEDORES[[#This Row],[PROVEEDOR]],TERCEROS_INFO[#All],3,FALSE)</f>
        <v>0</v>
      </c>
      <c r="N340" s="34"/>
      <c r="O340" s="33">
        <f>+PROVEEDORES[[#This Row],[Descuento sobre subtotal %]]*(PROVEEDORES[[#This Row],[SUBTOTAL]]-PROVEEDORES[[#This Row],[descuento antes de IVA]])</f>
        <v>0</v>
      </c>
      <c r="P3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0" s="33">
        <f>+(PROVEEDORES[[#This Row],[SUBTOTAL]]-PROVEEDORES[[#This Row],[descuento antes de IVA]])*PROVEEDORES[[#This Row],[Rete Fuente %]]</f>
        <v>0</v>
      </c>
      <c r="R340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3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0" s="40"/>
      <c r="U340" s="97"/>
      <c r="V340" s="36"/>
      <c r="W340" s="36"/>
      <c r="X340" s="36"/>
      <c r="Y340" s="36"/>
      <c r="Z340" s="41"/>
      <c r="AA340" s="42"/>
      <c r="AF340" s="36"/>
      <c r="AG340" s="36"/>
    </row>
    <row r="341" spans="1:33" ht="21.95" hidden="1" customHeight="1" x14ac:dyDescent="0.25">
      <c r="A341" s="39" t="str">
        <f>+IF(PROVEEDORES[[#This Row],[FECHA DE PAGO]]=PROVEEDORES[[#This Row],[FECHA DE FACTURACIÓN]],"DE CONTADO","CRÉDITO")</f>
        <v>DE CONTADO</v>
      </c>
      <c r="B341" s="67" t="b">
        <f>+IF((PROVEEDORES[[#This Row],[FECHA DE PAGO]]-PROVEEDORES[[#This Row],[FECHA DE FACTURACIÓN]])&gt;PROVEEDORES[[#This Row],[PLAZO Días]],"PAGO VENCIDO")</f>
        <v>0</v>
      </c>
      <c r="C341" s="27">
        <f>+VLOOKUP(PROVEEDORES[[#This Row],[PROVEEDOR]],TERCEROS_INFO[#All],2,FALSE)</f>
        <v>30</v>
      </c>
      <c r="D341" s="37">
        <f>+SUMIFS(PROVEEDORES[Total],PROVEEDORES[PROVEEDOR],PROVEEDORES[[#This Row],[PROVEEDOR]],PROVEEDORES[FECHA DE PAGO],"")</f>
        <v>0</v>
      </c>
      <c r="E341" s="37"/>
      <c r="F341" s="108" t="str">
        <f>+VLOOKUP(PROVEEDORES[[#This Row],[PROVEEDOR]],TERCEROS_INFO[[PROVEEDOR]:[CORREO]],5,FALSE)</f>
        <v/>
      </c>
      <c r="G341" s="143">
        <v>44142</v>
      </c>
      <c r="H341" s="38" t="s">
        <v>276</v>
      </c>
      <c r="I341" s="30">
        <v>44142</v>
      </c>
      <c r="J341" s="58"/>
      <c r="K341" s="32">
        <v>1000000</v>
      </c>
      <c r="L341" s="32"/>
      <c r="M341" s="33">
        <f>(PROVEEDORES[[#This Row],[SUBTOTAL]]-PROVEEDORES[[#This Row],[descuento antes de IVA]])*VLOOKUP(PROVEEDORES[[#This Row],[PROVEEDOR]],TERCEROS_INFO[#All],3,FALSE)</f>
        <v>0</v>
      </c>
      <c r="N341" s="34"/>
      <c r="O341" s="33">
        <f>+PROVEEDORES[[#This Row],[Descuento sobre subtotal %]]*(PROVEEDORES[[#This Row],[SUBTOTAL]]-PROVEEDORES[[#This Row],[descuento antes de IVA]])</f>
        <v>0</v>
      </c>
      <c r="P3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1" s="33">
        <f>+(PROVEEDORES[[#This Row],[SUBTOTAL]]-PROVEEDORES[[#This Row],[descuento antes de IVA]])*PROVEEDORES[[#This Row],[Rete Fuente %]]</f>
        <v>0</v>
      </c>
      <c r="R341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1" s="40"/>
      <c r="U341" s="97"/>
      <c r="V341" s="36"/>
      <c r="W341" s="36"/>
      <c r="X341" s="36"/>
      <c r="Y341" s="36"/>
      <c r="Z341" s="41"/>
      <c r="AA341" s="42"/>
      <c r="AF341" s="36"/>
      <c r="AG341" s="36"/>
    </row>
    <row r="342" spans="1:33" ht="21.95" hidden="1" customHeight="1" x14ac:dyDescent="0.25">
      <c r="A342" s="39" t="str">
        <f>+IF(PROVEEDORES[[#This Row],[FECHA DE PAGO]]=PROVEEDORES[[#This Row],[FECHA DE FACTURACIÓN]],"DE CONTADO","CRÉDITO")</f>
        <v>DE CONTADO</v>
      </c>
      <c r="B342" s="67" t="b">
        <f>+IF((PROVEEDORES[[#This Row],[FECHA DE PAGO]]-PROVEEDORES[[#This Row],[FECHA DE FACTURACIÓN]])&gt;PROVEEDORES[[#This Row],[PLAZO Días]],"PAGO VENCIDO")</f>
        <v>0</v>
      </c>
      <c r="C342" s="27">
        <f>+VLOOKUP(PROVEEDORES[[#This Row],[PROVEEDOR]],TERCEROS_INFO[#All],2,FALSE)</f>
        <v>30</v>
      </c>
      <c r="D342" s="37">
        <f>+SUMIFS(PROVEEDORES[Total],PROVEEDORES[PROVEEDOR],PROVEEDORES[[#This Row],[PROVEEDOR]],PROVEEDORES[FECHA DE PAGO],"")</f>
        <v>0</v>
      </c>
      <c r="E342" s="37"/>
      <c r="F342" s="108" t="str">
        <f>+VLOOKUP(PROVEEDORES[[#This Row],[PROVEEDOR]],TERCEROS_INFO[[PROVEEDOR]:[CORREO]],5,FALSE)</f>
        <v/>
      </c>
      <c r="G342" s="143">
        <v>44147</v>
      </c>
      <c r="H342" s="38" t="s">
        <v>276</v>
      </c>
      <c r="I342" s="30">
        <v>44147</v>
      </c>
      <c r="J342" s="58"/>
      <c r="K342" s="32">
        <v>1000000</v>
      </c>
      <c r="L342" s="32"/>
      <c r="M342" s="33">
        <f>(PROVEEDORES[[#This Row],[SUBTOTAL]]-PROVEEDORES[[#This Row],[descuento antes de IVA]])*VLOOKUP(PROVEEDORES[[#This Row],[PROVEEDOR]],TERCEROS_INFO[#All],3,FALSE)</f>
        <v>0</v>
      </c>
      <c r="N342" s="34"/>
      <c r="O342" s="33">
        <f>+PROVEEDORES[[#This Row],[Descuento sobre subtotal %]]*(PROVEEDORES[[#This Row],[SUBTOTAL]]-PROVEEDORES[[#This Row],[descuento antes de IVA]])</f>
        <v>0</v>
      </c>
      <c r="P3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2" s="33">
        <f>+(PROVEEDORES[[#This Row],[SUBTOTAL]]-PROVEEDORES[[#This Row],[descuento antes de IVA]])*PROVEEDORES[[#This Row],[Rete Fuente %]]</f>
        <v>0</v>
      </c>
      <c r="R342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2" s="40"/>
      <c r="U342" s="97"/>
      <c r="V342" s="36"/>
      <c r="W342" s="36"/>
      <c r="X342" s="36"/>
      <c r="Y342" s="36"/>
      <c r="Z342" s="41"/>
      <c r="AA342" s="42"/>
      <c r="AF342" s="36"/>
      <c r="AG342" s="36"/>
    </row>
    <row r="343" spans="1:33" ht="21.95" hidden="1" customHeight="1" x14ac:dyDescent="0.25">
      <c r="A343" s="39" t="str">
        <f>+IF(PROVEEDORES[[#This Row],[FECHA DE PAGO]]=PROVEEDORES[[#This Row],[FECHA DE FACTURACIÓN]],"DE CONTADO","CRÉDITO")</f>
        <v>DE CONTADO</v>
      </c>
      <c r="B343" s="67" t="b">
        <f>+IF((PROVEEDORES[[#This Row],[FECHA DE PAGO]]-PROVEEDORES[[#This Row],[FECHA DE FACTURACIÓN]])&gt;PROVEEDORES[[#This Row],[PLAZO Días]],"PAGO VENCIDO")</f>
        <v>0</v>
      </c>
      <c r="C343" s="27">
        <f>+VLOOKUP(PROVEEDORES[[#This Row],[PROVEEDOR]],TERCEROS_INFO[#All],2,FALSE)</f>
        <v>30</v>
      </c>
      <c r="D343" s="37">
        <f>+SUMIFS(PROVEEDORES[Total],PROVEEDORES[PROVEEDOR],PROVEEDORES[[#This Row],[PROVEEDOR]],PROVEEDORES[FECHA DE PAGO],"")</f>
        <v>0</v>
      </c>
      <c r="E343" s="37"/>
      <c r="F343" s="108" t="str">
        <f>+VLOOKUP(PROVEEDORES[[#This Row],[PROVEEDOR]],TERCEROS_INFO[[PROVEEDOR]:[CORREO]],5,FALSE)</f>
        <v/>
      </c>
      <c r="G343" s="143">
        <v>44155</v>
      </c>
      <c r="H343" s="38" t="s">
        <v>276</v>
      </c>
      <c r="I343" s="30">
        <v>44155</v>
      </c>
      <c r="J343" s="58"/>
      <c r="K343" s="32">
        <v>1000000</v>
      </c>
      <c r="L343" s="32"/>
      <c r="M343" s="33">
        <f>(PROVEEDORES[[#This Row],[SUBTOTAL]]-PROVEEDORES[[#This Row],[descuento antes de IVA]])*VLOOKUP(PROVEEDORES[[#This Row],[PROVEEDOR]],TERCEROS_INFO[#All],3,FALSE)</f>
        <v>0</v>
      </c>
      <c r="N343" s="34"/>
      <c r="O343" s="33">
        <f>+PROVEEDORES[[#This Row],[Descuento sobre subtotal %]]*(PROVEEDORES[[#This Row],[SUBTOTAL]]-PROVEEDORES[[#This Row],[descuento antes de IVA]])</f>
        <v>0</v>
      </c>
      <c r="P3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3" s="33">
        <f>+(PROVEEDORES[[#This Row],[SUBTOTAL]]-PROVEEDORES[[#This Row],[descuento antes de IVA]])*PROVEEDORES[[#This Row],[Rete Fuente %]]</f>
        <v>0</v>
      </c>
      <c r="R343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3" s="40"/>
      <c r="U343" s="97"/>
      <c r="V343" s="36"/>
      <c r="W343" s="36"/>
      <c r="X343" s="36"/>
      <c r="Y343" s="36"/>
      <c r="Z343" s="41"/>
      <c r="AA343" s="42"/>
      <c r="AF343" s="36"/>
      <c r="AG343" s="36"/>
    </row>
    <row r="344" spans="1:33" ht="21.95" hidden="1" customHeight="1" x14ac:dyDescent="0.25">
      <c r="A344" s="39" t="str">
        <f>+IF(PROVEEDORES[[#This Row],[FECHA DE PAGO]]=PROVEEDORES[[#This Row],[FECHA DE FACTURACIÓN]],"DE CONTADO","CRÉDITO")</f>
        <v>DE CONTADO</v>
      </c>
      <c r="B344" s="67" t="b">
        <f>+IF((PROVEEDORES[[#This Row],[FECHA DE PAGO]]-PROVEEDORES[[#This Row],[FECHA DE FACTURACIÓN]])&gt;PROVEEDORES[[#This Row],[PLAZO Días]],"PAGO VENCIDO")</f>
        <v>0</v>
      </c>
      <c r="C344" s="27">
        <f>+VLOOKUP(PROVEEDORES[[#This Row],[PROVEEDOR]],TERCEROS_INFO[#All],2,FALSE)</f>
        <v>30</v>
      </c>
      <c r="D344" s="37">
        <f>+SUMIFS(PROVEEDORES[Total],PROVEEDORES[PROVEEDOR],PROVEEDORES[[#This Row],[PROVEEDOR]],PROVEEDORES[FECHA DE PAGO],"")</f>
        <v>0</v>
      </c>
      <c r="E344" s="37"/>
      <c r="F344" s="108" t="str">
        <f>+VLOOKUP(PROVEEDORES[[#This Row],[PROVEEDOR]],TERCEROS_INFO[[PROVEEDOR]:[CORREO]],5,FALSE)</f>
        <v/>
      </c>
      <c r="G344" s="143">
        <v>44161</v>
      </c>
      <c r="H344" s="38" t="s">
        <v>276</v>
      </c>
      <c r="I344" s="30">
        <v>44161</v>
      </c>
      <c r="J344" s="58"/>
      <c r="K344" s="32">
        <v>1000000</v>
      </c>
      <c r="L344" s="32"/>
      <c r="M344" s="33">
        <f>(PROVEEDORES[[#This Row],[SUBTOTAL]]-PROVEEDORES[[#This Row],[descuento antes de IVA]])*VLOOKUP(PROVEEDORES[[#This Row],[PROVEEDOR]],TERCEROS_INFO[#All],3,FALSE)</f>
        <v>0</v>
      </c>
      <c r="N344" s="34"/>
      <c r="O344" s="33">
        <f>+PROVEEDORES[[#This Row],[Descuento sobre subtotal %]]*(PROVEEDORES[[#This Row],[SUBTOTAL]]-PROVEEDORES[[#This Row],[descuento antes de IVA]])</f>
        <v>0</v>
      </c>
      <c r="P3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4" s="33">
        <f>+(PROVEEDORES[[#This Row],[SUBTOTAL]]-PROVEEDORES[[#This Row],[descuento antes de IVA]])*PROVEEDORES[[#This Row],[Rete Fuente %]]</f>
        <v>0</v>
      </c>
      <c r="R344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4" s="40"/>
      <c r="U344" s="97"/>
      <c r="V344" s="36"/>
      <c r="W344" s="36"/>
      <c r="X344" s="36"/>
      <c r="Y344" s="36"/>
      <c r="Z344" s="41"/>
      <c r="AA344" s="42"/>
      <c r="AF344" s="36"/>
      <c r="AG344" s="36"/>
    </row>
    <row r="345" spans="1:33" ht="21.95" hidden="1" customHeight="1" x14ac:dyDescent="0.25">
      <c r="A345" s="39" t="str">
        <f>+IF(PROVEEDORES[[#This Row],[FECHA DE PAGO]]=PROVEEDORES[[#This Row],[FECHA DE FACTURACIÓN]],"DE CONTADO","CRÉDITO")</f>
        <v>DE CONTADO</v>
      </c>
      <c r="B345" s="67" t="b">
        <f>+IF((PROVEEDORES[[#This Row],[FECHA DE PAGO]]-PROVEEDORES[[#This Row],[FECHA DE FACTURACIÓN]])&gt;PROVEEDORES[[#This Row],[PLAZO Días]],"PAGO VENCIDO")</f>
        <v>0</v>
      </c>
      <c r="C345" s="27">
        <f>+VLOOKUP(PROVEEDORES[[#This Row],[PROVEEDOR]],TERCEROS_INFO[#All],2,FALSE)</f>
        <v>30</v>
      </c>
      <c r="D345" s="37">
        <f>+SUMIFS(PROVEEDORES[Total],PROVEEDORES[PROVEEDOR],PROVEEDORES[[#This Row],[PROVEEDOR]],PROVEEDORES[FECHA DE PAGO],"")</f>
        <v>0</v>
      </c>
      <c r="E345" s="37"/>
      <c r="F345" s="108" t="str">
        <f>+VLOOKUP(PROVEEDORES[[#This Row],[PROVEEDOR]],TERCEROS_INFO[[PROVEEDOR]:[CORREO]],5,FALSE)</f>
        <v/>
      </c>
      <c r="G345" s="143">
        <v>44168</v>
      </c>
      <c r="H345" s="38" t="s">
        <v>276</v>
      </c>
      <c r="I345" s="30">
        <v>44168</v>
      </c>
      <c r="J345" s="58"/>
      <c r="K345" s="32">
        <v>1000000</v>
      </c>
      <c r="L345" s="32"/>
      <c r="M345" s="33">
        <f>(PROVEEDORES[[#This Row],[SUBTOTAL]]-PROVEEDORES[[#This Row],[descuento antes de IVA]])*VLOOKUP(PROVEEDORES[[#This Row],[PROVEEDOR]],TERCEROS_INFO[#All],3,FALSE)</f>
        <v>0</v>
      </c>
      <c r="N345" s="34"/>
      <c r="O345" s="33">
        <f>+PROVEEDORES[[#This Row],[Descuento sobre subtotal %]]*(PROVEEDORES[[#This Row],[SUBTOTAL]]-PROVEEDORES[[#This Row],[descuento antes de IVA]])</f>
        <v>0</v>
      </c>
      <c r="P3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5" s="33">
        <f>+(PROVEEDORES[[#This Row],[SUBTOTAL]]-PROVEEDORES[[#This Row],[descuento antes de IVA]])*PROVEEDORES[[#This Row],[Rete Fuente %]]</f>
        <v>0</v>
      </c>
      <c r="R345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5" s="40"/>
      <c r="U345" s="97"/>
      <c r="V345" s="36"/>
      <c r="W345" s="36"/>
      <c r="X345" s="36"/>
      <c r="Y345" s="36"/>
      <c r="Z345" s="41"/>
      <c r="AA345" s="42"/>
      <c r="AF345" s="36"/>
      <c r="AG345" s="36"/>
    </row>
    <row r="346" spans="1:33" ht="21.95" hidden="1" customHeight="1" x14ac:dyDescent="0.25">
      <c r="A346" s="39" t="str">
        <f>+IF(PROVEEDORES[[#This Row],[FECHA DE PAGO]]=PROVEEDORES[[#This Row],[FECHA DE FACTURACIÓN]],"DE CONTADO","CRÉDITO")</f>
        <v>DE CONTADO</v>
      </c>
      <c r="B346" s="67" t="b">
        <f>+IF((PROVEEDORES[[#This Row],[FECHA DE PAGO]]-PROVEEDORES[[#This Row],[FECHA DE FACTURACIÓN]])&gt;PROVEEDORES[[#This Row],[PLAZO Días]],"PAGO VENCIDO")</f>
        <v>0</v>
      </c>
      <c r="C346" s="27">
        <f>+VLOOKUP(PROVEEDORES[[#This Row],[PROVEEDOR]],TERCEROS_INFO[#All],2,FALSE)</f>
        <v>30</v>
      </c>
      <c r="D346" s="37">
        <f>+SUMIFS(PROVEEDORES[Total],PROVEEDORES[PROVEEDOR],PROVEEDORES[[#This Row],[PROVEEDOR]],PROVEEDORES[FECHA DE PAGO],"")</f>
        <v>0</v>
      </c>
      <c r="E346" s="37"/>
      <c r="F346" s="108" t="str">
        <f>+VLOOKUP(PROVEEDORES[[#This Row],[PROVEEDOR]],TERCEROS_INFO[[PROVEEDOR]:[CORREO]],5,FALSE)</f>
        <v/>
      </c>
      <c r="G346" s="143">
        <v>44168</v>
      </c>
      <c r="H346" s="38" t="s">
        <v>276</v>
      </c>
      <c r="I346" s="30">
        <v>44168</v>
      </c>
      <c r="J346" s="58"/>
      <c r="K346" s="32">
        <v>1150000</v>
      </c>
      <c r="L346" s="32"/>
      <c r="M346" s="33">
        <f>(PROVEEDORES[[#This Row],[SUBTOTAL]]-PROVEEDORES[[#This Row],[descuento antes de IVA]])*VLOOKUP(PROVEEDORES[[#This Row],[PROVEEDOR]],TERCEROS_INFO[#All],3,FALSE)</f>
        <v>0</v>
      </c>
      <c r="N346" s="34"/>
      <c r="O346" s="33">
        <f>+PROVEEDORES[[#This Row],[Descuento sobre subtotal %]]*(PROVEEDORES[[#This Row],[SUBTOTAL]]-PROVEEDORES[[#This Row],[descuento antes de IVA]])</f>
        <v>0</v>
      </c>
      <c r="P3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6" s="33">
        <f>+(PROVEEDORES[[#This Row],[SUBTOTAL]]-PROVEEDORES[[#This Row],[descuento antes de IVA]])*PROVEEDORES[[#This Row],[Rete Fuente %]]</f>
        <v>0</v>
      </c>
      <c r="R346" s="32">
        <f>+PROVEEDORES[[#This Row],[SUBTOTAL]]+PROVEEDORES[[#This Row],[IVA 19%]]-PROVEEDORES[[#This Row],[descuento antes de IVA]]-PROVEEDORES[[#This Row],[Descuento sobre subtotal $]]-PROVEEDORES[[#This Row],[Rete Fuente $]]</f>
        <v>1150000</v>
      </c>
      <c r="S3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6" s="40"/>
      <c r="U346" s="97"/>
      <c r="V346" s="36"/>
      <c r="W346" s="36"/>
      <c r="X346" s="36"/>
      <c r="Y346" s="36"/>
      <c r="Z346" s="41"/>
      <c r="AA346" s="42"/>
      <c r="AF346" s="36"/>
      <c r="AG346" s="36"/>
    </row>
    <row r="347" spans="1:33" ht="21.95" hidden="1" customHeight="1" x14ac:dyDescent="0.25">
      <c r="A347" s="39" t="str">
        <f>+IF(PROVEEDORES[[#This Row],[FECHA DE PAGO]]=PROVEEDORES[[#This Row],[FECHA DE FACTURACIÓN]],"DE CONTADO","CRÉDITO")</f>
        <v>DE CONTADO</v>
      </c>
      <c r="B347" s="67" t="b">
        <f>+IF((PROVEEDORES[[#This Row],[FECHA DE PAGO]]-PROVEEDORES[[#This Row],[FECHA DE FACTURACIÓN]])&gt;PROVEEDORES[[#This Row],[PLAZO Días]],"PAGO VENCIDO")</f>
        <v>0</v>
      </c>
      <c r="C347" s="27">
        <f>+VLOOKUP(PROVEEDORES[[#This Row],[PROVEEDOR]],TERCEROS_INFO[#All],2,FALSE)</f>
        <v>30</v>
      </c>
      <c r="D347" s="37">
        <f>+SUMIFS(PROVEEDORES[Total],PROVEEDORES[PROVEEDOR],PROVEEDORES[[#This Row],[PROVEEDOR]],PROVEEDORES[FECHA DE PAGO],"")</f>
        <v>0</v>
      </c>
      <c r="E347" s="37"/>
      <c r="F347" s="108" t="str">
        <f>+VLOOKUP(PROVEEDORES[[#This Row],[PROVEEDOR]],TERCEROS_INFO[[PROVEEDOR]:[CORREO]],5,FALSE)</f>
        <v/>
      </c>
      <c r="G347" s="143">
        <v>44175</v>
      </c>
      <c r="H347" s="38" t="s">
        <v>276</v>
      </c>
      <c r="I347" s="30">
        <v>44175</v>
      </c>
      <c r="J347" s="58"/>
      <c r="K347" s="32">
        <v>1500000</v>
      </c>
      <c r="L347" s="32"/>
      <c r="M347" s="33">
        <f>(PROVEEDORES[[#This Row],[SUBTOTAL]]-PROVEEDORES[[#This Row],[descuento antes de IVA]])*VLOOKUP(PROVEEDORES[[#This Row],[PROVEEDOR]],TERCEROS_INFO[#All],3,FALSE)</f>
        <v>0</v>
      </c>
      <c r="N347" s="34"/>
      <c r="O347" s="33">
        <f>+PROVEEDORES[[#This Row],[Descuento sobre subtotal %]]*(PROVEEDORES[[#This Row],[SUBTOTAL]]-PROVEEDORES[[#This Row],[descuento antes de IVA]])</f>
        <v>0</v>
      </c>
      <c r="P3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7" s="33">
        <f>+(PROVEEDORES[[#This Row],[SUBTOTAL]]-PROVEEDORES[[#This Row],[descuento antes de IVA]])*PROVEEDORES[[#This Row],[Rete Fuente %]]</f>
        <v>0</v>
      </c>
      <c r="R347" s="32">
        <f>+PROVEEDORES[[#This Row],[SUBTOTAL]]+PROVEEDORES[[#This Row],[IVA 19%]]-PROVEEDORES[[#This Row],[descuento antes de IVA]]-PROVEEDORES[[#This Row],[Descuento sobre subtotal $]]-PROVEEDORES[[#This Row],[Rete Fuente $]]</f>
        <v>1500000</v>
      </c>
      <c r="S3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7" s="40"/>
      <c r="U347" s="97"/>
      <c r="V347" s="36"/>
      <c r="W347" s="36"/>
      <c r="X347" s="36"/>
      <c r="Y347" s="36"/>
      <c r="Z347" s="41"/>
      <c r="AA347" s="42"/>
      <c r="AF347" s="36"/>
      <c r="AG347" s="36"/>
    </row>
    <row r="348" spans="1:33" ht="21.95" hidden="1" customHeight="1" x14ac:dyDescent="0.25">
      <c r="A348" s="39" t="str">
        <f>+IF(PROVEEDORES[[#This Row],[FECHA DE PAGO]]=PROVEEDORES[[#This Row],[FECHA DE FACTURACIÓN]],"DE CONTADO","CRÉDITO")</f>
        <v>DE CONTADO</v>
      </c>
      <c r="B348" s="67" t="b">
        <f>+IF((PROVEEDORES[[#This Row],[FECHA DE PAGO]]-PROVEEDORES[[#This Row],[FECHA DE FACTURACIÓN]])&gt;PROVEEDORES[[#This Row],[PLAZO Días]],"PAGO VENCIDO")</f>
        <v>0</v>
      </c>
      <c r="C348" s="27">
        <f>+VLOOKUP(PROVEEDORES[[#This Row],[PROVEEDOR]],TERCEROS_INFO[#All],2,FALSE)</f>
        <v>30</v>
      </c>
      <c r="D348" s="37">
        <f>+SUMIFS(PROVEEDORES[Total],PROVEEDORES[PROVEEDOR],PROVEEDORES[[#This Row],[PROVEEDOR]],PROVEEDORES[FECHA DE PAGO],"")</f>
        <v>0</v>
      </c>
      <c r="E348" s="37"/>
      <c r="F348" s="108" t="str">
        <f>+VLOOKUP(PROVEEDORES[[#This Row],[PROVEEDOR]],TERCEROS_INFO[[PROVEEDOR]:[CORREO]],5,FALSE)</f>
        <v/>
      </c>
      <c r="G348" s="143">
        <v>44182</v>
      </c>
      <c r="H348" s="38" t="s">
        <v>276</v>
      </c>
      <c r="I348" s="30">
        <v>44182</v>
      </c>
      <c r="J348" s="58"/>
      <c r="K348" s="32">
        <v>2000000</v>
      </c>
      <c r="L348" s="32"/>
      <c r="M348" s="33">
        <f>(PROVEEDORES[[#This Row],[SUBTOTAL]]-PROVEEDORES[[#This Row],[descuento antes de IVA]])*VLOOKUP(PROVEEDORES[[#This Row],[PROVEEDOR]],TERCEROS_INFO[#All],3,FALSE)</f>
        <v>0</v>
      </c>
      <c r="N348" s="34"/>
      <c r="O348" s="33">
        <f>+PROVEEDORES[[#This Row],[Descuento sobre subtotal %]]*(PROVEEDORES[[#This Row],[SUBTOTAL]]-PROVEEDORES[[#This Row],[descuento antes de IVA]])</f>
        <v>0</v>
      </c>
      <c r="P3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8" s="33">
        <f>+(PROVEEDORES[[#This Row],[SUBTOTAL]]-PROVEEDORES[[#This Row],[descuento antes de IVA]])*PROVEEDORES[[#This Row],[Rete Fuente %]]</f>
        <v>0</v>
      </c>
      <c r="R348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3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8" s="40"/>
      <c r="U348" s="97"/>
      <c r="V348" s="36"/>
      <c r="W348" s="36"/>
      <c r="X348" s="36"/>
      <c r="Y348" s="36"/>
      <c r="Z348" s="41"/>
      <c r="AA348" s="42"/>
      <c r="AF348" s="36"/>
      <c r="AG348" s="36"/>
    </row>
    <row r="349" spans="1:33" ht="21.95" hidden="1" customHeight="1" x14ac:dyDescent="0.25">
      <c r="A349" s="39" t="str">
        <f>+IF(PROVEEDORES[[#This Row],[FECHA DE PAGO]]=PROVEEDORES[[#This Row],[FECHA DE FACTURACIÓN]],"DE CONTADO","CRÉDITO")</f>
        <v>DE CONTADO</v>
      </c>
      <c r="B349" s="67" t="b">
        <f>+IF((PROVEEDORES[[#This Row],[FECHA DE PAGO]]-PROVEEDORES[[#This Row],[FECHA DE FACTURACIÓN]])&gt;PROVEEDORES[[#This Row],[PLAZO Días]],"PAGO VENCIDO")</f>
        <v>0</v>
      </c>
      <c r="C349" s="27">
        <f>+VLOOKUP(PROVEEDORES[[#This Row],[PROVEEDOR]],TERCEROS_INFO[#All],2,FALSE)</f>
        <v>30</v>
      </c>
      <c r="D349" s="37">
        <f>+SUMIFS(PROVEEDORES[Total],PROVEEDORES[PROVEEDOR],PROVEEDORES[[#This Row],[PROVEEDOR]],PROVEEDORES[FECHA DE PAGO],"")</f>
        <v>0</v>
      </c>
      <c r="E349" s="37"/>
      <c r="F349" s="108" t="str">
        <f>+VLOOKUP(PROVEEDORES[[#This Row],[PROVEEDOR]],TERCEROS_INFO[[PROVEEDOR]:[CORREO]],5,FALSE)</f>
        <v/>
      </c>
      <c r="G349" s="143">
        <v>44189</v>
      </c>
      <c r="H349" s="38" t="s">
        <v>276</v>
      </c>
      <c r="I349" s="30">
        <v>44189</v>
      </c>
      <c r="J349" s="58"/>
      <c r="K349" s="32">
        <v>2000000</v>
      </c>
      <c r="L349" s="32"/>
      <c r="M349" s="33">
        <f>(PROVEEDORES[[#This Row],[SUBTOTAL]]-PROVEEDORES[[#This Row],[descuento antes de IVA]])*VLOOKUP(PROVEEDORES[[#This Row],[PROVEEDOR]],TERCEROS_INFO[#All],3,FALSE)</f>
        <v>0</v>
      </c>
      <c r="N349" s="34"/>
      <c r="O349" s="33">
        <f>+PROVEEDORES[[#This Row],[Descuento sobre subtotal %]]*(PROVEEDORES[[#This Row],[SUBTOTAL]]-PROVEEDORES[[#This Row],[descuento antes de IVA]])</f>
        <v>0</v>
      </c>
      <c r="P3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49" s="33">
        <f>+(PROVEEDORES[[#This Row],[SUBTOTAL]]-PROVEEDORES[[#This Row],[descuento antes de IVA]])*PROVEEDORES[[#This Row],[Rete Fuente %]]</f>
        <v>0</v>
      </c>
      <c r="R349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34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9" s="40"/>
      <c r="U349" s="97"/>
      <c r="V349" s="36"/>
      <c r="W349" s="36"/>
      <c r="X349" s="36"/>
      <c r="Y349" s="36"/>
      <c r="Z349" s="41"/>
      <c r="AA349" s="42"/>
      <c r="AF349" s="36"/>
      <c r="AG349" s="36"/>
    </row>
    <row r="350" spans="1:33" ht="21.95" hidden="1" customHeight="1" x14ac:dyDescent="0.25">
      <c r="A350" s="35" t="str">
        <f>+IF(PROVEEDORES[[#This Row],[FECHA DE PAGO]]=PROVEEDORES[[#This Row],[FECHA DE FACTURACIÓN]],"DE CONTADO","CRÉDITO")</f>
        <v>DE CONTADO</v>
      </c>
      <c r="B350" s="67" t="b">
        <f>+IF((PROVEEDORES[[#This Row],[FECHA DE PAGO]]-PROVEEDORES[[#This Row],[FECHA DE FACTURACIÓN]])&gt;PROVEEDORES[[#This Row],[PLAZO Días]],"PAGO VENCIDO")</f>
        <v>0</v>
      </c>
      <c r="C350" s="27">
        <f>+VLOOKUP(PROVEEDORES[[#This Row],[PROVEEDOR]],TERCEROS_INFO[#All],2,FALSE)</f>
        <v>30</v>
      </c>
      <c r="D350" s="37">
        <f>+SUMIFS(PROVEEDORES[Total],PROVEEDORES[PROVEEDOR],PROVEEDORES[[#This Row],[PROVEEDOR]],PROVEEDORES[FECHA DE PAGO],"")</f>
        <v>0</v>
      </c>
      <c r="E350" s="37"/>
      <c r="F350" s="108" t="str">
        <f>+VLOOKUP(PROVEEDORES[[#This Row],[PROVEEDOR]],TERCEROS_INFO[[PROVEEDOR]:[CORREO]],5,FALSE)</f>
        <v/>
      </c>
      <c r="G350" s="143">
        <v>44217</v>
      </c>
      <c r="H350" s="38" t="s">
        <v>276</v>
      </c>
      <c r="I350" s="30">
        <v>44217</v>
      </c>
      <c r="J350" s="58"/>
      <c r="K350" s="32">
        <v>2000000</v>
      </c>
      <c r="L350" s="32"/>
      <c r="M350" s="33">
        <f>(PROVEEDORES[[#This Row],[SUBTOTAL]]-PROVEEDORES[[#This Row],[descuento antes de IVA]])*VLOOKUP(PROVEEDORES[[#This Row],[PROVEEDOR]],TERCEROS_INFO[#All],3,FALSE)</f>
        <v>0</v>
      </c>
      <c r="N350" s="34"/>
      <c r="O350" s="33">
        <f>+PROVEEDORES[[#This Row],[Descuento sobre subtotal %]]*(PROVEEDORES[[#This Row],[SUBTOTAL]]-PROVEEDORES[[#This Row],[descuento antes de IVA]])</f>
        <v>0</v>
      </c>
      <c r="P3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0" s="33">
        <f>+(PROVEEDORES[[#This Row],[SUBTOTAL]]-PROVEEDORES[[#This Row],[descuento antes de IVA]])*PROVEEDORES[[#This Row],[Rete Fuente %]]</f>
        <v>0</v>
      </c>
      <c r="R350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35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0" s="40"/>
      <c r="U350" s="97"/>
      <c r="V350" s="36"/>
      <c r="W350" s="36"/>
      <c r="X350" s="36"/>
      <c r="Y350" s="36"/>
      <c r="Z350" s="41"/>
      <c r="AA350" s="42"/>
      <c r="AF350" s="36"/>
      <c r="AG350" s="36"/>
    </row>
    <row r="351" spans="1:33" ht="21.95" hidden="1" customHeight="1" x14ac:dyDescent="0.25">
      <c r="A351" s="39" t="str">
        <f>+IF(PROVEEDORES[[#This Row],[FECHA DE PAGO]]=PROVEEDORES[[#This Row],[FECHA DE FACTURACIÓN]],"DE CONTADO","CRÉDITO")</f>
        <v>DE CONTADO</v>
      </c>
      <c r="B351" s="67" t="b">
        <f>+IF((PROVEEDORES[[#This Row],[FECHA DE PAGO]]-PROVEEDORES[[#This Row],[FECHA DE FACTURACIÓN]])&gt;PROVEEDORES[[#This Row],[PLAZO Días]],"PAGO VENCIDO")</f>
        <v>0</v>
      </c>
      <c r="C351" s="27">
        <f>+VLOOKUP(PROVEEDORES[[#This Row],[PROVEEDOR]],TERCEROS_INFO[#All],2,FALSE)</f>
        <v>30</v>
      </c>
      <c r="D351" s="37">
        <f>+SUMIFS(PROVEEDORES[Total],PROVEEDORES[PROVEEDOR],PROVEEDORES[[#This Row],[PROVEEDOR]],PROVEEDORES[FECHA DE PAGO],"")</f>
        <v>0</v>
      </c>
      <c r="E351" s="37"/>
      <c r="F351" s="108" t="str">
        <f>+VLOOKUP(PROVEEDORES[[#This Row],[PROVEEDOR]],TERCEROS_INFO[[PROVEEDOR]:[CORREO]],5,FALSE)</f>
        <v/>
      </c>
      <c r="G351" s="143">
        <v>44230</v>
      </c>
      <c r="H351" s="38" t="s">
        <v>276</v>
      </c>
      <c r="I351" s="30">
        <v>44230</v>
      </c>
      <c r="J351" s="58"/>
      <c r="K351" s="32">
        <v>2000000</v>
      </c>
      <c r="L351" s="32"/>
      <c r="M351" s="33">
        <f>(PROVEEDORES[[#This Row],[SUBTOTAL]]-PROVEEDORES[[#This Row],[descuento antes de IVA]])*VLOOKUP(PROVEEDORES[[#This Row],[PROVEEDOR]],TERCEROS_INFO[#All],3,FALSE)</f>
        <v>0</v>
      </c>
      <c r="N351" s="34"/>
      <c r="O351" s="33">
        <f>+PROVEEDORES[[#This Row],[Descuento sobre subtotal %]]*(PROVEEDORES[[#This Row],[SUBTOTAL]]-PROVEEDORES[[#This Row],[descuento antes de IVA]])</f>
        <v>0</v>
      </c>
      <c r="P3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1" s="33">
        <f>+(PROVEEDORES[[#This Row],[SUBTOTAL]]-PROVEEDORES[[#This Row],[descuento antes de IVA]])*PROVEEDORES[[#This Row],[Rete Fuente %]]</f>
        <v>0</v>
      </c>
      <c r="R351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3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1" s="40"/>
      <c r="U351" s="97"/>
      <c r="V351" s="36"/>
      <c r="W351" s="36"/>
      <c r="X351" s="36"/>
      <c r="Y351" s="36"/>
      <c r="Z351" s="41"/>
      <c r="AA351" s="42"/>
      <c r="AF351" s="36"/>
      <c r="AG351" s="36"/>
    </row>
    <row r="352" spans="1:33" ht="21.95" hidden="1" customHeight="1" x14ac:dyDescent="0.25">
      <c r="A352" s="88" t="str">
        <f>+IF(PROVEEDORES[[#This Row],[FECHA DE PAGO]]=PROVEEDORES[[#This Row],[FECHA DE FACTURACIÓN]],"DE CONTADO","CRÉDITO")</f>
        <v>DE CONTADO</v>
      </c>
      <c r="B352" s="70" t="b">
        <f>+IF((PROVEEDORES[[#This Row],[FECHA DE PAGO]]-PROVEEDORES[[#This Row],[FECHA DE FACTURACIÓN]])&gt;PROVEEDORES[[#This Row],[PLAZO Días]],"PAGO VENCIDO")</f>
        <v>0</v>
      </c>
      <c r="C352" s="27">
        <f>+VLOOKUP(PROVEEDORES[[#This Row],[PROVEEDOR]],TERCEROS_INFO[#All],2,FALSE)</f>
        <v>30</v>
      </c>
      <c r="D352" s="37">
        <f>+SUMIFS(PROVEEDORES[Total],PROVEEDORES[PROVEEDOR],PROVEEDORES[[#This Row],[PROVEEDOR]],PROVEEDORES[FECHA DE PAGO],"")</f>
        <v>0</v>
      </c>
      <c r="E352" s="37"/>
      <c r="F352" s="108" t="str">
        <f>+VLOOKUP(PROVEEDORES[[#This Row],[PROVEEDOR]],TERCEROS_INFO[[PROVEEDOR]:[CORREO]],5,FALSE)</f>
        <v/>
      </c>
      <c r="G352" s="143">
        <v>44244</v>
      </c>
      <c r="H352" s="38" t="s">
        <v>276</v>
      </c>
      <c r="I352" s="30">
        <v>44244</v>
      </c>
      <c r="J352" s="58"/>
      <c r="K352" s="32">
        <v>1000000</v>
      </c>
      <c r="L352" s="32"/>
      <c r="M352" s="33">
        <f>(PROVEEDORES[[#This Row],[SUBTOTAL]]-PROVEEDORES[[#This Row],[descuento antes de IVA]])*VLOOKUP(PROVEEDORES[[#This Row],[PROVEEDOR]],TERCEROS_INFO[#All],3,FALSE)</f>
        <v>0</v>
      </c>
      <c r="N352" s="34"/>
      <c r="O352" s="33">
        <f>+PROVEEDORES[[#This Row],[Descuento sobre subtotal %]]*(PROVEEDORES[[#This Row],[SUBTOTAL]]-PROVEEDORES[[#This Row],[descuento antes de IVA]])</f>
        <v>0</v>
      </c>
      <c r="P3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2" s="33">
        <f>+(PROVEEDORES[[#This Row],[SUBTOTAL]]-PROVEEDORES[[#This Row],[descuento antes de IVA]])*PROVEEDORES[[#This Row],[Rete Fuente %]]</f>
        <v>0</v>
      </c>
      <c r="R352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5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2" s="40"/>
      <c r="U352" s="97"/>
      <c r="V352" s="36"/>
      <c r="W352" s="36"/>
      <c r="X352" s="36"/>
      <c r="Y352" s="36"/>
      <c r="Z352" s="41"/>
      <c r="AA352" s="42"/>
      <c r="AF352" s="36"/>
      <c r="AG352" s="36"/>
    </row>
    <row r="353" spans="1:33" ht="21.95" hidden="1" customHeight="1" x14ac:dyDescent="0.25">
      <c r="A353" s="88" t="str">
        <f>+IF(PROVEEDORES[[#This Row],[FECHA DE PAGO]]=PROVEEDORES[[#This Row],[FECHA DE FACTURACIÓN]],"DE CONTADO","CRÉDITO")</f>
        <v>DE CONTADO</v>
      </c>
      <c r="B353" s="70" t="b">
        <f>+IF((PROVEEDORES[[#This Row],[FECHA DE PAGO]]-PROVEEDORES[[#This Row],[FECHA DE FACTURACIÓN]])&gt;PROVEEDORES[[#This Row],[PLAZO Días]],"PAGO VENCIDO")</f>
        <v>0</v>
      </c>
      <c r="C353" s="27">
        <f>+VLOOKUP(PROVEEDORES[[#This Row],[PROVEEDOR]],TERCEROS_INFO[#All],2,FALSE)</f>
        <v>30</v>
      </c>
      <c r="D353" s="37">
        <f>+SUMIFS(PROVEEDORES[Total],PROVEEDORES[PROVEEDOR],PROVEEDORES[[#This Row],[PROVEEDOR]],PROVEEDORES[FECHA DE PAGO],"")</f>
        <v>0</v>
      </c>
      <c r="E353" s="37"/>
      <c r="F353" s="108" t="str">
        <f>+VLOOKUP(PROVEEDORES[[#This Row],[PROVEEDOR]],TERCEROS_INFO[[PROVEEDOR]:[CORREO]],5,FALSE)</f>
        <v/>
      </c>
      <c r="G353" s="143">
        <v>44245</v>
      </c>
      <c r="H353" s="38" t="s">
        <v>276</v>
      </c>
      <c r="I353" s="30">
        <v>44245</v>
      </c>
      <c r="J353" s="58"/>
      <c r="K353" s="32">
        <v>1000000</v>
      </c>
      <c r="L353" s="32"/>
      <c r="M353" s="33">
        <f>(PROVEEDORES[[#This Row],[SUBTOTAL]]-PROVEEDORES[[#This Row],[descuento antes de IVA]])*VLOOKUP(PROVEEDORES[[#This Row],[PROVEEDOR]],TERCEROS_INFO[#All],3,FALSE)</f>
        <v>0</v>
      </c>
      <c r="N353" s="34"/>
      <c r="O353" s="33">
        <f>+PROVEEDORES[[#This Row],[Descuento sobre subtotal %]]*(PROVEEDORES[[#This Row],[SUBTOTAL]]-PROVEEDORES[[#This Row],[descuento antes de IVA]])</f>
        <v>0</v>
      </c>
      <c r="P3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3" s="33">
        <f>+(PROVEEDORES[[#This Row],[SUBTOTAL]]-PROVEEDORES[[#This Row],[descuento antes de IVA]])*PROVEEDORES[[#This Row],[Rete Fuente %]]</f>
        <v>0</v>
      </c>
      <c r="R353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5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3" s="40"/>
      <c r="U353" s="97"/>
      <c r="V353" s="36"/>
      <c r="W353" s="36"/>
      <c r="X353" s="36"/>
      <c r="Y353" s="36"/>
      <c r="Z353" s="41"/>
      <c r="AA353" s="42"/>
      <c r="AF353" s="36"/>
      <c r="AG353" s="36"/>
    </row>
    <row r="354" spans="1:33" ht="21.95" hidden="1" customHeight="1" x14ac:dyDescent="0.25">
      <c r="A354" s="88" t="str">
        <f>+IF(PROVEEDORES[[#This Row],[FECHA DE PAGO]]=PROVEEDORES[[#This Row],[FECHA DE FACTURACIÓN]],"DE CONTADO","CRÉDITO")</f>
        <v>DE CONTADO</v>
      </c>
      <c r="B354" s="70" t="b">
        <f>+IF((PROVEEDORES[[#This Row],[FECHA DE PAGO]]-PROVEEDORES[[#This Row],[FECHA DE FACTURACIÓN]])&gt;PROVEEDORES[[#This Row],[PLAZO Días]],"PAGO VENCIDO")</f>
        <v>0</v>
      </c>
      <c r="C354" s="27">
        <f>+VLOOKUP(PROVEEDORES[[#This Row],[PROVEEDOR]],TERCEROS_INFO[#All],2,FALSE)</f>
        <v>30</v>
      </c>
      <c r="D354" s="37">
        <f>+SUMIFS(PROVEEDORES[Total],PROVEEDORES[PROVEEDOR],PROVEEDORES[[#This Row],[PROVEEDOR]],PROVEEDORES[FECHA DE PAGO],"")</f>
        <v>0</v>
      </c>
      <c r="E354" s="37"/>
      <c r="F354" s="108" t="str">
        <f>+VLOOKUP(PROVEEDORES[[#This Row],[PROVEEDOR]],TERCEROS_INFO[[PROVEEDOR]:[CORREO]],5,FALSE)</f>
        <v/>
      </c>
      <c r="G354" s="143">
        <v>44258</v>
      </c>
      <c r="H354" s="38" t="s">
        <v>276</v>
      </c>
      <c r="I354" s="30">
        <v>44258</v>
      </c>
      <c r="J354" s="58"/>
      <c r="K354" s="32">
        <v>1000000</v>
      </c>
      <c r="L354" s="32"/>
      <c r="M354" s="33">
        <f>(PROVEEDORES[[#This Row],[SUBTOTAL]]-PROVEEDORES[[#This Row],[descuento antes de IVA]])*VLOOKUP(PROVEEDORES[[#This Row],[PROVEEDOR]],TERCEROS_INFO[#All],3,FALSE)</f>
        <v>0</v>
      </c>
      <c r="N354" s="34"/>
      <c r="O354" s="33">
        <f>+PROVEEDORES[[#This Row],[Descuento sobre subtotal %]]*(PROVEEDORES[[#This Row],[SUBTOTAL]]-PROVEEDORES[[#This Row],[descuento antes de IVA]])</f>
        <v>0</v>
      </c>
      <c r="P3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4" s="33">
        <f>+(PROVEEDORES[[#This Row],[SUBTOTAL]]-PROVEEDORES[[#This Row],[descuento antes de IVA]])*PROVEEDORES[[#This Row],[Rete Fuente %]]</f>
        <v>0</v>
      </c>
      <c r="R354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54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4" s="40"/>
      <c r="U354" s="97"/>
      <c r="V354" s="36"/>
      <c r="W354" s="36"/>
      <c r="X354" s="36"/>
      <c r="Y354" s="36"/>
      <c r="Z354" s="41"/>
      <c r="AA354" s="42"/>
      <c r="AF354" s="36"/>
      <c r="AG354" s="36"/>
    </row>
    <row r="355" spans="1:33" ht="21.95" hidden="1" customHeight="1" x14ac:dyDescent="0.25">
      <c r="A355" s="88" t="str">
        <f>+IF(PROVEEDORES[[#This Row],[FECHA DE PAGO]]=PROVEEDORES[[#This Row],[FECHA DE FACTURACIÓN]],"DE CONTADO","CRÉDITO")</f>
        <v>DE CONTADO</v>
      </c>
      <c r="B355" s="70" t="b">
        <f>+IF((PROVEEDORES[[#This Row],[FECHA DE PAGO]]-PROVEEDORES[[#This Row],[FECHA DE FACTURACIÓN]])&gt;PROVEEDORES[[#This Row],[PLAZO Días]],"PAGO VENCIDO")</f>
        <v>0</v>
      </c>
      <c r="C355" s="27">
        <f>+VLOOKUP(PROVEEDORES[[#This Row],[PROVEEDOR]],TERCEROS_INFO[#All],2,FALSE)</f>
        <v>30</v>
      </c>
      <c r="D355" s="37">
        <f>+SUMIFS(PROVEEDORES[Total],PROVEEDORES[PROVEEDOR],PROVEEDORES[[#This Row],[PROVEEDOR]],PROVEEDORES[FECHA DE PAGO],"")</f>
        <v>0</v>
      </c>
      <c r="E355" s="37"/>
      <c r="F355" s="108" t="str">
        <f>+VLOOKUP(PROVEEDORES[[#This Row],[PROVEEDOR]],TERCEROS_INFO[[PROVEEDOR]:[CORREO]],5,FALSE)</f>
        <v/>
      </c>
      <c r="G355" s="143">
        <v>44264</v>
      </c>
      <c r="H355" s="38" t="s">
        <v>276</v>
      </c>
      <c r="I355" s="30">
        <v>44264</v>
      </c>
      <c r="J355" s="58"/>
      <c r="K355" s="32">
        <v>1000000</v>
      </c>
      <c r="L355" s="32"/>
      <c r="M355" s="33">
        <f>(PROVEEDORES[[#This Row],[SUBTOTAL]]-PROVEEDORES[[#This Row],[descuento antes de IVA]])*VLOOKUP(PROVEEDORES[[#This Row],[PROVEEDOR]],TERCEROS_INFO[#All],3,FALSE)</f>
        <v>0</v>
      </c>
      <c r="N355" s="34"/>
      <c r="O355" s="33">
        <f>+PROVEEDORES[[#This Row],[Descuento sobre subtotal %]]*(PROVEEDORES[[#This Row],[SUBTOTAL]]-PROVEEDORES[[#This Row],[descuento antes de IVA]])</f>
        <v>0</v>
      </c>
      <c r="P3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5" s="33">
        <f>+(PROVEEDORES[[#This Row],[SUBTOTAL]]-PROVEEDORES[[#This Row],[descuento antes de IVA]])*PROVEEDORES[[#This Row],[Rete Fuente %]]</f>
        <v>0</v>
      </c>
      <c r="R355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55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5" s="40"/>
      <c r="U355" s="97"/>
      <c r="V355" s="36"/>
      <c r="W355" s="36"/>
      <c r="X355" s="36"/>
      <c r="Y355" s="36"/>
      <c r="Z355" s="41"/>
      <c r="AA355" s="42"/>
      <c r="AF355" s="36"/>
      <c r="AG355" s="36"/>
    </row>
    <row r="356" spans="1:33" ht="21.95" hidden="1" customHeight="1" x14ac:dyDescent="0.25">
      <c r="A356" s="39" t="str">
        <f>+IF(PROVEEDORES[[#This Row],[FECHA DE PAGO]]=PROVEEDORES[[#This Row],[FECHA DE FACTURACIÓN]],"DE CONTADO","CRÉDITO")</f>
        <v>DE CONTADO</v>
      </c>
      <c r="B356" s="67" t="b">
        <f>+IF((PROVEEDORES[[#This Row],[FECHA DE PAGO]]-PROVEEDORES[[#This Row],[FECHA DE FACTURACIÓN]])&gt;PROVEEDORES[[#This Row],[PLAZO Días]],"PAGO VENCIDO")</f>
        <v>0</v>
      </c>
      <c r="C356" s="27">
        <f>+VLOOKUP(PROVEEDORES[[#This Row],[PROVEEDOR]],TERCEROS_INFO[#All],2,FALSE)</f>
        <v>30</v>
      </c>
      <c r="D356" s="37">
        <f>+SUMIFS(PROVEEDORES[Total],PROVEEDORES[PROVEEDOR],PROVEEDORES[[#This Row],[PROVEEDOR]],PROVEEDORES[FECHA DE PAGO],"")</f>
        <v>0</v>
      </c>
      <c r="E356" s="37"/>
      <c r="F356" s="108" t="str">
        <f>+VLOOKUP(PROVEEDORES[[#This Row],[PROVEEDOR]],TERCEROS_INFO[[PROVEEDOR]:[CORREO]],5,FALSE)</f>
        <v/>
      </c>
      <c r="G356" s="143">
        <v>44271</v>
      </c>
      <c r="H356" s="38" t="s">
        <v>276</v>
      </c>
      <c r="I356" s="30">
        <v>44271</v>
      </c>
      <c r="J356" s="58"/>
      <c r="K356" s="32">
        <v>2000000</v>
      </c>
      <c r="L356" s="32"/>
      <c r="M356" s="33">
        <f>(PROVEEDORES[[#This Row],[SUBTOTAL]]-PROVEEDORES[[#This Row],[descuento antes de IVA]])*VLOOKUP(PROVEEDORES[[#This Row],[PROVEEDOR]],TERCEROS_INFO[#All],3,FALSE)</f>
        <v>0</v>
      </c>
      <c r="N356" s="34"/>
      <c r="O356" s="33">
        <f>+PROVEEDORES[[#This Row],[Descuento sobre subtotal %]]*(PROVEEDORES[[#This Row],[SUBTOTAL]]-PROVEEDORES[[#This Row],[descuento antes de IVA]])</f>
        <v>0</v>
      </c>
      <c r="P3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6" s="33">
        <f>+(PROVEEDORES[[#This Row],[SUBTOTAL]]-PROVEEDORES[[#This Row],[descuento antes de IVA]])*PROVEEDORES[[#This Row],[Rete Fuente %]]</f>
        <v>0</v>
      </c>
      <c r="R356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35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6" s="40"/>
      <c r="U356" s="97"/>
      <c r="V356" s="36"/>
      <c r="W356" s="36"/>
      <c r="X356" s="36"/>
      <c r="Y356" s="36"/>
      <c r="Z356" s="41"/>
      <c r="AA356" s="42"/>
      <c r="AF356" s="36"/>
      <c r="AG356" s="36"/>
    </row>
    <row r="357" spans="1:33" ht="21.95" hidden="1" customHeight="1" x14ac:dyDescent="0.25">
      <c r="A357" s="88" t="str">
        <f>+IF(PROVEEDORES[[#This Row],[FECHA DE PAGO]]=PROVEEDORES[[#This Row],[FECHA DE FACTURACIÓN]],"DE CONTADO","CRÉDITO")</f>
        <v>DE CONTADO</v>
      </c>
      <c r="B357" s="70" t="b">
        <f>+IF((PROVEEDORES[[#This Row],[FECHA DE PAGO]]-PROVEEDORES[[#This Row],[FECHA DE FACTURACIÓN]])&gt;PROVEEDORES[[#This Row],[PLAZO Días]],"PAGO VENCIDO")</f>
        <v>0</v>
      </c>
      <c r="C357" s="27">
        <f>+VLOOKUP(PROVEEDORES[[#This Row],[PROVEEDOR]],TERCEROS_INFO[#All],2,FALSE)</f>
        <v>30</v>
      </c>
      <c r="D357" s="37">
        <f>+SUMIFS(PROVEEDORES[Total],PROVEEDORES[PROVEEDOR],PROVEEDORES[[#This Row],[PROVEEDOR]],PROVEEDORES[FECHA DE PAGO],"")</f>
        <v>0</v>
      </c>
      <c r="E357" s="37"/>
      <c r="F357" s="108" t="str">
        <f>+VLOOKUP(PROVEEDORES[[#This Row],[PROVEEDOR]],TERCEROS_INFO[[PROVEEDOR]:[CORREO]],5,FALSE)</f>
        <v/>
      </c>
      <c r="G357" s="143">
        <v>44285</v>
      </c>
      <c r="H357" s="38" t="s">
        <v>276</v>
      </c>
      <c r="I357" s="30">
        <v>44285</v>
      </c>
      <c r="J357" s="58"/>
      <c r="K357" s="32">
        <v>1000000</v>
      </c>
      <c r="L357" s="32"/>
      <c r="M357" s="33">
        <f>(PROVEEDORES[[#This Row],[SUBTOTAL]]-PROVEEDORES[[#This Row],[descuento antes de IVA]])*VLOOKUP(PROVEEDORES[[#This Row],[PROVEEDOR]],TERCEROS_INFO[#All],3,FALSE)</f>
        <v>0</v>
      </c>
      <c r="N357" s="34"/>
      <c r="O357" s="33">
        <f>+PROVEEDORES[[#This Row],[Descuento sobre subtotal %]]*(PROVEEDORES[[#This Row],[SUBTOTAL]]-PROVEEDORES[[#This Row],[descuento antes de IVA]])</f>
        <v>0</v>
      </c>
      <c r="P3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7" s="33">
        <f>+(PROVEEDORES[[#This Row],[SUBTOTAL]]-PROVEEDORES[[#This Row],[descuento antes de IVA]])*PROVEEDORES[[#This Row],[Rete Fuente %]]</f>
        <v>0</v>
      </c>
      <c r="R357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57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7" s="40"/>
      <c r="U357" s="97"/>
      <c r="V357" s="36"/>
      <c r="W357" s="36"/>
      <c r="X357" s="36"/>
      <c r="Y357" s="36"/>
      <c r="Z357" s="41"/>
      <c r="AA357" s="42"/>
      <c r="AF357" s="36"/>
      <c r="AG357" s="36"/>
    </row>
    <row r="358" spans="1:33" ht="21.95" hidden="1" customHeight="1" x14ac:dyDescent="0.25">
      <c r="A358" s="100" t="str">
        <f>+IF(PROVEEDORES[[#This Row],[FECHA DE PAGO]]=PROVEEDORES[[#This Row],[FECHA DE FACTURACIÓN]],"DE CONTADO","CRÉDITO")</f>
        <v>DE CONTADO</v>
      </c>
      <c r="B358" s="70" t="b">
        <f>+IF((PROVEEDORES[[#This Row],[FECHA DE PAGO]]-PROVEEDORES[[#This Row],[FECHA DE FACTURACIÓN]])&gt;PROVEEDORES[[#This Row],[PLAZO Días]],"PAGO VENCIDO")</f>
        <v>0</v>
      </c>
      <c r="C358" s="27">
        <f>+VLOOKUP(PROVEEDORES[[#This Row],[PROVEEDOR]],TERCEROS_INFO[#All],2,FALSE)</f>
        <v>30</v>
      </c>
      <c r="D358" s="37">
        <f>+SUMIFS(PROVEEDORES[Total],PROVEEDORES[PROVEEDOR],PROVEEDORES[[#This Row],[PROVEEDOR]],PROVEEDORES[FECHA DE PAGO],"")</f>
        <v>0</v>
      </c>
      <c r="E358" s="37"/>
      <c r="F358" s="108" t="str">
        <f>+VLOOKUP(PROVEEDORES[[#This Row],[PROVEEDOR]],TERCEROS_INFO[[PROVEEDOR]:[CORREO]],5,FALSE)</f>
        <v/>
      </c>
      <c r="G358" s="143">
        <v>44290</v>
      </c>
      <c r="H358" s="38" t="s">
        <v>276</v>
      </c>
      <c r="I358" s="30">
        <v>44290</v>
      </c>
      <c r="J358" s="58"/>
      <c r="K358" s="32">
        <v>1000000</v>
      </c>
      <c r="L358" s="32"/>
      <c r="M358" s="33">
        <f>(PROVEEDORES[[#This Row],[SUBTOTAL]]-PROVEEDORES[[#This Row],[descuento antes de IVA]])*VLOOKUP(PROVEEDORES[[#This Row],[PROVEEDOR]],TERCEROS_INFO[#All],3,FALSE)</f>
        <v>0</v>
      </c>
      <c r="N358" s="34"/>
      <c r="O358" s="33">
        <f>+PROVEEDORES[[#This Row],[Descuento sobre subtotal %]]*(PROVEEDORES[[#This Row],[SUBTOTAL]]-PROVEEDORES[[#This Row],[descuento antes de IVA]])</f>
        <v>0</v>
      </c>
      <c r="P3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8" s="33">
        <f>+(PROVEEDORES[[#This Row],[SUBTOTAL]]-PROVEEDORES[[#This Row],[descuento antes de IVA]])*PROVEEDORES[[#This Row],[Rete Fuente %]]</f>
        <v>0</v>
      </c>
      <c r="R358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58" s="10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8" s="40"/>
      <c r="U358" s="97"/>
      <c r="V358" s="36"/>
      <c r="W358" s="36"/>
      <c r="X358" s="36"/>
      <c r="Y358" s="36"/>
      <c r="Z358" s="41"/>
      <c r="AA358" s="42"/>
      <c r="AF358" s="36"/>
      <c r="AG358" s="36"/>
    </row>
    <row r="359" spans="1:33" ht="21.95" hidden="1" customHeight="1" x14ac:dyDescent="0.25">
      <c r="A359" s="107" t="str">
        <f>+IF(PROVEEDORES[[#This Row],[FECHA DE PAGO]]=PROVEEDORES[[#This Row],[FECHA DE FACTURACIÓN]],"DE CONTADO","CRÉDITO")</f>
        <v>DE CONTADO</v>
      </c>
      <c r="B359" s="70" t="b">
        <f>+IF((PROVEEDORES[[#This Row],[FECHA DE PAGO]]-PROVEEDORES[[#This Row],[FECHA DE FACTURACIÓN]])&gt;PROVEEDORES[[#This Row],[PLAZO Días]],"PAGO VENCIDO")</f>
        <v>0</v>
      </c>
      <c r="C359" s="27">
        <f>+VLOOKUP(PROVEEDORES[[#This Row],[PROVEEDOR]],TERCEROS_INFO[#All],2,FALSE)</f>
        <v>30</v>
      </c>
      <c r="D359" s="37">
        <f>+SUMIFS(PROVEEDORES[Total],PROVEEDORES[PROVEEDOR],PROVEEDORES[[#This Row],[PROVEEDOR]],PROVEEDORES[FECHA DE PAGO],"")</f>
        <v>0</v>
      </c>
      <c r="E359" s="37"/>
      <c r="F359" s="108" t="str">
        <f>+VLOOKUP(PROVEEDORES[[#This Row],[PROVEEDOR]],TERCEROS_INFO[[PROVEEDOR]:[CORREO]],5,FALSE)</f>
        <v/>
      </c>
      <c r="G359" s="143">
        <v>44307</v>
      </c>
      <c r="H359" s="38" t="s">
        <v>276</v>
      </c>
      <c r="I359" s="30">
        <v>44307</v>
      </c>
      <c r="J359" s="58"/>
      <c r="K359" s="32">
        <v>500000</v>
      </c>
      <c r="L359" s="32"/>
      <c r="M359" s="33">
        <f>(PROVEEDORES[[#This Row],[SUBTOTAL]]-PROVEEDORES[[#This Row],[descuento antes de IVA]])*VLOOKUP(PROVEEDORES[[#This Row],[PROVEEDOR]],TERCEROS_INFO[#All],3,FALSE)</f>
        <v>0</v>
      </c>
      <c r="N359" s="34"/>
      <c r="O359" s="33">
        <f>+PROVEEDORES[[#This Row],[Descuento sobre subtotal %]]*(PROVEEDORES[[#This Row],[SUBTOTAL]]-PROVEEDORES[[#This Row],[descuento antes de IVA]])</f>
        <v>0</v>
      </c>
      <c r="P3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59" s="33">
        <f>+(PROVEEDORES[[#This Row],[SUBTOTAL]]-PROVEEDORES[[#This Row],[descuento antes de IVA]])*PROVEEDORES[[#This Row],[Rete Fuente %]]</f>
        <v>0</v>
      </c>
      <c r="R359" s="32">
        <f>+PROVEEDORES[[#This Row],[SUBTOTAL]]+PROVEEDORES[[#This Row],[IVA 19%]]-PROVEEDORES[[#This Row],[descuento antes de IVA]]-PROVEEDORES[[#This Row],[Descuento sobre subtotal $]]-PROVEEDORES[[#This Row],[Rete Fuente $]]</f>
        <v>500000</v>
      </c>
      <c r="S359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9" s="40"/>
      <c r="U359" s="97"/>
      <c r="V359" s="36"/>
      <c r="W359" s="36"/>
      <c r="X359" s="36"/>
      <c r="Y359" s="36"/>
      <c r="Z359" s="41"/>
      <c r="AA359" s="42"/>
      <c r="AF359" s="36"/>
      <c r="AG359" s="36"/>
    </row>
    <row r="360" spans="1:33" ht="21.95" hidden="1" customHeight="1" x14ac:dyDescent="0.25">
      <c r="A360" s="107" t="str">
        <f>+IF(PROVEEDORES[[#This Row],[FECHA DE PAGO]]=PROVEEDORES[[#This Row],[FECHA DE FACTURACIÓN]],"DE CONTADO","CRÉDITO")</f>
        <v>DE CONTADO</v>
      </c>
      <c r="B360" s="70" t="b">
        <f>+IF((PROVEEDORES[[#This Row],[FECHA DE PAGO]]-PROVEEDORES[[#This Row],[FECHA DE FACTURACIÓN]])&gt;PROVEEDORES[[#This Row],[PLAZO Días]],"PAGO VENCIDO")</f>
        <v>0</v>
      </c>
      <c r="C360" s="27">
        <f>+VLOOKUP(PROVEEDORES[[#This Row],[PROVEEDOR]],TERCEROS_INFO[#All],2,FALSE)</f>
        <v>30</v>
      </c>
      <c r="D360" s="37">
        <f>+SUMIFS(PROVEEDORES[Total],PROVEEDORES[PROVEEDOR],PROVEEDORES[[#This Row],[PROVEEDOR]],PROVEEDORES[FECHA DE PAGO],"")</f>
        <v>0</v>
      </c>
      <c r="E360" s="37"/>
      <c r="F360" s="108" t="str">
        <f>+VLOOKUP(PROVEEDORES[[#This Row],[PROVEEDOR]],TERCEROS_INFO[[PROVEEDOR]:[CORREO]],5,FALSE)</f>
        <v/>
      </c>
      <c r="G360" s="143">
        <v>44314</v>
      </c>
      <c r="H360" s="38" t="s">
        <v>276</v>
      </c>
      <c r="I360" s="30">
        <v>44314</v>
      </c>
      <c r="J360" s="58"/>
      <c r="K360" s="32">
        <v>500000</v>
      </c>
      <c r="L360" s="32"/>
      <c r="M360" s="33">
        <f>(PROVEEDORES[[#This Row],[SUBTOTAL]]-PROVEEDORES[[#This Row],[descuento antes de IVA]])*VLOOKUP(PROVEEDORES[[#This Row],[PROVEEDOR]],TERCEROS_INFO[#All],3,FALSE)</f>
        <v>0</v>
      </c>
      <c r="N360" s="34"/>
      <c r="O360" s="33">
        <f>+PROVEEDORES[[#This Row],[Descuento sobre subtotal %]]*(PROVEEDORES[[#This Row],[SUBTOTAL]]-PROVEEDORES[[#This Row],[descuento antes de IVA]])</f>
        <v>0</v>
      </c>
      <c r="P3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0" s="33">
        <f>+(PROVEEDORES[[#This Row],[SUBTOTAL]]-PROVEEDORES[[#This Row],[descuento antes de IVA]])*PROVEEDORES[[#This Row],[Rete Fuente %]]</f>
        <v>0</v>
      </c>
      <c r="R360" s="32">
        <f>+PROVEEDORES[[#This Row],[SUBTOTAL]]+PROVEEDORES[[#This Row],[IVA 19%]]-PROVEEDORES[[#This Row],[descuento antes de IVA]]-PROVEEDORES[[#This Row],[Descuento sobre subtotal $]]-PROVEEDORES[[#This Row],[Rete Fuente $]]</f>
        <v>500000</v>
      </c>
      <c r="S360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0" s="40"/>
      <c r="U360" s="97"/>
      <c r="V360" s="36"/>
      <c r="W360" s="36"/>
      <c r="X360" s="36"/>
      <c r="Y360" s="36"/>
      <c r="Z360" s="41"/>
      <c r="AA360" s="42"/>
      <c r="AF360" s="36"/>
      <c r="AG360" s="36"/>
    </row>
    <row r="361" spans="1:33" ht="21.95" hidden="1" customHeight="1" x14ac:dyDescent="0.25">
      <c r="A361" s="107" t="str">
        <f>+IF(PROVEEDORES[[#This Row],[FECHA DE PAGO]]=PROVEEDORES[[#This Row],[FECHA DE FACTURACIÓN]],"DE CONTADO","CRÉDITO")</f>
        <v>DE CONTADO</v>
      </c>
      <c r="B361" s="70" t="b">
        <f>+IF((PROVEEDORES[[#This Row],[FECHA DE PAGO]]-PROVEEDORES[[#This Row],[FECHA DE FACTURACIÓN]])&gt;PROVEEDORES[[#This Row],[PLAZO Días]],"PAGO VENCIDO")</f>
        <v>0</v>
      </c>
      <c r="C361" s="27">
        <f>+VLOOKUP(PROVEEDORES[[#This Row],[PROVEEDOR]],TERCEROS_INFO[#All],2,FALSE)</f>
        <v>30</v>
      </c>
      <c r="D361" s="37">
        <f>+SUMIFS(PROVEEDORES[Total],PROVEEDORES[PROVEEDOR],PROVEEDORES[[#This Row],[PROVEEDOR]],PROVEEDORES[FECHA DE PAGO],"")</f>
        <v>0</v>
      </c>
      <c r="E361" s="37"/>
      <c r="F361" s="108" t="str">
        <f>+VLOOKUP(PROVEEDORES[[#This Row],[PROVEEDOR]],TERCEROS_INFO[[PROVEEDOR]:[CORREO]],5,FALSE)</f>
        <v/>
      </c>
      <c r="G361" s="143">
        <v>44319</v>
      </c>
      <c r="H361" s="38" t="s">
        <v>276</v>
      </c>
      <c r="I361" s="30">
        <v>44319</v>
      </c>
      <c r="J361" s="58"/>
      <c r="K361" s="32">
        <v>800000</v>
      </c>
      <c r="L361" s="32"/>
      <c r="M361" s="33">
        <f>(PROVEEDORES[[#This Row],[SUBTOTAL]]-PROVEEDORES[[#This Row],[descuento antes de IVA]])*VLOOKUP(PROVEEDORES[[#This Row],[PROVEEDOR]],TERCEROS_INFO[#All],3,FALSE)</f>
        <v>0</v>
      </c>
      <c r="N361" s="34"/>
      <c r="O361" s="33">
        <f>+PROVEEDORES[[#This Row],[Descuento sobre subtotal %]]*(PROVEEDORES[[#This Row],[SUBTOTAL]]-PROVEEDORES[[#This Row],[descuento antes de IVA]])</f>
        <v>0</v>
      </c>
      <c r="P3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1" s="33">
        <f>+(PROVEEDORES[[#This Row],[SUBTOTAL]]-PROVEEDORES[[#This Row],[descuento antes de IVA]])*PROVEEDORES[[#This Row],[Rete Fuente %]]</f>
        <v>0</v>
      </c>
      <c r="R361" s="32">
        <f>+PROVEEDORES[[#This Row],[SUBTOTAL]]+PROVEEDORES[[#This Row],[IVA 19%]]-PROVEEDORES[[#This Row],[descuento antes de IVA]]-PROVEEDORES[[#This Row],[Descuento sobre subtotal $]]-PROVEEDORES[[#This Row],[Rete Fuente $]]</f>
        <v>800000</v>
      </c>
      <c r="S361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1" s="40"/>
      <c r="U361" s="97"/>
      <c r="V361" s="36"/>
      <c r="W361" s="36"/>
      <c r="X361" s="36"/>
      <c r="Y361" s="36"/>
      <c r="Z361" s="41"/>
      <c r="AA361" s="42"/>
      <c r="AF361" s="36"/>
      <c r="AG361" s="36"/>
    </row>
    <row r="362" spans="1:33" ht="21.95" hidden="1" customHeight="1" x14ac:dyDescent="0.25">
      <c r="A362" s="109" t="str">
        <f>+IF(PROVEEDORES[[#This Row],[FECHA DE PAGO]]=PROVEEDORES[[#This Row],[FECHA DE FACTURACIÓN]],"DE CONTADO","CRÉDITO")</f>
        <v>DE CONTADO</v>
      </c>
      <c r="B362" s="70" t="b">
        <f>+IF((PROVEEDORES[[#This Row],[FECHA DE PAGO]]-PROVEEDORES[[#This Row],[FECHA DE FACTURACIÓN]])&gt;PROVEEDORES[[#This Row],[PLAZO Días]],"PAGO VENCIDO")</f>
        <v>0</v>
      </c>
      <c r="C362" s="27">
        <f>+VLOOKUP(PROVEEDORES[[#This Row],[PROVEEDOR]],TERCEROS_INFO[#All],2,FALSE)</f>
        <v>30</v>
      </c>
      <c r="D362" s="37">
        <f>+SUMIFS(PROVEEDORES[Total],PROVEEDORES[PROVEEDOR],PROVEEDORES[[#This Row],[PROVEEDOR]],PROVEEDORES[FECHA DE PAGO],"")</f>
        <v>0</v>
      </c>
      <c r="E362" s="37"/>
      <c r="F362" s="108" t="str">
        <f>+VLOOKUP(PROVEEDORES[[#This Row],[PROVEEDOR]],TERCEROS_INFO[[PROVEEDOR]:[CORREO]],5,FALSE)</f>
        <v/>
      </c>
      <c r="G362" s="143">
        <v>44327</v>
      </c>
      <c r="H362" s="38" t="s">
        <v>276</v>
      </c>
      <c r="I362" s="30">
        <v>44327</v>
      </c>
      <c r="J362" s="58"/>
      <c r="K362" s="32">
        <v>500000</v>
      </c>
      <c r="L362" s="32"/>
      <c r="M362" s="33">
        <f>(PROVEEDORES[[#This Row],[SUBTOTAL]]-PROVEEDORES[[#This Row],[descuento antes de IVA]])*VLOOKUP(PROVEEDORES[[#This Row],[PROVEEDOR]],TERCEROS_INFO[#All],3,FALSE)</f>
        <v>0</v>
      </c>
      <c r="N362" s="34"/>
      <c r="O362" s="33">
        <f>+PROVEEDORES[[#This Row],[Descuento sobre subtotal %]]*(PROVEEDORES[[#This Row],[SUBTOTAL]]-PROVEEDORES[[#This Row],[descuento antes de IVA]])</f>
        <v>0</v>
      </c>
      <c r="P3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2" s="33">
        <f>+(PROVEEDORES[[#This Row],[SUBTOTAL]]-PROVEEDORES[[#This Row],[descuento antes de IVA]])*PROVEEDORES[[#This Row],[Rete Fuente %]]</f>
        <v>0</v>
      </c>
      <c r="R362" s="32">
        <f>+PROVEEDORES[[#This Row],[SUBTOTAL]]+PROVEEDORES[[#This Row],[IVA 19%]]-PROVEEDORES[[#This Row],[descuento antes de IVA]]-PROVEEDORES[[#This Row],[Descuento sobre subtotal $]]-PROVEEDORES[[#This Row],[Rete Fuente $]]</f>
        <v>500000</v>
      </c>
      <c r="S362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2" s="40"/>
      <c r="U362" s="97"/>
      <c r="V362" s="36"/>
      <c r="W362" s="36"/>
      <c r="X362" s="36"/>
      <c r="Y362" s="36"/>
      <c r="Z362" s="41"/>
      <c r="AA362" s="42"/>
      <c r="AF362" s="36"/>
      <c r="AG362" s="36"/>
    </row>
    <row r="363" spans="1:33" ht="21.95" hidden="1" customHeight="1" x14ac:dyDescent="0.25">
      <c r="A363" s="111" t="str">
        <f>+IF(PROVEEDORES[[#This Row],[FECHA DE PAGO]]=PROVEEDORES[[#This Row],[FECHA DE FACTURACIÓN]],"DE CONTADO","CRÉDITO")</f>
        <v>DE CONTADO</v>
      </c>
      <c r="B363" s="70" t="b">
        <f>+IF((PROVEEDORES[[#This Row],[FECHA DE PAGO]]-PROVEEDORES[[#This Row],[FECHA DE FACTURACIÓN]])&gt;PROVEEDORES[[#This Row],[PLAZO Días]],"PAGO VENCIDO")</f>
        <v>0</v>
      </c>
      <c r="C363" s="27">
        <f>+VLOOKUP(PROVEEDORES[[#This Row],[PROVEEDOR]],TERCEROS_INFO[#All],2,FALSE)</f>
        <v>30</v>
      </c>
      <c r="D363" s="37">
        <f>+SUMIFS(PROVEEDORES[Total],PROVEEDORES[PROVEEDOR],PROVEEDORES[[#This Row],[PROVEEDOR]],PROVEEDORES[FECHA DE PAGO],"")</f>
        <v>0</v>
      </c>
      <c r="E363" s="37"/>
      <c r="F363" s="108" t="str">
        <f>+VLOOKUP(PROVEEDORES[[#This Row],[PROVEEDOR]],TERCEROS_INFO[[PROVEEDOR]:[CORREO]],5,FALSE)</f>
        <v/>
      </c>
      <c r="G363" s="143">
        <v>44331</v>
      </c>
      <c r="H363" s="38" t="s">
        <v>276</v>
      </c>
      <c r="I363" s="30">
        <v>44331</v>
      </c>
      <c r="J363" s="58"/>
      <c r="K363" s="32">
        <v>600000</v>
      </c>
      <c r="L363" s="32"/>
      <c r="M363" s="33">
        <f>(PROVEEDORES[[#This Row],[SUBTOTAL]]-PROVEEDORES[[#This Row],[descuento antes de IVA]])*VLOOKUP(PROVEEDORES[[#This Row],[PROVEEDOR]],TERCEROS_INFO[#All],3,FALSE)</f>
        <v>0</v>
      </c>
      <c r="N363" s="34"/>
      <c r="O363" s="33">
        <f>+PROVEEDORES[[#This Row],[Descuento sobre subtotal %]]*(PROVEEDORES[[#This Row],[SUBTOTAL]]-PROVEEDORES[[#This Row],[descuento antes de IVA]])</f>
        <v>0</v>
      </c>
      <c r="P3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3" s="33">
        <f>+(PROVEEDORES[[#This Row],[SUBTOTAL]]-PROVEEDORES[[#This Row],[descuento antes de IVA]])*PROVEEDORES[[#This Row],[Rete Fuente %]]</f>
        <v>0</v>
      </c>
      <c r="R363" s="32">
        <f>+PROVEEDORES[[#This Row],[SUBTOTAL]]+PROVEEDORES[[#This Row],[IVA 19%]]-PROVEEDORES[[#This Row],[descuento antes de IVA]]-PROVEEDORES[[#This Row],[Descuento sobre subtotal $]]-PROVEEDORES[[#This Row],[Rete Fuente $]]</f>
        <v>600000</v>
      </c>
      <c r="S363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3" s="40"/>
      <c r="U363" s="97"/>
      <c r="V363" s="36"/>
      <c r="W363" s="36"/>
      <c r="X363" s="36"/>
      <c r="Y363" s="36"/>
      <c r="Z363" s="41"/>
      <c r="AA363" s="42"/>
      <c r="AF363" s="36"/>
      <c r="AG363" s="36"/>
    </row>
    <row r="364" spans="1:33" ht="21.95" hidden="1" customHeight="1" x14ac:dyDescent="0.25">
      <c r="A364" s="118" t="str">
        <f>+IF(PROVEEDORES[[#This Row],[FECHA DE PAGO]]=PROVEEDORES[[#This Row],[FECHA DE FACTURACIÓN]],"DE CONTADO","CRÉDITO")</f>
        <v>DE CONTADO</v>
      </c>
      <c r="B364" s="70" t="b">
        <f>+IF((PROVEEDORES[[#This Row],[FECHA DE PAGO]]-PROVEEDORES[[#This Row],[FECHA DE FACTURACIÓN]])&gt;PROVEEDORES[[#This Row],[PLAZO Días]],"PAGO VENCIDO")</f>
        <v>0</v>
      </c>
      <c r="C364" s="27">
        <f>+VLOOKUP(PROVEEDORES[[#This Row],[PROVEEDOR]],TERCEROS_INFO[#All],2,FALSE)</f>
        <v>30</v>
      </c>
      <c r="D364" s="37">
        <f>+SUMIFS(PROVEEDORES[Total],PROVEEDORES[PROVEEDOR],PROVEEDORES[[#This Row],[PROVEEDOR]],PROVEEDORES[FECHA DE PAGO],"")</f>
        <v>0</v>
      </c>
      <c r="E364" s="37"/>
      <c r="F364" s="108" t="str">
        <f>+VLOOKUP(PROVEEDORES[[#This Row],[PROVEEDOR]],TERCEROS_INFO[[PROVEEDOR]:[CORREO]],5,FALSE)</f>
        <v/>
      </c>
      <c r="G364" s="143">
        <v>44338</v>
      </c>
      <c r="H364" s="38" t="s">
        <v>276</v>
      </c>
      <c r="I364" s="30">
        <v>44338</v>
      </c>
      <c r="J364" s="58"/>
      <c r="K364" s="32">
        <v>600000</v>
      </c>
      <c r="L364" s="32"/>
      <c r="M364" s="33">
        <f>(PROVEEDORES[[#This Row],[SUBTOTAL]]-PROVEEDORES[[#This Row],[descuento antes de IVA]])*VLOOKUP(PROVEEDORES[[#This Row],[PROVEEDOR]],TERCEROS_INFO[#All],3,FALSE)</f>
        <v>0</v>
      </c>
      <c r="N364" s="34"/>
      <c r="O364" s="33">
        <f>+PROVEEDORES[[#This Row],[Descuento sobre subtotal %]]*(PROVEEDORES[[#This Row],[SUBTOTAL]]-PROVEEDORES[[#This Row],[descuento antes de IVA]])</f>
        <v>0</v>
      </c>
      <c r="P3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4" s="33">
        <f>+(PROVEEDORES[[#This Row],[SUBTOTAL]]-PROVEEDORES[[#This Row],[descuento antes de IVA]])*PROVEEDORES[[#This Row],[Rete Fuente %]]</f>
        <v>0</v>
      </c>
      <c r="R364" s="32">
        <f>+PROVEEDORES[[#This Row],[SUBTOTAL]]+PROVEEDORES[[#This Row],[IVA 19%]]-PROVEEDORES[[#This Row],[descuento antes de IVA]]-PROVEEDORES[[#This Row],[Descuento sobre subtotal $]]-PROVEEDORES[[#This Row],[Rete Fuente $]]</f>
        <v>600000</v>
      </c>
      <c r="S364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4" s="40"/>
      <c r="U364" s="97"/>
      <c r="V364" s="36"/>
      <c r="W364" s="36"/>
      <c r="X364" s="36"/>
      <c r="Y364" s="36"/>
      <c r="Z364" s="41"/>
      <c r="AA364" s="42"/>
      <c r="AF364" s="36"/>
      <c r="AG364" s="36"/>
    </row>
    <row r="365" spans="1:33" ht="21.95" hidden="1" customHeight="1" x14ac:dyDescent="0.25">
      <c r="A365" s="119" t="str">
        <f>+IF(PROVEEDORES[[#This Row],[FECHA DE PAGO]]=PROVEEDORES[[#This Row],[FECHA DE FACTURACIÓN]],"DE CONTADO","CRÉDITO")</f>
        <v>DE CONTADO</v>
      </c>
      <c r="B365" s="70" t="b">
        <f>+IF((PROVEEDORES[[#This Row],[FECHA DE PAGO]]-PROVEEDORES[[#This Row],[FECHA DE FACTURACIÓN]])&gt;PROVEEDORES[[#This Row],[PLAZO Días]],"PAGO VENCIDO")</f>
        <v>0</v>
      </c>
      <c r="C365" s="27">
        <f>+VLOOKUP(PROVEEDORES[[#This Row],[PROVEEDOR]],TERCEROS_INFO[#All],2,FALSE)</f>
        <v>30</v>
      </c>
      <c r="D365" s="37">
        <f>+SUMIFS(PROVEEDORES[Total],PROVEEDORES[PROVEEDOR],PROVEEDORES[[#This Row],[PROVEEDOR]],PROVEEDORES[FECHA DE PAGO],"")</f>
        <v>0</v>
      </c>
      <c r="E365" s="37"/>
      <c r="F365" s="108" t="str">
        <f>+VLOOKUP(PROVEEDORES[[#This Row],[PROVEEDOR]],TERCEROS_INFO[[PROVEEDOR]:[CORREO]],5,FALSE)</f>
        <v/>
      </c>
      <c r="G365" s="143">
        <v>44343</v>
      </c>
      <c r="H365" s="38" t="s">
        <v>276</v>
      </c>
      <c r="I365" s="30">
        <v>44343</v>
      </c>
      <c r="J365" s="58"/>
      <c r="K365" s="32">
        <v>600000</v>
      </c>
      <c r="L365" s="32"/>
      <c r="M365" s="33">
        <f>(PROVEEDORES[[#This Row],[SUBTOTAL]]-PROVEEDORES[[#This Row],[descuento antes de IVA]])*VLOOKUP(PROVEEDORES[[#This Row],[PROVEEDOR]],TERCEROS_INFO[#All],3,FALSE)</f>
        <v>0</v>
      </c>
      <c r="N365" s="34"/>
      <c r="O365" s="33">
        <f>+PROVEEDORES[[#This Row],[Descuento sobre subtotal %]]*(PROVEEDORES[[#This Row],[SUBTOTAL]]-PROVEEDORES[[#This Row],[descuento antes de IVA]])</f>
        <v>0</v>
      </c>
      <c r="P3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5" s="33">
        <f>+(PROVEEDORES[[#This Row],[SUBTOTAL]]-PROVEEDORES[[#This Row],[descuento antes de IVA]])*PROVEEDORES[[#This Row],[Rete Fuente %]]</f>
        <v>0</v>
      </c>
      <c r="R365" s="32">
        <f>+PROVEEDORES[[#This Row],[SUBTOTAL]]+PROVEEDORES[[#This Row],[IVA 19%]]-PROVEEDORES[[#This Row],[descuento antes de IVA]]-PROVEEDORES[[#This Row],[Descuento sobre subtotal $]]-PROVEEDORES[[#This Row],[Rete Fuente $]]</f>
        <v>600000</v>
      </c>
      <c r="S365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5" s="40"/>
      <c r="U365" s="97"/>
      <c r="V365" s="36"/>
      <c r="W365" s="36"/>
      <c r="X365" s="36"/>
      <c r="Y365" s="36"/>
      <c r="Z365" s="41"/>
      <c r="AA365" s="42"/>
      <c r="AF365" s="36"/>
      <c r="AG365" s="36"/>
    </row>
    <row r="366" spans="1:33" ht="21.95" hidden="1" customHeight="1" x14ac:dyDescent="0.25">
      <c r="A366" s="119" t="str">
        <f>+IF(PROVEEDORES[[#This Row],[FECHA DE PAGO]]=PROVEEDORES[[#This Row],[FECHA DE FACTURACIÓN]],"DE CONTADO","CRÉDITO")</f>
        <v>DE CONTADO</v>
      </c>
      <c r="B366" s="70" t="b">
        <f>+IF((PROVEEDORES[[#This Row],[FECHA DE PAGO]]-PROVEEDORES[[#This Row],[FECHA DE FACTURACIÓN]])&gt;PROVEEDORES[[#This Row],[PLAZO Días]],"PAGO VENCIDO")</f>
        <v>0</v>
      </c>
      <c r="C366" s="27">
        <f>+VLOOKUP(PROVEEDORES[[#This Row],[PROVEEDOR]],TERCEROS_INFO[#All],2,FALSE)</f>
        <v>30</v>
      </c>
      <c r="D366" s="37">
        <f>+SUMIFS(PROVEEDORES[Total],PROVEEDORES[PROVEEDOR],PROVEEDORES[[#This Row],[PROVEEDOR]],PROVEEDORES[FECHA DE PAGO],"")</f>
        <v>0</v>
      </c>
      <c r="E366" s="37"/>
      <c r="F366" s="108" t="str">
        <f>+VLOOKUP(PROVEEDORES[[#This Row],[PROVEEDOR]],TERCEROS_INFO[[PROVEEDOR]:[CORREO]],5,FALSE)</f>
        <v/>
      </c>
      <c r="G366" s="143">
        <v>44347</v>
      </c>
      <c r="H366" s="38" t="s">
        <v>276</v>
      </c>
      <c r="I366" s="30">
        <v>44347</v>
      </c>
      <c r="J366" s="58"/>
      <c r="K366" s="32">
        <v>600000</v>
      </c>
      <c r="L366" s="32"/>
      <c r="M366" s="33">
        <f>(PROVEEDORES[[#This Row],[SUBTOTAL]]-PROVEEDORES[[#This Row],[descuento antes de IVA]])*VLOOKUP(PROVEEDORES[[#This Row],[PROVEEDOR]],TERCEROS_INFO[#All],3,FALSE)</f>
        <v>0</v>
      </c>
      <c r="N366" s="34"/>
      <c r="O366" s="33">
        <f>+PROVEEDORES[[#This Row],[Descuento sobre subtotal %]]*(PROVEEDORES[[#This Row],[SUBTOTAL]]-PROVEEDORES[[#This Row],[descuento antes de IVA]])</f>
        <v>0</v>
      </c>
      <c r="P3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6" s="33">
        <f>+(PROVEEDORES[[#This Row],[SUBTOTAL]]-PROVEEDORES[[#This Row],[descuento antes de IVA]])*PROVEEDORES[[#This Row],[Rete Fuente %]]</f>
        <v>0</v>
      </c>
      <c r="R366" s="32">
        <f>+PROVEEDORES[[#This Row],[SUBTOTAL]]+PROVEEDORES[[#This Row],[IVA 19%]]-PROVEEDORES[[#This Row],[descuento antes de IVA]]-PROVEEDORES[[#This Row],[Descuento sobre subtotal $]]-PROVEEDORES[[#This Row],[Rete Fuente $]]</f>
        <v>600000</v>
      </c>
      <c r="S366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6" s="40"/>
      <c r="U366" s="97"/>
      <c r="V366" s="36"/>
      <c r="W366" s="36"/>
      <c r="X366" s="36"/>
      <c r="Y366" s="36"/>
      <c r="Z366" s="41"/>
      <c r="AA366" s="42"/>
      <c r="AF366" s="36"/>
      <c r="AG366" s="36"/>
    </row>
    <row r="367" spans="1:33" ht="21.95" hidden="1" customHeight="1" x14ac:dyDescent="0.25">
      <c r="A367" s="119" t="str">
        <f>+IF(PROVEEDORES[[#This Row],[FECHA DE PAGO]]=PROVEEDORES[[#This Row],[FECHA DE FACTURACIÓN]],"DE CONTADO","CRÉDITO")</f>
        <v>DE CONTADO</v>
      </c>
      <c r="B367" s="70" t="b">
        <f>+IF((PROVEEDORES[[#This Row],[FECHA DE PAGO]]-PROVEEDORES[[#This Row],[FECHA DE FACTURACIÓN]])&gt;PROVEEDORES[[#This Row],[PLAZO Días]],"PAGO VENCIDO")</f>
        <v>0</v>
      </c>
      <c r="C367" s="27">
        <f>+VLOOKUP(PROVEEDORES[[#This Row],[PROVEEDOR]],TERCEROS_INFO[#All],2,FALSE)</f>
        <v>30</v>
      </c>
      <c r="D367" s="37">
        <f>+SUMIFS(PROVEEDORES[Total],PROVEEDORES[PROVEEDOR],PROVEEDORES[[#This Row],[PROVEEDOR]],PROVEEDORES[FECHA DE PAGO],"")</f>
        <v>0</v>
      </c>
      <c r="E367" s="37"/>
      <c r="F367" s="108" t="str">
        <f>+VLOOKUP(PROVEEDORES[[#This Row],[PROVEEDOR]],TERCEROS_INFO[[PROVEEDOR]:[CORREO]],5,FALSE)</f>
        <v/>
      </c>
      <c r="G367" s="143">
        <v>44351</v>
      </c>
      <c r="H367" s="38" t="s">
        <v>276</v>
      </c>
      <c r="I367" s="30">
        <v>44351</v>
      </c>
      <c r="J367" s="58"/>
      <c r="K367" s="32">
        <v>2000000</v>
      </c>
      <c r="L367" s="32"/>
      <c r="M367" s="33">
        <f>(PROVEEDORES[[#This Row],[SUBTOTAL]]-PROVEEDORES[[#This Row],[descuento antes de IVA]])*VLOOKUP(PROVEEDORES[[#This Row],[PROVEEDOR]],TERCEROS_INFO[#All],3,FALSE)</f>
        <v>0</v>
      </c>
      <c r="N367" s="34"/>
      <c r="O367" s="33">
        <f>+PROVEEDORES[[#This Row],[Descuento sobre subtotal %]]*(PROVEEDORES[[#This Row],[SUBTOTAL]]-PROVEEDORES[[#This Row],[descuento antes de IVA]])</f>
        <v>0</v>
      </c>
      <c r="P3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7" s="33">
        <f>+(PROVEEDORES[[#This Row],[SUBTOTAL]]-PROVEEDORES[[#This Row],[descuento antes de IVA]])*PROVEEDORES[[#This Row],[Rete Fuente %]]</f>
        <v>0</v>
      </c>
      <c r="R367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367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7" s="40"/>
      <c r="U367" s="97"/>
      <c r="V367" s="36"/>
      <c r="W367" s="36"/>
      <c r="X367" s="36"/>
      <c r="Y367" s="36"/>
      <c r="Z367" s="41"/>
      <c r="AA367" s="42"/>
      <c r="AF367" s="36"/>
      <c r="AG367" s="36"/>
    </row>
    <row r="368" spans="1:33" ht="21.95" hidden="1" customHeight="1" x14ac:dyDescent="0.25">
      <c r="A368" s="125" t="str">
        <f>+IF(PROVEEDORES[[#This Row],[FECHA DE PAGO]]=PROVEEDORES[[#This Row],[FECHA DE FACTURACIÓN]],"DE CONTADO","CRÉDITO")</f>
        <v>DE CONTADO</v>
      </c>
      <c r="B368" s="70" t="b">
        <f>+IF((PROVEEDORES[[#This Row],[FECHA DE PAGO]]-PROVEEDORES[[#This Row],[FECHA DE FACTURACIÓN]])&gt;PROVEEDORES[[#This Row],[PLAZO Días]],"PAGO VENCIDO")</f>
        <v>0</v>
      </c>
      <c r="C368" s="27">
        <f>+VLOOKUP(PROVEEDORES[[#This Row],[PROVEEDOR]],TERCEROS_INFO[#All],2,FALSE)</f>
        <v>30</v>
      </c>
      <c r="D368" s="37">
        <f>+SUMIFS(PROVEEDORES[Total],PROVEEDORES[PROVEEDOR],PROVEEDORES[[#This Row],[PROVEEDOR]],PROVEEDORES[FECHA DE PAGO],"")</f>
        <v>0</v>
      </c>
      <c r="E368" s="37"/>
      <c r="F368" s="108" t="str">
        <f>+VLOOKUP(PROVEEDORES[[#This Row],[PROVEEDOR]],TERCEROS_INFO[[PROVEEDOR]:[CORREO]],5,FALSE)</f>
        <v/>
      </c>
      <c r="G368" s="143">
        <v>44362</v>
      </c>
      <c r="H368" s="38" t="s">
        <v>276</v>
      </c>
      <c r="I368" s="30">
        <v>44362</v>
      </c>
      <c r="J368" s="58"/>
      <c r="K368" s="32">
        <v>2000000</v>
      </c>
      <c r="L368" s="32"/>
      <c r="M368" s="33">
        <f>(PROVEEDORES[[#This Row],[SUBTOTAL]]-PROVEEDORES[[#This Row],[descuento antes de IVA]])*VLOOKUP(PROVEEDORES[[#This Row],[PROVEEDOR]],TERCEROS_INFO[#All],3,FALSE)</f>
        <v>0</v>
      </c>
      <c r="N368" s="34"/>
      <c r="O368" s="33">
        <f>+PROVEEDORES[[#This Row],[Descuento sobre subtotal %]]*(PROVEEDORES[[#This Row],[SUBTOTAL]]-PROVEEDORES[[#This Row],[descuento antes de IVA]])</f>
        <v>0</v>
      </c>
      <c r="P3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8" s="33">
        <f>+(PROVEEDORES[[#This Row],[SUBTOTAL]]-PROVEEDORES[[#This Row],[descuento antes de IVA]])*PROVEEDORES[[#This Row],[Rete Fuente %]]</f>
        <v>0</v>
      </c>
      <c r="R368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368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8" s="40"/>
      <c r="U368" s="97"/>
      <c r="V368" s="36"/>
      <c r="W368" s="36"/>
      <c r="X368" s="36"/>
      <c r="Y368" s="36"/>
      <c r="Z368" s="41"/>
      <c r="AA368" s="42"/>
      <c r="AF368" s="36"/>
      <c r="AG368" s="36"/>
    </row>
    <row r="369" spans="1:33" ht="21.95" hidden="1" customHeight="1" x14ac:dyDescent="0.25">
      <c r="A369" s="127" t="str">
        <f>+IF(PROVEEDORES[[#This Row],[FECHA DE PAGO]]=PROVEEDORES[[#This Row],[FECHA DE FACTURACIÓN]],"DE CONTADO","CRÉDITO")</f>
        <v>DE CONTADO</v>
      </c>
      <c r="B369" s="70" t="b">
        <f>+IF((PROVEEDORES[[#This Row],[FECHA DE PAGO]]-PROVEEDORES[[#This Row],[FECHA DE FACTURACIÓN]])&gt;PROVEEDORES[[#This Row],[PLAZO Días]],"PAGO VENCIDO")</f>
        <v>0</v>
      </c>
      <c r="C369" s="27">
        <f>+VLOOKUP(PROVEEDORES[[#This Row],[PROVEEDOR]],TERCEROS_INFO[#All],2,FALSE)</f>
        <v>30</v>
      </c>
      <c r="D369" s="37">
        <f>+SUMIFS(PROVEEDORES[Total],PROVEEDORES[PROVEEDOR],PROVEEDORES[[#This Row],[PROVEEDOR]],PROVEEDORES[FECHA DE PAGO],"")</f>
        <v>0</v>
      </c>
      <c r="E369" s="37"/>
      <c r="F369" s="108" t="str">
        <f>+VLOOKUP(PROVEEDORES[[#This Row],[PROVEEDOR]],TERCEROS_INFO[[PROVEEDOR]:[CORREO]],5,FALSE)</f>
        <v/>
      </c>
      <c r="G369" s="143">
        <v>44370</v>
      </c>
      <c r="H369" s="38" t="s">
        <v>276</v>
      </c>
      <c r="I369" s="30">
        <v>44370</v>
      </c>
      <c r="J369" s="58"/>
      <c r="K369" s="32">
        <v>1000000</v>
      </c>
      <c r="L369" s="32"/>
      <c r="M369" s="33">
        <f>(PROVEEDORES[[#This Row],[SUBTOTAL]]-PROVEEDORES[[#This Row],[descuento antes de IVA]])*VLOOKUP(PROVEEDORES[[#This Row],[PROVEEDOR]],TERCEROS_INFO[#All],3,FALSE)</f>
        <v>0</v>
      </c>
      <c r="N369" s="34"/>
      <c r="O369" s="33">
        <f>+PROVEEDORES[[#This Row],[Descuento sobre subtotal %]]*(PROVEEDORES[[#This Row],[SUBTOTAL]]-PROVEEDORES[[#This Row],[descuento antes de IVA]])</f>
        <v>0</v>
      </c>
      <c r="P3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69" s="33">
        <f>+(PROVEEDORES[[#This Row],[SUBTOTAL]]-PROVEEDORES[[#This Row],[descuento antes de IVA]])*PROVEEDORES[[#This Row],[Rete Fuente %]]</f>
        <v>0</v>
      </c>
      <c r="R369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69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9" s="40"/>
      <c r="U369" s="97"/>
      <c r="V369" s="36"/>
      <c r="W369" s="36"/>
      <c r="X369" s="36"/>
      <c r="Y369" s="36"/>
      <c r="Z369" s="41"/>
      <c r="AA369" s="42"/>
      <c r="AF369" s="36"/>
      <c r="AG369" s="36"/>
    </row>
    <row r="370" spans="1:33" ht="21.95" hidden="1" customHeight="1" x14ac:dyDescent="0.25">
      <c r="A370" s="129" t="str">
        <f>+IF(PROVEEDORES[[#This Row],[FECHA DE PAGO]]=PROVEEDORES[[#This Row],[FECHA DE FACTURACIÓN]],"DE CONTADO","CRÉDITO")</f>
        <v>DE CONTADO</v>
      </c>
      <c r="B370" s="70" t="b">
        <f>+IF((PROVEEDORES[[#This Row],[FECHA DE PAGO]]-PROVEEDORES[[#This Row],[FECHA DE FACTURACIÓN]])&gt;PROVEEDORES[[#This Row],[PLAZO Días]],"PAGO VENCIDO")</f>
        <v>0</v>
      </c>
      <c r="C370" s="27">
        <f>+VLOOKUP(PROVEEDORES[[#This Row],[PROVEEDOR]],TERCEROS_INFO[#All],2,FALSE)</f>
        <v>30</v>
      </c>
      <c r="D370" s="37">
        <f>+SUMIFS(PROVEEDORES[Total],PROVEEDORES[PROVEEDOR],PROVEEDORES[[#This Row],[PROVEEDOR]],PROVEEDORES[FECHA DE PAGO],"")</f>
        <v>0</v>
      </c>
      <c r="E370" s="37"/>
      <c r="F370" s="108" t="str">
        <f>+VLOOKUP(PROVEEDORES[[#This Row],[PROVEEDOR]],TERCEROS_INFO[[PROVEEDOR]:[CORREO]],5,FALSE)</f>
        <v/>
      </c>
      <c r="G370" s="143">
        <v>44380</v>
      </c>
      <c r="H370" s="38" t="s">
        <v>276</v>
      </c>
      <c r="I370" s="30">
        <v>44380</v>
      </c>
      <c r="J370" s="58"/>
      <c r="K370" s="32">
        <v>1000000</v>
      </c>
      <c r="L370" s="32"/>
      <c r="M370" s="33">
        <f>(PROVEEDORES[[#This Row],[SUBTOTAL]]-PROVEEDORES[[#This Row],[descuento antes de IVA]])*VLOOKUP(PROVEEDORES[[#This Row],[PROVEEDOR]],TERCEROS_INFO[#All],3,FALSE)</f>
        <v>0</v>
      </c>
      <c r="N370" s="34"/>
      <c r="O370" s="33">
        <f>+PROVEEDORES[[#This Row],[Descuento sobre subtotal %]]*(PROVEEDORES[[#This Row],[SUBTOTAL]]-PROVEEDORES[[#This Row],[descuento antes de IVA]])</f>
        <v>0</v>
      </c>
      <c r="P3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0" s="33">
        <f>+(PROVEEDORES[[#This Row],[SUBTOTAL]]-PROVEEDORES[[#This Row],[descuento antes de IVA]])*PROVEEDORES[[#This Row],[Rete Fuente %]]</f>
        <v>0</v>
      </c>
      <c r="R370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70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0" s="40"/>
      <c r="U370" s="97"/>
      <c r="V370" s="36"/>
      <c r="W370" s="36"/>
      <c r="X370" s="36"/>
      <c r="Y370" s="36"/>
      <c r="Z370" s="41"/>
      <c r="AA370" s="42"/>
      <c r="AF370" s="36"/>
      <c r="AG370" s="36"/>
    </row>
    <row r="371" spans="1:33" ht="21.95" hidden="1" customHeight="1" x14ac:dyDescent="0.25">
      <c r="A371" s="133" t="str">
        <f>+IF(PROVEEDORES[[#This Row],[FECHA DE PAGO]]=PROVEEDORES[[#This Row],[FECHA DE FACTURACIÓN]],"DE CONTADO","CRÉDITO")</f>
        <v>DE CONTADO</v>
      </c>
      <c r="B371" s="70" t="b">
        <f>+IF((PROVEEDORES[[#This Row],[FECHA DE PAGO]]-PROVEEDORES[[#This Row],[FECHA DE FACTURACIÓN]])&gt;PROVEEDORES[[#This Row],[PLAZO Días]],"PAGO VENCIDO")</f>
        <v>0</v>
      </c>
      <c r="C371" s="27">
        <f>+VLOOKUP(PROVEEDORES[[#This Row],[PROVEEDOR]],TERCEROS_INFO[#All],2,FALSE)</f>
        <v>30</v>
      </c>
      <c r="D371" s="37">
        <f>+SUMIFS(PROVEEDORES[Total],PROVEEDORES[PROVEEDOR],PROVEEDORES[[#This Row],[PROVEEDOR]],PROVEEDORES[FECHA DE PAGO],"")</f>
        <v>0</v>
      </c>
      <c r="E371" s="37"/>
      <c r="F371" s="108" t="str">
        <f>+VLOOKUP(PROVEEDORES[[#This Row],[PROVEEDOR]],TERCEROS_INFO[[PROVEEDOR]:[CORREO]],5,FALSE)</f>
        <v/>
      </c>
      <c r="G371" s="143">
        <v>44394</v>
      </c>
      <c r="H371" s="38" t="s">
        <v>276</v>
      </c>
      <c r="I371" s="30">
        <v>44394</v>
      </c>
      <c r="J371" s="58"/>
      <c r="K371" s="32">
        <v>1736800</v>
      </c>
      <c r="L371" s="32"/>
      <c r="M371" s="33">
        <f>(PROVEEDORES[[#This Row],[SUBTOTAL]]-PROVEEDORES[[#This Row],[descuento antes de IVA]])*VLOOKUP(PROVEEDORES[[#This Row],[PROVEEDOR]],TERCEROS_INFO[#All],3,FALSE)</f>
        <v>0</v>
      </c>
      <c r="N371" s="34"/>
      <c r="O371" s="33">
        <f>+PROVEEDORES[[#This Row],[Descuento sobre subtotal %]]*(PROVEEDORES[[#This Row],[SUBTOTAL]]-PROVEEDORES[[#This Row],[descuento antes de IVA]])</f>
        <v>0</v>
      </c>
      <c r="P3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1" s="33">
        <f>+(PROVEEDORES[[#This Row],[SUBTOTAL]]-PROVEEDORES[[#This Row],[descuento antes de IVA]])*PROVEEDORES[[#This Row],[Rete Fuente %]]</f>
        <v>0</v>
      </c>
      <c r="R371" s="32">
        <f>+PROVEEDORES[[#This Row],[SUBTOTAL]]+PROVEEDORES[[#This Row],[IVA 19%]]-PROVEEDORES[[#This Row],[descuento antes de IVA]]-PROVEEDORES[[#This Row],[Descuento sobre subtotal $]]-PROVEEDORES[[#This Row],[Rete Fuente $]]</f>
        <v>1736800</v>
      </c>
      <c r="S371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1" s="40"/>
      <c r="U371" s="97"/>
      <c r="V371" s="36"/>
      <c r="W371" s="36"/>
      <c r="X371" s="36"/>
      <c r="Y371" s="36"/>
      <c r="Z371" s="41"/>
      <c r="AA371" s="42"/>
      <c r="AF371" s="36"/>
      <c r="AG371" s="36"/>
    </row>
    <row r="372" spans="1:33" ht="21.95" hidden="1" customHeight="1" x14ac:dyDescent="0.25">
      <c r="A372" s="134" t="str">
        <f>+IF(PROVEEDORES[[#This Row],[FECHA DE PAGO]]=PROVEEDORES[[#This Row],[FECHA DE FACTURACIÓN]],"DE CONTADO","CRÉDITO")</f>
        <v>DE CONTADO</v>
      </c>
      <c r="B372" s="70" t="b">
        <f>+IF((PROVEEDORES[[#This Row],[FECHA DE PAGO]]-PROVEEDORES[[#This Row],[FECHA DE FACTURACIÓN]])&gt;PROVEEDORES[[#This Row],[PLAZO Días]],"PAGO VENCIDO")</f>
        <v>0</v>
      </c>
      <c r="C372" s="27">
        <f>+VLOOKUP(PROVEEDORES[[#This Row],[PROVEEDOR]],TERCEROS_INFO[#All],2,FALSE)</f>
        <v>30</v>
      </c>
      <c r="D372" s="37">
        <f>+SUMIFS(PROVEEDORES[Total],PROVEEDORES[PROVEEDOR],PROVEEDORES[[#This Row],[PROVEEDOR]],PROVEEDORES[FECHA DE PAGO],"")</f>
        <v>0</v>
      </c>
      <c r="E372" s="37"/>
      <c r="F372" s="108" t="str">
        <f>+VLOOKUP(PROVEEDORES[[#This Row],[PROVEEDOR]],TERCEROS_INFO[[PROVEEDOR]:[CORREO]],5,FALSE)</f>
        <v/>
      </c>
      <c r="G372" s="143">
        <v>44403</v>
      </c>
      <c r="H372" s="38" t="s">
        <v>276</v>
      </c>
      <c r="I372" s="30">
        <v>44403</v>
      </c>
      <c r="J372" s="58"/>
      <c r="K372" s="32">
        <v>1000000</v>
      </c>
      <c r="L372" s="32"/>
      <c r="M372" s="33">
        <f>(PROVEEDORES[[#This Row],[SUBTOTAL]]-PROVEEDORES[[#This Row],[descuento antes de IVA]])*VLOOKUP(PROVEEDORES[[#This Row],[PROVEEDOR]],TERCEROS_INFO[#All],3,FALSE)</f>
        <v>0</v>
      </c>
      <c r="N372" s="34"/>
      <c r="O372" s="33">
        <f>+PROVEEDORES[[#This Row],[Descuento sobre subtotal %]]*(PROVEEDORES[[#This Row],[SUBTOTAL]]-PROVEEDORES[[#This Row],[descuento antes de IVA]])</f>
        <v>0</v>
      </c>
      <c r="P3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2" s="33">
        <f>+(PROVEEDORES[[#This Row],[SUBTOTAL]]-PROVEEDORES[[#This Row],[descuento antes de IVA]])*PROVEEDORES[[#This Row],[Rete Fuente %]]</f>
        <v>0</v>
      </c>
      <c r="R372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72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2" s="40"/>
      <c r="U372" s="97"/>
      <c r="V372" s="36"/>
      <c r="W372" s="36"/>
      <c r="X372" s="36"/>
      <c r="Y372" s="36"/>
      <c r="Z372" s="41"/>
      <c r="AA372" s="42"/>
      <c r="AF372" s="36"/>
      <c r="AG372" s="36"/>
    </row>
    <row r="373" spans="1:33" ht="21.95" hidden="1" customHeight="1" x14ac:dyDescent="0.25">
      <c r="A373" s="135" t="str">
        <f>+IF(PROVEEDORES[[#This Row],[FECHA DE PAGO]]=PROVEEDORES[[#This Row],[FECHA DE FACTURACIÓN]],"DE CONTADO","CRÉDITO")</f>
        <v>DE CONTADO</v>
      </c>
      <c r="B373" s="70" t="b">
        <f>+IF((PROVEEDORES[[#This Row],[FECHA DE PAGO]]-PROVEEDORES[[#This Row],[FECHA DE FACTURACIÓN]])&gt;PROVEEDORES[[#This Row],[PLAZO Días]],"PAGO VENCIDO")</f>
        <v>0</v>
      </c>
      <c r="C373" s="27">
        <f>+VLOOKUP(PROVEEDORES[[#This Row],[PROVEEDOR]],TERCEROS_INFO[#All],2,FALSE)</f>
        <v>30</v>
      </c>
      <c r="D373" s="37">
        <f>+SUMIFS(PROVEEDORES[Total],PROVEEDORES[PROVEEDOR],PROVEEDORES[[#This Row],[PROVEEDOR]],PROVEEDORES[FECHA DE PAGO],"")</f>
        <v>0</v>
      </c>
      <c r="E373" s="37"/>
      <c r="F373" s="108" t="str">
        <f>+VLOOKUP(PROVEEDORES[[#This Row],[PROVEEDOR]],TERCEROS_INFO[[PROVEEDOR]:[CORREO]],5,FALSE)</f>
        <v/>
      </c>
      <c r="G373" s="143">
        <v>44411</v>
      </c>
      <c r="H373" s="38" t="s">
        <v>276</v>
      </c>
      <c r="I373" s="30">
        <v>44411</v>
      </c>
      <c r="J373" s="58"/>
      <c r="K373" s="32">
        <v>1000000</v>
      </c>
      <c r="L373" s="32"/>
      <c r="M373" s="33">
        <f>(PROVEEDORES[[#This Row],[SUBTOTAL]]-PROVEEDORES[[#This Row],[descuento antes de IVA]])*VLOOKUP(PROVEEDORES[[#This Row],[PROVEEDOR]],TERCEROS_INFO[#All],3,FALSE)</f>
        <v>0</v>
      </c>
      <c r="N373" s="34"/>
      <c r="O373" s="33">
        <f>+PROVEEDORES[[#This Row],[Descuento sobre subtotal %]]*(PROVEEDORES[[#This Row],[SUBTOTAL]]-PROVEEDORES[[#This Row],[descuento antes de IVA]])</f>
        <v>0</v>
      </c>
      <c r="P3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3" s="33">
        <f>+(PROVEEDORES[[#This Row],[SUBTOTAL]]-PROVEEDORES[[#This Row],[descuento antes de IVA]])*PROVEEDORES[[#This Row],[Rete Fuente %]]</f>
        <v>0</v>
      </c>
      <c r="R373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73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3" s="40"/>
      <c r="U373" s="97"/>
      <c r="V373" s="36"/>
      <c r="W373" s="36"/>
      <c r="X373" s="36"/>
      <c r="Y373" s="36"/>
      <c r="Z373" s="41"/>
      <c r="AA373" s="42"/>
      <c r="AF373" s="36"/>
      <c r="AG373" s="36"/>
    </row>
    <row r="374" spans="1:33" ht="21.95" hidden="1" customHeight="1" x14ac:dyDescent="0.25">
      <c r="A374" s="140" t="str">
        <f>+IF(PROVEEDORES[[#This Row],[FECHA DE PAGO]]=PROVEEDORES[[#This Row],[FECHA DE FACTURACIÓN]],"DE CONTADO","CRÉDITO")</f>
        <v>DE CONTADO</v>
      </c>
      <c r="B374" s="70" t="b">
        <f>+IF((PROVEEDORES[[#This Row],[FECHA DE PAGO]]-PROVEEDORES[[#This Row],[FECHA DE FACTURACIÓN]])&gt;PROVEEDORES[[#This Row],[PLAZO Días]],"PAGO VENCIDO")</f>
        <v>0</v>
      </c>
      <c r="C374" s="27">
        <f>+VLOOKUP(PROVEEDORES[[#This Row],[PROVEEDOR]],TERCEROS_INFO[#All],2,FALSE)</f>
        <v>30</v>
      </c>
      <c r="D374" s="37">
        <f>+SUMIFS(PROVEEDORES[Total],PROVEEDORES[PROVEEDOR],PROVEEDORES[[#This Row],[PROVEEDOR]],PROVEEDORES[FECHA DE PAGO],"")</f>
        <v>0</v>
      </c>
      <c r="E374" s="37"/>
      <c r="F374" s="108" t="str">
        <f>+VLOOKUP(PROVEEDORES[[#This Row],[PROVEEDOR]],TERCEROS_INFO[[PROVEEDOR]:[CORREO]],5,FALSE)</f>
        <v/>
      </c>
      <c r="G374" s="143">
        <v>44414</v>
      </c>
      <c r="H374" s="38" t="s">
        <v>276</v>
      </c>
      <c r="I374" s="30">
        <v>44414</v>
      </c>
      <c r="J374" s="58"/>
      <c r="K374" s="32">
        <v>1000000</v>
      </c>
      <c r="L374" s="32"/>
      <c r="M374" s="33">
        <f>(PROVEEDORES[[#This Row],[SUBTOTAL]]-PROVEEDORES[[#This Row],[descuento antes de IVA]])*VLOOKUP(PROVEEDORES[[#This Row],[PROVEEDOR]],TERCEROS_INFO[#All],3,FALSE)</f>
        <v>0</v>
      </c>
      <c r="N374" s="34"/>
      <c r="O374" s="33">
        <f>+PROVEEDORES[[#This Row],[Descuento sobre subtotal %]]*(PROVEEDORES[[#This Row],[SUBTOTAL]]-PROVEEDORES[[#This Row],[descuento antes de IVA]])</f>
        <v>0</v>
      </c>
      <c r="P3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4" s="33">
        <f>+(PROVEEDORES[[#This Row],[SUBTOTAL]]-PROVEEDORES[[#This Row],[descuento antes de IVA]])*PROVEEDORES[[#This Row],[Rete Fuente %]]</f>
        <v>0</v>
      </c>
      <c r="R374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74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4" s="40"/>
      <c r="U374" s="97"/>
      <c r="V374" s="36"/>
      <c r="W374" s="36"/>
      <c r="X374" s="36"/>
      <c r="Y374" s="36"/>
      <c r="Z374" s="41"/>
      <c r="AA374" s="42"/>
      <c r="AF374" s="36"/>
      <c r="AG374" s="36"/>
    </row>
    <row r="375" spans="1:33" ht="21.95" hidden="1" customHeight="1" x14ac:dyDescent="0.25">
      <c r="A375" s="141" t="str">
        <f>+IF(PROVEEDORES[[#This Row],[FECHA DE PAGO]]=PROVEEDORES[[#This Row],[FECHA DE FACTURACIÓN]],"DE CONTADO","CRÉDITO")</f>
        <v>DE CONTADO</v>
      </c>
      <c r="B375" s="70" t="b">
        <f>+IF((PROVEEDORES[[#This Row],[FECHA DE PAGO]]-PROVEEDORES[[#This Row],[FECHA DE FACTURACIÓN]])&gt;PROVEEDORES[[#This Row],[PLAZO Días]],"PAGO VENCIDO")</f>
        <v>0</v>
      </c>
      <c r="C375" s="27">
        <f>+VLOOKUP(PROVEEDORES[[#This Row],[PROVEEDOR]],TERCEROS_INFO[#All],2,FALSE)</f>
        <v>30</v>
      </c>
      <c r="D375" s="37">
        <f>+SUMIFS(PROVEEDORES[Total],PROVEEDORES[PROVEEDOR],PROVEEDORES[[#This Row],[PROVEEDOR]],PROVEEDORES[FECHA DE PAGO],"")</f>
        <v>0</v>
      </c>
      <c r="E375" s="37"/>
      <c r="F375" s="108" t="str">
        <f>+VLOOKUP(PROVEEDORES[[#This Row],[PROVEEDOR]],TERCEROS_INFO[[PROVEEDOR]:[CORREO]],5,FALSE)</f>
        <v/>
      </c>
      <c r="G375" s="143">
        <v>44422</v>
      </c>
      <c r="H375" s="38" t="s">
        <v>276</v>
      </c>
      <c r="I375" s="30">
        <v>44422</v>
      </c>
      <c r="J375" s="58"/>
      <c r="K375" s="32">
        <v>836000</v>
      </c>
      <c r="L375" s="32"/>
      <c r="M375" s="33">
        <f>(PROVEEDORES[[#This Row],[SUBTOTAL]]-PROVEEDORES[[#This Row],[descuento antes de IVA]])*VLOOKUP(PROVEEDORES[[#This Row],[PROVEEDOR]],TERCEROS_INFO[#All],3,FALSE)</f>
        <v>0</v>
      </c>
      <c r="N375" s="34"/>
      <c r="O375" s="33">
        <f>+PROVEEDORES[[#This Row],[Descuento sobre subtotal %]]*(PROVEEDORES[[#This Row],[SUBTOTAL]]-PROVEEDORES[[#This Row],[descuento antes de IVA]])</f>
        <v>0</v>
      </c>
      <c r="P3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5" s="33">
        <f>+(PROVEEDORES[[#This Row],[SUBTOTAL]]-PROVEEDORES[[#This Row],[descuento antes de IVA]])*PROVEEDORES[[#This Row],[Rete Fuente %]]</f>
        <v>0</v>
      </c>
      <c r="R375" s="32">
        <f>+PROVEEDORES[[#This Row],[SUBTOTAL]]+PROVEEDORES[[#This Row],[IVA 19%]]-PROVEEDORES[[#This Row],[descuento antes de IVA]]-PROVEEDORES[[#This Row],[Descuento sobre subtotal $]]-PROVEEDORES[[#This Row],[Rete Fuente $]]</f>
        <v>836000</v>
      </c>
      <c r="S375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5" s="40"/>
      <c r="U375" s="97"/>
      <c r="V375" s="36"/>
      <c r="W375" s="36"/>
      <c r="X375" s="36"/>
      <c r="Y375" s="36"/>
      <c r="Z375" s="41"/>
      <c r="AA375" s="42"/>
      <c r="AF375" s="36"/>
      <c r="AG375" s="36"/>
    </row>
    <row r="376" spans="1:33" ht="21.95" hidden="1" customHeight="1" x14ac:dyDescent="0.25">
      <c r="A376" s="142" t="str">
        <f>+IF(PROVEEDORES[[#This Row],[FECHA DE PAGO]]=PROVEEDORES[[#This Row],[FECHA DE FACTURACIÓN]],"DE CONTADO","CRÉDITO")</f>
        <v>DE CONTADO</v>
      </c>
      <c r="B376" s="70" t="b">
        <f>+IF((PROVEEDORES[[#This Row],[FECHA DE PAGO]]-PROVEEDORES[[#This Row],[FECHA DE FACTURACIÓN]])&gt;PROVEEDORES[[#This Row],[PLAZO Días]],"PAGO VENCIDO")</f>
        <v>0</v>
      </c>
      <c r="C376" s="27">
        <f>+VLOOKUP(PROVEEDORES[[#This Row],[PROVEEDOR]],TERCEROS_INFO[#All],2,FALSE)</f>
        <v>30</v>
      </c>
      <c r="D376" s="37">
        <f>+SUMIFS(PROVEEDORES[Total],PROVEEDORES[PROVEEDOR],PROVEEDORES[[#This Row],[PROVEEDOR]],PROVEEDORES[FECHA DE PAGO],"")</f>
        <v>0</v>
      </c>
      <c r="E376" s="37"/>
      <c r="F376" s="108" t="str">
        <f>+VLOOKUP(PROVEEDORES[[#This Row],[PROVEEDOR]],TERCEROS_INFO[[PROVEEDOR]:[CORREO]],5,FALSE)</f>
        <v/>
      </c>
      <c r="G376" s="143">
        <v>44434</v>
      </c>
      <c r="H376" s="38" t="s">
        <v>276</v>
      </c>
      <c r="I376" s="143">
        <v>44434</v>
      </c>
      <c r="J376" s="58"/>
      <c r="K376" s="32">
        <v>1000000</v>
      </c>
      <c r="L376" s="32"/>
      <c r="M376" s="33">
        <f>(PROVEEDORES[[#This Row],[SUBTOTAL]]-PROVEEDORES[[#This Row],[descuento antes de IVA]])*VLOOKUP(PROVEEDORES[[#This Row],[PROVEEDOR]],TERCEROS_INFO[#All],3,FALSE)</f>
        <v>0</v>
      </c>
      <c r="N376" s="34"/>
      <c r="O376" s="33">
        <f>+PROVEEDORES[[#This Row],[Descuento sobre subtotal %]]*(PROVEEDORES[[#This Row],[SUBTOTAL]]-PROVEEDORES[[#This Row],[descuento antes de IVA]])</f>
        <v>0</v>
      </c>
      <c r="P3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6" s="33">
        <f>+(PROVEEDORES[[#This Row],[SUBTOTAL]]-PROVEEDORES[[#This Row],[descuento antes de IVA]])*PROVEEDORES[[#This Row],[Rete Fuente %]]</f>
        <v>0</v>
      </c>
      <c r="R376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76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6" s="40"/>
      <c r="U376" s="97"/>
      <c r="V376" s="36"/>
      <c r="W376" s="36"/>
      <c r="X376" s="36"/>
      <c r="Y376" s="36"/>
      <c r="Z376" s="41"/>
      <c r="AA376" s="42"/>
      <c r="AF376" s="36"/>
      <c r="AG376" s="36"/>
    </row>
    <row r="377" spans="1:33" ht="21.95" hidden="1" customHeight="1" x14ac:dyDescent="0.25">
      <c r="A377" s="142" t="str">
        <f>+IF(PROVEEDORES[[#This Row],[FECHA DE PAGO]]=PROVEEDORES[[#This Row],[FECHA DE FACTURACIÓN]],"DE CONTADO","CRÉDITO")</f>
        <v>DE CONTADO</v>
      </c>
      <c r="B377" s="70" t="b">
        <f>+IF((PROVEEDORES[[#This Row],[FECHA DE PAGO]]-PROVEEDORES[[#This Row],[FECHA DE FACTURACIÓN]])&gt;PROVEEDORES[[#This Row],[PLAZO Días]],"PAGO VENCIDO")</f>
        <v>0</v>
      </c>
      <c r="C377" s="27">
        <f>+VLOOKUP(PROVEEDORES[[#This Row],[PROVEEDOR]],TERCEROS_INFO[#All],2,FALSE)</f>
        <v>30</v>
      </c>
      <c r="D377" s="37">
        <f>+SUMIFS(PROVEEDORES[Total],PROVEEDORES[PROVEEDOR],PROVEEDORES[[#This Row],[PROVEEDOR]],PROVEEDORES[FECHA DE PAGO],"")</f>
        <v>0</v>
      </c>
      <c r="E377" s="37"/>
      <c r="F377" s="108" t="str">
        <f>+VLOOKUP(PROVEEDORES[[#This Row],[PROVEEDOR]],TERCEROS_INFO[[PROVEEDOR]:[CORREO]],5,FALSE)</f>
        <v/>
      </c>
      <c r="G377" s="143">
        <v>44434</v>
      </c>
      <c r="H377" s="38" t="s">
        <v>276</v>
      </c>
      <c r="I377" s="143">
        <v>44434</v>
      </c>
      <c r="J377" s="58"/>
      <c r="K377" s="32">
        <v>810000</v>
      </c>
      <c r="L377" s="32"/>
      <c r="M377" s="33">
        <f>(PROVEEDORES[[#This Row],[SUBTOTAL]]-PROVEEDORES[[#This Row],[descuento antes de IVA]])*VLOOKUP(PROVEEDORES[[#This Row],[PROVEEDOR]],TERCEROS_INFO[#All],3,FALSE)</f>
        <v>0</v>
      </c>
      <c r="N377" s="34"/>
      <c r="O377" s="33">
        <f>+PROVEEDORES[[#This Row],[Descuento sobre subtotal %]]*(PROVEEDORES[[#This Row],[SUBTOTAL]]-PROVEEDORES[[#This Row],[descuento antes de IVA]])</f>
        <v>0</v>
      </c>
      <c r="P3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7" s="33">
        <f>+(PROVEEDORES[[#This Row],[SUBTOTAL]]-PROVEEDORES[[#This Row],[descuento antes de IVA]])*PROVEEDORES[[#This Row],[Rete Fuente %]]</f>
        <v>0</v>
      </c>
      <c r="R377" s="32">
        <f>+PROVEEDORES[[#This Row],[SUBTOTAL]]+PROVEEDORES[[#This Row],[IVA 19%]]-PROVEEDORES[[#This Row],[descuento antes de IVA]]-PROVEEDORES[[#This Row],[Descuento sobre subtotal $]]-PROVEEDORES[[#This Row],[Rete Fuente $]]</f>
        <v>810000</v>
      </c>
      <c r="S377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7" s="40"/>
      <c r="U377" s="97"/>
      <c r="V377" s="36"/>
      <c r="W377" s="36"/>
      <c r="X377" s="36"/>
      <c r="Y377" s="36"/>
      <c r="Z377" s="41"/>
      <c r="AA377" s="42"/>
      <c r="AF377" s="36"/>
      <c r="AG377" s="36"/>
    </row>
    <row r="378" spans="1:33" ht="21.95" hidden="1" customHeight="1" x14ac:dyDescent="0.25">
      <c r="A378" s="147" t="str">
        <f>+IF(PROVEEDORES[[#This Row],[FECHA DE PAGO]]=PROVEEDORES[[#This Row],[FECHA DE FACTURACIÓN]],"DE CONTADO","CRÉDITO")</f>
        <v>DE CONTADO</v>
      </c>
      <c r="B378" s="70" t="b">
        <f>+IF((PROVEEDORES[[#This Row],[FECHA DE PAGO]]-PROVEEDORES[[#This Row],[FECHA DE FACTURACIÓN]])&gt;PROVEEDORES[[#This Row],[PLAZO Días]],"PAGO VENCIDO")</f>
        <v>0</v>
      </c>
      <c r="C378" s="27">
        <f>+VLOOKUP(PROVEEDORES[[#This Row],[PROVEEDOR]],TERCEROS_INFO[#All],2,FALSE)</f>
        <v>30</v>
      </c>
      <c r="D378" s="37">
        <f>+SUMIFS(PROVEEDORES[Total],PROVEEDORES[PROVEEDOR],PROVEEDORES[[#This Row],[PROVEEDOR]],PROVEEDORES[FECHA DE PAGO],"")</f>
        <v>0</v>
      </c>
      <c r="E378" s="37"/>
      <c r="F378" s="108" t="str">
        <f>+VLOOKUP(PROVEEDORES[[#This Row],[PROVEEDOR]],TERCEROS_INFO[[PROVEEDOR]:[CORREO]],5,FALSE)</f>
        <v/>
      </c>
      <c r="G378" s="143">
        <v>44442</v>
      </c>
      <c r="H378" s="38" t="s">
        <v>276</v>
      </c>
      <c r="I378" s="30">
        <v>44442</v>
      </c>
      <c r="J378" s="58"/>
      <c r="K378" s="32">
        <v>1000000</v>
      </c>
      <c r="L378" s="32"/>
      <c r="M378" s="33">
        <f>(PROVEEDORES[[#This Row],[SUBTOTAL]]-PROVEEDORES[[#This Row],[descuento antes de IVA]])*VLOOKUP(PROVEEDORES[[#This Row],[PROVEEDOR]],TERCEROS_INFO[#All],3,FALSE)</f>
        <v>0</v>
      </c>
      <c r="N378" s="34"/>
      <c r="O378" s="33">
        <f>+PROVEEDORES[[#This Row],[Descuento sobre subtotal %]]*(PROVEEDORES[[#This Row],[SUBTOTAL]]-PROVEEDORES[[#This Row],[descuento antes de IVA]])</f>
        <v>0</v>
      </c>
      <c r="P3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8" s="33">
        <f>+(PROVEEDORES[[#This Row],[SUBTOTAL]]-PROVEEDORES[[#This Row],[descuento antes de IVA]])*PROVEEDORES[[#This Row],[Rete Fuente %]]</f>
        <v>0</v>
      </c>
      <c r="R378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78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8" s="40"/>
      <c r="U378" s="97"/>
      <c r="V378" s="36"/>
      <c r="W378" s="36"/>
      <c r="X378" s="36"/>
      <c r="Y378" s="36"/>
      <c r="Z378" s="41"/>
      <c r="AA378" s="42"/>
      <c r="AF378" s="36"/>
      <c r="AG378" s="36"/>
    </row>
    <row r="379" spans="1:33" ht="21.95" hidden="1" customHeight="1" x14ac:dyDescent="0.25">
      <c r="A379" s="153" t="str">
        <f>+IF(PROVEEDORES[[#This Row],[FECHA DE PAGO]]=PROVEEDORES[[#This Row],[FECHA DE FACTURACIÓN]],"DE CONTADO","CRÉDITO")</f>
        <v>DE CONTADO</v>
      </c>
      <c r="B379" s="70" t="b">
        <f>+IF((PROVEEDORES[[#This Row],[FECHA DE PAGO]]-PROVEEDORES[[#This Row],[FECHA DE FACTURACIÓN]])&gt;PROVEEDORES[[#This Row],[PLAZO Días]],"PAGO VENCIDO")</f>
        <v>0</v>
      </c>
      <c r="C379" s="27">
        <f>+VLOOKUP(PROVEEDORES[[#This Row],[PROVEEDOR]],TERCEROS_INFO[#All],2,FALSE)</f>
        <v>30</v>
      </c>
      <c r="D379" s="37">
        <f>+SUMIFS(PROVEEDORES[Total],PROVEEDORES[PROVEEDOR],PROVEEDORES[[#This Row],[PROVEEDOR]],PROVEEDORES[FECHA DE PAGO],"")</f>
        <v>0</v>
      </c>
      <c r="E379" s="37"/>
      <c r="F379" s="108" t="str">
        <f>+VLOOKUP(PROVEEDORES[[#This Row],[PROVEEDOR]],TERCEROS_INFO[[PROVEEDOR]:[CORREO]],5,FALSE)</f>
        <v/>
      </c>
      <c r="G379" s="143">
        <v>44455</v>
      </c>
      <c r="H379" s="38" t="s">
        <v>276</v>
      </c>
      <c r="I379" s="30">
        <v>44455</v>
      </c>
      <c r="J379" s="58"/>
      <c r="K379" s="32">
        <v>1000000</v>
      </c>
      <c r="L379" s="32"/>
      <c r="M379" s="33">
        <f>(PROVEEDORES[[#This Row],[SUBTOTAL]]-PROVEEDORES[[#This Row],[descuento antes de IVA]])*VLOOKUP(PROVEEDORES[[#This Row],[PROVEEDOR]],TERCEROS_INFO[#All],3,FALSE)</f>
        <v>0</v>
      </c>
      <c r="N379" s="34"/>
      <c r="O379" s="33">
        <f>+PROVEEDORES[[#This Row],[Descuento sobre subtotal %]]*(PROVEEDORES[[#This Row],[SUBTOTAL]]-PROVEEDORES[[#This Row],[descuento antes de IVA]])</f>
        <v>0</v>
      </c>
      <c r="P3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79" s="33">
        <f>+(PROVEEDORES[[#This Row],[SUBTOTAL]]-PROVEEDORES[[#This Row],[descuento antes de IVA]])*PROVEEDORES[[#This Row],[Rete Fuente %]]</f>
        <v>0</v>
      </c>
      <c r="R379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79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9" s="40"/>
      <c r="U379" s="97"/>
      <c r="V379" s="36"/>
      <c r="W379" s="36"/>
      <c r="X379" s="36"/>
      <c r="Y379" s="36"/>
      <c r="Z379" s="41"/>
      <c r="AA379" s="42"/>
      <c r="AF379" s="36"/>
      <c r="AG379" s="36"/>
    </row>
    <row r="380" spans="1:33" ht="21.95" hidden="1" customHeight="1" x14ac:dyDescent="0.25">
      <c r="A380" s="153" t="str">
        <f>+IF(PROVEEDORES[[#This Row],[FECHA DE PAGO]]=PROVEEDORES[[#This Row],[FECHA DE FACTURACIÓN]],"DE CONTADO","CRÉDITO")</f>
        <v>DE CONTADO</v>
      </c>
      <c r="B380" s="70" t="b">
        <f>+IF((PROVEEDORES[[#This Row],[FECHA DE PAGO]]-PROVEEDORES[[#This Row],[FECHA DE FACTURACIÓN]])&gt;PROVEEDORES[[#This Row],[PLAZO Días]],"PAGO VENCIDO")</f>
        <v>0</v>
      </c>
      <c r="C380" s="27">
        <f>+VLOOKUP(PROVEEDORES[[#This Row],[PROVEEDOR]],TERCEROS_INFO[#All],2,FALSE)</f>
        <v>30</v>
      </c>
      <c r="D380" s="37">
        <f>+SUMIFS(PROVEEDORES[Total],PROVEEDORES[PROVEEDOR],PROVEEDORES[[#This Row],[PROVEEDOR]],PROVEEDORES[FECHA DE PAGO],"")</f>
        <v>0</v>
      </c>
      <c r="E380" s="37"/>
      <c r="F380" s="108" t="str">
        <f>+VLOOKUP(PROVEEDORES[[#This Row],[PROVEEDOR]],TERCEROS_INFO[[PROVEEDOR]:[CORREO]],5,FALSE)</f>
        <v/>
      </c>
      <c r="G380" s="30">
        <v>44459</v>
      </c>
      <c r="H380" s="38" t="s">
        <v>276</v>
      </c>
      <c r="I380" s="30">
        <v>44459</v>
      </c>
      <c r="J380" s="58"/>
      <c r="K380" s="32">
        <v>1000000</v>
      </c>
      <c r="L380" s="32"/>
      <c r="M380" s="33">
        <f>(PROVEEDORES[[#This Row],[SUBTOTAL]]-PROVEEDORES[[#This Row],[descuento antes de IVA]])*VLOOKUP(PROVEEDORES[[#This Row],[PROVEEDOR]],TERCEROS_INFO[#All],3,FALSE)</f>
        <v>0</v>
      </c>
      <c r="N380" s="34"/>
      <c r="O380" s="33">
        <f>+PROVEEDORES[[#This Row],[Descuento sobre subtotal %]]*(PROVEEDORES[[#This Row],[SUBTOTAL]]-PROVEEDORES[[#This Row],[descuento antes de IVA]])</f>
        <v>0</v>
      </c>
      <c r="P3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0" s="33">
        <f>+(PROVEEDORES[[#This Row],[SUBTOTAL]]-PROVEEDORES[[#This Row],[descuento antes de IVA]])*PROVEEDORES[[#This Row],[Rete Fuente %]]</f>
        <v>0</v>
      </c>
      <c r="R380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0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0" s="40"/>
      <c r="U380" s="97"/>
      <c r="V380" s="36"/>
      <c r="W380" s="36"/>
      <c r="X380" s="36"/>
      <c r="Y380" s="36"/>
      <c r="Z380" s="41"/>
      <c r="AA380" s="42"/>
      <c r="AF380" s="36"/>
      <c r="AG380" s="36"/>
    </row>
    <row r="381" spans="1:33" ht="21.95" hidden="1" customHeight="1" x14ac:dyDescent="0.25">
      <c r="A381" s="154" t="str">
        <f>+IF(PROVEEDORES[[#This Row],[FECHA DE PAGO]]=PROVEEDORES[[#This Row],[FECHA DE FACTURACIÓN]],"DE CONTADO","CRÉDITO")</f>
        <v>DE CONTADO</v>
      </c>
      <c r="B381" s="70" t="b">
        <f>+IF((PROVEEDORES[[#This Row],[FECHA DE PAGO]]-PROVEEDORES[[#This Row],[FECHA DE FACTURACIÓN]])&gt;PROVEEDORES[[#This Row],[PLAZO Días]],"PAGO VENCIDO")</f>
        <v>0</v>
      </c>
      <c r="C381" s="27">
        <f>+VLOOKUP(PROVEEDORES[[#This Row],[PROVEEDOR]],TERCEROS_INFO[#All],2,FALSE)</f>
        <v>30</v>
      </c>
      <c r="D381" s="37">
        <f>+SUMIFS(PROVEEDORES[Total],PROVEEDORES[PROVEEDOR],PROVEEDORES[[#This Row],[PROVEEDOR]],PROVEEDORES[FECHA DE PAGO],"")</f>
        <v>0</v>
      </c>
      <c r="E381" s="37"/>
      <c r="F381" s="108" t="str">
        <f>+VLOOKUP(PROVEEDORES[[#This Row],[PROVEEDOR]],TERCEROS_INFO[[PROVEEDOR]:[CORREO]],5,FALSE)</f>
        <v/>
      </c>
      <c r="G381" s="30">
        <v>44469</v>
      </c>
      <c r="H381" s="38" t="s">
        <v>276</v>
      </c>
      <c r="I381" s="30">
        <v>44469</v>
      </c>
      <c r="J381" s="58"/>
      <c r="K381" s="32">
        <v>1000000</v>
      </c>
      <c r="L381" s="32"/>
      <c r="M381" s="33">
        <f>(PROVEEDORES[[#This Row],[SUBTOTAL]]-PROVEEDORES[[#This Row],[descuento antes de IVA]])*VLOOKUP(PROVEEDORES[[#This Row],[PROVEEDOR]],TERCEROS_INFO[#All],3,FALSE)</f>
        <v>0</v>
      </c>
      <c r="N381" s="34"/>
      <c r="O381" s="33">
        <f>+PROVEEDORES[[#This Row],[Descuento sobre subtotal %]]*(PROVEEDORES[[#This Row],[SUBTOTAL]]-PROVEEDORES[[#This Row],[descuento antes de IVA]])</f>
        <v>0</v>
      </c>
      <c r="P3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1" s="33">
        <f>+(PROVEEDORES[[#This Row],[SUBTOTAL]]-PROVEEDORES[[#This Row],[descuento antes de IVA]])*PROVEEDORES[[#This Row],[Rete Fuente %]]</f>
        <v>0</v>
      </c>
      <c r="R381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1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1" s="40"/>
      <c r="U381" s="97"/>
      <c r="V381" s="36"/>
      <c r="W381" s="36"/>
      <c r="X381" s="36"/>
      <c r="Y381" s="36"/>
      <c r="Z381" s="41"/>
      <c r="AA381" s="42"/>
      <c r="AF381" s="36"/>
      <c r="AG381" s="36"/>
    </row>
    <row r="382" spans="1:33" ht="21.95" hidden="1" customHeight="1" x14ac:dyDescent="0.25">
      <c r="A382" s="155" t="str">
        <f>+IF(PROVEEDORES[[#This Row],[FECHA DE PAGO]]=PROVEEDORES[[#This Row],[FECHA DE FACTURACIÓN]],"DE CONTADO","CRÉDITO")</f>
        <v>DE CONTADO</v>
      </c>
      <c r="B382" s="70" t="b">
        <f>+IF((PROVEEDORES[[#This Row],[FECHA DE PAGO]]-PROVEEDORES[[#This Row],[FECHA DE FACTURACIÓN]])&gt;PROVEEDORES[[#This Row],[PLAZO Días]],"PAGO VENCIDO")</f>
        <v>0</v>
      </c>
      <c r="C382" s="27">
        <f>+VLOOKUP(PROVEEDORES[[#This Row],[PROVEEDOR]],TERCEROS_INFO[#All],2,FALSE)</f>
        <v>30</v>
      </c>
      <c r="D382" s="37">
        <f>+SUMIFS(PROVEEDORES[Total],PROVEEDORES[PROVEEDOR],PROVEEDORES[[#This Row],[PROVEEDOR]],PROVEEDORES[FECHA DE PAGO],"")</f>
        <v>0</v>
      </c>
      <c r="E382" s="37"/>
      <c r="F382" s="108" t="str">
        <f>+VLOOKUP(PROVEEDORES[[#This Row],[PROVEEDOR]],TERCEROS_INFO[[PROVEEDOR]:[CORREO]],5,FALSE)</f>
        <v/>
      </c>
      <c r="G382" s="30">
        <v>44476</v>
      </c>
      <c r="H382" s="38" t="s">
        <v>276</v>
      </c>
      <c r="I382" s="30">
        <v>44476</v>
      </c>
      <c r="J382" s="58"/>
      <c r="K382" s="32">
        <v>1000000</v>
      </c>
      <c r="L382" s="32"/>
      <c r="M382" s="33">
        <f>(PROVEEDORES[[#This Row],[SUBTOTAL]]-PROVEEDORES[[#This Row],[descuento antes de IVA]])*VLOOKUP(PROVEEDORES[[#This Row],[PROVEEDOR]],TERCEROS_INFO[#All],3,FALSE)</f>
        <v>0</v>
      </c>
      <c r="N382" s="34"/>
      <c r="O382" s="33">
        <f>+PROVEEDORES[[#This Row],[Descuento sobre subtotal %]]*(PROVEEDORES[[#This Row],[SUBTOTAL]]-PROVEEDORES[[#This Row],[descuento antes de IVA]])</f>
        <v>0</v>
      </c>
      <c r="P3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2" s="33">
        <f>+(PROVEEDORES[[#This Row],[SUBTOTAL]]-PROVEEDORES[[#This Row],[descuento antes de IVA]])*PROVEEDORES[[#This Row],[Rete Fuente %]]</f>
        <v>0</v>
      </c>
      <c r="R382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2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2" s="40"/>
      <c r="U382" s="97"/>
      <c r="V382" s="36"/>
      <c r="W382" s="36"/>
      <c r="X382" s="36"/>
      <c r="Y382" s="36"/>
      <c r="Z382" s="41"/>
      <c r="AA382" s="42"/>
      <c r="AF382" s="36"/>
      <c r="AG382" s="36"/>
    </row>
    <row r="383" spans="1:33" ht="21.95" hidden="1" customHeight="1" x14ac:dyDescent="0.25">
      <c r="A383" s="156" t="str">
        <f>+IF(PROVEEDORES[[#This Row],[FECHA DE PAGO]]=PROVEEDORES[[#This Row],[FECHA DE FACTURACIÓN]],"DE CONTADO","CRÉDITO")</f>
        <v>DE CONTADO</v>
      </c>
      <c r="B383" s="70" t="b">
        <f>+IF((PROVEEDORES[[#This Row],[FECHA DE PAGO]]-PROVEEDORES[[#This Row],[FECHA DE FACTURACIÓN]])&gt;PROVEEDORES[[#This Row],[PLAZO Días]],"PAGO VENCIDO")</f>
        <v>0</v>
      </c>
      <c r="C383" s="27">
        <f>+VLOOKUP(PROVEEDORES[[#This Row],[PROVEEDOR]],TERCEROS_INFO[#All],2,FALSE)</f>
        <v>30</v>
      </c>
      <c r="D383" s="37">
        <f>+SUMIFS(PROVEEDORES[Total],PROVEEDORES[PROVEEDOR],PROVEEDORES[[#This Row],[PROVEEDOR]],PROVEEDORES[FECHA DE PAGO],"")</f>
        <v>0</v>
      </c>
      <c r="E383" s="37"/>
      <c r="F383" s="108" t="str">
        <f>+VLOOKUP(PROVEEDORES[[#This Row],[PROVEEDOR]],TERCEROS_INFO[[PROVEEDOR]:[CORREO]],5,FALSE)</f>
        <v/>
      </c>
      <c r="G383" s="143">
        <v>44483</v>
      </c>
      <c r="H383" s="38" t="s">
        <v>276</v>
      </c>
      <c r="I383" s="143">
        <v>44483</v>
      </c>
      <c r="J383" s="58"/>
      <c r="K383" s="32">
        <v>1000000</v>
      </c>
      <c r="L383" s="32"/>
      <c r="M383" s="33">
        <f>(PROVEEDORES[[#This Row],[SUBTOTAL]]-PROVEEDORES[[#This Row],[descuento antes de IVA]])*VLOOKUP(PROVEEDORES[[#This Row],[PROVEEDOR]],TERCEROS_INFO[#All],3,FALSE)</f>
        <v>0</v>
      </c>
      <c r="N383" s="34"/>
      <c r="O383" s="33">
        <f>+PROVEEDORES[[#This Row],[Descuento sobre subtotal %]]*(PROVEEDORES[[#This Row],[SUBTOTAL]]-PROVEEDORES[[#This Row],[descuento antes de IVA]])</f>
        <v>0</v>
      </c>
      <c r="P3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3" s="33">
        <f>+(PROVEEDORES[[#This Row],[SUBTOTAL]]-PROVEEDORES[[#This Row],[descuento antes de IVA]])*PROVEEDORES[[#This Row],[Rete Fuente %]]</f>
        <v>0</v>
      </c>
      <c r="R383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3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3" s="40"/>
      <c r="U383" s="97"/>
      <c r="V383" s="36"/>
      <c r="W383" s="36"/>
      <c r="X383" s="36"/>
      <c r="Y383" s="36"/>
      <c r="Z383" s="41"/>
      <c r="AA383" s="42"/>
      <c r="AF383" s="36"/>
      <c r="AG383" s="36"/>
    </row>
    <row r="384" spans="1:33" ht="21.95" hidden="1" customHeight="1" x14ac:dyDescent="0.25">
      <c r="A384" s="157" t="str">
        <f>+IF(PROVEEDORES[[#This Row],[FECHA DE PAGO]]=PROVEEDORES[[#This Row],[FECHA DE FACTURACIÓN]],"DE CONTADO","CRÉDITO")</f>
        <v>DE CONTADO</v>
      </c>
      <c r="B384" s="70" t="b">
        <f>+IF((PROVEEDORES[[#This Row],[FECHA DE PAGO]]-PROVEEDORES[[#This Row],[FECHA DE FACTURACIÓN]])&gt;PROVEEDORES[[#This Row],[PLAZO Días]],"PAGO VENCIDO")</f>
        <v>0</v>
      </c>
      <c r="C384" s="27">
        <f>+VLOOKUP(PROVEEDORES[[#This Row],[PROVEEDOR]],TERCEROS_INFO[#All],2,FALSE)</f>
        <v>30</v>
      </c>
      <c r="D384" s="37">
        <f>+SUMIFS(PROVEEDORES[Total],PROVEEDORES[PROVEEDOR],PROVEEDORES[[#This Row],[PROVEEDOR]],PROVEEDORES[FECHA DE PAGO],"")</f>
        <v>0</v>
      </c>
      <c r="E384" s="37"/>
      <c r="F384" s="108" t="str">
        <f>+VLOOKUP(PROVEEDORES[[#This Row],[PROVEEDOR]],TERCEROS_INFO[[PROVEEDOR]:[CORREO]],5,FALSE)</f>
        <v/>
      </c>
      <c r="G384" s="143">
        <v>44490</v>
      </c>
      <c r="H384" s="38" t="s">
        <v>276</v>
      </c>
      <c r="I384" s="30">
        <v>44490</v>
      </c>
      <c r="J384" s="58"/>
      <c r="K384" s="32">
        <v>1000000</v>
      </c>
      <c r="L384" s="32"/>
      <c r="M384" s="33">
        <f>(PROVEEDORES[[#This Row],[SUBTOTAL]]-PROVEEDORES[[#This Row],[descuento antes de IVA]])*VLOOKUP(PROVEEDORES[[#This Row],[PROVEEDOR]],TERCEROS_INFO[#All],3,FALSE)</f>
        <v>0</v>
      </c>
      <c r="N384" s="34"/>
      <c r="O384" s="33">
        <f>+PROVEEDORES[[#This Row],[Descuento sobre subtotal %]]*(PROVEEDORES[[#This Row],[SUBTOTAL]]-PROVEEDORES[[#This Row],[descuento antes de IVA]])</f>
        <v>0</v>
      </c>
      <c r="P3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4" s="33">
        <f>+(PROVEEDORES[[#This Row],[SUBTOTAL]]-PROVEEDORES[[#This Row],[descuento antes de IVA]])*PROVEEDORES[[#This Row],[Rete Fuente %]]</f>
        <v>0</v>
      </c>
      <c r="R384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4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4" s="40"/>
      <c r="U384" s="97"/>
      <c r="V384" s="36"/>
      <c r="W384" s="36"/>
      <c r="X384" s="36"/>
      <c r="Y384" s="36"/>
      <c r="Z384" s="41"/>
      <c r="AA384" s="42"/>
      <c r="AF384" s="36"/>
      <c r="AG384" s="36"/>
    </row>
    <row r="385" spans="1:33" ht="21.95" hidden="1" customHeight="1" x14ac:dyDescent="0.25">
      <c r="A385" s="161" t="str">
        <f>+IF(PROVEEDORES[[#This Row],[FECHA DE PAGO]]=PROVEEDORES[[#This Row],[FECHA DE FACTURACIÓN]],"DE CONTADO","CRÉDITO")</f>
        <v>DE CONTADO</v>
      </c>
      <c r="B385" s="70" t="b">
        <f>+IF((PROVEEDORES[[#This Row],[FECHA DE PAGO]]-PROVEEDORES[[#This Row],[FECHA DE FACTURACIÓN]])&gt;PROVEEDORES[[#This Row],[PLAZO Días]],"PAGO VENCIDO")</f>
        <v>0</v>
      </c>
      <c r="C385" s="27">
        <f>+VLOOKUP(PROVEEDORES[[#This Row],[PROVEEDOR]],TERCEROS_INFO[#All],2,FALSE)</f>
        <v>30</v>
      </c>
      <c r="D385" s="37">
        <f>+SUMIFS(PROVEEDORES[Total],PROVEEDORES[PROVEEDOR],PROVEEDORES[[#This Row],[PROVEEDOR]],PROVEEDORES[FECHA DE PAGO],"")</f>
        <v>0</v>
      </c>
      <c r="E385" s="37"/>
      <c r="F385" s="108" t="str">
        <f>+VLOOKUP(PROVEEDORES[[#This Row],[PROVEEDOR]],TERCEROS_INFO[[PROVEEDOR]:[CORREO]],5,FALSE)</f>
        <v/>
      </c>
      <c r="G385" s="30">
        <v>44498</v>
      </c>
      <c r="H385" s="38" t="s">
        <v>276</v>
      </c>
      <c r="I385" s="30">
        <v>44498</v>
      </c>
      <c r="J385" s="58"/>
      <c r="K385" s="32">
        <v>1000000</v>
      </c>
      <c r="L385" s="32"/>
      <c r="M385" s="33">
        <f>(PROVEEDORES[[#This Row],[SUBTOTAL]]-PROVEEDORES[[#This Row],[descuento antes de IVA]])*VLOOKUP(PROVEEDORES[[#This Row],[PROVEEDOR]],TERCEROS_INFO[#All],3,FALSE)</f>
        <v>0</v>
      </c>
      <c r="N385" s="34"/>
      <c r="O385" s="33">
        <f>+PROVEEDORES[[#This Row],[Descuento sobre subtotal %]]*(PROVEEDORES[[#This Row],[SUBTOTAL]]-PROVEEDORES[[#This Row],[descuento antes de IVA]])</f>
        <v>0</v>
      </c>
      <c r="P3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5" s="33">
        <f>+(PROVEEDORES[[#This Row],[SUBTOTAL]]-PROVEEDORES[[#This Row],[descuento antes de IVA]])*PROVEEDORES[[#This Row],[Rete Fuente %]]</f>
        <v>0</v>
      </c>
      <c r="R385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5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5" s="40"/>
      <c r="U385" s="97"/>
      <c r="V385" s="36"/>
      <c r="W385" s="36"/>
      <c r="X385" s="36"/>
      <c r="Y385" s="36"/>
      <c r="Z385" s="41"/>
      <c r="AA385" s="42"/>
      <c r="AF385" s="36"/>
      <c r="AG385" s="36"/>
    </row>
    <row r="386" spans="1:33" ht="21.95" hidden="1" customHeight="1" x14ac:dyDescent="0.25">
      <c r="A386" s="162" t="str">
        <f>+IF(PROVEEDORES[[#This Row],[FECHA DE PAGO]]=PROVEEDORES[[#This Row],[FECHA DE FACTURACIÓN]],"DE CONTADO","CRÉDITO")</f>
        <v>DE CONTADO</v>
      </c>
      <c r="B386" s="70" t="b">
        <f>+IF((PROVEEDORES[[#This Row],[FECHA DE PAGO]]-PROVEEDORES[[#This Row],[FECHA DE FACTURACIÓN]])&gt;PROVEEDORES[[#This Row],[PLAZO Días]],"PAGO VENCIDO")</f>
        <v>0</v>
      </c>
      <c r="C386" s="27">
        <f>+VLOOKUP(PROVEEDORES[[#This Row],[PROVEEDOR]],TERCEROS_INFO[#All],2,FALSE)</f>
        <v>30</v>
      </c>
      <c r="D386" s="37">
        <f>+SUMIFS(PROVEEDORES[Total],PROVEEDORES[PROVEEDOR],PROVEEDORES[[#This Row],[PROVEEDOR]],PROVEEDORES[FECHA DE PAGO],"")</f>
        <v>0</v>
      </c>
      <c r="E386" s="37"/>
      <c r="F386" s="108" t="str">
        <f>+VLOOKUP(PROVEEDORES[[#This Row],[PROVEEDOR]],TERCEROS_INFO[[PROVEEDOR]:[CORREO]],5,FALSE)</f>
        <v/>
      </c>
      <c r="G386" s="143">
        <v>44504</v>
      </c>
      <c r="H386" s="38" t="s">
        <v>276</v>
      </c>
      <c r="I386" s="143">
        <v>44504</v>
      </c>
      <c r="J386" s="58"/>
      <c r="K386" s="32">
        <v>1000000</v>
      </c>
      <c r="L386" s="32"/>
      <c r="M386" s="33">
        <f>(PROVEEDORES[[#This Row],[SUBTOTAL]]-PROVEEDORES[[#This Row],[descuento antes de IVA]])*VLOOKUP(PROVEEDORES[[#This Row],[PROVEEDOR]],TERCEROS_INFO[#All],3,FALSE)</f>
        <v>0</v>
      </c>
      <c r="N386" s="34"/>
      <c r="O386" s="33">
        <f>+PROVEEDORES[[#This Row],[Descuento sobre subtotal %]]*(PROVEEDORES[[#This Row],[SUBTOTAL]]-PROVEEDORES[[#This Row],[descuento antes de IVA]])</f>
        <v>0</v>
      </c>
      <c r="P3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6" s="33">
        <f>+(PROVEEDORES[[#This Row],[SUBTOTAL]]-PROVEEDORES[[#This Row],[descuento antes de IVA]])*PROVEEDORES[[#This Row],[Rete Fuente %]]</f>
        <v>0</v>
      </c>
      <c r="R386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6" s="16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6" s="40"/>
      <c r="U386" s="97"/>
      <c r="V386" s="36"/>
      <c r="W386" s="36"/>
      <c r="X386" s="36"/>
      <c r="Y386" s="36"/>
      <c r="Z386" s="41"/>
      <c r="AA386" s="42"/>
      <c r="AF386" s="36"/>
      <c r="AG386" s="36"/>
    </row>
    <row r="387" spans="1:33" ht="21.95" hidden="1" customHeight="1" x14ac:dyDescent="0.25">
      <c r="A387" s="164" t="str">
        <f>+IF(PROVEEDORES[[#This Row],[FECHA DE PAGO]]=PROVEEDORES[[#This Row],[FECHA DE FACTURACIÓN]],"DE CONTADO","CRÉDITO")</f>
        <v>DE CONTADO</v>
      </c>
      <c r="B387" s="70" t="b">
        <f>+IF((PROVEEDORES[[#This Row],[FECHA DE PAGO]]-PROVEEDORES[[#This Row],[FECHA DE FACTURACIÓN]])&gt;PROVEEDORES[[#This Row],[PLAZO Días]],"PAGO VENCIDO")</f>
        <v>0</v>
      </c>
      <c r="C387" s="27">
        <f>+VLOOKUP(PROVEEDORES[[#This Row],[PROVEEDOR]],TERCEROS_INFO[#All],2,FALSE)</f>
        <v>30</v>
      </c>
      <c r="D387" s="37">
        <f>+SUMIFS(PROVEEDORES[Total],PROVEEDORES[PROVEEDOR],PROVEEDORES[[#This Row],[PROVEEDOR]],PROVEEDORES[FECHA DE PAGO],"")</f>
        <v>0</v>
      </c>
      <c r="E387" s="37"/>
      <c r="F387" s="108" t="str">
        <f>+VLOOKUP(PROVEEDORES[[#This Row],[PROVEEDOR]],TERCEROS_INFO[[PROVEEDOR]:[CORREO]],5,FALSE)</f>
        <v/>
      </c>
      <c r="G387" s="30">
        <v>44512</v>
      </c>
      <c r="H387" s="38" t="s">
        <v>276</v>
      </c>
      <c r="I387" s="30">
        <v>44512</v>
      </c>
      <c r="J387" s="58"/>
      <c r="K387" s="32">
        <v>1000000</v>
      </c>
      <c r="L387" s="32"/>
      <c r="M387" s="33">
        <f>(PROVEEDORES[[#This Row],[SUBTOTAL]]-PROVEEDORES[[#This Row],[descuento antes de IVA]])*VLOOKUP(PROVEEDORES[[#This Row],[PROVEEDOR]],TERCEROS_INFO[#All],3,FALSE)</f>
        <v>0</v>
      </c>
      <c r="N387" s="34"/>
      <c r="O387" s="33">
        <f>+PROVEEDORES[[#This Row],[Descuento sobre subtotal %]]*(PROVEEDORES[[#This Row],[SUBTOTAL]]-PROVEEDORES[[#This Row],[descuento antes de IVA]])</f>
        <v>0</v>
      </c>
      <c r="P3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7" s="33">
        <f>+(PROVEEDORES[[#This Row],[SUBTOTAL]]-PROVEEDORES[[#This Row],[descuento antes de IVA]])*PROVEEDORES[[#This Row],[Rete Fuente %]]</f>
        <v>0</v>
      </c>
      <c r="R387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7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7" s="40"/>
      <c r="U387" s="97"/>
      <c r="V387" s="36"/>
      <c r="W387" s="36"/>
      <c r="X387" s="36"/>
      <c r="Y387" s="36"/>
      <c r="Z387" s="41"/>
      <c r="AA387" s="42"/>
      <c r="AF387" s="36"/>
      <c r="AG387" s="36"/>
    </row>
    <row r="388" spans="1:33" ht="21.95" hidden="1" customHeight="1" x14ac:dyDescent="0.25">
      <c r="A388" s="165" t="str">
        <f>+IF(PROVEEDORES[[#This Row],[FECHA DE PAGO]]=PROVEEDORES[[#This Row],[FECHA DE FACTURACIÓN]],"DE CONTADO","CRÉDITO")</f>
        <v>DE CONTADO</v>
      </c>
      <c r="B388" s="70" t="b">
        <f>+IF((PROVEEDORES[[#This Row],[FECHA DE PAGO]]-PROVEEDORES[[#This Row],[FECHA DE FACTURACIÓN]])&gt;PROVEEDORES[[#This Row],[PLAZO Días]],"PAGO VENCIDO")</f>
        <v>0</v>
      </c>
      <c r="C388" s="27">
        <f>+VLOOKUP(PROVEEDORES[[#This Row],[PROVEEDOR]],TERCEROS_INFO[#All],2,FALSE)</f>
        <v>30</v>
      </c>
      <c r="D388" s="37">
        <f>+SUMIFS(PROVEEDORES[Total],PROVEEDORES[PROVEEDOR],PROVEEDORES[[#This Row],[PROVEEDOR]],PROVEEDORES[FECHA DE PAGO],"")</f>
        <v>0</v>
      </c>
      <c r="E388" s="37"/>
      <c r="F388" s="108" t="str">
        <f>+VLOOKUP(PROVEEDORES[[#This Row],[PROVEEDOR]],TERCEROS_INFO[[PROVEEDOR]:[CORREO]],5,FALSE)</f>
        <v/>
      </c>
      <c r="G388" s="30">
        <v>44520</v>
      </c>
      <c r="H388" s="38" t="s">
        <v>276</v>
      </c>
      <c r="I388" s="30">
        <v>44520</v>
      </c>
      <c r="J388" s="58"/>
      <c r="K388" s="32">
        <v>1000000</v>
      </c>
      <c r="L388" s="32"/>
      <c r="M388" s="33">
        <f>(PROVEEDORES[[#This Row],[SUBTOTAL]]-PROVEEDORES[[#This Row],[descuento antes de IVA]])*VLOOKUP(PROVEEDORES[[#This Row],[PROVEEDOR]],TERCEROS_INFO[#All],3,FALSE)</f>
        <v>0</v>
      </c>
      <c r="N388" s="34"/>
      <c r="O388" s="33">
        <f>+PROVEEDORES[[#This Row],[Descuento sobre subtotal %]]*(PROVEEDORES[[#This Row],[SUBTOTAL]]-PROVEEDORES[[#This Row],[descuento antes de IVA]])</f>
        <v>0</v>
      </c>
      <c r="P3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8" s="33">
        <f>+(PROVEEDORES[[#This Row],[SUBTOTAL]]-PROVEEDORES[[#This Row],[descuento antes de IVA]])*PROVEEDORES[[#This Row],[Rete Fuente %]]</f>
        <v>0</v>
      </c>
      <c r="R388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8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8" s="40"/>
      <c r="U388" s="97"/>
      <c r="V388" s="36"/>
      <c r="W388" s="36"/>
      <c r="X388" s="36"/>
      <c r="Y388" s="36"/>
      <c r="Z388" s="41"/>
      <c r="AA388" s="42"/>
      <c r="AF388" s="36"/>
      <c r="AG388" s="36"/>
    </row>
    <row r="389" spans="1:33" ht="21.95" hidden="1" customHeight="1" x14ac:dyDescent="0.25">
      <c r="A389" s="166" t="str">
        <f>+IF(PROVEEDORES[[#This Row],[FECHA DE PAGO]]=PROVEEDORES[[#This Row],[FECHA DE FACTURACIÓN]],"DE CONTADO","CRÉDITO")</f>
        <v>DE CONTADO</v>
      </c>
      <c r="B389" s="70" t="b">
        <f>+IF((PROVEEDORES[[#This Row],[FECHA DE PAGO]]-PROVEEDORES[[#This Row],[FECHA DE FACTURACIÓN]])&gt;PROVEEDORES[[#This Row],[PLAZO Días]],"PAGO VENCIDO")</f>
        <v>0</v>
      </c>
      <c r="C389" s="27">
        <f>+VLOOKUP(PROVEEDORES[[#This Row],[PROVEEDOR]],TERCEROS_INFO[#All],2,FALSE)</f>
        <v>30</v>
      </c>
      <c r="D389" s="37">
        <f>+SUMIFS(PROVEEDORES[Total],PROVEEDORES[PROVEEDOR],PROVEEDORES[[#This Row],[PROVEEDOR]],PROVEEDORES[FECHA DE PAGO],"")</f>
        <v>0</v>
      </c>
      <c r="E389" s="37"/>
      <c r="F389" s="108" t="str">
        <f>+VLOOKUP(PROVEEDORES[[#This Row],[PROVEEDOR]],TERCEROS_INFO[[PROVEEDOR]:[CORREO]],5,FALSE)</f>
        <v/>
      </c>
      <c r="G389" s="143">
        <v>44525</v>
      </c>
      <c r="H389" s="38" t="s">
        <v>276</v>
      </c>
      <c r="I389" s="30">
        <v>44525</v>
      </c>
      <c r="J389" s="58"/>
      <c r="K389" s="32">
        <v>1000000</v>
      </c>
      <c r="L389" s="32"/>
      <c r="M389" s="33">
        <f>(PROVEEDORES[[#This Row],[SUBTOTAL]]-PROVEEDORES[[#This Row],[descuento antes de IVA]])*VLOOKUP(PROVEEDORES[[#This Row],[PROVEEDOR]],TERCEROS_INFO[#All],3,FALSE)</f>
        <v>0</v>
      </c>
      <c r="N389" s="34"/>
      <c r="O389" s="33">
        <f>+PROVEEDORES[[#This Row],[Descuento sobre subtotal %]]*(PROVEEDORES[[#This Row],[SUBTOTAL]]-PROVEEDORES[[#This Row],[descuento antes de IVA]])</f>
        <v>0</v>
      </c>
      <c r="P3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89" s="33">
        <f>+(PROVEEDORES[[#This Row],[SUBTOTAL]]-PROVEEDORES[[#This Row],[descuento antes de IVA]])*PROVEEDORES[[#This Row],[Rete Fuente %]]</f>
        <v>0</v>
      </c>
      <c r="R389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89" s="1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9" s="40"/>
      <c r="U389" s="97"/>
      <c r="V389" s="36"/>
      <c r="W389" s="36"/>
      <c r="X389" s="36"/>
      <c r="Y389" s="36"/>
      <c r="Z389" s="41"/>
      <c r="AA389" s="42"/>
      <c r="AF389" s="36"/>
      <c r="AG389" s="36"/>
    </row>
    <row r="390" spans="1:33" ht="21.95" hidden="1" customHeight="1" x14ac:dyDescent="0.25">
      <c r="A390" s="35" t="str">
        <f>+IF(PROVEEDORES[[#This Row],[FECHA DE PAGO]]=PROVEEDORES[[#This Row],[FECHA DE FACTURACIÓN]],"DE CONTADO","CRÉDITO")</f>
        <v>DE CONTADO</v>
      </c>
      <c r="B390" s="70" t="b">
        <f>+IF((PROVEEDORES[[#This Row],[FECHA DE PAGO]]-PROVEEDORES[[#This Row],[FECHA DE FACTURACIÓN]])&gt;PROVEEDORES[[#This Row],[PLAZO Días]],"PAGO VENCIDO")</f>
        <v>0</v>
      </c>
      <c r="C390" s="27">
        <f>+VLOOKUP(PROVEEDORES[[#This Row],[PROVEEDOR]],TERCEROS_INFO[#All],2,FALSE)</f>
        <v>30</v>
      </c>
      <c r="D390" s="37">
        <f>+SUMIFS(PROVEEDORES[Total],PROVEEDORES[PROVEEDOR],PROVEEDORES[[#This Row],[PROVEEDOR]],PROVEEDORES[FECHA DE PAGO],"")</f>
        <v>0</v>
      </c>
      <c r="E390" s="37"/>
      <c r="F390" s="108" t="str">
        <f>+VLOOKUP(PROVEEDORES[[#This Row],[PROVEEDOR]],TERCEROS_INFO[[PROVEEDOR]:[CORREO]],5,FALSE)</f>
        <v/>
      </c>
      <c r="G390" s="143">
        <v>44533</v>
      </c>
      <c r="H390" s="38" t="s">
        <v>276</v>
      </c>
      <c r="I390" s="143">
        <v>44533</v>
      </c>
      <c r="J390" s="58"/>
      <c r="K390" s="32">
        <v>1000000</v>
      </c>
      <c r="L390" s="32"/>
      <c r="M390" s="33">
        <f>(PROVEEDORES[[#This Row],[SUBTOTAL]]-PROVEEDORES[[#This Row],[descuento antes de IVA]])*VLOOKUP(PROVEEDORES[[#This Row],[PROVEEDOR]],TERCEROS_INFO[#All],3,FALSE)</f>
        <v>0</v>
      </c>
      <c r="N390" s="34"/>
      <c r="O390" s="33">
        <f>+PROVEEDORES[[#This Row],[Descuento sobre subtotal %]]*(PROVEEDORES[[#This Row],[SUBTOTAL]]-PROVEEDORES[[#This Row],[descuento antes de IVA]])</f>
        <v>0</v>
      </c>
      <c r="P3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0" s="33">
        <f>+(PROVEEDORES[[#This Row],[SUBTOTAL]]-PROVEEDORES[[#This Row],[descuento antes de IVA]])*PROVEEDORES[[#This Row],[Rete Fuente %]]</f>
        <v>0</v>
      </c>
      <c r="R390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9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0" s="40"/>
      <c r="U390" s="97"/>
      <c r="V390" s="36"/>
      <c r="W390" s="36"/>
      <c r="X390" s="36"/>
      <c r="Y390" s="36"/>
      <c r="Z390" s="41"/>
      <c r="AA390" s="42"/>
      <c r="AF390" s="36"/>
      <c r="AG390" s="36"/>
    </row>
    <row r="391" spans="1:33" ht="21.95" hidden="1" customHeight="1" x14ac:dyDescent="0.25">
      <c r="A391" s="35" t="str">
        <f>+IF(PROVEEDORES[[#This Row],[FECHA DE PAGO]]=PROVEEDORES[[#This Row],[FECHA DE FACTURACIÓN]],"DE CONTADO","CRÉDITO")</f>
        <v>DE CONTADO</v>
      </c>
      <c r="B391" s="70" t="b">
        <f>+IF((PROVEEDORES[[#This Row],[FECHA DE PAGO]]-PROVEEDORES[[#This Row],[FECHA DE FACTURACIÓN]])&gt;PROVEEDORES[[#This Row],[PLAZO Días]],"PAGO VENCIDO")</f>
        <v>0</v>
      </c>
      <c r="C391" s="27">
        <f>+VLOOKUP(PROVEEDORES[[#This Row],[PROVEEDOR]],TERCEROS_INFO[#All],2,FALSE)</f>
        <v>30</v>
      </c>
      <c r="D391" s="37">
        <f>+SUMIFS(PROVEEDORES[Total],PROVEEDORES[PROVEEDOR],PROVEEDORES[[#This Row],[PROVEEDOR]],PROVEEDORES[FECHA DE PAGO],"")</f>
        <v>0</v>
      </c>
      <c r="E391" s="37"/>
      <c r="F391" s="108" t="str">
        <f>+VLOOKUP(PROVEEDORES[[#This Row],[PROVEEDOR]],TERCEROS_INFO[[PROVEEDOR]:[CORREO]],5,FALSE)</f>
        <v/>
      </c>
      <c r="G391" s="143">
        <v>44541</v>
      </c>
      <c r="H391" s="38" t="s">
        <v>276</v>
      </c>
      <c r="I391" s="30">
        <v>44541</v>
      </c>
      <c r="J391" s="58"/>
      <c r="K391" s="32">
        <v>1000000</v>
      </c>
      <c r="L391" s="32"/>
      <c r="M391" s="33">
        <f>(PROVEEDORES[[#This Row],[SUBTOTAL]]-PROVEEDORES[[#This Row],[descuento antes de IVA]])*VLOOKUP(PROVEEDORES[[#This Row],[PROVEEDOR]],TERCEROS_INFO[#All],3,FALSE)</f>
        <v>0</v>
      </c>
      <c r="N391" s="34"/>
      <c r="O391" s="33">
        <f>+PROVEEDORES[[#This Row],[Descuento sobre subtotal %]]*(PROVEEDORES[[#This Row],[SUBTOTAL]]-PROVEEDORES[[#This Row],[descuento antes de IVA]])</f>
        <v>0</v>
      </c>
      <c r="P3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1" s="33">
        <f>+(PROVEEDORES[[#This Row],[SUBTOTAL]]-PROVEEDORES[[#This Row],[descuento antes de IVA]])*PROVEEDORES[[#This Row],[Rete Fuente %]]</f>
        <v>0</v>
      </c>
      <c r="R391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39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1" s="40"/>
      <c r="U391" s="97"/>
      <c r="V391" s="36"/>
      <c r="W391" s="36"/>
      <c r="X391" s="36"/>
      <c r="Y391" s="36"/>
      <c r="Z391" s="41"/>
      <c r="AA391" s="42"/>
      <c r="AF391" s="36"/>
      <c r="AG391" s="36"/>
    </row>
    <row r="392" spans="1:33" ht="21.95" hidden="1" customHeight="1" x14ac:dyDescent="0.25">
      <c r="A392" s="35" t="str">
        <f>+IF(PROVEEDORES[[#This Row],[FECHA DE PAGO]]=PROVEEDORES[[#This Row],[FECHA DE FACTURACIÓN]],"DE CONTADO","CRÉDITO")</f>
        <v>DE CONTADO</v>
      </c>
      <c r="B392" s="70" t="b">
        <f>+IF((PROVEEDORES[[#This Row],[FECHA DE PAGO]]-PROVEEDORES[[#This Row],[FECHA DE FACTURACIÓN]])&gt;PROVEEDORES[[#This Row],[PLAZO Días]],"PAGO VENCIDO")</f>
        <v>0</v>
      </c>
      <c r="C392" s="27">
        <f>+VLOOKUP(PROVEEDORES[[#This Row],[PROVEEDOR]],TERCEROS_INFO[#All],2,FALSE)</f>
        <v>30</v>
      </c>
      <c r="D392" s="37">
        <f>+SUMIFS(PROVEEDORES[Total],PROVEEDORES[PROVEEDOR],PROVEEDORES[[#This Row],[PROVEEDOR]],PROVEEDORES[FECHA DE PAGO],"")</f>
        <v>0</v>
      </c>
      <c r="E392" s="37"/>
      <c r="F392" s="108" t="str">
        <f>+VLOOKUP(PROVEEDORES[[#This Row],[PROVEEDOR]],TERCEROS_INFO[[PROVEEDOR]:[CORREO]],5,FALSE)</f>
        <v/>
      </c>
      <c r="G392" s="30">
        <v>44547</v>
      </c>
      <c r="H392" s="38" t="s">
        <v>276</v>
      </c>
      <c r="I392" s="30">
        <v>44547</v>
      </c>
      <c r="J392" s="58"/>
      <c r="K392" s="32">
        <v>2100000</v>
      </c>
      <c r="L392" s="32"/>
      <c r="M392" s="33">
        <f>(PROVEEDORES[[#This Row],[SUBTOTAL]]-PROVEEDORES[[#This Row],[descuento antes de IVA]])*VLOOKUP(PROVEEDORES[[#This Row],[PROVEEDOR]],TERCEROS_INFO[#All],3,FALSE)</f>
        <v>0</v>
      </c>
      <c r="N392" s="34"/>
      <c r="O392" s="33">
        <f>+PROVEEDORES[[#This Row],[Descuento sobre subtotal %]]*(PROVEEDORES[[#This Row],[SUBTOTAL]]-PROVEEDORES[[#This Row],[descuento antes de IVA]])</f>
        <v>0</v>
      </c>
      <c r="P3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2" s="33">
        <f>+(PROVEEDORES[[#This Row],[SUBTOTAL]]-PROVEEDORES[[#This Row],[descuento antes de IVA]])*PROVEEDORES[[#This Row],[Rete Fuente %]]</f>
        <v>0</v>
      </c>
      <c r="R392" s="32">
        <f>+PROVEEDORES[[#This Row],[SUBTOTAL]]+PROVEEDORES[[#This Row],[IVA 19%]]-PROVEEDORES[[#This Row],[descuento antes de IVA]]-PROVEEDORES[[#This Row],[Descuento sobre subtotal $]]-PROVEEDORES[[#This Row],[Rete Fuente $]]</f>
        <v>2100000</v>
      </c>
      <c r="S39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2" s="40"/>
      <c r="U392" s="97"/>
      <c r="V392" s="36"/>
      <c r="W392" s="36"/>
      <c r="X392" s="36"/>
      <c r="Y392" s="36"/>
      <c r="Z392" s="41"/>
      <c r="AA392" s="42"/>
      <c r="AF392" s="36"/>
      <c r="AG392" s="36"/>
    </row>
    <row r="393" spans="1:33" ht="21.95" hidden="1" customHeight="1" x14ac:dyDescent="0.25">
      <c r="A393" s="35" t="str">
        <f>+IF(PROVEEDORES[[#This Row],[FECHA DE PAGO]]=PROVEEDORES[[#This Row],[FECHA DE FACTURACIÓN]],"DE CONTADO","CRÉDITO")</f>
        <v>DE CONTADO</v>
      </c>
      <c r="B393" s="70" t="b">
        <f>+IF((PROVEEDORES[[#This Row],[FECHA DE PAGO]]-PROVEEDORES[[#This Row],[FECHA DE FACTURACIÓN]])&gt;PROVEEDORES[[#This Row],[PLAZO Días]],"PAGO VENCIDO")</f>
        <v>0</v>
      </c>
      <c r="C393" s="27">
        <f>+VLOOKUP(PROVEEDORES[[#This Row],[PROVEEDOR]],TERCEROS_INFO[#All],2,FALSE)</f>
        <v>30</v>
      </c>
      <c r="D393" s="37">
        <f>+SUMIFS(PROVEEDORES[Total],PROVEEDORES[PROVEEDOR],PROVEEDORES[[#This Row],[PROVEEDOR]],PROVEEDORES[FECHA DE PAGO],"")</f>
        <v>0</v>
      </c>
      <c r="E393" s="37"/>
      <c r="F393" s="108" t="str">
        <f>+VLOOKUP(PROVEEDORES[[#This Row],[PROVEEDOR]],TERCEROS_INFO[[PROVEEDOR]:[CORREO]],5,FALSE)</f>
        <v/>
      </c>
      <c r="G393" s="143">
        <v>44553</v>
      </c>
      <c r="H393" s="38" t="s">
        <v>276</v>
      </c>
      <c r="I393" s="143">
        <v>44553</v>
      </c>
      <c r="J393" s="58"/>
      <c r="K393" s="32">
        <v>2000000</v>
      </c>
      <c r="L393" s="32"/>
      <c r="M393" s="33">
        <f>(PROVEEDORES[[#This Row],[SUBTOTAL]]-PROVEEDORES[[#This Row],[descuento antes de IVA]])*VLOOKUP(PROVEEDORES[[#This Row],[PROVEEDOR]],TERCEROS_INFO[#All],3,FALSE)</f>
        <v>0</v>
      </c>
      <c r="N393" s="34"/>
      <c r="O393" s="33">
        <f>+PROVEEDORES[[#This Row],[Descuento sobre subtotal %]]*(PROVEEDORES[[#This Row],[SUBTOTAL]]-PROVEEDORES[[#This Row],[descuento antes de IVA]])</f>
        <v>0</v>
      </c>
      <c r="P3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3" s="33">
        <f>+(PROVEEDORES[[#This Row],[SUBTOTAL]]-PROVEEDORES[[#This Row],[descuento antes de IVA]])*PROVEEDORES[[#This Row],[Rete Fuente %]]</f>
        <v>0</v>
      </c>
      <c r="R393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39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3" s="40"/>
      <c r="U393" s="97"/>
      <c r="V393" s="36"/>
      <c r="W393" s="36"/>
      <c r="X393" s="36"/>
      <c r="Y393" s="36"/>
      <c r="Z393" s="41"/>
      <c r="AA393" s="42"/>
      <c r="AF393" s="36"/>
      <c r="AG393" s="36"/>
    </row>
    <row r="394" spans="1:33" ht="21.95" hidden="1" customHeight="1" x14ac:dyDescent="0.25">
      <c r="A394" s="39" t="str">
        <f>+IF(PROVEEDORES[[#This Row],[FECHA DE PAGO]]=PROVEEDORES[[#This Row],[FECHA DE FACTURACIÓN]],"DE CONTADO","CRÉDITO")</f>
        <v>CRÉDITO</v>
      </c>
      <c r="B394" s="67" t="b">
        <f>+IF((PROVEEDORES[[#This Row],[FECHA DE PAGO]]-PROVEEDORES[[#This Row],[FECHA DE FACTURACIÓN]])&gt;PROVEEDORES[[#This Row],[PLAZO Días]],"PAGO VENCIDO")</f>
        <v>0</v>
      </c>
      <c r="C394" s="27">
        <f>+VLOOKUP(PROVEEDORES[[#This Row],[PROVEEDOR]],TERCEROS_INFO[#All],2,FALSE)</f>
        <v>30</v>
      </c>
      <c r="D394" s="37">
        <f>+SUMIFS(PROVEEDORES[Total],PROVEEDORES[PROVEEDOR],PROVEEDORES[[#This Row],[PROVEEDOR]],PROVEEDORES[FECHA DE PAGO],"")</f>
        <v>0</v>
      </c>
      <c r="E394" s="37"/>
      <c r="F394" s="108" t="str">
        <f>+VLOOKUP(PROVEEDORES[[#This Row],[PROVEEDOR]],TERCEROS_INFO[[PROVEEDOR]:[CORREO]],5,FALSE)</f>
        <v/>
      </c>
      <c r="G394" s="143">
        <v>43983</v>
      </c>
      <c r="H394" s="38" t="s">
        <v>277</v>
      </c>
      <c r="I394" s="30">
        <v>43955</v>
      </c>
      <c r="J394" s="58" t="s">
        <v>1063</v>
      </c>
      <c r="K394" s="32">
        <v>735000</v>
      </c>
      <c r="L394" s="32"/>
      <c r="M394" s="33">
        <f>(PROVEEDORES[[#This Row],[SUBTOTAL]]-PROVEEDORES[[#This Row],[descuento antes de IVA]])*VLOOKUP(PROVEEDORES[[#This Row],[PROVEEDOR]],TERCEROS_INFO[#All],3,FALSE)</f>
        <v>0</v>
      </c>
      <c r="N394" s="34"/>
      <c r="O394" s="33">
        <f>+PROVEEDORES[[#This Row],[Descuento sobre subtotal %]]*(PROVEEDORES[[#This Row],[SUBTOTAL]]-PROVEEDORES[[#This Row],[descuento antes de IVA]])</f>
        <v>0</v>
      </c>
      <c r="P3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4" s="33">
        <f>+(PROVEEDORES[[#This Row],[SUBTOTAL]]-PROVEEDORES[[#This Row],[descuento antes de IVA]])*PROVEEDORES[[#This Row],[Rete Fuente %]]</f>
        <v>0</v>
      </c>
      <c r="R394" s="32">
        <f>+PROVEEDORES[[#This Row],[SUBTOTAL]]+PROVEEDORES[[#This Row],[IVA 19%]]-PROVEEDORES[[#This Row],[descuento antes de IVA]]-PROVEEDORES[[#This Row],[Descuento sobre subtotal $]]-PROVEEDORES[[#This Row],[Rete Fuente $]]</f>
        <v>735000</v>
      </c>
      <c r="S39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4" s="40"/>
      <c r="U394" s="97"/>
      <c r="V394" s="36"/>
      <c r="W394" s="36"/>
      <c r="X394" s="36"/>
      <c r="Y394" s="36"/>
      <c r="Z394" s="41"/>
      <c r="AA394" s="42"/>
      <c r="AF394" s="36"/>
      <c r="AG394" s="36"/>
    </row>
    <row r="395" spans="1:33" ht="21.95" hidden="1" customHeight="1" x14ac:dyDescent="0.25">
      <c r="A395" s="39" t="str">
        <f>+IF(PROVEEDORES[[#This Row],[FECHA DE PAGO]]=PROVEEDORES[[#This Row],[FECHA DE FACTURACIÓN]],"DE CONTADO","CRÉDITO")</f>
        <v>CRÉDITO</v>
      </c>
      <c r="B395" s="67" t="b">
        <f>+IF((PROVEEDORES[[#This Row],[FECHA DE PAGO]]-PROVEEDORES[[#This Row],[FECHA DE FACTURACIÓN]])&gt;PROVEEDORES[[#This Row],[PLAZO Días]],"PAGO VENCIDO")</f>
        <v>0</v>
      </c>
      <c r="C395" s="27">
        <f>+VLOOKUP(PROVEEDORES[[#This Row],[PROVEEDOR]],TERCEROS_INFO[#All],2,FALSE)</f>
        <v>30</v>
      </c>
      <c r="D395" s="37">
        <f>+SUMIFS(PROVEEDORES[Total],PROVEEDORES[PROVEEDOR],PROVEEDORES[[#This Row],[PROVEEDOR]],PROVEEDORES[FECHA DE PAGO],"")</f>
        <v>0</v>
      </c>
      <c r="E395" s="37"/>
      <c r="F395" s="108" t="str">
        <f>+VLOOKUP(PROVEEDORES[[#This Row],[PROVEEDOR]],TERCEROS_INFO[[PROVEEDOR]:[CORREO]],5,FALSE)</f>
        <v/>
      </c>
      <c r="G395" s="143">
        <v>43983</v>
      </c>
      <c r="H395" s="38" t="s">
        <v>277</v>
      </c>
      <c r="I395" s="30">
        <v>43963</v>
      </c>
      <c r="J395" s="58" t="s">
        <v>1063</v>
      </c>
      <c r="K395" s="32">
        <v>199000</v>
      </c>
      <c r="L395" s="32"/>
      <c r="M395" s="33">
        <f>(PROVEEDORES[[#This Row],[SUBTOTAL]]-PROVEEDORES[[#This Row],[descuento antes de IVA]])*VLOOKUP(PROVEEDORES[[#This Row],[PROVEEDOR]],TERCEROS_INFO[#All],3,FALSE)</f>
        <v>0</v>
      </c>
      <c r="N395" s="34"/>
      <c r="O395" s="33">
        <f>+PROVEEDORES[[#This Row],[Descuento sobre subtotal %]]*(PROVEEDORES[[#This Row],[SUBTOTAL]]-PROVEEDORES[[#This Row],[descuento antes de IVA]])</f>
        <v>0</v>
      </c>
      <c r="P3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5" s="33">
        <f>+(PROVEEDORES[[#This Row],[SUBTOTAL]]-PROVEEDORES[[#This Row],[descuento antes de IVA]])*PROVEEDORES[[#This Row],[Rete Fuente %]]</f>
        <v>0</v>
      </c>
      <c r="R395" s="32">
        <f>+PROVEEDORES[[#This Row],[SUBTOTAL]]+PROVEEDORES[[#This Row],[IVA 19%]]-PROVEEDORES[[#This Row],[descuento antes de IVA]]-PROVEEDORES[[#This Row],[Descuento sobre subtotal $]]-PROVEEDORES[[#This Row],[Rete Fuente $]]</f>
        <v>199000</v>
      </c>
      <c r="S39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5" s="40"/>
      <c r="U395" s="97"/>
      <c r="V395" s="36"/>
      <c r="W395" s="36"/>
      <c r="X395" s="36"/>
      <c r="Y395" s="36"/>
      <c r="Z395" s="41"/>
      <c r="AA395" s="42"/>
      <c r="AF395" s="36"/>
      <c r="AG395" s="36"/>
    </row>
    <row r="396" spans="1:33" ht="21.95" hidden="1" customHeight="1" x14ac:dyDescent="0.25">
      <c r="A396" s="127" t="str">
        <f>+IF(PROVEEDORES[[#This Row],[FECHA DE PAGO]]=PROVEEDORES[[#This Row],[FECHA DE FACTURACIÓN]],"DE CONTADO","CRÉDITO")</f>
        <v>DE CONTADO</v>
      </c>
      <c r="B396" s="70" t="b">
        <f>+IF((PROVEEDORES[[#This Row],[FECHA DE PAGO]]-PROVEEDORES[[#This Row],[FECHA DE FACTURACIÓN]])&gt;PROVEEDORES[[#This Row],[PLAZO Días]],"PAGO VENCIDO")</f>
        <v>0</v>
      </c>
      <c r="C396" s="27">
        <f>+VLOOKUP(PROVEEDORES[[#This Row],[PROVEEDOR]],TERCEROS_INFO[#All],2,FALSE)</f>
        <v>30</v>
      </c>
      <c r="D396" s="37">
        <f>+SUMIFS(PROVEEDORES[Total],PROVEEDORES[PROVEEDOR],PROVEEDORES[[#This Row],[PROVEEDOR]],PROVEEDORES[FECHA DE PAGO],"")</f>
        <v>0</v>
      </c>
      <c r="E396" s="37" t="s">
        <v>721</v>
      </c>
      <c r="F396" s="108" t="str">
        <f>+VLOOKUP(PROVEEDORES[[#This Row],[PROVEEDOR]],TERCEROS_INFO[[PROVEEDOR]:[CORREO]],5,FALSE)</f>
        <v/>
      </c>
      <c r="G396" s="143">
        <v>44369</v>
      </c>
      <c r="H396" s="57" t="s">
        <v>277</v>
      </c>
      <c r="I396" s="30">
        <v>44369</v>
      </c>
      <c r="J396" s="58"/>
      <c r="K396" s="32">
        <v>74500</v>
      </c>
      <c r="L396" s="32"/>
      <c r="M396" s="33">
        <f>(PROVEEDORES[[#This Row],[SUBTOTAL]]-PROVEEDORES[[#This Row],[descuento antes de IVA]])*VLOOKUP(PROVEEDORES[[#This Row],[PROVEEDOR]],TERCEROS_INFO[#All],3,FALSE)</f>
        <v>0</v>
      </c>
      <c r="N396" s="34"/>
      <c r="O396" s="33">
        <f>+PROVEEDORES[[#This Row],[Descuento sobre subtotal %]]*(PROVEEDORES[[#This Row],[SUBTOTAL]]-PROVEEDORES[[#This Row],[descuento antes de IVA]])</f>
        <v>0</v>
      </c>
      <c r="P3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6" s="33">
        <f>+(PROVEEDORES[[#This Row],[SUBTOTAL]]-PROVEEDORES[[#This Row],[descuento antes de IVA]])*PROVEEDORES[[#This Row],[Rete Fuente %]]</f>
        <v>0</v>
      </c>
      <c r="R396" s="32">
        <f>+PROVEEDORES[[#This Row],[SUBTOTAL]]+PROVEEDORES[[#This Row],[IVA 19%]]-PROVEEDORES[[#This Row],[descuento antes de IVA]]-PROVEEDORES[[#This Row],[Descuento sobre subtotal $]]-PROVEEDORES[[#This Row],[Rete Fuente $]]</f>
        <v>74500</v>
      </c>
      <c r="S396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6" s="40"/>
      <c r="U396" s="97"/>
      <c r="V396" s="36"/>
      <c r="W396" s="36"/>
      <c r="X396" s="36"/>
      <c r="Y396" s="36"/>
      <c r="Z396" s="41"/>
      <c r="AA396" s="42"/>
      <c r="AF396" s="36"/>
      <c r="AG396" s="36"/>
    </row>
    <row r="397" spans="1:33" ht="21.95" hidden="1" customHeight="1" x14ac:dyDescent="0.25">
      <c r="A397" s="127" t="str">
        <f>+IF(PROVEEDORES[[#This Row],[FECHA DE PAGO]]=PROVEEDORES[[#This Row],[FECHA DE FACTURACIÓN]],"DE CONTADO","CRÉDITO")</f>
        <v>DE CONTADO</v>
      </c>
      <c r="B397" s="70" t="b">
        <f>+IF((PROVEEDORES[[#This Row],[FECHA DE PAGO]]-PROVEEDORES[[#This Row],[FECHA DE FACTURACIÓN]])&gt;PROVEEDORES[[#This Row],[PLAZO Días]],"PAGO VENCIDO")</f>
        <v>0</v>
      </c>
      <c r="C397" s="27">
        <f>+VLOOKUP(PROVEEDORES[[#This Row],[PROVEEDOR]],TERCEROS_INFO[#All],2,FALSE)</f>
        <v>30</v>
      </c>
      <c r="D397" s="37">
        <f>+SUMIFS(PROVEEDORES[Total],PROVEEDORES[PROVEEDOR],PROVEEDORES[[#This Row],[PROVEEDOR]],PROVEEDORES[FECHA DE PAGO],"")</f>
        <v>0</v>
      </c>
      <c r="E397" s="37" t="s">
        <v>720</v>
      </c>
      <c r="F397" s="108" t="str">
        <f>+VLOOKUP(PROVEEDORES[[#This Row],[PROVEEDOR]],TERCEROS_INFO[[PROVEEDOR]:[CORREO]],5,FALSE)</f>
        <v/>
      </c>
      <c r="G397" s="143">
        <v>44369</v>
      </c>
      <c r="H397" s="57" t="s">
        <v>277</v>
      </c>
      <c r="I397" s="30">
        <v>44369</v>
      </c>
      <c r="J397" s="58"/>
      <c r="K397" s="32">
        <f>514870+260996</f>
        <v>775866</v>
      </c>
      <c r="L397" s="32"/>
      <c r="M397" s="33">
        <f>(PROVEEDORES[[#This Row],[SUBTOTAL]]-PROVEEDORES[[#This Row],[descuento antes de IVA]])*VLOOKUP(PROVEEDORES[[#This Row],[PROVEEDOR]],TERCEROS_INFO[#All],3,FALSE)</f>
        <v>0</v>
      </c>
      <c r="N397" s="34"/>
      <c r="O397" s="33">
        <f>+PROVEEDORES[[#This Row],[Descuento sobre subtotal %]]*(PROVEEDORES[[#This Row],[SUBTOTAL]]-PROVEEDORES[[#This Row],[descuento antes de IVA]])</f>
        <v>0</v>
      </c>
      <c r="P3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7" s="33">
        <f>+(PROVEEDORES[[#This Row],[SUBTOTAL]]-PROVEEDORES[[#This Row],[descuento antes de IVA]])*PROVEEDORES[[#This Row],[Rete Fuente %]]</f>
        <v>0</v>
      </c>
      <c r="R397" s="32">
        <f>+PROVEEDORES[[#This Row],[SUBTOTAL]]+PROVEEDORES[[#This Row],[IVA 19%]]-PROVEEDORES[[#This Row],[descuento antes de IVA]]-PROVEEDORES[[#This Row],[Descuento sobre subtotal $]]-PROVEEDORES[[#This Row],[Rete Fuente $]]</f>
        <v>775866</v>
      </c>
      <c r="S397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7" s="40"/>
      <c r="U397" s="97"/>
      <c r="V397" s="36"/>
      <c r="W397" s="36"/>
      <c r="X397" s="36"/>
      <c r="Y397" s="36"/>
      <c r="Z397" s="41"/>
      <c r="AA397" s="42"/>
      <c r="AF397" s="36"/>
      <c r="AG397" s="36"/>
    </row>
    <row r="398" spans="1:33" ht="21.95" hidden="1" customHeight="1" x14ac:dyDescent="0.25">
      <c r="A398" s="148" t="str">
        <f>+IF(PROVEEDORES[[#This Row],[FECHA DE PAGO]]=PROVEEDORES[[#This Row],[FECHA DE FACTURACIÓN]],"DE CONTADO","CRÉDITO")</f>
        <v>CRÉDITO</v>
      </c>
      <c r="B398" s="70" t="b">
        <f>+IF((PROVEEDORES[[#This Row],[FECHA DE PAGO]]-PROVEEDORES[[#This Row],[FECHA DE FACTURACIÓN]])&gt;PROVEEDORES[[#This Row],[PLAZO Días]],"PAGO VENCIDO")</f>
        <v>0</v>
      </c>
      <c r="C398" s="27">
        <f>+VLOOKUP(PROVEEDORES[[#This Row],[PROVEEDOR]],TERCEROS_INFO[#All],2,FALSE)</f>
        <v>30</v>
      </c>
      <c r="D398" s="37">
        <f>+SUMIFS(PROVEEDORES[Total],PROVEEDORES[PROVEEDOR],PROVEEDORES[[#This Row],[PROVEEDOR]],PROVEEDORES[FECHA DE PAGO],"")</f>
        <v>0</v>
      </c>
      <c r="E398" s="37"/>
      <c r="F398" s="108" t="str">
        <f>+VLOOKUP(PROVEEDORES[[#This Row],[PROVEEDOR]],TERCEROS_INFO[[PROVEEDOR]:[CORREO]],5,FALSE)</f>
        <v/>
      </c>
      <c r="G398" s="143">
        <v>44466</v>
      </c>
      <c r="H398" s="57" t="s">
        <v>277</v>
      </c>
      <c r="I398" s="30">
        <v>44448</v>
      </c>
      <c r="J398" s="58" t="s">
        <v>1241</v>
      </c>
      <c r="K398" s="32">
        <v>227900</v>
      </c>
      <c r="L398" s="32"/>
      <c r="M398" s="33">
        <f>(PROVEEDORES[[#This Row],[SUBTOTAL]]-PROVEEDORES[[#This Row],[descuento antes de IVA]])*VLOOKUP(PROVEEDORES[[#This Row],[PROVEEDOR]],TERCEROS_INFO[#All],3,FALSE)</f>
        <v>0</v>
      </c>
      <c r="N398" s="34"/>
      <c r="O398" s="33">
        <f>+PROVEEDORES[[#This Row],[Descuento sobre subtotal %]]*(PROVEEDORES[[#This Row],[SUBTOTAL]]-PROVEEDORES[[#This Row],[descuento antes de IVA]])</f>
        <v>0</v>
      </c>
      <c r="P3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8" s="33">
        <f>+(PROVEEDORES[[#This Row],[SUBTOTAL]]-PROVEEDORES[[#This Row],[descuento antes de IVA]])*PROVEEDORES[[#This Row],[Rete Fuente %]]</f>
        <v>0</v>
      </c>
      <c r="R398" s="32">
        <f>+PROVEEDORES[[#This Row],[SUBTOTAL]]+PROVEEDORES[[#This Row],[IVA 19%]]-PROVEEDORES[[#This Row],[descuento antes de IVA]]-PROVEEDORES[[#This Row],[Descuento sobre subtotal $]]-PROVEEDORES[[#This Row],[Rete Fuente $]]</f>
        <v>227900</v>
      </c>
      <c r="S398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8" s="40"/>
      <c r="U398" s="97"/>
      <c r="V398" s="36"/>
      <c r="W398" s="36"/>
      <c r="X398" s="36"/>
      <c r="Y398" s="36"/>
      <c r="Z398" s="41"/>
      <c r="AA398" s="42"/>
      <c r="AF398" s="36"/>
      <c r="AG398" s="36"/>
    </row>
    <row r="399" spans="1:33" ht="21.95" hidden="1" customHeight="1" x14ac:dyDescent="0.25">
      <c r="A399" s="151" t="str">
        <f>+IF(PROVEEDORES[[#This Row],[FECHA DE PAGO]]=PROVEEDORES[[#This Row],[FECHA DE FACTURACIÓN]],"DE CONTADO","CRÉDITO")</f>
        <v>CRÉDITO</v>
      </c>
      <c r="B399" s="70" t="b">
        <f>+IF((PROVEEDORES[[#This Row],[FECHA DE PAGO]]-PROVEEDORES[[#This Row],[FECHA DE FACTURACIÓN]])&gt;PROVEEDORES[[#This Row],[PLAZO Días]],"PAGO VENCIDO")</f>
        <v>0</v>
      </c>
      <c r="C399" s="27">
        <f>+VLOOKUP(PROVEEDORES[[#This Row],[PROVEEDOR]],TERCEROS_INFO[#All],2,FALSE)</f>
        <v>30</v>
      </c>
      <c r="D399" s="37">
        <f>+SUMIFS(PROVEEDORES[Total],PROVEEDORES[PROVEEDOR],PROVEEDORES[[#This Row],[PROVEEDOR]],PROVEEDORES[FECHA DE PAGO],"")</f>
        <v>0</v>
      </c>
      <c r="E399" s="37"/>
      <c r="F399" s="108" t="str">
        <f>+VLOOKUP(PROVEEDORES[[#This Row],[PROVEEDOR]],TERCEROS_INFO[[PROVEEDOR]:[CORREO]],5,FALSE)</f>
        <v/>
      </c>
      <c r="G399" s="143">
        <v>44466</v>
      </c>
      <c r="H399" s="57" t="s">
        <v>277</v>
      </c>
      <c r="I399" s="30">
        <v>44452</v>
      </c>
      <c r="J399" s="58" t="s">
        <v>1245</v>
      </c>
      <c r="K399" s="32">
        <v>199600</v>
      </c>
      <c r="L399" s="32"/>
      <c r="M399" s="33">
        <f>(PROVEEDORES[[#This Row],[SUBTOTAL]]-PROVEEDORES[[#This Row],[descuento antes de IVA]])*VLOOKUP(PROVEEDORES[[#This Row],[PROVEEDOR]],TERCEROS_INFO[#All],3,FALSE)</f>
        <v>0</v>
      </c>
      <c r="N399" s="34"/>
      <c r="O399" s="33">
        <f>+PROVEEDORES[[#This Row],[Descuento sobre subtotal %]]*(PROVEEDORES[[#This Row],[SUBTOTAL]]-PROVEEDORES[[#This Row],[descuento antes de IVA]])</f>
        <v>0</v>
      </c>
      <c r="P3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399" s="33">
        <f>+(PROVEEDORES[[#This Row],[SUBTOTAL]]-PROVEEDORES[[#This Row],[descuento antes de IVA]])*PROVEEDORES[[#This Row],[Rete Fuente %]]</f>
        <v>0</v>
      </c>
      <c r="R399" s="32">
        <f>+PROVEEDORES[[#This Row],[SUBTOTAL]]+PROVEEDORES[[#This Row],[IVA 19%]]-PROVEEDORES[[#This Row],[descuento antes de IVA]]-PROVEEDORES[[#This Row],[Descuento sobre subtotal $]]-PROVEEDORES[[#This Row],[Rete Fuente $]]</f>
        <v>199600</v>
      </c>
      <c r="S399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9" s="40"/>
      <c r="U399" s="97"/>
      <c r="V399" s="36"/>
      <c r="W399" s="36"/>
      <c r="X399" s="36"/>
      <c r="Y399" s="36"/>
      <c r="Z399" s="41"/>
      <c r="AA399" s="42"/>
      <c r="AF399" s="36"/>
      <c r="AG399" s="36"/>
    </row>
    <row r="400" spans="1:33" ht="21.95" hidden="1" customHeight="1" x14ac:dyDescent="0.25">
      <c r="A400" s="154" t="str">
        <f>+IF(PROVEEDORES[[#This Row],[FECHA DE PAGO]]=PROVEEDORES[[#This Row],[FECHA DE FACTURACIÓN]],"DE CONTADO","CRÉDITO")</f>
        <v>CRÉDITO</v>
      </c>
      <c r="B400" s="70" t="b">
        <f>+IF((PROVEEDORES[[#This Row],[FECHA DE PAGO]]-PROVEEDORES[[#This Row],[FECHA DE FACTURACIÓN]])&gt;PROVEEDORES[[#This Row],[PLAZO Días]],"PAGO VENCIDO")</f>
        <v>0</v>
      </c>
      <c r="C400" s="27">
        <f>+VLOOKUP(PROVEEDORES[[#This Row],[PROVEEDOR]],TERCEROS_INFO[#All],2,FALSE)</f>
        <v>30</v>
      </c>
      <c r="D400" s="37">
        <f>+SUMIFS(PROVEEDORES[Total],PROVEEDORES[PROVEEDOR],PROVEEDORES[[#This Row],[PROVEEDOR]],PROVEEDORES[FECHA DE PAGO],"")</f>
        <v>0</v>
      </c>
      <c r="E400" s="37"/>
      <c r="F400" s="108" t="str">
        <f>+VLOOKUP(PROVEEDORES[[#This Row],[PROVEEDOR]],TERCEROS_INFO[[PROVEEDOR]:[CORREO]],5,FALSE)</f>
        <v/>
      </c>
      <c r="G400" s="143">
        <v>44484</v>
      </c>
      <c r="H400" s="57" t="s">
        <v>277</v>
      </c>
      <c r="I400" s="30">
        <v>44466</v>
      </c>
      <c r="J400" s="58" t="s">
        <v>1257</v>
      </c>
      <c r="K400" s="32">
        <v>1217933</v>
      </c>
      <c r="L400" s="32"/>
      <c r="M400" s="33">
        <f>(PROVEEDORES[[#This Row],[SUBTOTAL]]-PROVEEDORES[[#This Row],[descuento antes de IVA]])*VLOOKUP(PROVEEDORES[[#This Row],[PROVEEDOR]],TERCEROS_INFO[#All],3,FALSE)</f>
        <v>0</v>
      </c>
      <c r="N400" s="34"/>
      <c r="O400" s="33">
        <f>+PROVEEDORES[[#This Row],[Descuento sobre subtotal %]]*(PROVEEDORES[[#This Row],[SUBTOTAL]]-PROVEEDORES[[#This Row],[descuento antes de IVA]])</f>
        <v>0</v>
      </c>
      <c r="P4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0" s="33">
        <f>+(PROVEEDORES[[#This Row],[SUBTOTAL]]-PROVEEDORES[[#This Row],[descuento antes de IVA]])*PROVEEDORES[[#This Row],[Rete Fuente %]]</f>
        <v>0</v>
      </c>
      <c r="R400" s="32">
        <f>+PROVEEDORES[[#This Row],[SUBTOTAL]]+PROVEEDORES[[#This Row],[IVA 19%]]-PROVEEDORES[[#This Row],[descuento antes de IVA]]-PROVEEDORES[[#This Row],[Descuento sobre subtotal $]]-PROVEEDORES[[#This Row],[Rete Fuente $]]</f>
        <v>1217933</v>
      </c>
      <c r="S400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0" s="40"/>
      <c r="U400" s="97"/>
      <c r="V400" s="36"/>
      <c r="W400" s="36"/>
      <c r="X400" s="36"/>
      <c r="Y400" s="36"/>
      <c r="Z400" s="41"/>
      <c r="AA400" s="42"/>
      <c r="AF400" s="36"/>
      <c r="AG400" s="36"/>
    </row>
    <row r="401" spans="1:33" ht="21.95" hidden="1" customHeight="1" x14ac:dyDescent="0.25">
      <c r="A401" s="157" t="str">
        <f>+IF(PROVEEDORES[[#This Row],[FECHA DE PAGO]]=PROVEEDORES[[#This Row],[FECHA DE FACTURACIÓN]],"DE CONTADO","CRÉDITO")</f>
        <v>CRÉDITO</v>
      </c>
      <c r="B401" s="70" t="b">
        <f>+IF((PROVEEDORES[[#This Row],[FECHA DE PAGO]]-PROVEEDORES[[#This Row],[FECHA DE FACTURACIÓN]])&gt;PROVEEDORES[[#This Row],[PLAZO Días]],"PAGO VENCIDO")</f>
        <v>0</v>
      </c>
      <c r="C401" s="27">
        <f>+VLOOKUP(PROVEEDORES[[#This Row],[PROVEEDOR]],TERCEROS_INFO[#All],2,FALSE)</f>
        <v>30</v>
      </c>
      <c r="D401" s="37">
        <f>+SUMIFS(PROVEEDORES[Total],PROVEEDORES[PROVEEDOR],PROVEEDORES[[#This Row],[PROVEEDOR]],PROVEEDORES[FECHA DE PAGO],"")</f>
        <v>0</v>
      </c>
      <c r="E401" s="37"/>
      <c r="F401" s="108" t="str">
        <f>+VLOOKUP(PROVEEDORES[[#This Row],[PROVEEDOR]],TERCEROS_INFO[[PROVEEDOR]:[CORREO]],5,FALSE)</f>
        <v/>
      </c>
      <c r="G401" s="143">
        <v>44498</v>
      </c>
      <c r="H401" s="57" t="s">
        <v>277</v>
      </c>
      <c r="I401" s="30">
        <v>44489</v>
      </c>
      <c r="J401" s="58" t="s">
        <v>1245</v>
      </c>
      <c r="K401" s="32">
        <f>249500/5*3</f>
        <v>149700</v>
      </c>
      <c r="L401" s="32"/>
      <c r="M401" s="33">
        <f>(PROVEEDORES[[#This Row],[SUBTOTAL]]-PROVEEDORES[[#This Row],[descuento antes de IVA]])*VLOOKUP(PROVEEDORES[[#This Row],[PROVEEDOR]],TERCEROS_INFO[#All],3,FALSE)</f>
        <v>0</v>
      </c>
      <c r="N401" s="34"/>
      <c r="O401" s="33">
        <f>+PROVEEDORES[[#This Row],[Descuento sobre subtotal %]]*(PROVEEDORES[[#This Row],[SUBTOTAL]]-PROVEEDORES[[#This Row],[descuento antes de IVA]])</f>
        <v>0</v>
      </c>
      <c r="P4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1" s="33">
        <f>+(PROVEEDORES[[#This Row],[SUBTOTAL]]-PROVEEDORES[[#This Row],[descuento antes de IVA]])*PROVEEDORES[[#This Row],[Rete Fuente %]]</f>
        <v>0</v>
      </c>
      <c r="R401" s="32">
        <f>+PROVEEDORES[[#This Row],[SUBTOTAL]]+PROVEEDORES[[#This Row],[IVA 19%]]-PROVEEDORES[[#This Row],[descuento antes de IVA]]-PROVEEDORES[[#This Row],[Descuento sobre subtotal $]]-PROVEEDORES[[#This Row],[Rete Fuente $]]</f>
        <v>149700</v>
      </c>
      <c r="S401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1" s="40"/>
      <c r="U401" s="97"/>
      <c r="V401" s="36"/>
      <c r="W401" s="36"/>
      <c r="X401" s="36"/>
      <c r="Y401" s="36"/>
      <c r="Z401" s="41"/>
      <c r="AA401" s="42"/>
      <c r="AF401" s="36"/>
      <c r="AG401" s="36"/>
    </row>
    <row r="402" spans="1:33" ht="21.95" hidden="1" customHeight="1" x14ac:dyDescent="0.25">
      <c r="A402" s="35" t="str">
        <f>+IF(PROVEEDORES[[#This Row],[FECHA DE PAGO]]=PROVEEDORES[[#This Row],[FECHA DE FACTURACIÓN]],"DE CONTADO","CRÉDITO")</f>
        <v>CRÉDITO</v>
      </c>
      <c r="B402" s="70" t="b">
        <f>+IF((PROVEEDORES[[#This Row],[FECHA DE PAGO]]-PROVEEDORES[[#This Row],[FECHA DE FACTURACIÓN]])&gt;PROVEEDORES[[#This Row],[PLAZO Días]],"PAGO VENCIDO")</f>
        <v>0</v>
      </c>
      <c r="C402" s="27">
        <f>+VLOOKUP(PROVEEDORES[[#This Row],[PROVEEDOR]],TERCEROS_INFO[#All],2,FALSE)</f>
        <v>30</v>
      </c>
      <c r="D402" s="37">
        <f>+SUMIFS(PROVEEDORES[Total],PROVEEDORES[PROVEEDOR],PROVEEDORES[[#This Row],[PROVEEDOR]],PROVEEDORES[FECHA DE PAGO],"")</f>
        <v>0</v>
      </c>
      <c r="E402" s="37"/>
      <c r="F402" s="108" t="str">
        <f>+VLOOKUP(PROVEEDORES[[#This Row],[PROVEEDOR]],TERCEROS_INFO[[PROVEEDOR]:[CORREO]],5,FALSE)</f>
        <v/>
      </c>
      <c r="G402" s="143">
        <v>44553</v>
      </c>
      <c r="H402" s="57" t="s">
        <v>277</v>
      </c>
      <c r="I402" s="30">
        <v>44537</v>
      </c>
      <c r="J402" s="58" t="s">
        <v>1317</v>
      </c>
      <c r="K402" s="32">
        <v>119980</v>
      </c>
      <c r="L402" s="32"/>
      <c r="M402" s="33">
        <f>(PROVEEDORES[[#This Row],[SUBTOTAL]]-PROVEEDORES[[#This Row],[descuento antes de IVA]])*VLOOKUP(PROVEEDORES[[#This Row],[PROVEEDOR]],TERCEROS_INFO[#All],3,FALSE)</f>
        <v>0</v>
      </c>
      <c r="N402" s="34"/>
      <c r="O402" s="33">
        <f>+PROVEEDORES[[#This Row],[Descuento sobre subtotal %]]*(PROVEEDORES[[#This Row],[SUBTOTAL]]-PROVEEDORES[[#This Row],[descuento antes de IVA]])</f>
        <v>0</v>
      </c>
      <c r="P4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2" s="33">
        <f>+(PROVEEDORES[[#This Row],[SUBTOTAL]]-PROVEEDORES[[#This Row],[descuento antes de IVA]])*PROVEEDORES[[#This Row],[Rete Fuente %]]</f>
        <v>0</v>
      </c>
      <c r="R402" s="32">
        <f>+PROVEEDORES[[#This Row],[SUBTOTAL]]+PROVEEDORES[[#This Row],[IVA 19%]]-PROVEEDORES[[#This Row],[descuento antes de IVA]]-PROVEEDORES[[#This Row],[Descuento sobre subtotal $]]-PROVEEDORES[[#This Row],[Rete Fuente $]]</f>
        <v>119980</v>
      </c>
      <c r="S40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2" s="40"/>
      <c r="U402" s="97"/>
      <c r="V402" s="36"/>
      <c r="W402" s="36"/>
      <c r="X402" s="36"/>
      <c r="Y402" s="36"/>
      <c r="Z402" s="41"/>
      <c r="AA402" s="42"/>
      <c r="AF402" s="36"/>
      <c r="AG402" s="36"/>
    </row>
    <row r="403" spans="1:33" ht="21.95" hidden="1" customHeight="1" x14ac:dyDescent="0.25">
      <c r="A403" s="39" t="str">
        <f>+IF(PROVEEDORES[[#This Row],[FECHA DE PAGO]]=PROVEEDORES[[#This Row],[FECHA DE FACTURACIÓN]],"DE CONTADO","CRÉDITO")</f>
        <v>CRÉDITO</v>
      </c>
      <c r="B403" s="67" t="str">
        <f>+IF((PROVEEDORES[[#This Row],[FECHA DE PAGO]]-PROVEEDORES[[#This Row],[FECHA DE FACTURACIÓN]])&gt;PROVEEDORES[[#This Row],[PLAZO Días]],"PAGO VENCIDO")</f>
        <v>PAGO VENCIDO</v>
      </c>
      <c r="C403" s="27">
        <f>+VLOOKUP(PROVEEDORES[[#This Row],[PROVEEDOR]],TERCEROS_INFO[#All],2,FALSE)</f>
        <v>30</v>
      </c>
      <c r="D403" s="37">
        <f>+SUMIFS(PROVEEDORES[Total],PROVEEDORES[PROVEEDOR],PROVEEDORES[[#This Row],[PROVEEDOR]],PROVEEDORES[FECHA DE PAGO],"")</f>
        <v>0</v>
      </c>
      <c r="E403" s="37"/>
      <c r="F403" s="108" t="str">
        <f>+VLOOKUP(PROVEEDORES[[#This Row],[PROVEEDOR]],TERCEROS_INFO[[PROVEEDOR]:[CORREO]],5,FALSE)</f>
        <v>globalpowerc2018@gmail.com;girlesa.ruiz@servipilas.com;joriescobar64@gmail.com</v>
      </c>
      <c r="G403" s="143">
        <v>43868</v>
      </c>
      <c r="H403" s="38" t="s">
        <v>278</v>
      </c>
      <c r="I403" s="30">
        <v>43837</v>
      </c>
      <c r="J403" s="58" t="s">
        <v>1024</v>
      </c>
      <c r="K403" s="32">
        <v>1565200</v>
      </c>
      <c r="L403" s="32"/>
      <c r="M403" s="33">
        <f>(PROVEEDORES[[#This Row],[SUBTOTAL]]-PROVEEDORES[[#This Row],[descuento antes de IVA]])*VLOOKUP(PROVEEDORES[[#This Row],[PROVEEDOR]],TERCEROS_INFO[#All],3,FALSE)</f>
        <v>0</v>
      </c>
      <c r="N403" s="34"/>
      <c r="O403" s="33">
        <f>+PROVEEDORES[[#This Row],[Descuento sobre subtotal %]]*(PROVEEDORES[[#This Row],[SUBTOTAL]]-PROVEEDORES[[#This Row],[descuento antes de IVA]])</f>
        <v>0</v>
      </c>
      <c r="P4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3" s="33">
        <f>+(PROVEEDORES[[#This Row],[SUBTOTAL]]-PROVEEDORES[[#This Row],[descuento antes de IVA]])*PROVEEDORES[[#This Row],[Rete Fuente %]]</f>
        <v>0</v>
      </c>
      <c r="R403" s="32">
        <f>+PROVEEDORES[[#This Row],[SUBTOTAL]]+PROVEEDORES[[#This Row],[IVA 19%]]-PROVEEDORES[[#This Row],[descuento antes de IVA]]-PROVEEDORES[[#This Row],[Descuento sobre subtotal $]]-PROVEEDORES[[#This Row],[Rete Fuente $]]</f>
        <v>1565200</v>
      </c>
      <c r="S40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3" s="40"/>
      <c r="U403" s="97"/>
      <c r="V403" s="36"/>
      <c r="W403" s="36"/>
      <c r="X403" s="36"/>
      <c r="Y403" s="36"/>
      <c r="Z403" s="41"/>
      <c r="AA403" s="42"/>
      <c r="AF403" s="36"/>
      <c r="AG403" s="36"/>
    </row>
    <row r="404" spans="1:33" ht="21.95" hidden="1" customHeight="1" x14ac:dyDescent="0.25">
      <c r="A404" s="39" t="str">
        <f>+IF(PROVEEDORES[[#This Row],[FECHA DE PAGO]]=PROVEEDORES[[#This Row],[FECHA DE FACTURACIÓN]],"DE CONTADO","CRÉDITO")</f>
        <v>CRÉDITO</v>
      </c>
      <c r="B404" s="67" t="b">
        <f>+IF((PROVEEDORES[[#This Row],[FECHA DE PAGO]]-PROVEEDORES[[#This Row],[FECHA DE FACTURACIÓN]])&gt;PROVEEDORES[[#This Row],[PLAZO Días]],"PAGO VENCIDO")</f>
        <v>0</v>
      </c>
      <c r="C404" s="27">
        <f>+VLOOKUP(PROVEEDORES[[#This Row],[PROVEEDOR]],TERCEROS_INFO[#All],2,FALSE)</f>
        <v>30</v>
      </c>
      <c r="D404" s="37">
        <f>+SUMIFS(PROVEEDORES[Total],PROVEEDORES[PROVEEDOR],PROVEEDORES[[#This Row],[PROVEEDOR]],PROVEEDORES[FECHA DE PAGO],"")</f>
        <v>0</v>
      </c>
      <c r="E404" s="37"/>
      <c r="F404" s="108" t="str">
        <f>+VLOOKUP(PROVEEDORES[[#This Row],[PROVEEDOR]],TERCEROS_INFO[[PROVEEDOR]:[CORREO]],5,FALSE)</f>
        <v>globalpowerc2018@gmail.com;girlesa.ruiz@servipilas.com;joriescobar64@gmail.com</v>
      </c>
      <c r="G404" s="143">
        <v>43899</v>
      </c>
      <c r="H404" s="38" t="s">
        <v>278</v>
      </c>
      <c r="I404" s="30">
        <v>43873</v>
      </c>
      <c r="J404" s="58" t="s">
        <v>1044</v>
      </c>
      <c r="K404" s="32">
        <v>1320000</v>
      </c>
      <c r="L404" s="32"/>
      <c r="M404" s="33">
        <f>(PROVEEDORES[[#This Row],[SUBTOTAL]]-PROVEEDORES[[#This Row],[descuento antes de IVA]])*VLOOKUP(PROVEEDORES[[#This Row],[PROVEEDOR]],TERCEROS_INFO[#All],3,FALSE)</f>
        <v>0</v>
      </c>
      <c r="N404" s="34"/>
      <c r="O404" s="33">
        <f>+PROVEEDORES[[#This Row],[Descuento sobre subtotal %]]*(PROVEEDORES[[#This Row],[SUBTOTAL]]-PROVEEDORES[[#This Row],[descuento antes de IVA]])</f>
        <v>0</v>
      </c>
      <c r="P4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4" s="33">
        <f>+(PROVEEDORES[[#This Row],[SUBTOTAL]]-PROVEEDORES[[#This Row],[descuento antes de IVA]])*PROVEEDORES[[#This Row],[Rete Fuente %]]</f>
        <v>0</v>
      </c>
      <c r="R404" s="32">
        <f>+PROVEEDORES[[#This Row],[SUBTOTAL]]+PROVEEDORES[[#This Row],[IVA 19%]]-PROVEEDORES[[#This Row],[descuento antes de IVA]]-PROVEEDORES[[#This Row],[Descuento sobre subtotal $]]-PROVEEDORES[[#This Row],[Rete Fuente $]]</f>
        <v>1320000</v>
      </c>
      <c r="S40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4" s="40"/>
      <c r="U404" s="97"/>
      <c r="V404" s="36"/>
      <c r="W404" s="36"/>
      <c r="X404" s="36"/>
      <c r="Y404" s="36"/>
      <c r="Z404" s="41"/>
      <c r="AA404" s="42"/>
      <c r="AF404" s="36"/>
      <c r="AG404" s="36"/>
    </row>
    <row r="405" spans="1:33" ht="21.95" hidden="1" customHeight="1" x14ac:dyDescent="0.25">
      <c r="A405" s="39" t="str">
        <f>+IF(PROVEEDORES[[#This Row],[FECHA DE PAGO]]=PROVEEDORES[[#This Row],[FECHA DE FACTURACIÓN]],"DE CONTADO","CRÉDITO")</f>
        <v>CRÉDITO</v>
      </c>
      <c r="B405" s="67" t="str">
        <f>+IF((PROVEEDORES[[#This Row],[FECHA DE PAGO]]-PROVEEDORES[[#This Row],[FECHA DE FACTURACIÓN]])&gt;PROVEEDORES[[#This Row],[PLAZO Días]],"PAGO VENCIDO")</f>
        <v>PAGO VENCIDO</v>
      </c>
      <c r="C405" s="27">
        <f>+VLOOKUP(PROVEEDORES[[#This Row],[PROVEEDOR]],TERCEROS_INFO[#All],2,FALSE)</f>
        <v>30</v>
      </c>
      <c r="D405" s="37">
        <f>+SUMIFS(PROVEEDORES[Total],PROVEEDORES[PROVEEDOR],PROVEEDORES[[#This Row],[PROVEEDOR]],PROVEEDORES[FECHA DE PAGO],"")</f>
        <v>0</v>
      </c>
      <c r="E405" s="37"/>
      <c r="F405" s="108" t="str">
        <f>+VLOOKUP(PROVEEDORES[[#This Row],[PROVEEDOR]],TERCEROS_INFO[[PROVEEDOR]:[CORREO]],5,FALSE)</f>
        <v>globalpowerc2018@gmail.com;girlesa.ruiz@servipilas.com;joriescobar64@gmail.com</v>
      </c>
      <c r="G405" s="143">
        <v>43980</v>
      </c>
      <c r="H405" s="38" t="s">
        <v>278</v>
      </c>
      <c r="I405" s="30">
        <v>43901</v>
      </c>
      <c r="J405" s="58">
        <v>1614636</v>
      </c>
      <c r="K405" s="32">
        <v>1440000</v>
      </c>
      <c r="L405" s="32"/>
      <c r="M405" s="33">
        <f>(PROVEEDORES[[#This Row],[SUBTOTAL]]-PROVEEDORES[[#This Row],[descuento antes de IVA]])*VLOOKUP(PROVEEDORES[[#This Row],[PROVEEDOR]],TERCEROS_INFO[#All],3,FALSE)</f>
        <v>0</v>
      </c>
      <c r="N405" s="34"/>
      <c r="O405" s="33">
        <f>+PROVEEDORES[[#This Row],[Descuento sobre subtotal %]]*(PROVEEDORES[[#This Row],[SUBTOTAL]]-PROVEEDORES[[#This Row],[descuento antes de IVA]])</f>
        <v>0</v>
      </c>
      <c r="P4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5" s="33">
        <f>+(PROVEEDORES[[#This Row],[SUBTOTAL]]-PROVEEDORES[[#This Row],[descuento antes de IVA]])*PROVEEDORES[[#This Row],[Rete Fuente %]]</f>
        <v>0</v>
      </c>
      <c r="R405" s="32">
        <f>+PROVEEDORES[[#This Row],[SUBTOTAL]]+PROVEEDORES[[#This Row],[IVA 19%]]-PROVEEDORES[[#This Row],[descuento antes de IVA]]-PROVEEDORES[[#This Row],[Descuento sobre subtotal $]]-PROVEEDORES[[#This Row],[Rete Fuente $]]</f>
        <v>1440000</v>
      </c>
      <c r="S4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5" s="40"/>
      <c r="U405" s="97"/>
      <c r="V405" s="36"/>
      <c r="W405" s="36"/>
      <c r="X405" s="36"/>
      <c r="Y405" s="36"/>
      <c r="Z405" s="41"/>
      <c r="AA405" s="42"/>
      <c r="AF405" s="36"/>
      <c r="AG405" s="36"/>
    </row>
    <row r="406" spans="1:33" ht="21.95" hidden="1" customHeight="1" x14ac:dyDescent="0.25">
      <c r="A406" s="39" t="str">
        <f>+IF(PROVEEDORES[[#This Row],[FECHA DE PAGO]]=PROVEEDORES[[#This Row],[FECHA DE FACTURACIÓN]],"DE CONTADO","CRÉDITO")</f>
        <v>CRÉDITO</v>
      </c>
      <c r="B406" s="67" t="b">
        <f>+IF((PROVEEDORES[[#This Row],[FECHA DE PAGO]]-PROVEEDORES[[#This Row],[FECHA DE FACTURACIÓN]])&gt;PROVEEDORES[[#This Row],[PLAZO Días]],"PAGO VENCIDO")</f>
        <v>0</v>
      </c>
      <c r="C406" s="27">
        <f>+VLOOKUP(PROVEEDORES[[#This Row],[PROVEEDOR]],TERCEROS_INFO[#All],2,FALSE)</f>
        <v>30</v>
      </c>
      <c r="D406" s="37">
        <f>+SUMIFS(PROVEEDORES[Total],PROVEEDORES[PROVEEDOR],PROVEEDORES[[#This Row],[PROVEEDOR]],PROVEEDORES[FECHA DE PAGO],"")</f>
        <v>0</v>
      </c>
      <c r="E406" s="37"/>
      <c r="F406" s="108" t="str">
        <f>+VLOOKUP(PROVEEDORES[[#This Row],[PROVEEDOR]],TERCEROS_INFO[[PROVEEDOR]:[CORREO]],5,FALSE)</f>
        <v>globalpowerc2018@gmail.com;girlesa.ruiz@servipilas.com;joriescobar64@gmail.com</v>
      </c>
      <c r="G406" s="143">
        <v>44083</v>
      </c>
      <c r="H406" s="38" t="s">
        <v>278</v>
      </c>
      <c r="I406" s="30">
        <v>44055</v>
      </c>
      <c r="J406" s="58">
        <v>745</v>
      </c>
      <c r="K406" s="32">
        <v>700000</v>
      </c>
      <c r="L406" s="32"/>
      <c r="M406" s="33">
        <f>(PROVEEDORES[[#This Row],[SUBTOTAL]]-PROVEEDORES[[#This Row],[descuento antes de IVA]])*VLOOKUP(PROVEEDORES[[#This Row],[PROVEEDOR]],TERCEROS_INFO[#All],3,FALSE)</f>
        <v>0</v>
      </c>
      <c r="N406" s="34"/>
      <c r="O406" s="33">
        <f>+PROVEEDORES[[#This Row],[Descuento sobre subtotal %]]*(PROVEEDORES[[#This Row],[SUBTOTAL]]-PROVEEDORES[[#This Row],[descuento antes de IVA]])</f>
        <v>0</v>
      </c>
      <c r="P4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6" s="33">
        <f>+(PROVEEDORES[[#This Row],[SUBTOTAL]]-PROVEEDORES[[#This Row],[descuento antes de IVA]])*PROVEEDORES[[#This Row],[Rete Fuente %]]</f>
        <v>0</v>
      </c>
      <c r="R406" s="32">
        <f>+PROVEEDORES[[#This Row],[SUBTOTAL]]+PROVEEDORES[[#This Row],[IVA 19%]]-PROVEEDORES[[#This Row],[descuento antes de IVA]]-PROVEEDORES[[#This Row],[Descuento sobre subtotal $]]-PROVEEDORES[[#This Row],[Rete Fuente $]]</f>
        <v>700000</v>
      </c>
      <c r="S4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6" s="40"/>
      <c r="U406" s="97"/>
      <c r="V406" s="36"/>
      <c r="W406" s="36"/>
      <c r="X406" s="36"/>
      <c r="Y406" s="36"/>
      <c r="Z406" s="41"/>
      <c r="AA406" s="42"/>
      <c r="AF406" s="36"/>
      <c r="AG406" s="36"/>
    </row>
    <row r="407" spans="1:33" ht="21.95" hidden="1" customHeight="1" x14ac:dyDescent="0.25">
      <c r="A407" s="39" t="str">
        <f>+IF(PROVEEDORES[[#This Row],[FECHA DE PAGO]]=PROVEEDORES[[#This Row],[FECHA DE FACTURACIÓN]],"DE CONTADO","CRÉDITO")</f>
        <v>CRÉDITO</v>
      </c>
      <c r="B407" s="67" t="str">
        <f>+IF((PROVEEDORES[[#This Row],[FECHA DE PAGO]]-PROVEEDORES[[#This Row],[FECHA DE FACTURACIÓN]])&gt;PROVEEDORES[[#This Row],[PLAZO Días]],"PAGO VENCIDO")</f>
        <v>PAGO VENCIDO</v>
      </c>
      <c r="C407" s="27">
        <f>+VLOOKUP(PROVEEDORES[[#This Row],[PROVEEDOR]],TERCEROS_INFO[#All],2,FALSE)</f>
        <v>30</v>
      </c>
      <c r="D407" s="37">
        <f>+SUMIFS(PROVEEDORES[Total],PROVEEDORES[PROVEEDOR],PROVEEDORES[[#This Row],[PROVEEDOR]],PROVEEDORES[FECHA DE PAGO],"")</f>
        <v>0</v>
      </c>
      <c r="E407" s="37"/>
      <c r="F407" s="108" t="str">
        <f>+VLOOKUP(PROVEEDORES[[#This Row],[PROVEEDOR]],TERCEROS_INFO[[PROVEEDOR]:[CORREO]],5,FALSE)</f>
        <v>globalpowerc2018@gmail.com;girlesa.ruiz@servipilas.com;joriescobar64@gmail.com</v>
      </c>
      <c r="G407" s="143">
        <v>44109</v>
      </c>
      <c r="H407" s="38" t="s">
        <v>278</v>
      </c>
      <c r="I407" s="30">
        <v>44074</v>
      </c>
      <c r="J407" s="58">
        <v>765</v>
      </c>
      <c r="K407" s="32">
        <v>1948000</v>
      </c>
      <c r="L407" s="32"/>
      <c r="M407" s="33">
        <f>(PROVEEDORES[[#This Row],[SUBTOTAL]]-PROVEEDORES[[#This Row],[descuento antes de IVA]])*VLOOKUP(PROVEEDORES[[#This Row],[PROVEEDOR]],TERCEROS_INFO[#All],3,FALSE)</f>
        <v>0</v>
      </c>
      <c r="N407" s="34"/>
      <c r="O407" s="33">
        <f>+PROVEEDORES[[#This Row],[Descuento sobre subtotal %]]*(PROVEEDORES[[#This Row],[SUBTOTAL]]-PROVEEDORES[[#This Row],[descuento antes de IVA]])</f>
        <v>0</v>
      </c>
      <c r="P4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7" s="33">
        <f>+(PROVEEDORES[[#This Row],[SUBTOTAL]]-PROVEEDORES[[#This Row],[descuento antes de IVA]])*PROVEEDORES[[#This Row],[Rete Fuente %]]</f>
        <v>0</v>
      </c>
      <c r="R407" s="32">
        <f>+PROVEEDORES[[#This Row],[SUBTOTAL]]+PROVEEDORES[[#This Row],[IVA 19%]]-PROVEEDORES[[#This Row],[descuento antes de IVA]]-PROVEEDORES[[#This Row],[Descuento sobre subtotal $]]-PROVEEDORES[[#This Row],[Rete Fuente $]]</f>
        <v>1948000</v>
      </c>
      <c r="S4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7" s="40"/>
      <c r="U407" s="97"/>
      <c r="V407" s="36"/>
      <c r="W407" s="36"/>
      <c r="X407" s="36"/>
      <c r="Y407" s="36"/>
      <c r="Z407" s="41"/>
      <c r="AA407" s="42"/>
      <c r="AF407" s="36"/>
      <c r="AG407" s="36"/>
    </row>
    <row r="408" spans="1:33" ht="21.95" hidden="1" customHeight="1" x14ac:dyDescent="0.25">
      <c r="A408" s="39" t="str">
        <f>+IF(PROVEEDORES[[#This Row],[FECHA DE PAGO]]=PROVEEDORES[[#This Row],[FECHA DE FACTURACIÓN]],"DE CONTADO","CRÉDITO")</f>
        <v>CRÉDITO</v>
      </c>
      <c r="B408" s="67" t="str">
        <f>+IF((PROVEEDORES[[#This Row],[FECHA DE PAGO]]-PROVEEDORES[[#This Row],[FECHA DE FACTURACIÓN]])&gt;PROVEEDORES[[#This Row],[PLAZO Días]],"PAGO VENCIDO")</f>
        <v>PAGO VENCIDO</v>
      </c>
      <c r="C408" s="27">
        <f>+VLOOKUP(PROVEEDORES[[#This Row],[PROVEEDOR]],TERCEROS_INFO[#All],2,FALSE)</f>
        <v>30</v>
      </c>
      <c r="D408" s="37">
        <f>+SUMIFS(PROVEEDORES[Total],PROVEEDORES[PROVEEDOR],PROVEEDORES[[#This Row],[PROVEEDOR]],PROVEEDORES[FECHA DE PAGO],"")</f>
        <v>0</v>
      </c>
      <c r="E408" s="37"/>
      <c r="F408" s="108" t="str">
        <f>+VLOOKUP(PROVEEDORES[[#This Row],[PROVEEDOR]],TERCEROS_INFO[[PROVEEDOR]:[CORREO]],5,FALSE)</f>
        <v>globalpowerc2018@gmail.com;girlesa.ruiz@servipilas.com;joriescobar64@gmail.com</v>
      </c>
      <c r="G408" s="143">
        <v>44120</v>
      </c>
      <c r="H408" s="38" t="s">
        <v>278</v>
      </c>
      <c r="I408" s="30">
        <v>44088</v>
      </c>
      <c r="J408" s="58">
        <v>778</v>
      </c>
      <c r="K408" s="32">
        <v>1395000</v>
      </c>
      <c r="L408" s="32"/>
      <c r="M408" s="33">
        <f>(PROVEEDORES[[#This Row],[SUBTOTAL]]-PROVEEDORES[[#This Row],[descuento antes de IVA]])*VLOOKUP(PROVEEDORES[[#This Row],[PROVEEDOR]],TERCEROS_INFO[#All],3,FALSE)</f>
        <v>0</v>
      </c>
      <c r="N408" s="34"/>
      <c r="O408" s="33">
        <f>+PROVEEDORES[[#This Row],[Descuento sobre subtotal %]]*(PROVEEDORES[[#This Row],[SUBTOTAL]]-PROVEEDORES[[#This Row],[descuento antes de IVA]])</f>
        <v>0</v>
      </c>
      <c r="P4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8" s="33">
        <f>+(PROVEEDORES[[#This Row],[SUBTOTAL]]-PROVEEDORES[[#This Row],[descuento antes de IVA]])*PROVEEDORES[[#This Row],[Rete Fuente %]]</f>
        <v>0</v>
      </c>
      <c r="R408" s="32">
        <f>+PROVEEDORES[[#This Row],[SUBTOTAL]]+PROVEEDORES[[#This Row],[IVA 19%]]-PROVEEDORES[[#This Row],[descuento antes de IVA]]-PROVEEDORES[[#This Row],[Descuento sobre subtotal $]]-PROVEEDORES[[#This Row],[Rete Fuente $]]</f>
        <v>1395000</v>
      </c>
      <c r="S4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8" s="40"/>
      <c r="U408" s="97"/>
      <c r="V408" s="36"/>
      <c r="W408" s="36"/>
      <c r="X408" s="36"/>
      <c r="Y408" s="36"/>
      <c r="Z408" s="41"/>
      <c r="AA408" s="42"/>
      <c r="AF408" s="36"/>
      <c r="AG408" s="36"/>
    </row>
    <row r="409" spans="1:33" ht="21.95" hidden="1" customHeight="1" x14ac:dyDescent="0.25">
      <c r="A409" s="39" t="str">
        <f>+IF(PROVEEDORES[[#This Row],[FECHA DE PAGO]]=PROVEEDORES[[#This Row],[FECHA DE FACTURACIÓN]],"DE CONTADO","CRÉDITO")</f>
        <v>CRÉDITO</v>
      </c>
      <c r="B409" s="67" t="str">
        <f>+IF((PROVEEDORES[[#This Row],[FECHA DE PAGO]]-PROVEEDORES[[#This Row],[FECHA DE FACTURACIÓN]])&gt;PROVEEDORES[[#This Row],[PLAZO Días]],"PAGO VENCIDO")</f>
        <v>PAGO VENCIDO</v>
      </c>
      <c r="C409" s="27">
        <f>+VLOOKUP(PROVEEDORES[[#This Row],[PROVEEDOR]],TERCEROS_INFO[#All],2,FALSE)</f>
        <v>30</v>
      </c>
      <c r="D409" s="37">
        <f>+SUMIFS(PROVEEDORES[Total],PROVEEDORES[PROVEEDOR],PROVEEDORES[[#This Row],[PROVEEDOR]],PROVEEDORES[FECHA DE PAGO],"")</f>
        <v>0</v>
      </c>
      <c r="E409" s="37"/>
      <c r="F409" s="108" t="str">
        <f>+VLOOKUP(PROVEEDORES[[#This Row],[PROVEEDOR]],TERCEROS_INFO[[PROVEEDOR]:[CORREO]],5,FALSE)</f>
        <v>globalpowerc2018@gmail.com;girlesa.ruiz@servipilas.com;joriescobar64@gmail.com</v>
      </c>
      <c r="G409" s="143">
        <v>44155</v>
      </c>
      <c r="H409" s="38" t="s">
        <v>278</v>
      </c>
      <c r="I409" s="30">
        <v>44112</v>
      </c>
      <c r="J409" s="58">
        <v>808</v>
      </c>
      <c r="K409" s="32">
        <v>1128000</v>
      </c>
      <c r="L409" s="32"/>
      <c r="M409" s="33">
        <f>(PROVEEDORES[[#This Row],[SUBTOTAL]]-PROVEEDORES[[#This Row],[descuento antes de IVA]])*VLOOKUP(PROVEEDORES[[#This Row],[PROVEEDOR]],TERCEROS_INFO[#All],3,FALSE)</f>
        <v>0</v>
      </c>
      <c r="N409" s="34"/>
      <c r="O409" s="33">
        <f>+PROVEEDORES[[#This Row],[Descuento sobre subtotal %]]*(PROVEEDORES[[#This Row],[SUBTOTAL]]-PROVEEDORES[[#This Row],[descuento antes de IVA]])</f>
        <v>0</v>
      </c>
      <c r="P4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09" s="33">
        <f>+(PROVEEDORES[[#This Row],[SUBTOTAL]]-PROVEEDORES[[#This Row],[descuento antes de IVA]])*PROVEEDORES[[#This Row],[Rete Fuente %]]</f>
        <v>0</v>
      </c>
      <c r="R409" s="32">
        <f>+PROVEEDORES[[#This Row],[SUBTOTAL]]+PROVEEDORES[[#This Row],[IVA 19%]]-PROVEEDORES[[#This Row],[descuento antes de IVA]]-PROVEEDORES[[#This Row],[Descuento sobre subtotal $]]-PROVEEDORES[[#This Row],[Rete Fuente $]]</f>
        <v>1128000</v>
      </c>
      <c r="S4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9" s="40"/>
      <c r="U409" s="97"/>
      <c r="V409" s="36"/>
      <c r="W409" s="36"/>
      <c r="X409" s="36"/>
      <c r="Y409" s="36"/>
      <c r="Z409" s="41"/>
      <c r="AA409" s="42"/>
      <c r="AF409" s="36"/>
      <c r="AG409" s="36"/>
    </row>
    <row r="410" spans="1:33" ht="21.95" hidden="1" customHeight="1" x14ac:dyDescent="0.25">
      <c r="A410" s="39" t="str">
        <f>+IF(PROVEEDORES[[#This Row],[FECHA DE PAGO]]=PROVEEDORES[[#This Row],[FECHA DE FACTURACIÓN]],"DE CONTADO","CRÉDITO")</f>
        <v>CRÉDITO</v>
      </c>
      <c r="B410" s="67" t="str">
        <f>+IF((PROVEEDORES[[#This Row],[FECHA DE PAGO]]-PROVEEDORES[[#This Row],[FECHA DE FACTURACIÓN]])&gt;PROVEEDORES[[#This Row],[PLAZO Días]],"PAGO VENCIDO")</f>
        <v>PAGO VENCIDO</v>
      </c>
      <c r="C410" s="27">
        <f>+VLOOKUP(PROVEEDORES[[#This Row],[PROVEEDOR]],TERCEROS_INFO[#All],2,FALSE)</f>
        <v>30</v>
      </c>
      <c r="D410" s="37">
        <f>+SUMIFS(PROVEEDORES[Total],PROVEEDORES[PROVEEDOR],PROVEEDORES[[#This Row],[PROVEEDOR]],PROVEEDORES[FECHA DE PAGO],"")</f>
        <v>0</v>
      </c>
      <c r="E410" s="37"/>
      <c r="F410" s="108" t="str">
        <f>+VLOOKUP(PROVEEDORES[[#This Row],[PROVEEDOR]],TERCEROS_INFO[[PROVEEDOR]:[CORREO]],5,FALSE)</f>
        <v>globalpowerc2018@gmail.com;girlesa.ruiz@servipilas.com;joriescobar64@gmail.com</v>
      </c>
      <c r="G410" s="143">
        <v>44155</v>
      </c>
      <c r="H410" s="38" t="s">
        <v>278</v>
      </c>
      <c r="I410" s="30">
        <v>44112</v>
      </c>
      <c r="J410" s="58">
        <v>809</v>
      </c>
      <c r="K410" s="32">
        <v>1128000</v>
      </c>
      <c r="L410" s="32"/>
      <c r="M410" s="33">
        <f>(PROVEEDORES[[#This Row],[SUBTOTAL]]-PROVEEDORES[[#This Row],[descuento antes de IVA]])*VLOOKUP(PROVEEDORES[[#This Row],[PROVEEDOR]],TERCEROS_INFO[#All],3,FALSE)</f>
        <v>0</v>
      </c>
      <c r="N410" s="34"/>
      <c r="O410" s="33">
        <f>+PROVEEDORES[[#This Row],[Descuento sobre subtotal %]]*(PROVEEDORES[[#This Row],[SUBTOTAL]]-PROVEEDORES[[#This Row],[descuento antes de IVA]])</f>
        <v>0</v>
      </c>
      <c r="P4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0" s="33">
        <f>+(PROVEEDORES[[#This Row],[SUBTOTAL]]-PROVEEDORES[[#This Row],[descuento antes de IVA]])*PROVEEDORES[[#This Row],[Rete Fuente %]]</f>
        <v>0</v>
      </c>
      <c r="R410" s="32">
        <f>+PROVEEDORES[[#This Row],[SUBTOTAL]]+PROVEEDORES[[#This Row],[IVA 19%]]-PROVEEDORES[[#This Row],[descuento antes de IVA]]-PROVEEDORES[[#This Row],[Descuento sobre subtotal $]]-PROVEEDORES[[#This Row],[Rete Fuente $]]</f>
        <v>1128000</v>
      </c>
      <c r="S4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0" s="40"/>
      <c r="U410" s="97"/>
      <c r="V410" s="36"/>
      <c r="W410" s="36"/>
      <c r="X410" s="36"/>
      <c r="Y410" s="36"/>
      <c r="Z410" s="41"/>
      <c r="AA410" s="42"/>
      <c r="AF410" s="36"/>
      <c r="AG410" s="36"/>
    </row>
    <row r="411" spans="1:33" ht="21.95" hidden="1" customHeight="1" x14ac:dyDescent="0.25">
      <c r="A411" s="39" t="str">
        <f>+IF(PROVEEDORES[[#This Row],[FECHA DE PAGO]]=PROVEEDORES[[#This Row],[FECHA DE FACTURACIÓN]],"DE CONTADO","CRÉDITO")</f>
        <v>CRÉDITO</v>
      </c>
      <c r="B411" s="67" t="str">
        <f>+IF((PROVEEDORES[[#This Row],[FECHA DE PAGO]]-PROVEEDORES[[#This Row],[FECHA DE FACTURACIÓN]])&gt;PROVEEDORES[[#This Row],[PLAZO Días]],"PAGO VENCIDO")</f>
        <v>PAGO VENCIDO</v>
      </c>
      <c r="C411" s="27">
        <f>+VLOOKUP(PROVEEDORES[[#This Row],[PROVEEDOR]],TERCEROS_INFO[#All],2,FALSE)</f>
        <v>30</v>
      </c>
      <c r="D411" s="37">
        <f>+SUMIFS(PROVEEDORES[Total],PROVEEDORES[PROVEEDOR],PROVEEDORES[[#This Row],[PROVEEDOR]],PROVEEDORES[FECHA DE PAGO],"")</f>
        <v>0</v>
      </c>
      <c r="E411" s="37"/>
      <c r="F411" s="108" t="str">
        <f>+VLOOKUP(PROVEEDORES[[#This Row],[PROVEEDOR]],TERCEROS_INFO[[PROVEEDOR]:[CORREO]],5,FALSE)</f>
        <v>globalpowerc2018@gmail.com;girlesa.ruiz@servipilas.com;joriescobar64@gmail.com</v>
      </c>
      <c r="G411" s="143">
        <v>44195</v>
      </c>
      <c r="H411" s="38" t="s">
        <v>278</v>
      </c>
      <c r="I411" s="30">
        <v>44164</v>
      </c>
      <c r="J411" s="58"/>
      <c r="K411" s="32">
        <v>1511500</v>
      </c>
      <c r="L411" s="32"/>
      <c r="M411" s="33">
        <f>(PROVEEDORES[[#This Row],[SUBTOTAL]]-PROVEEDORES[[#This Row],[descuento antes de IVA]])*VLOOKUP(PROVEEDORES[[#This Row],[PROVEEDOR]],TERCEROS_INFO[#All],3,FALSE)</f>
        <v>0</v>
      </c>
      <c r="N411" s="34"/>
      <c r="O411" s="33">
        <f>+PROVEEDORES[[#This Row],[Descuento sobre subtotal %]]*(PROVEEDORES[[#This Row],[SUBTOTAL]]-PROVEEDORES[[#This Row],[descuento antes de IVA]])</f>
        <v>0</v>
      </c>
      <c r="P4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1" s="33">
        <f>+(PROVEEDORES[[#This Row],[SUBTOTAL]]-PROVEEDORES[[#This Row],[descuento antes de IVA]])*PROVEEDORES[[#This Row],[Rete Fuente %]]</f>
        <v>0</v>
      </c>
      <c r="R411" s="32">
        <f>+PROVEEDORES[[#This Row],[SUBTOTAL]]+PROVEEDORES[[#This Row],[IVA 19%]]-PROVEEDORES[[#This Row],[descuento antes de IVA]]-PROVEEDORES[[#This Row],[Descuento sobre subtotal $]]-PROVEEDORES[[#This Row],[Rete Fuente $]]</f>
        <v>1511500</v>
      </c>
      <c r="S4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1" s="40"/>
      <c r="U411" s="97"/>
      <c r="V411" s="36"/>
      <c r="W411" s="36"/>
      <c r="X411" s="36"/>
      <c r="Y411" s="36"/>
      <c r="Z411" s="41"/>
      <c r="AA411" s="42"/>
      <c r="AF411" s="36"/>
      <c r="AG411" s="36"/>
    </row>
    <row r="412" spans="1:33" ht="21.95" hidden="1" customHeight="1" x14ac:dyDescent="0.25">
      <c r="A412" s="39" t="str">
        <f>+IF(PROVEEDORES[[#This Row],[FECHA DE PAGO]]=PROVEEDORES[[#This Row],[FECHA DE FACTURACIÓN]],"DE CONTADO","CRÉDITO")</f>
        <v>CRÉDITO</v>
      </c>
      <c r="B412" s="67" t="str">
        <f>+IF((PROVEEDORES[[#This Row],[FECHA DE PAGO]]-PROVEEDORES[[#This Row],[FECHA DE FACTURACIÓN]])&gt;PROVEEDORES[[#This Row],[PLAZO Días]],"PAGO VENCIDO")</f>
        <v>PAGO VENCIDO</v>
      </c>
      <c r="C412" s="27">
        <f>+VLOOKUP(PROVEEDORES[[#This Row],[PROVEEDOR]],TERCEROS_INFO[#All],2,FALSE)</f>
        <v>30</v>
      </c>
      <c r="D412" s="37">
        <f>+SUMIFS(PROVEEDORES[Total],PROVEEDORES[PROVEEDOR],PROVEEDORES[[#This Row],[PROVEEDOR]],PROVEEDORES[FECHA DE PAGO],"")</f>
        <v>0</v>
      </c>
      <c r="E412" s="37"/>
      <c r="F412" s="108" t="str">
        <f>+VLOOKUP(PROVEEDORES[[#This Row],[PROVEEDOR]],TERCEROS_INFO[[PROVEEDOR]:[CORREO]],5,FALSE)</f>
        <v>globalpowerc2018@gmail.com;girlesa.ruiz@servipilas.com;joriescobar64@gmail.com</v>
      </c>
      <c r="G412" s="143">
        <v>44229</v>
      </c>
      <c r="H412" s="38" t="s">
        <v>278</v>
      </c>
      <c r="I412" s="30">
        <v>44191</v>
      </c>
      <c r="J412" s="58">
        <v>906</v>
      </c>
      <c r="K412" s="32">
        <v>1460000</v>
      </c>
      <c r="L412" s="32"/>
      <c r="M412" s="33">
        <f>(PROVEEDORES[[#This Row],[SUBTOTAL]]-PROVEEDORES[[#This Row],[descuento antes de IVA]])*VLOOKUP(PROVEEDORES[[#This Row],[PROVEEDOR]],TERCEROS_INFO[#All],3,FALSE)</f>
        <v>0</v>
      </c>
      <c r="N412" s="34"/>
      <c r="O412" s="33">
        <f>+PROVEEDORES[[#This Row],[Descuento sobre subtotal %]]*(PROVEEDORES[[#This Row],[SUBTOTAL]]-PROVEEDORES[[#This Row],[descuento antes de IVA]])</f>
        <v>0</v>
      </c>
      <c r="P4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2" s="33">
        <f>+(PROVEEDORES[[#This Row],[SUBTOTAL]]-PROVEEDORES[[#This Row],[descuento antes de IVA]])*PROVEEDORES[[#This Row],[Rete Fuente %]]</f>
        <v>0</v>
      </c>
      <c r="R412" s="32">
        <f>+PROVEEDORES[[#This Row],[SUBTOTAL]]+PROVEEDORES[[#This Row],[IVA 19%]]-PROVEEDORES[[#This Row],[descuento antes de IVA]]-PROVEEDORES[[#This Row],[Descuento sobre subtotal $]]-PROVEEDORES[[#This Row],[Rete Fuente $]]</f>
        <v>1460000</v>
      </c>
      <c r="S41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2" s="40"/>
      <c r="U412" s="97"/>
      <c r="V412" s="36"/>
      <c r="W412" s="36"/>
      <c r="X412" s="36"/>
      <c r="Y412" s="36"/>
      <c r="Z412" s="41"/>
      <c r="AA412" s="42"/>
      <c r="AF412" s="36"/>
      <c r="AG412" s="36"/>
    </row>
    <row r="413" spans="1:33" ht="21.95" hidden="1" customHeight="1" x14ac:dyDescent="0.25">
      <c r="A413" s="109" t="str">
        <f>+IF(PROVEEDORES[[#This Row],[FECHA DE PAGO]]=PROVEEDORES[[#This Row],[FECHA DE FACTURACIÓN]],"DE CONTADO","CRÉDITO")</f>
        <v>CRÉDITO</v>
      </c>
      <c r="B413" s="70" t="str">
        <f>+IF((PROVEEDORES[[#This Row],[FECHA DE PAGO]]-PROVEEDORES[[#This Row],[FECHA DE FACTURACIÓN]])&gt;PROVEEDORES[[#This Row],[PLAZO Días]],"PAGO VENCIDO")</f>
        <v>PAGO VENCIDO</v>
      </c>
      <c r="C413" s="27">
        <f>+VLOOKUP(PROVEEDORES[[#This Row],[PROVEEDOR]],TERCEROS_INFO[#All],2,FALSE)</f>
        <v>30</v>
      </c>
      <c r="D413" s="37">
        <f>+SUMIFS(PROVEEDORES[Total],PROVEEDORES[PROVEEDOR],PROVEEDORES[[#This Row],[PROVEEDOR]],PROVEEDORES[FECHA DE PAGO],"")</f>
        <v>0</v>
      </c>
      <c r="E413" s="37"/>
      <c r="F413" s="108" t="str">
        <f>+VLOOKUP(PROVEEDORES[[#This Row],[PROVEEDOR]],TERCEROS_INFO[[PROVEEDOR]:[CORREO]],5,FALSE)</f>
        <v>globalpowerc2018@gmail.com;girlesa.ruiz@servipilas.com;joriescobar64@gmail.com</v>
      </c>
      <c r="G413" s="143">
        <v>44355</v>
      </c>
      <c r="H413" s="57" t="s">
        <v>278</v>
      </c>
      <c r="I413" s="30">
        <v>44321</v>
      </c>
      <c r="J413" s="58" t="s">
        <v>1126</v>
      </c>
      <c r="K413" s="32">
        <v>722000</v>
      </c>
      <c r="L413" s="32"/>
      <c r="M413" s="33">
        <f>(PROVEEDORES[[#This Row],[SUBTOTAL]]-PROVEEDORES[[#This Row],[descuento antes de IVA]])*VLOOKUP(PROVEEDORES[[#This Row],[PROVEEDOR]],TERCEROS_INFO[#All],3,FALSE)</f>
        <v>0</v>
      </c>
      <c r="N413" s="34"/>
      <c r="O413" s="33">
        <f>+PROVEEDORES[[#This Row],[Descuento sobre subtotal %]]*(PROVEEDORES[[#This Row],[SUBTOTAL]]-PROVEEDORES[[#This Row],[descuento antes de IVA]])</f>
        <v>0</v>
      </c>
      <c r="P4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3" s="33">
        <f>+(PROVEEDORES[[#This Row],[SUBTOTAL]]-PROVEEDORES[[#This Row],[descuento antes de IVA]])*PROVEEDORES[[#This Row],[Rete Fuente %]]</f>
        <v>0</v>
      </c>
      <c r="R413" s="32">
        <f>+PROVEEDORES[[#This Row],[SUBTOTAL]]+PROVEEDORES[[#This Row],[IVA 19%]]-PROVEEDORES[[#This Row],[descuento antes de IVA]]-PROVEEDORES[[#This Row],[Descuento sobre subtotal $]]-PROVEEDORES[[#This Row],[Rete Fuente $]]</f>
        <v>722000</v>
      </c>
      <c r="S413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3" s="40"/>
      <c r="U413" s="97"/>
      <c r="V413" s="36"/>
      <c r="W413" s="36"/>
      <c r="X413" s="36"/>
      <c r="Y413" s="36"/>
      <c r="Z413" s="41"/>
      <c r="AA413" s="42"/>
      <c r="AF413" s="36"/>
      <c r="AG413" s="36"/>
    </row>
    <row r="414" spans="1:33" ht="21.95" hidden="1" customHeight="1" x14ac:dyDescent="0.25">
      <c r="A414" s="134" t="str">
        <f>+IF(PROVEEDORES[[#This Row],[FECHA DE PAGO]]=PROVEEDORES[[#This Row],[FECHA DE FACTURACIÓN]],"DE CONTADO","CRÉDITO")</f>
        <v>CRÉDITO</v>
      </c>
      <c r="B414" s="70" t="str">
        <f>+IF((PROVEEDORES[[#This Row],[FECHA DE PAGO]]-PROVEEDORES[[#This Row],[FECHA DE FACTURACIÓN]])&gt;PROVEEDORES[[#This Row],[PLAZO Días]],"PAGO VENCIDO")</f>
        <v>PAGO VENCIDO</v>
      </c>
      <c r="C414" s="27">
        <f>+VLOOKUP(PROVEEDORES[[#This Row],[PROVEEDOR]],TERCEROS_INFO[#All],2,FALSE)</f>
        <v>30</v>
      </c>
      <c r="D414" s="37">
        <f>+SUMIFS(PROVEEDORES[Total],PROVEEDORES[PROVEEDOR],PROVEEDORES[[#This Row],[PROVEEDOR]],PROVEEDORES[FECHA DE PAGO],"")</f>
        <v>0</v>
      </c>
      <c r="E414" s="37"/>
      <c r="F414" s="108" t="str">
        <f>+VLOOKUP(PROVEEDORES[[#This Row],[PROVEEDOR]],TERCEROS_INFO[[PROVEEDOR]:[CORREO]],5,FALSE)</f>
        <v>globalpowerc2018@gmail.com;girlesa.ruiz@servipilas.com;joriescobar64@gmail.com</v>
      </c>
      <c r="G414" s="143">
        <v>44411</v>
      </c>
      <c r="H414" s="57" t="s">
        <v>278</v>
      </c>
      <c r="I414" s="30">
        <v>44379</v>
      </c>
      <c r="J414" s="58" t="s">
        <v>1178</v>
      </c>
      <c r="K414" s="32">
        <v>780000</v>
      </c>
      <c r="L414" s="32"/>
      <c r="M414" s="33">
        <f>(PROVEEDORES[[#This Row],[SUBTOTAL]]-PROVEEDORES[[#This Row],[descuento antes de IVA]])*VLOOKUP(PROVEEDORES[[#This Row],[PROVEEDOR]],TERCEROS_INFO[#All],3,FALSE)</f>
        <v>0</v>
      </c>
      <c r="N414" s="34"/>
      <c r="O414" s="33">
        <f>+PROVEEDORES[[#This Row],[Descuento sobre subtotal %]]*(PROVEEDORES[[#This Row],[SUBTOTAL]]-PROVEEDORES[[#This Row],[descuento antes de IVA]])</f>
        <v>0</v>
      </c>
      <c r="P4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4" s="33">
        <f>+(PROVEEDORES[[#This Row],[SUBTOTAL]]-PROVEEDORES[[#This Row],[descuento antes de IVA]])*PROVEEDORES[[#This Row],[Rete Fuente %]]</f>
        <v>0</v>
      </c>
      <c r="R414" s="32">
        <f>+PROVEEDORES[[#This Row],[SUBTOTAL]]+PROVEEDORES[[#This Row],[IVA 19%]]-PROVEEDORES[[#This Row],[descuento antes de IVA]]-PROVEEDORES[[#This Row],[Descuento sobre subtotal $]]-PROVEEDORES[[#This Row],[Rete Fuente $]]</f>
        <v>780000</v>
      </c>
      <c r="S414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4" s="40"/>
      <c r="U414" s="97"/>
      <c r="V414" s="36"/>
      <c r="W414" s="36"/>
      <c r="X414" s="36"/>
      <c r="Y414" s="36"/>
      <c r="Z414" s="41"/>
      <c r="AA414" s="42"/>
      <c r="AF414" s="36"/>
      <c r="AG414" s="36"/>
    </row>
    <row r="415" spans="1:33" ht="21.95" hidden="1" customHeight="1" x14ac:dyDescent="0.25">
      <c r="A415" s="135" t="str">
        <f>+IF(PROVEEDORES[[#This Row],[FECHA DE PAGO]]=PROVEEDORES[[#This Row],[FECHA DE FACTURACIÓN]],"DE CONTADO","CRÉDITO")</f>
        <v>CRÉDITO</v>
      </c>
      <c r="B415" s="70" t="str">
        <f>+IF((PROVEEDORES[[#This Row],[FECHA DE PAGO]]-PROVEEDORES[[#This Row],[FECHA DE FACTURACIÓN]])&gt;PROVEEDORES[[#This Row],[PLAZO Días]],"PAGO VENCIDO")</f>
        <v>PAGO VENCIDO</v>
      </c>
      <c r="C415" s="27">
        <f>+VLOOKUP(PROVEEDORES[[#This Row],[PROVEEDOR]],TERCEROS_INFO[#All],2,FALSE)</f>
        <v>30</v>
      </c>
      <c r="D415" s="37">
        <f>+SUMIFS(PROVEEDORES[Total],PROVEEDORES[PROVEEDOR],PROVEEDORES[[#This Row],[PROVEEDOR]],PROVEEDORES[FECHA DE PAGO],"")</f>
        <v>0</v>
      </c>
      <c r="E415" s="37" t="s">
        <v>810</v>
      </c>
      <c r="F415" s="108" t="str">
        <f>+VLOOKUP(PROVEEDORES[[#This Row],[PROVEEDOR]],TERCEROS_INFO[[PROVEEDOR]:[CORREO]],5,FALSE)</f>
        <v>globalpowerc2018@gmail.com;girlesa.ruiz@servipilas.com;joriescobar64@gmail.com</v>
      </c>
      <c r="G415" s="143">
        <v>44459</v>
      </c>
      <c r="H415" s="57" t="s">
        <v>278</v>
      </c>
      <c r="I415" s="30">
        <v>44407</v>
      </c>
      <c r="J415" s="58" t="s">
        <v>1195</v>
      </c>
      <c r="K415" s="32">
        <v>66000</v>
      </c>
      <c r="L415" s="32"/>
      <c r="M415" s="33">
        <f>(PROVEEDORES[[#This Row],[SUBTOTAL]]-PROVEEDORES[[#This Row],[descuento antes de IVA]])*VLOOKUP(PROVEEDORES[[#This Row],[PROVEEDOR]],TERCEROS_INFO[#All],3,FALSE)</f>
        <v>0</v>
      </c>
      <c r="N415" s="34"/>
      <c r="O415" s="33">
        <f>+PROVEEDORES[[#This Row],[Descuento sobre subtotal %]]*(PROVEEDORES[[#This Row],[SUBTOTAL]]-PROVEEDORES[[#This Row],[descuento antes de IVA]])</f>
        <v>0</v>
      </c>
      <c r="P4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5" s="33">
        <f>+(PROVEEDORES[[#This Row],[SUBTOTAL]]-PROVEEDORES[[#This Row],[descuento antes de IVA]])*PROVEEDORES[[#This Row],[Rete Fuente %]]</f>
        <v>0</v>
      </c>
      <c r="R415" s="32">
        <f>+PROVEEDORES[[#This Row],[SUBTOTAL]]+PROVEEDORES[[#This Row],[IVA 19%]]-PROVEEDORES[[#This Row],[descuento antes de IVA]]-PROVEEDORES[[#This Row],[Descuento sobre subtotal $]]-PROVEEDORES[[#This Row],[Rete Fuente $]]</f>
        <v>66000</v>
      </c>
      <c r="S415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5" s="40"/>
      <c r="U415" s="97"/>
      <c r="V415" s="36"/>
      <c r="W415" s="36"/>
      <c r="X415" s="36"/>
      <c r="Y415" s="36"/>
      <c r="Z415" s="41"/>
      <c r="AA415" s="42"/>
      <c r="AF415" s="36"/>
      <c r="AG415" s="36"/>
    </row>
    <row r="416" spans="1:33" ht="21.95" hidden="1" customHeight="1" x14ac:dyDescent="0.25">
      <c r="A416" s="135" t="str">
        <f>+IF(PROVEEDORES[[#This Row],[FECHA DE PAGO]]=PROVEEDORES[[#This Row],[FECHA DE FACTURACIÓN]],"DE CONTADO","CRÉDITO")</f>
        <v>CRÉDITO</v>
      </c>
      <c r="B416" s="70" t="str">
        <f>+IF((PROVEEDORES[[#This Row],[FECHA DE PAGO]]-PROVEEDORES[[#This Row],[FECHA DE FACTURACIÓN]])&gt;PROVEEDORES[[#This Row],[PLAZO Días]],"PAGO VENCIDO")</f>
        <v>PAGO VENCIDO</v>
      </c>
      <c r="C416" s="27">
        <f>+VLOOKUP(PROVEEDORES[[#This Row],[PROVEEDOR]],TERCEROS_INFO[#All],2,FALSE)</f>
        <v>30</v>
      </c>
      <c r="D416" s="37">
        <f>+SUMIFS(PROVEEDORES[Total],PROVEEDORES[PROVEEDOR],PROVEEDORES[[#This Row],[PROVEEDOR]],PROVEEDORES[FECHA DE PAGO],"")</f>
        <v>0</v>
      </c>
      <c r="E416" s="37" t="s">
        <v>769</v>
      </c>
      <c r="F416" s="108" t="str">
        <f>+VLOOKUP(PROVEEDORES[[#This Row],[PROVEEDOR]],TERCEROS_INFO[[PROVEEDOR]:[CORREO]],5,FALSE)</f>
        <v>globalpowerc2018@gmail.com;girlesa.ruiz@servipilas.com;joriescobar64@gmail.com</v>
      </c>
      <c r="G416" s="143">
        <v>44459</v>
      </c>
      <c r="H416" s="57" t="s">
        <v>278</v>
      </c>
      <c r="I416" s="30">
        <v>44411</v>
      </c>
      <c r="J416" s="58" t="s">
        <v>768</v>
      </c>
      <c r="K416" s="32">
        <v>-773200</v>
      </c>
      <c r="L416" s="32"/>
      <c r="M416" s="33">
        <f>(PROVEEDORES[[#This Row],[SUBTOTAL]]-PROVEEDORES[[#This Row],[descuento antes de IVA]])*VLOOKUP(PROVEEDORES[[#This Row],[PROVEEDOR]],TERCEROS_INFO[#All],3,FALSE)</f>
        <v>0</v>
      </c>
      <c r="N416" s="34"/>
      <c r="O416" s="33">
        <f>+PROVEEDORES[[#This Row],[Descuento sobre subtotal %]]*(PROVEEDORES[[#This Row],[SUBTOTAL]]-PROVEEDORES[[#This Row],[descuento antes de IVA]])</f>
        <v>0</v>
      </c>
      <c r="P4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6" s="33">
        <f>+(PROVEEDORES[[#This Row],[SUBTOTAL]]-PROVEEDORES[[#This Row],[descuento antes de IVA]])*PROVEEDORES[[#This Row],[Rete Fuente %]]</f>
        <v>0</v>
      </c>
      <c r="R416" s="32">
        <f>+PROVEEDORES[[#This Row],[SUBTOTAL]]+PROVEEDORES[[#This Row],[IVA 19%]]-PROVEEDORES[[#This Row],[descuento antes de IVA]]-PROVEEDORES[[#This Row],[Descuento sobre subtotal $]]-PROVEEDORES[[#This Row],[Rete Fuente $]]</f>
        <v>-773200</v>
      </c>
      <c r="S416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6" s="40"/>
      <c r="U416" s="97"/>
      <c r="V416" s="36"/>
      <c r="W416" s="36"/>
      <c r="X416" s="36"/>
      <c r="Y416" s="36"/>
      <c r="Z416" s="41"/>
      <c r="AA416" s="42"/>
      <c r="AF416" s="36"/>
      <c r="AG416" s="36"/>
    </row>
    <row r="417" spans="1:33" ht="21.95" hidden="1" customHeight="1" x14ac:dyDescent="0.25">
      <c r="A417" s="144" t="str">
        <f>+IF(PROVEEDORES[[#This Row],[FECHA DE PAGO]]=PROVEEDORES[[#This Row],[FECHA DE FACTURACIÓN]],"DE CONTADO","CRÉDITO")</f>
        <v>CRÉDITO</v>
      </c>
      <c r="B417" s="70" t="str">
        <f>+IF((PROVEEDORES[[#This Row],[FECHA DE PAGO]]-PROVEEDORES[[#This Row],[FECHA DE FACTURACIÓN]])&gt;PROVEEDORES[[#This Row],[PLAZO Días]],"PAGO VENCIDO")</f>
        <v>PAGO VENCIDO</v>
      </c>
      <c r="C417" s="27">
        <f>+VLOOKUP(PROVEEDORES[[#This Row],[PROVEEDOR]],TERCEROS_INFO[#All],2,FALSE)</f>
        <v>30</v>
      </c>
      <c r="D417" s="37">
        <f>+SUMIFS(PROVEEDORES[Total],PROVEEDORES[PROVEEDOR],PROVEEDORES[[#This Row],[PROVEEDOR]],PROVEEDORES[FECHA DE PAGO],"")</f>
        <v>0</v>
      </c>
      <c r="E417" s="37"/>
      <c r="F417" s="108" t="str">
        <f>+VLOOKUP(PROVEEDORES[[#This Row],[PROVEEDOR]],TERCEROS_INFO[[PROVEEDOR]:[CORREO]],5,FALSE)</f>
        <v>globalpowerc2018@gmail.com;girlesa.ruiz@servipilas.com;joriescobar64@gmail.com</v>
      </c>
      <c r="G417" s="143">
        <v>44459</v>
      </c>
      <c r="H417" s="57" t="s">
        <v>278</v>
      </c>
      <c r="I417" s="30">
        <v>44427</v>
      </c>
      <c r="J417" s="58" t="s">
        <v>1215</v>
      </c>
      <c r="K417" s="32">
        <v>1750000</v>
      </c>
      <c r="L417" s="32"/>
      <c r="M417" s="33">
        <f>(PROVEEDORES[[#This Row],[SUBTOTAL]]-PROVEEDORES[[#This Row],[descuento antes de IVA]])*VLOOKUP(PROVEEDORES[[#This Row],[PROVEEDOR]],TERCEROS_INFO[#All],3,FALSE)</f>
        <v>0</v>
      </c>
      <c r="N417" s="34"/>
      <c r="O417" s="33">
        <f>+PROVEEDORES[[#This Row],[Descuento sobre subtotal %]]*(PROVEEDORES[[#This Row],[SUBTOTAL]]-PROVEEDORES[[#This Row],[descuento antes de IVA]])</f>
        <v>0</v>
      </c>
      <c r="P4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7" s="33">
        <f>+(PROVEEDORES[[#This Row],[SUBTOTAL]]-PROVEEDORES[[#This Row],[descuento antes de IVA]])*PROVEEDORES[[#This Row],[Rete Fuente %]]</f>
        <v>0</v>
      </c>
      <c r="R417" s="32">
        <f>+PROVEEDORES[[#This Row],[SUBTOTAL]]+PROVEEDORES[[#This Row],[IVA 19%]]-PROVEEDORES[[#This Row],[descuento antes de IVA]]-PROVEEDORES[[#This Row],[Descuento sobre subtotal $]]-PROVEEDORES[[#This Row],[Rete Fuente $]]</f>
        <v>1750000</v>
      </c>
      <c r="S417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7" s="40"/>
      <c r="U417" s="97"/>
      <c r="V417" s="36"/>
      <c r="W417" s="36"/>
      <c r="X417" s="36"/>
      <c r="Y417" s="36"/>
      <c r="Z417" s="41"/>
      <c r="AA417" s="42"/>
      <c r="AF417" s="36"/>
      <c r="AG417" s="36"/>
    </row>
    <row r="418" spans="1:33" ht="21.95" hidden="1" customHeight="1" x14ac:dyDescent="0.25">
      <c r="A418" s="148" t="str">
        <f>+IF(PROVEEDORES[[#This Row],[FECHA DE PAGO]]=PROVEEDORES[[#This Row],[FECHA DE FACTURACIÓN]],"DE CONTADO","CRÉDITO")</f>
        <v>CRÉDITO</v>
      </c>
      <c r="B418" s="70" t="str">
        <f>+IF((PROVEEDORES[[#This Row],[FECHA DE PAGO]]-PROVEEDORES[[#This Row],[FECHA DE FACTURACIÓN]])&gt;PROVEEDORES[[#This Row],[PLAZO Días]],"PAGO VENCIDO")</f>
        <v>PAGO VENCIDO</v>
      </c>
      <c r="C418" s="27">
        <f>+VLOOKUP(PROVEEDORES[[#This Row],[PROVEEDOR]],TERCEROS_INFO[#All],2,FALSE)</f>
        <v>30</v>
      </c>
      <c r="D418" s="37">
        <f>+SUMIFS(PROVEEDORES[Total],PROVEEDORES[PROVEEDOR],PROVEEDORES[[#This Row],[PROVEEDOR]],PROVEEDORES[FECHA DE PAGO],"")</f>
        <v>0</v>
      </c>
      <c r="E418" s="37"/>
      <c r="F418" s="108" t="str">
        <f>+VLOOKUP(PROVEEDORES[[#This Row],[PROVEEDOR]],TERCEROS_INFO[[PROVEEDOR]:[CORREO]],5,FALSE)</f>
        <v>globalpowerc2018@gmail.com;girlesa.ruiz@servipilas.com;joriescobar64@gmail.com</v>
      </c>
      <c r="G418" s="143">
        <v>44480</v>
      </c>
      <c r="H418" s="57" t="s">
        <v>278</v>
      </c>
      <c r="I418" s="30">
        <v>44448</v>
      </c>
      <c r="J418" s="58" t="s">
        <v>1242</v>
      </c>
      <c r="K418" s="32">
        <v>850000</v>
      </c>
      <c r="L418" s="32"/>
      <c r="M418" s="33">
        <f>(PROVEEDORES[[#This Row],[SUBTOTAL]]-PROVEEDORES[[#This Row],[descuento antes de IVA]])*VLOOKUP(PROVEEDORES[[#This Row],[PROVEEDOR]],TERCEROS_INFO[#All],3,FALSE)</f>
        <v>0</v>
      </c>
      <c r="N418" s="34"/>
      <c r="O418" s="33">
        <f>+PROVEEDORES[[#This Row],[Descuento sobre subtotal %]]*(PROVEEDORES[[#This Row],[SUBTOTAL]]-PROVEEDORES[[#This Row],[descuento antes de IVA]])</f>
        <v>0</v>
      </c>
      <c r="P4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8" s="33">
        <f>+(PROVEEDORES[[#This Row],[SUBTOTAL]]-PROVEEDORES[[#This Row],[descuento antes de IVA]])*PROVEEDORES[[#This Row],[Rete Fuente %]]</f>
        <v>0</v>
      </c>
      <c r="R418" s="32">
        <f>+PROVEEDORES[[#This Row],[SUBTOTAL]]+PROVEEDORES[[#This Row],[IVA 19%]]-PROVEEDORES[[#This Row],[descuento antes de IVA]]-PROVEEDORES[[#This Row],[Descuento sobre subtotal $]]-PROVEEDORES[[#This Row],[Rete Fuente $]]</f>
        <v>850000</v>
      </c>
      <c r="S418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8" s="40"/>
      <c r="U418" s="97"/>
      <c r="V418" s="36"/>
      <c r="W418" s="36"/>
      <c r="X418" s="36"/>
      <c r="Y418" s="36"/>
      <c r="Z418" s="41"/>
      <c r="AA418" s="42"/>
      <c r="AF418" s="36"/>
      <c r="AG418" s="36"/>
    </row>
    <row r="419" spans="1:33" ht="21.95" hidden="1" customHeight="1" x14ac:dyDescent="0.25">
      <c r="A419" s="153" t="str">
        <f>+IF(PROVEEDORES[[#This Row],[FECHA DE PAGO]]=PROVEEDORES[[#This Row],[FECHA DE FACTURACIÓN]],"DE CONTADO","CRÉDITO")</f>
        <v>CRÉDITO</v>
      </c>
      <c r="B419" s="70" t="str">
        <f>+IF((PROVEEDORES[[#This Row],[FECHA DE PAGO]]-PROVEEDORES[[#This Row],[FECHA DE FACTURACIÓN]])&gt;PROVEEDORES[[#This Row],[PLAZO Días]],"PAGO VENCIDO")</f>
        <v>PAGO VENCIDO</v>
      </c>
      <c r="C419" s="27">
        <f>+VLOOKUP(PROVEEDORES[[#This Row],[PROVEEDOR]],TERCEROS_INFO[#All],2,FALSE)</f>
        <v>30</v>
      </c>
      <c r="D419" s="37">
        <f>+SUMIFS(PROVEEDORES[Total],PROVEEDORES[PROVEEDOR],PROVEEDORES[[#This Row],[PROVEEDOR]],PROVEEDORES[FECHA DE PAGO],"")</f>
        <v>0</v>
      </c>
      <c r="E419" s="37"/>
      <c r="F419" s="108" t="str">
        <f>+VLOOKUP(PROVEEDORES[[#This Row],[PROVEEDOR]],TERCEROS_INFO[[PROVEEDOR]:[CORREO]],5,FALSE)</f>
        <v>globalpowerc2018@gmail.com;girlesa.ruiz@servipilas.com;joriescobar64@gmail.com</v>
      </c>
      <c r="G419" s="143">
        <v>44494</v>
      </c>
      <c r="H419" s="57" t="s">
        <v>278</v>
      </c>
      <c r="I419" s="30">
        <v>44459</v>
      </c>
      <c r="J419" s="58" t="s">
        <v>1253</v>
      </c>
      <c r="K419" s="32">
        <v>1082500</v>
      </c>
      <c r="L419" s="32"/>
      <c r="M419" s="33">
        <f>(PROVEEDORES[[#This Row],[SUBTOTAL]]-PROVEEDORES[[#This Row],[descuento antes de IVA]])*VLOOKUP(PROVEEDORES[[#This Row],[PROVEEDOR]],TERCEROS_INFO[#All],3,FALSE)</f>
        <v>0</v>
      </c>
      <c r="N419" s="34"/>
      <c r="O419" s="33">
        <f>+PROVEEDORES[[#This Row],[Descuento sobre subtotal %]]*(PROVEEDORES[[#This Row],[SUBTOTAL]]-PROVEEDORES[[#This Row],[descuento antes de IVA]])</f>
        <v>0</v>
      </c>
      <c r="P4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19" s="33">
        <f>+(PROVEEDORES[[#This Row],[SUBTOTAL]]-PROVEEDORES[[#This Row],[descuento antes de IVA]])*PROVEEDORES[[#This Row],[Rete Fuente %]]</f>
        <v>0</v>
      </c>
      <c r="R419" s="32">
        <f>+PROVEEDORES[[#This Row],[SUBTOTAL]]+PROVEEDORES[[#This Row],[IVA 19%]]-PROVEEDORES[[#This Row],[descuento antes de IVA]]-PROVEEDORES[[#This Row],[Descuento sobre subtotal $]]-PROVEEDORES[[#This Row],[Rete Fuente $]]</f>
        <v>1082500</v>
      </c>
      <c r="S419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9" s="40"/>
      <c r="U419" s="97"/>
      <c r="V419" s="36"/>
      <c r="W419" s="36"/>
      <c r="X419" s="36"/>
      <c r="Y419" s="36"/>
      <c r="Z419" s="41"/>
      <c r="AA419" s="42"/>
      <c r="AF419" s="36"/>
      <c r="AG419" s="36"/>
    </row>
    <row r="420" spans="1:33" ht="21.95" hidden="1" customHeight="1" x14ac:dyDescent="0.25">
      <c r="A420" s="157" t="str">
        <f>+IF(PROVEEDORES[[#This Row],[FECHA DE PAGO]]=PROVEEDORES[[#This Row],[FECHA DE FACTURACIÓN]],"DE CONTADO","CRÉDITO")</f>
        <v>CRÉDITO</v>
      </c>
      <c r="B420" s="70" t="b">
        <f>+IF((PROVEEDORES[[#This Row],[FECHA DE PAGO]]-PROVEEDORES[[#This Row],[FECHA DE FACTURACIÓN]])&gt;PROVEEDORES[[#This Row],[PLAZO Días]],"PAGO VENCIDO")</f>
        <v>0</v>
      </c>
      <c r="C420" s="27">
        <f>+VLOOKUP(PROVEEDORES[[#This Row],[PROVEEDOR]],TERCEROS_INFO[#All],2,FALSE)</f>
        <v>30</v>
      </c>
      <c r="D420" s="37">
        <f>+SUMIFS(PROVEEDORES[Total],PROVEEDORES[PROVEEDOR],PROVEEDORES[[#This Row],[PROVEEDOR]],PROVEEDORES[FECHA DE PAGO],"")</f>
        <v>0</v>
      </c>
      <c r="E420" s="37"/>
      <c r="F420" s="108" t="str">
        <f>+VLOOKUP(PROVEEDORES[[#This Row],[PROVEEDOR]],TERCEROS_INFO[[PROVEEDOR]:[CORREO]],5,FALSE)</f>
        <v>globalpowerc2018@gmail.com;girlesa.ruiz@servipilas.com;joriescobar64@gmail.com</v>
      </c>
      <c r="G420" s="143">
        <v>44509</v>
      </c>
      <c r="H420" s="57" t="s">
        <v>278</v>
      </c>
      <c r="I420" s="30">
        <v>44480</v>
      </c>
      <c r="J420" s="58" t="s">
        <v>1274</v>
      </c>
      <c r="K420" s="32">
        <v>1750000</v>
      </c>
      <c r="L420" s="32"/>
      <c r="M420" s="33">
        <f>(PROVEEDORES[[#This Row],[SUBTOTAL]]-PROVEEDORES[[#This Row],[descuento antes de IVA]])*VLOOKUP(PROVEEDORES[[#This Row],[PROVEEDOR]],TERCEROS_INFO[#All],3,FALSE)</f>
        <v>0</v>
      </c>
      <c r="N420" s="34"/>
      <c r="O420" s="33">
        <f>+PROVEEDORES[[#This Row],[Descuento sobre subtotal %]]*(PROVEEDORES[[#This Row],[SUBTOTAL]]-PROVEEDORES[[#This Row],[descuento antes de IVA]])</f>
        <v>0</v>
      </c>
      <c r="P4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0" s="33">
        <f>+(PROVEEDORES[[#This Row],[SUBTOTAL]]-PROVEEDORES[[#This Row],[descuento antes de IVA]])*PROVEEDORES[[#This Row],[Rete Fuente %]]</f>
        <v>0</v>
      </c>
      <c r="R420" s="32">
        <f>+PROVEEDORES[[#This Row],[SUBTOTAL]]+PROVEEDORES[[#This Row],[IVA 19%]]-PROVEEDORES[[#This Row],[descuento antes de IVA]]-PROVEEDORES[[#This Row],[Descuento sobre subtotal $]]-PROVEEDORES[[#This Row],[Rete Fuente $]]</f>
        <v>1750000</v>
      </c>
      <c r="S420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0" s="40"/>
      <c r="U420" s="97"/>
      <c r="V420" s="36"/>
      <c r="W420" s="36"/>
      <c r="X420" s="36"/>
      <c r="Y420" s="36"/>
      <c r="Z420" s="41"/>
      <c r="AA420" s="42"/>
      <c r="AF420" s="36"/>
      <c r="AG420" s="36"/>
    </row>
    <row r="421" spans="1:33" ht="21.95" hidden="1" customHeight="1" x14ac:dyDescent="0.25">
      <c r="A421" s="88" t="str">
        <f>+IF(PROVEEDORES[[#This Row],[FECHA DE PAGO]]=PROVEEDORES[[#This Row],[FECHA DE FACTURACIÓN]],"DE CONTADO","CRÉDITO")</f>
        <v>DE CONTADO</v>
      </c>
      <c r="B421" s="70" t="b">
        <f>+IF((PROVEEDORES[[#This Row],[FECHA DE PAGO]]-PROVEEDORES[[#This Row],[FECHA DE FACTURACIÓN]])&gt;PROVEEDORES[[#This Row],[PLAZO Días]],"PAGO VENCIDO")</f>
        <v>0</v>
      </c>
      <c r="C421" s="27">
        <f>+VLOOKUP(PROVEEDORES[[#This Row],[PROVEEDOR]],TERCEROS_INFO[#All],2,FALSE)</f>
        <v>30</v>
      </c>
      <c r="D421" s="37">
        <f>+SUMIFS(PROVEEDORES[Total],PROVEEDORES[PROVEEDOR],PROVEEDORES[[#This Row],[PROVEEDOR]],PROVEEDORES[FECHA DE PAGO],"")</f>
        <v>0</v>
      </c>
      <c r="E421" s="37"/>
      <c r="F421" s="108">
        <f>+VLOOKUP(PROVEEDORES[[#This Row],[PROVEEDOR]],TERCEROS_INFO[[PROVEEDOR]:[CORREO]],5,FALSE)</f>
        <v>0</v>
      </c>
      <c r="G421" s="143">
        <v>44280</v>
      </c>
      <c r="H421" s="38" t="s">
        <v>585</v>
      </c>
      <c r="I421" s="30">
        <v>44280</v>
      </c>
      <c r="J421" s="58" t="s">
        <v>1109</v>
      </c>
      <c r="K421" s="32">
        <v>75000</v>
      </c>
      <c r="L421" s="32"/>
      <c r="M421" s="33">
        <f>(PROVEEDORES[[#This Row],[SUBTOTAL]]-PROVEEDORES[[#This Row],[descuento antes de IVA]])*VLOOKUP(PROVEEDORES[[#This Row],[PROVEEDOR]],TERCEROS_INFO[#All],3,FALSE)</f>
        <v>0</v>
      </c>
      <c r="N421" s="34"/>
      <c r="O421" s="33">
        <f>+PROVEEDORES[[#This Row],[Descuento sobre subtotal %]]*(PROVEEDORES[[#This Row],[SUBTOTAL]]-PROVEEDORES[[#This Row],[descuento antes de IVA]])</f>
        <v>0</v>
      </c>
      <c r="P4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1" s="33">
        <f>+(PROVEEDORES[[#This Row],[SUBTOTAL]]-PROVEEDORES[[#This Row],[descuento antes de IVA]])*PROVEEDORES[[#This Row],[Rete Fuente %]]</f>
        <v>0</v>
      </c>
      <c r="R421" s="32">
        <f>+PROVEEDORES[[#This Row],[SUBTOTAL]]+PROVEEDORES[[#This Row],[IVA 19%]]-PROVEEDORES[[#This Row],[descuento antes de IVA]]-PROVEEDORES[[#This Row],[Descuento sobre subtotal $]]-PROVEEDORES[[#This Row],[Rete Fuente $]]</f>
        <v>75000</v>
      </c>
      <c r="S421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1" s="40"/>
      <c r="U421" s="97"/>
      <c r="V421" s="36"/>
      <c r="W421" s="36"/>
      <c r="X421" s="36"/>
      <c r="Y421" s="36"/>
      <c r="Z421" s="41"/>
      <c r="AA421" s="42"/>
      <c r="AF421" s="36"/>
      <c r="AG421" s="36"/>
    </row>
    <row r="422" spans="1:33" ht="21.95" hidden="1" customHeight="1" x14ac:dyDescent="0.25">
      <c r="A422" s="39" t="str">
        <f>+IF(PROVEEDORES[[#This Row],[FECHA DE PAGO]]=PROVEEDORES[[#This Row],[FECHA DE FACTURACIÓN]],"DE CONTADO","CRÉDITO")</f>
        <v>DE CONTADO</v>
      </c>
      <c r="B422" s="67" t="b">
        <f>+IF((PROVEEDORES[[#This Row],[FECHA DE PAGO]]-PROVEEDORES[[#This Row],[FECHA DE FACTURACIÓN]])&gt;PROVEEDORES[[#This Row],[PLAZO Días]],"PAGO VENCIDO")</f>
        <v>0</v>
      </c>
      <c r="C422" s="27">
        <f>+VLOOKUP(PROVEEDORES[[#This Row],[PROVEEDOR]],TERCEROS_INFO[#All],2,FALSE)</f>
        <v>30</v>
      </c>
      <c r="D422" s="37">
        <f>+SUMIFS(PROVEEDORES[Total],PROVEEDORES[PROVEEDOR],PROVEEDORES[[#This Row],[PROVEEDOR]],PROVEEDORES[FECHA DE PAGO],"")</f>
        <v>0</v>
      </c>
      <c r="E422" s="37"/>
      <c r="F422" s="108" t="str">
        <f>+VLOOKUP(PROVEEDORES[[#This Row],[PROVEEDOR]],TERCEROS_INFO[[PROVEEDOR]:[CORREO]],5,FALSE)</f>
        <v/>
      </c>
      <c r="G422" s="143">
        <v>43861</v>
      </c>
      <c r="H422" s="38" t="s">
        <v>279</v>
      </c>
      <c r="I422" s="30">
        <v>43861</v>
      </c>
      <c r="J422" s="58" t="s">
        <v>1033</v>
      </c>
      <c r="K422" s="32">
        <v>584201.68067226897</v>
      </c>
      <c r="L422" s="32"/>
      <c r="M422" s="33">
        <f>(PROVEEDORES[[#This Row],[SUBTOTAL]]-PROVEEDORES[[#This Row],[descuento antes de IVA]])*VLOOKUP(PROVEEDORES[[#This Row],[PROVEEDOR]],TERCEROS_INFO[#All],3,FALSE)</f>
        <v>0</v>
      </c>
      <c r="N422" s="34"/>
      <c r="O422" s="33">
        <f>+PROVEEDORES[[#This Row],[Descuento sobre subtotal %]]*(PROVEEDORES[[#This Row],[SUBTOTAL]]-PROVEEDORES[[#This Row],[descuento antes de IVA]])</f>
        <v>0</v>
      </c>
      <c r="P4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2" s="33">
        <f>+(PROVEEDORES[[#This Row],[SUBTOTAL]]-PROVEEDORES[[#This Row],[descuento antes de IVA]])*PROVEEDORES[[#This Row],[Rete Fuente %]]</f>
        <v>0</v>
      </c>
      <c r="R422" s="32">
        <f>+PROVEEDORES[[#This Row],[SUBTOTAL]]+PROVEEDORES[[#This Row],[IVA 19%]]-PROVEEDORES[[#This Row],[descuento antes de IVA]]-PROVEEDORES[[#This Row],[Descuento sobre subtotal $]]-PROVEEDORES[[#This Row],[Rete Fuente $]]</f>
        <v>584201.68067226897</v>
      </c>
      <c r="S4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2" s="40"/>
      <c r="U422" s="97"/>
      <c r="V422" s="36"/>
      <c r="W422" s="36"/>
      <c r="X422" s="36"/>
      <c r="Y422" s="36"/>
      <c r="Z422" s="41"/>
      <c r="AA422" s="42"/>
      <c r="AF422" s="36"/>
      <c r="AG422" s="36"/>
    </row>
    <row r="423" spans="1:33" ht="21.95" hidden="1" customHeight="1" x14ac:dyDescent="0.25">
      <c r="A423" s="39" t="str">
        <f>+IF(PROVEEDORES[[#This Row],[FECHA DE PAGO]]=PROVEEDORES[[#This Row],[FECHA DE FACTURACIÓN]],"DE CONTADO","CRÉDITO")</f>
        <v>DE CONTADO</v>
      </c>
      <c r="B423" s="67" t="b">
        <f>+IF((PROVEEDORES[[#This Row],[FECHA DE PAGO]]-PROVEEDORES[[#This Row],[FECHA DE FACTURACIÓN]])&gt;PROVEEDORES[[#This Row],[PLAZO Días]],"PAGO VENCIDO")</f>
        <v>0</v>
      </c>
      <c r="C423" s="27">
        <f>+VLOOKUP(PROVEEDORES[[#This Row],[PROVEEDOR]],TERCEROS_INFO[#All],2,FALSE)</f>
        <v>30</v>
      </c>
      <c r="D423" s="37">
        <f>+SUMIFS(PROVEEDORES[Total],PROVEEDORES[PROVEEDOR],PROVEEDORES[[#This Row],[PROVEEDOR]],PROVEEDORES[FECHA DE PAGO],"")</f>
        <v>0</v>
      </c>
      <c r="E423" s="37"/>
      <c r="F423" s="108" t="str">
        <f>+VLOOKUP(PROVEEDORES[[#This Row],[PROVEEDOR]],TERCEROS_INFO[[PROVEEDOR]:[CORREO]],5,FALSE)</f>
        <v/>
      </c>
      <c r="G423" s="143">
        <v>43890</v>
      </c>
      <c r="H423" s="38" t="s">
        <v>279</v>
      </c>
      <c r="I423" s="30">
        <v>43890</v>
      </c>
      <c r="J423" s="58" t="s">
        <v>1033</v>
      </c>
      <c r="K423" s="32">
        <v>102941.17647058824</v>
      </c>
      <c r="L423" s="32"/>
      <c r="M423" s="33">
        <f>(PROVEEDORES[[#This Row],[SUBTOTAL]]-PROVEEDORES[[#This Row],[descuento antes de IVA]])*VLOOKUP(PROVEEDORES[[#This Row],[PROVEEDOR]],TERCEROS_INFO[#All],3,FALSE)</f>
        <v>0</v>
      </c>
      <c r="N423" s="34"/>
      <c r="O423" s="33">
        <f>+PROVEEDORES[[#This Row],[Descuento sobre subtotal %]]*(PROVEEDORES[[#This Row],[SUBTOTAL]]-PROVEEDORES[[#This Row],[descuento antes de IVA]])</f>
        <v>0</v>
      </c>
      <c r="P4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3" s="33">
        <f>+(PROVEEDORES[[#This Row],[SUBTOTAL]]-PROVEEDORES[[#This Row],[descuento antes de IVA]])*PROVEEDORES[[#This Row],[Rete Fuente %]]</f>
        <v>0</v>
      </c>
      <c r="R423" s="32">
        <f>+PROVEEDORES[[#This Row],[SUBTOTAL]]+PROVEEDORES[[#This Row],[IVA 19%]]-PROVEEDORES[[#This Row],[descuento antes de IVA]]-PROVEEDORES[[#This Row],[Descuento sobre subtotal $]]-PROVEEDORES[[#This Row],[Rete Fuente $]]</f>
        <v>102941.17647058824</v>
      </c>
      <c r="S4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3" s="40"/>
      <c r="U423" s="97"/>
      <c r="V423" s="36"/>
      <c r="W423" s="36"/>
      <c r="X423" s="36"/>
      <c r="Y423" s="36"/>
      <c r="Z423" s="41"/>
      <c r="AA423" s="42"/>
      <c r="AF423" s="36"/>
      <c r="AG423" s="36"/>
    </row>
    <row r="424" spans="1:33" ht="21.95" hidden="1" customHeight="1" x14ac:dyDescent="0.25">
      <c r="A424" s="39" t="str">
        <f>+IF(PROVEEDORES[[#This Row],[FECHA DE PAGO]]=PROVEEDORES[[#This Row],[FECHA DE FACTURACIÓN]],"DE CONTADO","CRÉDITO")</f>
        <v>DE CONTADO</v>
      </c>
      <c r="B424" s="67" t="b">
        <f>+IF((PROVEEDORES[[#This Row],[FECHA DE PAGO]]-PROVEEDORES[[#This Row],[FECHA DE FACTURACIÓN]])&gt;PROVEEDORES[[#This Row],[PLAZO Días]],"PAGO VENCIDO")</f>
        <v>0</v>
      </c>
      <c r="C424" s="27">
        <f>+VLOOKUP(PROVEEDORES[[#This Row],[PROVEEDOR]],TERCEROS_INFO[#All],2,FALSE)</f>
        <v>30</v>
      </c>
      <c r="D424" s="37">
        <f>+SUMIFS(PROVEEDORES[Total],PROVEEDORES[PROVEEDOR],PROVEEDORES[[#This Row],[PROVEEDOR]],PROVEEDORES[FECHA DE PAGO],"")</f>
        <v>0</v>
      </c>
      <c r="E424" s="37"/>
      <c r="F424" s="108" t="str">
        <f>+VLOOKUP(PROVEEDORES[[#This Row],[PROVEEDOR]],TERCEROS_INFO[[PROVEEDOR]:[CORREO]],5,FALSE)</f>
        <v/>
      </c>
      <c r="G424" s="143">
        <v>43921</v>
      </c>
      <c r="H424" s="38" t="s">
        <v>279</v>
      </c>
      <c r="I424" s="30">
        <v>43921</v>
      </c>
      <c r="J424" s="58" t="s">
        <v>1033</v>
      </c>
      <c r="K424" s="32">
        <v>572268.90756302525</v>
      </c>
      <c r="L424" s="32"/>
      <c r="M424" s="33">
        <f>(PROVEEDORES[[#This Row],[SUBTOTAL]]-PROVEEDORES[[#This Row],[descuento antes de IVA]])*VLOOKUP(PROVEEDORES[[#This Row],[PROVEEDOR]],TERCEROS_INFO[#All],3,FALSE)</f>
        <v>0</v>
      </c>
      <c r="N424" s="34"/>
      <c r="O424" s="33">
        <f>+PROVEEDORES[[#This Row],[Descuento sobre subtotal %]]*(PROVEEDORES[[#This Row],[SUBTOTAL]]-PROVEEDORES[[#This Row],[descuento antes de IVA]])</f>
        <v>0</v>
      </c>
      <c r="P4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4" s="33">
        <f>+(PROVEEDORES[[#This Row],[SUBTOTAL]]-PROVEEDORES[[#This Row],[descuento antes de IVA]])*PROVEEDORES[[#This Row],[Rete Fuente %]]</f>
        <v>0</v>
      </c>
      <c r="R424" s="32">
        <f>+PROVEEDORES[[#This Row],[SUBTOTAL]]+PROVEEDORES[[#This Row],[IVA 19%]]-PROVEEDORES[[#This Row],[descuento antes de IVA]]-PROVEEDORES[[#This Row],[Descuento sobre subtotal $]]-PROVEEDORES[[#This Row],[Rete Fuente $]]</f>
        <v>572268.90756302525</v>
      </c>
      <c r="S4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4" s="40"/>
      <c r="U424" s="97"/>
      <c r="V424" s="36"/>
      <c r="W424" s="36"/>
      <c r="X424" s="36"/>
      <c r="Y424" s="36"/>
      <c r="Z424" s="41"/>
      <c r="AA424" s="42"/>
      <c r="AF424" s="36"/>
      <c r="AG424" s="36"/>
    </row>
    <row r="425" spans="1:33" ht="21.95" hidden="1" customHeight="1" x14ac:dyDescent="0.25">
      <c r="A425" s="39" t="str">
        <f>+IF(PROVEEDORES[[#This Row],[FECHA DE PAGO]]=PROVEEDORES[[#This Row],[FECHA DE FACTURACIÓN]],"DE CONTADO","CRÉDITO")</f>
        <v>DE CONTADO</v>
      </c>
      <c r="B425" s="67" t="b">
        <f>+IF((PROVEEDORES[[#This Row],[FECHA DE PAGO]]-PROVEEDORES[[#This Row],[FECHA DE FACTURACIÓN]])&gt;PROVEEDORES[[#This Row],[PLAZO Días]],"PAGO VENCIDO")</f>
        <v>0</v>
      </c>
      <c r="C425" s="27">
        <f>+VLOOKUP(PROVEEDORES[[#This Row],[PROVEEDOR]],TERCEROS_INFO[#All],2,FALSE)</f>
        <v>30</v>
      </c>
      <c r="D425" s="37">
        <f>+SUMIFS(PROVEEDORES[Total],PROVEEDORES[PROVEEDOR],PROVEEDORES[[#This Row],[PROVEEDOR]],PROVEEDORES[FECHA DE PAGO],"")</f>
        <v>0</v>
      </c>
      <c r="E425" s="37"/>
      <c r="F425" s="108" t="str">
        <f>+VLOOKUP(PROVEEDORES[[#This Row],[PROVEEDOR]],TERCEROS_INFO[[PROVEEDOR]:[CORREO]],5,FALSE)</f>
        <v/>
      </c>
      <c r="G425" s="143">
        <v>44012</v>
      </c>
      <c r="H425" s="38" t="s">
        <v>279</v>
      </c>
      <c r="I425" s="30">
        <v>44012</v>
      </c>
      <c r="J425" s="58"/>
      <c r="K425" s="32">
        <v>317000</v>
      </c>
      <c r="L425" s="32"/>
      <c r="M425" s="33">
        <f>(PROVEEDORES[[#This Row],[SUBTOTAL]]-PROVEEDORES[[#This Row],[descuento antes de IVA]])*VLOOKUP(PROVEEDORES[[#This Row],[PROVEEDOR]],TERCEROS_INFO[#All],3,FALSE)</f>
        <v>0</v>
      </c>
      <c r="N425" s="34"/>
      <c r="O425" s="33">
        <f>+PROVEEDORES[[#This Row],[Descuento sobre subtotal %]]*(PROVEEDORES[[#This Row],[SUBTOTAL]]-PROVEEDORES[[#This Row],[descuento antes de IVA]])</f>
        <v>0</v>
      </c>
      <c r="P4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5" s="33">
        <f>+(PROVEEDORES[[#This Row],[SUBTOTAL]]-PROVEEDORES[[#This Row],[descuento antes de IVA]])*PROVEEDORES[[#This Row],[Rete Fuente %]]</f>
        <v>0</v>
      </c>
      <c r="R425" s="32">
        <f>+PROVEEDORES[[#This Row],[SUBTOTAL]]+PROVEEDORES[[#This Row],[IVA 19%]]-PROVEEDORES[[#This Row],[descuento antes de IVA]]-PROVEEDORES[[#This Row],[Descuento sobre subtotal $]]-PROVEEDORES[[#This Row],[Rete Fuente $]]</f>
        <v>317000</v>
      </c>
      <c r="S4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5" s="40"/>
      <c r="U425" s="97"/>
      <c r="V425" s="36"/>
      <c r="W425" s="36"/>
      <c r="X425" s="36"/>
      <c r="Y425" s="36"/>
      <c r="Z425" s="41"/>
      <c r="AA425" s="42"/>
      <c r="AF425" s="36"/>
      <c r="AG425" s="36"/>
    </row>
    <row r="426" spans="1:33" ht="21.95" hidden="1" customHeight="1" x14ac:dyDescent="0.25">
      <c r="A426" s="39" t="str">
        <f>+IF(PROVEEDORES[[#This Row],[FECHA DE PAGO]]=PROVEEDORES[[#This Row],[FECHA DE FACTURACIÓN]],"DE CONTADO","CRÉDITO")</f>
        <v>DE CONTADO</v>
      </c>
      <c r="B426" s="67" t="b">
        <f>+IF((PROVEEDORES[[#This Row],[FECHA DE PAGO]]-PROVEEDORES[[#This Row],[FECHA DE FACTURACIÓN]])&gt;PROVEEDORES[[#This Row],[PLAZO Días]],"PAGO VENCIDO")</f>
        <v>0</v>
      </c>
      <c r="C426" s="27">
        <f>+VLOOKUP(PROVEEDORES[[#This Row],[PROVEEDOR]],TERCEROS_INFO[#All],2,FALSE)</f>
        <v>30</v>
      </c>
      <c r="D426" s="37">
        <f>+SUMIFS(PROVEEDORES[Total],PROVEEDORES[PROVEEDOR],PROVEEDORES[[#This Row],[PROVEEDOR]],PROVEEDORES[FECHA DE PAGO],"")</f>
        <v>0</v>
      </c>
      <c r="E426" s="37"/>
      <c r="F426" s="108" t="str">
        <f>+VLOOKUP(PROVEEDORES[[#This Row],[PROVEEDOR]],TERCEROS_INFO[[PROVEEDOR]:[CORREO]],5,FALSE)</f>
        <v/>
      </c>
      <c r="G426" s="143">
        <v>44043</v>
      </c>
      <c r="H426" s="38" t="s">
        <v>279</v>
      </c>
      <c r="I426" s="30">
        <v>44043</v>
      </c>
      <c r="J426" s="58" t="s">
        <v>1076</v>
      </c>
      <c r="K426" s="32">
        <v>111000</v>
      </c>
      <c r="L426" s="32"/>
      <c r="M426" s="33">
        <f>(PROVEEDORES[[#This Row],[SUBTOTAL]]-PROVEEDORES[[#This Row],[descuento antes de IVA]])*VLOOKUP(PROVEEDORES[[#This Row],[PROVEEDOR]],TERCEROS_INFO[#All],3,FALSE)</f>
        <v>0</v>
      </c>
      <c r="N426" s="34"/>
      <c r="O426" s="33">
        <f>+PROVEEDORES[[#This Row],[Descuento sobre subtotal %]]*(PROVEEDORES[[#This Row],[SUBTOTAL]]-PROVEEDORES[[#This Row],[descuento antes de IVA]])</f>
        <v>0</v>
      </c>
      <c r="P4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6" s="33">
        <f>+(PROVEEDORES[[#This Row],[SUBTOTAL]]-PROVEEDORES[[#This Row],[descuento antes de IVA]])*PROVEEDORES[[#This Row],[Rete Fuente %]]</f>
        <v>0</v>
      </c>
      <c r="R426" s="32">
        <f>+PROVEEDORES[[#This Row],[SUBTOTAL]]+PROVEEDORES[[#This Row],[IVA 19%]]-PROVEEDORES[[#This Row],[descuento antes de IVA]]-PROVEEDORES[[#This Row],[Descuento sobre subtotal $]]-PROVEEDORES[[#This Row],[Rete Fuente $]]</f>
        <v>111000</v>
      </c>
      <c r="S42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6" s="40"/>
      <c r="U426" s="97"/>
      <c r="V426" s="36"/>
      <c r="W426" s="36"/>
      <c r="X426" s="36"/>
      <c r="Y426" s="36"/>
      <c r="Z426" s="41"/>
      <c r="AA426" s="42"/>
      <c r="AF426" s="36"/>
      <c r="AG426" s="36"/>
    </row>
    <row r="427" spans="1:33" ht="21.95" hidden="1" customHeight="1" x14ac:dyDescent="0.25">
      <c r="A427" s="39" t="str">
        <f>+IF(PROVEEDORES[[#This Row],[FECHA DE PAGO]]=PROVEEDORES[[#This Row],[FECHA DE FACTURACIÓN]],"DE CONTADO","CRÉDITO")</f>
        <v>DE CONTADO</v>
      </c>
      <c r="B427" s="67" t="b">
        <f>+IF((PROVEEDORES[[#This Row],[FECHA DE PAGO]]-PROVEEDORES[[#This Row],[FECHA DE FACTURACIÓN]])&gt;PROVEEDORES[[#This Row],[PLAZO Días]],"PAGO VENCIDO")</f>
        <v>0</v>
      </c>
      <c r="C427" s="27">
        <f>+VLOOKUP(PROVEEDORES[[#This Row],[PROVEEDOR]],TERCEROS_INFO[#All],2,FALSE)</f>
        <v>30</v>
      </c>
      <c r="D427" s="37">
        <f>+SUMIFS(PROVEEDORES[Total],PROVEEDORES[PROVEEDOR],PROVEEDORES[[#This Row],[PROVEEDOR]],PROVEEDORES[FECHA DE PAGO],"")</f>
        <v>0</v>
      </c>
      <c r="E427" s="37"/>
      <c r="F427" s="108" t="str">
        <f>+VLOOKUP(PROVEEDORES[[#This Row],[PROVEEDOR]],TERCEROS_INFO[[PROVEEDOR]:[CORREO]],5,FALSE)</f>
        <v/>
      </c>
      <c r="G427" s="143">
        <v>44074</v>
      </c>
      <c r="H427" s="38" t="s">
        <v>279</v>
      </c>
      <c r="I427" s="30">
        <v>44074</v>
      </c>
      <c r="J427" s="58" t="s">
        <v>1076</v>
      </c>
      <c r="K427" s="32">
        <v>246500</v>
      </c>
      <c r="L427" s="32"/>
      <c r="M427" s="33">
        <f>(PROVEEDORES[[#This Row],[SUBTOTAL]]-PROVEEDORES[[#This Row],[descuento antes de IVA]])*VLOOKUP(PROVEEDORES[[#This Row],[PROVEEDOR]],TERCEROS_INFO[#All],3,FALSE)</f>
        <v>0</v>
      </c>
      <c r="N427" s="34"/>
      <c r="O427" s="33">
        <f>+PROVEEDORES[[#This Row],[Descuento sobre subtotal %]]*(PROVEEDORES[[#This Row],[SUBTOTAL]]-PROVEEDORES[[#This Row],[descuento antes de IVA]])</f>
        <v>0</v>
      </c>
      <c r="P4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7" s="33">
        <f>+(PROVEEDORES[[#This Row],[SUBTOTAL]]-PROVEEDORES[[#This Row],[descuento antes de IVA]])*PROVEEDORES[[#This Row],[Rete Fuente %]]</f>
        <v>0</v>
      </c>
      <c r="R427" s="32">
        <f>+PROVEEDORES[[#This Row],[SUBTOTAL]]+PROVEEDORES[[#This Row],[IVA 19%]]-PROVEEDORES[[#This Row],[descuento antes de IVA]]-PROVEEDORES[[#This Row],[Descuento sobre subtotal $]]-PROVEEDORES[[#This Row],[Rete Fuente $]]</f>
        <v>246500</v>
      </c>
      <c r="S42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7" s="40"/>
      <c r="U427" s="97"/>
      <c r="V427" s="36"/>
      <c r="W427" s="36"/>
      <c r="X427" s="36"/>
      <c r="Y427" s="36"/>
      <c r="Z427" s="41"/>
      <c r="AA427" s="42"/>
      <c r="AF427" s="36"/>
      <c r="AG427" s="36"/>
    </row>
    <row r="428" spans="1:33" ht="21.95" hidden="1" customHeight="1" x14ac:dyDescent="0.25">
      <c r="A428" s="39" t="str">
        <f>+IF(PROVEEDORES[[#This Row],[FECHA DE PAGO]]=PROVEEDORES[[#This Row],[FECHA DE FACTURACIÓN]],"DE CONTADO","CRÉDITO")</f>
        <v>DE CONTADO</v>
      </c>
      <c r="B428" s="67" t="b">
        <f>+IF((PROVEEDORES[[#This Row],[FECHA DE PAGO]]-PROVEEDORES[[#This Row],[FECHA DE FACTURACIÓN]])&gt;PROVEEDORES[[#This Row],[PLAZO Días]],"PAGO VENCIDO")</f>
        <v>0</v>
      </c>
      <c r="C428" s="27">
        <f>+VLOOKUP(PROVEEDORES[[#This Row],[PROVEEDOR]],TERCEROS_INFO[#All],2,FALSE)</f>
        <v>30</v>
      </c>
      <c r="D428" s="37">
        <f>+SUMIFS(PROVEEDORES[Total],PROVEEDORES[PROVEEDOR],PROVEEDORES[[#This Row],[PROVEEDOR]],PROVEEDORES[FECHA DE PAGO],"")</f>
        <v>0</v>
      </c>
      <c r="E428" s="37"/>
      <c r="F428" s="108" t="str">
        <f>+VLOOKUP(PROVEEDORES[[#This Row],[PROVEEDOR]],TERCEROS_INFO[[PROVEEDOR]:[CORREO]],5,FALSE)</f>
        <v/>
      </c>
      <c r="G428" s="143">
        <v>44135</v>
      </c>
      <c r="H428" s="38" t="s">
        <v>279</v>
      </c>
      <c r="I428" s="30">
        <v>44135</v>
      </c>
      <c r="J428" s="58" t="s">
        <v>1076</v>
      </c>
      <c r="K428" s="32">
        <v>108000</v>
      </c>
      <c r="L428" s="32"/>
      <c r="M428" s="33">
        <f>(PROVEEDORES[[#This Row],[SUBTOTAL]]-PROVEEDORES[[#This Row],[descuento antes de IVA]])*VLOOKUP(PROVEEDORES[[#This Row],[PROVEEDOR]],TERCEROS_INFO[#All],3,FALSE)</f>
        <v>0</v>
      </c>
      <c r="N428" s="34"/>
      <c r="O428" s="33">
        <f>+PROVEEDORES[[#This Row],[Descuento sobre subtotal %]]*(PROVEEDORES[[#This Row],[SUBTOTAL]]-PROVEEDORES[[#This Row],[descuento antes de IVA]])</f>
        <v>0</v>
      </c>
      <c r="P4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8" s="33">
        <f>+(PROVEEDORES[[#This Row],[SUBTOTAL]]-PROVEEDORES[[#This Row],[descuento antes de IVA]])*PROVEEDORES[[#This Row],[Rete Fuente %]]</f>
        <v>0</v>
      </c>
      <c r="R428" s="32">
        <f>+PROVEEDORES[[#This Row],[SUBTOTAL]]+PROVEEDORES[[#This Row],[IVA 19%]]-PROVEEDORES[[#This Row],[descuento antes de IVA]]-PROVEEDORES[[#This Row],[Descuento sobre subtotal $]]-PROVEEDORES[[#This Row],[Rete Fuente $]]</f>
        <v>108000</v>
      </c>
      <c r="S42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8" s="40"/>
      <c r="U428" s="97"/>
      <c r="V428" s="36"/>
      <c r="W428" s="36"/>
      <c r="X428" s="36"/>
      <c r="Y428" s="36"/>
      <c r="Z428" s="41"/>
      <c r="AA428" s="42"/>
      <c r="AF428" s="36"/>
      <c r="AG428" s="36"/>
    </row>
    <row r="429" spans="1:33" ht="21.95" hidden="1" customHeight="1" x14ac:dyDescent="0.25">
      <c r="A429" s="39" t="str">
        <f>+IF(PROVEEDORES[[#This Row],[FECHA DE PAGO]]=PROVEEDORES[[#This Row],[FECHA DE FACTURACIÓN]],"DE CONTADO","CRÉDITO")</f>
        <v>DE CONTADO</v>
      </c>
      <c r="B429" s="67" t="b">
        <f>+IF((PROVEEDORES[[#This Row],[FECHA DE PAGO]]-PROVEEDORES[[#This Row],[FECHA DE FACTURACIÓN]])&gt;PROVEEDORES[[#This Row],[PLAZO Días]],"PAGO VENCIDO")</f>
        <v>0</v>
      </c>
      <c r="C429" s="27">
        <f>+VLOOKUP(PROVEEDORES[[#This Row],[PROVEEDOR]],TERCEROS_INFO[#All],2,FALSE)</f>
        <v>30</v>
      </c>
      <c r="D429" s="37">
        <f>+SUMIFS(PROVEEDORES[Total],PROVEEDORES[PROVEEDOR],PROVEEDORES[[#This Row],[PROVEEDOR]],PROVEEDORES[FECHA DE PAGO],"")</f>
        <v>0</v>
      </c>
      <c r="E429" s="37"/>
      <c r="F429" s="108" t="str">
        <f>+VLOOKUP(PROVEEDORES[[#This Row],[PROVEEDOR]],TERCEROS_INFO[[PROVEEDOR]:[CORREO]],5,FALSE)</f>
        <v/>
      </c>
      <c r="G429" s="143">
        <v>44165</v>
      </c>
      <c r="H429" s="38" t="s">
        <v>279</v>
      </c>
      <c r="I429" s="30">
        <v>44165</v>
      </c>
      <c r="J429" s="58"/>
      <c r="K429" s="32">
        <v>820400</v>
      </c>
      <c r="L429" s="32"/>
      <c r="M429" s="33">
        <f>(PROVEEDORES[[#This Row],[SUBTOTAL]]-PROVEEDORES[[#This Row],[descuento antes de IVA]])*VLOOKUP(PROVEEDORES[[#This Row],[PROVEEDOR]],TERCEROS_INFO[#All],3,FALSE)</f>
        <v>0</v>
      </c>
      <c r="N429" s="34"/>
      <c r="O429" s="33">
        <f>+PROVEEDORES[[#This Row],[Descuento sobre subtotal %]]*(PROVEEDORES[[#This Row],[SUBTOTAL]]-PROVEEDORES[[#This Row],[descuento antes de IVA]])</f>
        <v>0</v>
      </c>
      <c r="P4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29" s="33">
        <f>+(PROVEEDORES[[#This Row],[SUBTOTAL]]-PROVEEDORES[[#This Row],[descuento antes de IVA]])*PROVEEDORES[[#This Row],[Rete Fuente %]]</f>
        <v>0</v>
      </c>
      <c r="R429" s="32">
        <f>+PROVEEDORES[[#This Row],[SUBTOTAL]]+PROVEEDORES[[#This Row],[IVA 19%]]-PROVEEDORES[[#This Row],[descuento antes de IVA]]-PROVEEDORES[[#This Row],[Descuento sobre subtotal $]]-PROVEEDORES[[#This Row],[Rete Fuente $]]</f>
        <v>820400</v>
      </c>
      <c r="S42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9" s="40"/>
      <c r="U429" s="97"/>
      <c r="V429" s="36"/>
      <c r="W429" s="36"/>
      <c r="X429" s="36"/>
      <c r="Y429" s="36"/>
      <c r="Z429" s="41"/>
      <c r="AA429" s="42"/>
      <c r="AF429" s="36"/>
      <c r="AG429" s="36"/>
    </row>
    <row r="430" spans="1:33" ht="21.95" hidden="1" customHeight="1" x14ac:dyDescent="0.25">
      <c r="A430" s="39" t="str">
        <f>+IF(PROVEEDORES[[#This Row],[FECHA DE PAGO]]=PROVEEDORES[[#This Row],[FECHA DE FACTURACIÓN]],"DE CONTADO","CRÉDITO")</f>
        <v>DE CONTADO</v>
      </c>
      <c r="B430" s="67" t="b">
        <f>+IF((PROVEEDORES[[#This Row],[FECHA DE PAGO]]-PROVEEDORES[[#This Row],[FECHA DE FACTURACIÓN]])&gt;PROVEEDORES[[#This Row],[PLAZO Días]],"PAGO VENCIDO")</f>
        <v>0</v>
      </c>
      <c r="C430" s="27">
        <f>+VLOOKUP(PROVEEDORES[[#This Row],[PROVEEDOR]],TERCEROS_INFO[#All],2,FALSE)</f>
        <v>30</v>
      </c>
      <c r="D430" s="37">
        <f>+SUMIFS(PROVEEDORES[Total],PROVEEDORES[PROVEEDOR],PROVEEDORES[[#This Row],[PROVEEDOR]],PROVEEDORES[FECHA DE PAGO],"")</f>
        <v>0</v>
      </c>
      <c r="E430" s="37"/>
      <c r="F430" s="108" t="str">
        <f>+VLOOKUP(PROVEEDORES[[#This Row],[PROVEEDOR]],TERCEROS_INFO[[PROVEEDOR]:[CORREO]],5,FALSE)</f>
        <v/>
      </c>
      <c r="G430" s="143">
        <v>44196</v>
      </c>
      <c r="H430" s="38" t="s">
        <v>279</v>
      </c>
      <c r="I430" s="30">
        <v>44196</v>
      </c>
      <c r="J430" s="58"/>
      <c r="K430" s="32">
        <v>2093600</v>
      </c>
      <c r="L430" s="32"/>
      <c r="M430" s="33">
        <f>(PROVEEDORES[[#This Row],[SUBTOTAL]]-PROVEEDORES[[#This Row],[descuento antes de IVA]])*VLOOKUP(PROVEEDORES[[#This Row],[PROVEEDOR]],TERCEROS_INFO[#All],3,FALSE)</f>
        <v>0</v>
      </c>
      <c r="N430" s="34"/>
      <c r="O430" s="33">
        <f>+PROVEEDORES[[#This Row],[Descuento sobre subtotal %]]*(PROVEEDORES[[#This Row],[SUBTOTAL]]-PROVEEDORES[[#This Row],[descuento antes de IVA]])</f>
        <v>0</v>
      </c>
      <c r="P4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0" s="33">
        <f>+(PROVEEDORES[[#This Row],[SUBTOTAL]]-PROVEEDORES[[#This Row],[descuento antes de IVA]])*PROVEEDORES[[#This Row],[Rete Fuente %]]</f>
        <v>0</v>
      </c>
      <c r="R430" s="32">
        <f>+PROVEEDORES[[#This Row],[SUBTOTAL]]+PROVEEDORES[[#This Row],[IVA 19%]]-PROVEEDORES[[#This Row],[descuento antes de IVA]]-PROVEEDORES[[#This Row],[Descuento sobre subtotal $]]-PROVEEDORES[[#This Row],[Rete Fuente $]]</f>
        <v>2093600</v>
      </c>
      <c r="S43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0" s="40"/>
      <c r="U430" s="97"/>
      <c r="V430" s="36"/>
      <c r="W430" s="36"/>
      <c r="X430" s="36"/>
      <c r="Y430" s="36"/>
      <c r="Z430" s="41"/>
      <c r="AA430" s="42"/>
      <c r="AF430" s="36"/>
      <c r="AG430" s="36"/>
    </row>
    <row r="431" spans="1:33" ht="21.95" hidden="1" customHeight="1" x14ac:dyDescent="0.25">
      <c r="A431" s="101" t="str">
        <f>+IF(PROVEEDORES[[#This Row],[FECHA DE PAGO]]=PROVEEDORES[[#This Row],[FECHA DE FACTURACIÓN]],"DE CONTADO","CRÉDITO")</f>
        <v>DE CONTADO</v>
      </c>
      <c r="B431" s="70" t="b">
        <f>+IF((PROVEEDORES[[#This Row],[FECHA DE PAGO]]-PROVEEDORES[[#This Row],[FECHA DE FACTURACIÓN]])&gt;PROVEEDORES[[#This Row],[PLAZO Días]],"PAGO VENCIDO")</f>
        <v>0</v>
      </c>
      <c r="C431" s="27">
        <f>+VLOOKUP(PROVEEDORES[[#This Row],[PROVEEDOR]],TERCEROS_INFO[#All],2,FALSE)</f>
        <v>30</v>
      </c>
      <c r="D431" s="37">
        <f>+SUMIFS(PROVEEDORES[Total],PROVEEDORES[PROVEEDOR],PROVEEDORES[[#This Row],[PROVEEDOR]],PROVEEDORES[FECHA DE PAGO],"")</f>
        <v>0</v>
      </c>
      <c r="E431" s="37"/>
      <c r="F431" s="108" t="str">
        <f>+VLOOKUP(PROVEEDORES[[#This Row],[PROVEEDOR]],TERCEROS_INFO[[PROVEEDOR]:[CORREO]],5,FALSE)</f>
        <v/>
      </c>
      <c r="G431" s="143">
        <v>44286</v>
      </c>
      <c r="H431" s="38" t="s">
        <v>279</v>
      </c>
      <c r="I431" s="30">
        <v>44286</v>
      </c>
      <c r="J431" s="58"/>
      <c r="K431" s="32">
        <v>1054000</v>
      </c>
      <c r="L431" s="32"/>
      <c r="M431" s="33">
        <f>(PROVEEDORES[[#This Row],[SUBTOTAL]]-PROVEEDORES[[#This Row],[descuento antes de IVA]])*VLOOKUP(PROVEEDORES[[#This Row],[PROVEEDOR]],TERCEROS_INFO[#All],3,FALSE)</f>
        <v>0</v>
      </c>
      <c r="N431" s="34"/>
      <c r="O431" s="33">
        <f>+PROVEEDORES[[#This Row],[Descuento sobre subtotal %]]*(PROVEEDORES[[#This Row],[SUBTOTAL]]-PROVEEDORES[[#This Row],[descuento antes de IVA]])</f>
        <v>0</v>
      </c>
      <c r="P4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1" s="33">
        <f>+(PROVEEDORES[[#This Row],[SUBTOTAL]]-PROVEEDORES[[#This Row],[descuento antes de IVA]])*PROVEEDORES[[#This Row],[Rete Fuente %]]</f>
        <v>0</v>
      </c>
      <c r="R431" s="32">
        <f>+PROVEEDORES[[#This Row],[SUBTOTAL]]+PROVEEDORES[[#This Row],[IVA 19%]]-PROVEEDORES[[#This Row],[descuento antes de IVA]]-PROVEEDORES[[#This Row],[Descuento sobre subtotal $]]-PROVEEDORES[[#This Row],[Rete Fuente $]]</f>
        <v>1054000</v>
      </c>
      <c r="S431" s="10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1" s="40"/>
      <c r="U431" s="97"/>
      <c r="V431" s="36"/>
      <c r="W431" s="36"/>
      <c r="X431" s="36"/>
      <c r="Y431" s="36"/>
      <c r="Z431" s="41"/>
      <c r="AA431" s="42"/>
      <c r="AF431" s="36"/>
      <c r="AG431" s="36"/>
    </row>
    <row r="432" spans="1:33" ht="21.95" hidden="1" customHeight="1" x14ac:dyDescent="0.25">
      <c r="A432" s="107" t="str">
        <f>+IF(PROVEEDORES[[#This Row],[FECHA DE PAGO]]=PROVEEDORES[[#This Row],[FECHA DE FACTURACIÓN]],"DE CONTADO","CRÉDITO")</f>
        <v>DE CONTADO</v>
      </c>
      <c r="B432" s="70" t="b">
        <f>+IF((PROVEEDORES[[#This Row],[FECHA DE PAGO]]-PROVEEDORES[[#This Row],[FECHA DE FACTURACIÓN]])&gt;PROVEEDORES[[#This Row],[PLAZO Días]],"PAGO VENCIDO")</f>
        <v>0</v>
      </c>
      <c r="C432" s="27">
        <f>+VLOOKUP(PROVEEDORES[[#This Row],[PROVEEDOR]],TERCEROS_INFO[#All],2,FALSE)</f>
        <v>30</v>
      </c>
      <c r="D432" s="37">
        <f>+SUMIFS(PROVEEDORES[Total],PROVEEDORES[PROVEEDOR],PROVEEDORES[[#This Row],[PROVEEDOR]],PROVEEDORES[FECHA DE PAGO],"")</f>
        <v>0</v>
      </c>
      <c r="E432" s="37"/>
      <c r="F432" s="108" t="str">
        <f>+VLOOKUP(PROVEEDORES[[#This Row],[PROVEEDOR]],TERCEROS_INFO[[PROVEEDOR]:[CORREO]],5,FALSE)</f>
        <v/>
      </c>
      <c r="G432" s="143">
        <v>44316</v>
      </c>
      <c r="H432" s="38" t="s">
        <v>279</v>
      </c>
      <c r="I432" s="30">
        <v>44316</v>
      </c>
      <c r="J432" s="58"/>
      <c r="K432" s="32">
        <v>487200</v>
      </c>
      <c r="L432" s="32"/>
      <c r="M432" s="33">
        <f>(PROVEEDORES[[#This Row],[SUBTOTAL]]-PROVEEDORES[[#This Row],[descuento antes de IVA]])*VLOOKUP(PROVEEDORES[[#This Row],[PROVEEDOR]],TERCEROS_INFO[#All],3,FALSE)</f>
        <v>0</v>
      </c>
      <c r="N432" s="34"/>
      <c r="O432" s="33">
        <f>+PROVEEDORES[[#This Row],[Descuento sobre subtotal %]]*(PROVEEDORES[[#This Row],[SUBTOTAL]]-PROVEEDORES[[#This Row],[descuento antes de IVA]])</f>
        <v>0</v>
      </c>
      <c r="P4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2" s="33">
        <f>+(PROVEEDORES[[#This Row],[SUBTOTAL]]-PROVEEDORES[[#This Row],[descuento antes de IVA]])*PROVEEDORES[[#This Row],[Rete Fuente %]]</f>
        <v>0</v>
      </c>
      <c r="R432" s="32">
        <f>+PROVEEDORES[[#This Row],[SUBTOTAL]]+PROVEEDORES[[#This Row],[IVA 19%]]-PROVEEDORES[[#This Row],[descuento antes de IVA]]-PROVEEDORES[[#This Row],[Descuento sobre subtotal $]]-PROVEEDORES[[#This Row],[Rete Fuente $]]</f>
        <v>487200</v>
      </c>
      <c r="S432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2" s="40"/>
      <c r="U432" s="97"/>
      <c r="V432" s="36"/>
      <c r="W432" s="36"/>
      <c r="X432" s="36"/>
      <c r="Y432" s="36"/>
      <c r="Z432" s="41"/>
      <c r="AA432" s="42"/>
      <c r="AF432" s="36"/>
      <c r="AG432" s="36"/>
    </row>
    <row r="433" spans="1:33" ht="21.95" hidden="1" customHeight="1" x14ac:dyDescent="0.25">
      <c r="A433" s="119" t="str">
        <f>+IF(PROVEEDORES[[#This Row],[FECHA DE PAGO]]=PROVEEDORES[[#This Row],[FECHA DE FACTURACIÓN]],"DE CONTADO","CRÉDITO")</f>
        <v>DE CONTADO</v>
      </c>
      <c r="B433" s="70" t="b">
        <f>+IF((PROVEEDORES[[#This Row],[FECHA DE PAGO]]-PROVEEDORES[[#This Row],[FECHA DE FACTURACIÓN]])&gt;PROVEEDORES[[#This Row],[PLAZO Días]],"PAGO VENCIDO")</f>
        <v>0</v>
      </c>
      <c r="C433" s="27">
        <f>+VLOOKUP(PROVEEDORES[[#This Row],[PROVEEDOR]],TERCEROS_INFO[#All],2,FALSE)</f>
        <v>30</v>
      </c>
      <c r="D433" s="37">
        <f>+SUMIFS(PROVEEDORES[Total],PROVEEDORES[PROVEEDOR],PROVEEDORES[[#This Row],[PROVEEDOR]],PROVEEDORES[FECHA DE PAGO],"")</f>
        <v>0</v>
      </c>
      <c r="E433" s="37"/>
      <c r="F433" s="108" t="str">
        <f>+VLOOKUP(PROVEEDORES[[#This Row],[PROVEEDOR]],TERCEROS_INFO[[PROVEEDOR]:[CORREO]],5,FALSE)</f>
        <v/>
      </c>
      <c r="G433" s="143">
        <v>44347</v>
      </c>
      <c r="H433" s="38" t="s">
        <v>279</v>
      </c>
      <c r="I433" s="30">
        <v>44347</v>
      </c>
      <c r="J433" s="58"/>
      <c r="K433" s="32">
        <v>1095000</v>
      </c>
      <c r="L433" s="32"/>
      <c r="M433" s="33">
        <f>(PROVEEDORES[[#This Row],[SUBTOTAL]]-PROVEEDORES[[#This Row],[descuento antes de IVA]])*VLOOKUP(PROVEEDORES[[#This Row],[PROVEEDOR]],TERCEROS_INFO[#All],3,FALSE)</f>
        <v>0</v>
      </c>
      <c r="N433" s="34"/>
      <c r="O433" s="33">
        <f>+PROVEEDORES[[#This Row],[Descuento sobre subtotal %]]*(PROVEEDORES[[#This Row],[SUBTOTAL]]-PROVEEDORES[[#This Row],[descuento antes de IVA]])</f>
        <v>0</v>
      </c>
      <c r="P4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3" s="33">
        <f>+(PROVEEDORES[[#This Row],[SUBTOTAL]]-PROVEEDORES[[#This Row],[descuento antes de IVA]])*PROVEEDORES[[#This Row],[Rete Fuente %]]</f>
        <v>0</v>
      </c>
      <c r="R433" s="32">
        <f>+PROVEEDORES[[#This Row],[SUBTOTAL]]+PROVEEDORES[[#This Row],[IVA 19%]]-PROVEEDORES[[#This Row],[descuento antes de IVA]]-PROVEEDORES[[#This Row],[Descuento sobre subtotal $]]-PROVEEDORES[[#This Row],[Rete Fuente $]]</f>
        <v>1095000</v>
      </c>
      <c r="S433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3" s="40"/>
      <c r="U433" s="97"/>
      <c r="V433" s="36"/>
      <c r="W433" s="36"/>
      <c r="X433" s="36"/>
      <c r="Y433" s="36"/>
      <c r="Z433" s="41"/>
      <c r="AA433" s="42"/>
      <c r="AF433" s="36"/>
      <c r="AG433" s="36"/>
    </row>
    <row r="434" spans="1:33" ht="21.95" hidden="1" customHeight="1" x14ac:dyDescent="0.25">
      <c r="A434" s="129" t="str">
        <f>+IF(PROVEEDORES[[#This Row],[FECHA DE PAGO]]=PROVEEDORES[[#This Row],[FECHA DE FACTURACIÓN]],"DE CONTADO","CRÉDITO")</f>
        <v>DE CONTADO</v>
      </c>
      <c r="B434" s="70" t="b">
        <f>+IF((PROVEEDORES[[#This Row],[FECHA DE PAGO]]-PROVEEDORES[[#This Row],[FECHA DE FACTURACIÓN]])&gt;PROVEEDORES[[#This Row],[PLAZO Días]],"PAGO VENCIDO")</f>
        <v>0</v>
      </c>
      <c r="C434" s="27">
        <f>+VLOOKUP(PROVEEDORES[[#This Row],[PROVEEDOR]],TERCEROS_INFO[#All],2,FALSE)</f>
        <v>30</v>
      </c>
      <c r="D434" s="37">
        <f>+SUMIFS(PROVEEDORES[Total],PROVEEDORES[PROVEEDOR],PROVEEDORES[[#This Row],[PROVEEDOR]],PROVEEDORES[FECHA DE PAGO],"")</f>
        <v>0</v>
      </c>
      <c r="E434" s="37"/>
      <c r="F434" s="108" t="str">
        <f>+VLOOKUP(PROVEEDORES[[#This Row],[PROVEEDOR]],TERCEROS_INFO[[PROVEEDOR]:[CORREO]],5,FALSE)</f>
        <v/>
      </c>
      <c r="G434" s="143">
        <v>44377</v>
      </c>
      <c r="H434" s="38" t="s">
        <v>279</v>
      </c>
      <c r="I434" s="30">
        <v>44377</v>
      </c>
      <c r="J434" s="58"/>
      <c r="K434" s="32">
        <v>720000</v>
      </c>
      <c r="L434" s="32"/>
      <c r="M434" s="33">
        <f>(PROVEEDORES[[#This Row],[SUBTOTAL]]-PROVEEDORES[[#This Row],[descuento antes de IVA]])*VLOOKUP(PROVEEDORES[[#This Row],[PROVEEDOR]],TERCEROS_INFO[#All],3,FALSE)</f>
        <v>0</v>
      </c>
      <c r="N434" s="34"/>
      <c r="O434" s="33">
        <f>+PROVEEDORES[[#This Row],[Descuento sobre subtotal %]]*(PROVEEDORES[[#This Row],[SUBTOTAL]]-PROVEEDORES[[#This Row],[descuento antes de IVA]])</f>
        <v>0</v>
      </c>
      <c r="P4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4" s="33">
        <f>+(PROVEEDORES[[#This Row],[SUBTOTAL]]-PROVEEDORES[[#This Row],[descuento antes de IVA]])*PROVEEDORES[[#This Row],[Rete Fuente %]]</f>
        <v>0</v>
      </c>
      <c r="R434" s="32">
        <f>+PROVEEDORES[[#This Row],[SUBTOTAL]]+PROVEEDORES[[#This Row],[IVA 19%]]-PROVEEDORES[[#This Row],[descuento antes de IVA]]-PROVEEDORES[[#This Row],[Descuento sobre subtotal $]]-PROVEEDORES[[#This Row],[Rete Fuente $]]</f>
        <v>720000</v>
      </c>
      <c r="S434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4" s="40"/>
      <c r="U434" s="97"/>
      <c r="V434" s="36"/>
      <c r="W434" s="36"/>
      <c r="X434" s="36"/>
      <c r="Y434" s="36"/>
      <c r="Z434" s="41"/>
      <c r="AA434" s="42"/>
      <c r="AF434" s="36"/>
      <c r="AG434" s="36"/>
    </row>
    <row r="435" spans="1:33" ht="21.95" hidden="1" customHeight="1" x14ac:dyDescent="0.25">
      <c r="A435" s="139" t="str">
        <f>+IF(PROVEEDORES[[#This Row],[FECHA DE PAGO]]=PROVEEDORES[[#This Row],[FECHA DE FACTURACIÓN]],"DE CONTADO","CRÉDITO")</f>
        <v>DE CONTADO</v>
      </c>
      <c r="B435" s="70" t="b">
        <f>+IF((PROVEEDORES[[#This Row],[FECHA DE PAGO]]-PROVEEDORES[[#This Row],[FECHA DE FACTURACIÓN]])&gt;PROVEEDORES[[#This Row],[PLAZO Días]],"PAGO VENCIDO")</f>
        <v>0</v>
      </c>
      <c r="C435" s="27">
        <f>+VLOOKUP(PROVEEDORES[[#This Row],[PROVEEDOR]],TERCEROS_INFO[#All],2,FALSE)</f>
        <v>30</v>
      </c>
      <c r="D435" s="37">
        <f>+SUMIFS(PROVEEDORES[Total],PROVEEDORES[PROVEEDOR],PROVEEDORES[[#This Row],[PROVEEDOR]],PROVEEDORES[FECHA DE PAGO],"")</f>
        <v>0</v>
      </c>
      <c r="E435" s="37"/>
      <c r="F435" s="108" t="str">
        <f>+VLOOKUP(PROVEEDORES[[#This Row],[PROVEEDOR]],TERCEROS_INFO[[PROVEEDOR]:[CORREO]],5,FALSE)</f>
        <v/>
      </c>
      <c r="G435" s="143">
        <v>44408</v>
      </c>
      <c r="H435" s="38" t="s">
        <v>279</v>
      </c>
      <c r="I435" s="30">
        <v>44408</v>
      </c>
      <c r="J435" s="58"/>
      <c r="K435" s="32">
        <v>460100</v>
      </c>
      <c r="L435" s="32"/>
      <c r="M435" s="33">
        <f>(PROVEEDORES[[#This Row],[SUBTOTAL]]-PROVEEDORES[[#This Row],[descuento antes de IVA]])*VLOOKUP(PROVEEDORES[[#This Row],[PROVEEDOR]],TERCEROS_INFO[#All],3,FALSE)</f>
        <v>0</v>
      </c>
      <c r="N435" s="34"/>
      <c r="O435" s="33">
        <f>+PROVEEDORES[[#This Row],[Descuento sobre subtotal %]]*(PROVEEDORES[[#This Row],[SUBTOTAL]]-PROVEEDORES[[#This Row],[descuento antes de IVA]])</f>
        <v>0</v>
      </c>
      <c r="P4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5" s="33">
        <f>+(PROVEEDORES[[#This Row],[SUBTOTAL]]-PROVEEDORES[[#This Row],[descuento antes de IVA]])*PROVEEDORES[[#This Row],[Rete Fuente %]]</f>
        <v>0</v>
      </c>
      <c r="R435" s="32">
        <f>+PROVEEDORES[[#This Row],[SUBTOTAL]]+PROVEEDORES[[#This Row],[IVA 19%]]-PROVEEDORES[[#This Row],[descuento antes de IVA]]-PROVEEDORES[[#This Row],[Descuento sobre subtotal $]]-PROVEEDORES[[#This Row],[Rete Fuente $]]</f>
        <v>460100</v>
      </c>
      <c r="S435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5" s="40"/>
      <c r="U435" s="97"/>
      <c r="V435" s="36"/>
      <c r="W435" s="36"/>
      <c r="X435" s="36"/>
      <c r="Y435" s="36"/>
      <c r="Z435" s="41"/>
      <c r="AA435" s="42"/>
      <c r="AF435" s="36"/>
      <c r="AG435" s="36"/>
    </row>
    <row r="436" spans="1:33" ht="21.95" hidden="1" customHeight="1" x14ac:dyDescent="0.25">
      <c r="A436" s="39" t="str">
        <f>+IF(PROVEEDORES[[#This Row],[FECHA DE PAGO]]=PROVEEDORES[[#This Row],[FECHA DE FACTURACIÓN]],"DE CONTADO","CRÉDITO")</f>
        <v>CRÉDITO</v>
      </c>
      <c r="B436" s="67" t="str">
        <f>+IF((PROVEEDORES[[#This Row],[FECHA DE PAGO]]-PROVEEDORES[[#This Row],[FECHA DE FACTURACIÓN]])&gt;PROVEEDORES[[#This Row],[PLAZO Días]],"PAGO VENCIDO")</f>
        <v>PAGO VENCIDO</v>
      </c>
      <c r="C436" s="27">
        <f>+VLOOKUP(PROVEEDORES[[#This Row],[PROVEEDOR]],TERCEROS_INFO[#All],2,FALSE)</f>
        <v>30</v>
      </c>
      <c r="D436" s="37">
        <f>+SUMIFS(PROVEEDORES[Total],PROVEEDORES[PROVEEDOR],PROVEEDORES[[#This Row],[PROVEEDOR]],PROVEEDORES[FECHA DE PAGO],"")</f>
        <v>112000</v>
      </c>
      <c r="E436" s="37"/>
      <c r="F436" s="108" t="str">
        <f>+VLOOKUP(PROVEEDORES[[#This Row],[PROVEEDOR]],TERCEROS_INFO[[PROVEEDOR]:[CORREO]],5,FALSE)</f>
        <v/>
      </c>
      <c r="G436" s="143">
        <v>44118</v>
      </c>
      <c r="H436" s="38" t="s">
        <v>280</v>
      </c>
      <c r="I436" s="30">
        <v>44019</v>
      </c>
      <c r="J436" s="58" t="s">
        <v>101</v>
      </c>
      <c r="K436" s="32">
        <v>450000</v>
      </c>
      <c r="L436" s="32"/>
      <c r="M436" s="33">
        <f>(PROVEEDORES[[#This Row],[SUBTOTAL]]-PROVEEDORES[[#This Row],[descuento antes de IVA]])*VLOOKUP(PROVEEDORES[[#This Row],[PROVEEDOR]],TERCEROS_INFO[#All],3,FALSE)</f>
        <v>0</v>
      </c>
      <c r="N436" s="34"/>
      <c r="O436" s="33">
        <f>+PROVEEDORES[[#This Row],[Descuento sobre subtotal %]]*(PROVEEDORES[[#This Row],[SUBTOTAL]]-PROVEEDORES[[#This Row],[descuento antes de IVA]])</f>
        <v>0</v>
      </c>
      <c r="P4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6" s="33">
        <f>+(PROVEEDORES[[#This Row],[SUBTOTAL]]-PROVEEDORES[[#This Row],[descuento antes de IVA]])*PROVEEDORES[[#This Row],[Rete Fuente %]]</f>
        <v>0</v>
      </c>
      <c r="R436" s="32">
        <f>+PROVEEDORES[[#This Row],[SUBTOTAL]]+PROVEEDORES[[#This Row],[IVA 19%]]-PROVEEDORES[[#This Row],[descuento antes de IVA]]-PROVEEDORES[[#This Row],[Descuento sobre subtotal $]]-PROVEEDORES[[#This Row],[Rete Fuente $]]</f>
        <v>450000</v>
      </c>
      <c r="S43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6" s="40"/>
      <c r="U436" s="97"/>
      <c r="V436" s="36"/>
      <c r="W436" s="36"/>
      <c r="X436" s="36"/>
      <c r="Y436" s="36"/>
      <c r="Z436" s="41"/>
      <c r="AA436" s="42"/>
      <c r="AF436" s="36"/>
      <c r="AG436" s="36"/>
    </row>
    <row r="437" spans="1:33" ht="21.95" hidden="1" customHeight="1" x14ac:dyDescent="0.25">
      <c r="A437" s="39" t="str">
        <f>+IF(PROVEEDORES[[#This Row],[FECHA DE PAGO]]=PROVEEDORES[[#This Row],[FECHA DE FACTURACIÓN]],"DE CONTADO","CRÉDITO")</f>
        <v>CRÉDITO</v>
      </c>
      <c r="B437" s="67" t="str">
        <f>+IF((PROVEEDORES[[#This Row],[FECHA DE PAGO]]-PROVEEDORES[[#This Row],[FECHA DE FACTURACIÓN]])&gt;PROVEEDORES[[#This Row],[PLAZO Días]],"PAGO VENCIDO")</f>
        <v>PAGO VENCIDO</v>
      </c>
      <c r="C437" s="27">
        <f>+VLOOKUP(PROVEEDORES[[#This Row],[PROVEEDOR]],TERCEROS_INFO[#All],2,FALSE)</f>
        <v>30</v>
      </c>
      <c r="D437" s="37">
        <f>+SUMIFS(PROVEEDORES[Total],PROVEEDORES[PROVEEDOR],PROVEEDORES[[#This Row],[PROVEEDOR]],PROVEEDORES[FECHA DE PAGO],"")</f>
        <v>112000</v>
      </c>
      <c r="E437" s="37"/>
      <c r="F437" s="108" t="str">
        <f>+VLOOKUP(PROVEEDORES[[#This Row],[PROVEEDOR]],TERCEROS_INFO[[PROVEEDOR]:[CORREO]],5,FALSE)</f>
        <v/>
      </c>
      <c r="G437" s="143">
        <v>44235</v>
      </c>
      <c r="H437" s="38" t="s">
        <v>280</v>
      </c>
      <c r="I437" s="30">
        <v>44187</v>
      </c>
      <c r="J437" s="58">
        <v>46883</v>
      </c>
      <c r="K437" s="32">
        <v>2046000</v>
      </c>
      <c r="L437" s="32"/>
      <c r="M437" s="33">
        <f>(PROVEEDORES[[#This Row],[SUBTOTAL]]-PROVEEDORES[[#This Row],[descuento antes de IVA]])*VLOOKUP(PROVEEDORES[[#This Row],[PROVEEDOR]],TERCEROS_INFO[#All],3,FALSE)</f>
        <v>0</v>
      </c>
      <c r="N437" s="34"/>
      <c r="O437" s="33">
        <f>+PROVEEDORES[[#This Row],[Descuento sobre subtotal %]]*(PROVEEDORES[[#This Row],[SUBTOTAL]]-PROVEEDORES[[#This Row],[descuento antes de IVA]])</f>
        <v>0</v>
      </c>
      <c r="P4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7" s="33">
        <f>+(PROVEEDORES[[#This Row],[SUBTOTAL]]-PROVEEDORES[[#This Row],[descuento antes de IVA]])*PROVEEDORES[[#This Row],[Rete Fuente %]]</f>
        <v>0</v>
      </c>
      <c r="R437" s="32">
        <f>+PROVEEDORES[[#This Row],[SUBTOTAL]]+PROVEEDORES[[#This Row],[IVA 19%]]-PROVEEDORES[[#This Row],[descuento antes de IVA]]-PROVEEDORES[[#This Row],[Descuento sobre subtotal $]]-PROVEEDORES[[#This Row],[Rete Fuente $]]</f>
        <v>2046000</v>
      </c>
      <c r="S43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7" s="40"/>
      <c r="U437" s="97"/>
      <c r="V437" s="36"/>
      <c r="W437" s="36"/>
      <c r="X437" s="36"/>
      <c r="Y437" s="36"/>
      <c r="Z437" s="41"/>
      <c r="AA437" s="42"/>
      <c r="AF437" s="36"/>
      <c r="AG437" s="36"/>
    </row>
    <row r="438" spans="1:33" ht="21.95" hidden="1" customHeight="1" x14ac:dyDescent="0.25">
      <c r="A438" s="39" t="str">
        <f>+IF(PROVEEDORES[[#This Row],[FECHA DE PAGO]]=PROVEEDORES[[#This Row],[FECHA DE FACTURACIÓN]],"DE CONTADO","CRÉDITO")</f>
        <v>CRÉDITO</v>
      </c>
      <c r="B438" s="67" t="str">
        <f>+IF((PROVEEDORES[[#This Row],[FECHA DE PAGO]]-PROVEEDORES[[#This Row],[FECHA DE FACTURACIÓN]])&gt;PROVEEDORES[[#This Row],[PLAZO Días]],"PAGO VENCIDO")</f>
        <v>PAGO VENCIDO</v>
      </c>
      <c r="C438" s="27">
        <f>+VLOOKUP(PROVEEDORES[[#This Row],[PROVEEDOR]],TERCEROS_INFO[#All],2,FALSE)</f>
        <v>30</v>
      </c>
      <c r="D438" s="37">
        <f>+SUMIFS(PROVEEDORES[Total],PROVEEDORES[PROVEEDOR],PROVEEDORES[[#This Row],[PROVEEDOR]],PROVEEDORES[FECHA DE PAGO],"")</f>
        <v>112000</v>
      </c>
      <c r="E438" s="37"/>
      <c r="F438" s="108" t="str">
        <f>+VLOOKUP(PROVEEDORES[[#This Row],[PROVEEDOR]],TERCEROS_INFO[[PROVEEDOR]:[CORREO]],5,FALSE)</f>
        <v/>
      </c>
      <c r="G438" s="143">
        <v>44348</v>
      </c>
      <c r="H438" s="38" t="s">
        <v>280</v>
      </c>
      <c r="I438" s="30">
        <v>44230</v>
      </c>
      <c r="J438" s="58">
        <v>4689</v>
      </c>
      <c r="K438" s="32">
        <v>390000</v>
      </c>
      <c r="L438" s="32"/>
      <c r="M438" s="33">
        <f>(PROVEEDORES[[#This Row],[SUBTOTAL]]-PROVEEDORES[[#This Row],[descuento antes de IVA]])*VLOOKUP(PROVEEDORES[[#This Row],[PROVEEDOR]],TERCEROS_INFO[#All],3,FALSE)</f>
        <v>0</v>
      </c>
      <c r="N438" s="34"/>
      <c r="O438" s="33">
        <f>+PROVEEDORES[[#This Row],[Descuento sobre subtotal %]]*(PROVEEDORES[[#This Row],[SUBTOTAL]]-PROVEEDORES[[#This Row],[descuento antes de IVA]])</f>
        <v>0</v>
      </c>
      <c r="P4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8" s="33">
        <f>+(PROVEEDORES[[#This Row],[SUBTOTAL]]-PROVEEDORES[[#This Row],[descuento antes de IVA]])*PROVEEDORES[[#This Row],[Rete Fuente %]]</f>
        <v>0</v>
      </c>
      <c r="R438" s="32">
        <f>+PROVEEDORES[[#This Row],[SUBTOTAL]]+PROVEEDORES[[#This Row],[IVA 19%]]-PROVEEDORES[[#This Row],[descuento antes de IVA]]-PROVEEDORES[[#This Row],[Descuento sobre subtotal $]]-PROVEEDORES[[#This Row],[Rete Fuente $]]</f>
        <v>390000</v>
      </c>
      <c r="S43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8" s="40"/>
      <c r="U438" s="97"/>
      <c r="V438" s="36"/>
      <c r="W438" s="36"/>
      <c r="X438" s="36"/>
      <c r="Y438" s="36"/>
      <c r="Z438" s="41"/>
      <c r="AA438" s="42"/>
      <c r="AF438" s="36"/>
      <c r="AG438" s="36"/>
    </row>
    <row r="439" spans="1:33" ht="21.95" hidden="1" customHeight="1" x14ac:dyDescent="0.25">
      <c r="A439" s="167" t="str">
        <f>+IF(PROVEEDORES[[#This Row],[FECHA DE PAGO]]=PROVEEDORES[[#This Row],[FECHA DE FACTURACIÓN]],"DE CONTADO","CRÉDITO")</f>
        <v>CRÉDITO</v>
      </c>
      <c r="B439" s="70" t="b">
        <f>+IF((PROVEEDORES[[#This Row],[FECHA DE PAGO]]-PROVEEDORES[[#This Row],[FECHA DE FACTURACIÓN]])&gt;PROVEEDORES[[#This Row],[PLAZO Días]],"PAGO VENCIDO")</f>
        <v>0</v>
      </c>
      <c r="C439" s="27">
        <f>+VLOOKUP(PROVEEDORES[[#This Row],[PROVEEDOR]],TERCEROS_INFO[#All],2,FALSE)</f>
        <v>30</v>
      </c>
      <c r="D439" s="37">
        <f>+SUMIFS(PROVEEDORES[Total],PROVEEDORES[PROVEEDOR],PROVEEDORES[[#This Row],[PROVEEDOR]],PROVEEDORES[FECHA DE PAGO],"")</f>
        <v>112000</v>
      </c>
      <c r="E439" s="37"/>
      <c r="F439" s="108" t="str">
        <f>+VLOOKUP(PROVEEDORES[[#This Row],[PROVEEDOR]],TERCEROS_INFO[[PROVEEDOR]:[CORREO]],5,FALSE)</f>
        <v/>
      </c>
      <c r="H439" s="38" t="s">
        <v>280</v>
      </c>
      <c r="I439" s="30">
        <v>44552</v>
      </c>
      <c r="J439" s="58" t="s">
        <v>1323</v>
      </c>
      <c r="K439" s="32">
        <v>112000</v>
      </c>
      <c r="L439" s="32"/>
      <c r="M439" s="33">
        <f>(PROVEEDORES[[#This Row],[SUBTOTAL]]-PROVEEDORES[[#This Row],[descuento antes de IVA]])*VLOOKUP(PROVEEDORES[[#This Row],[PROVEEDOR]],TERCEROS_INFO[#All],3,FALSE)</f>
        <v>0</v>
      </c>
      <c r="N439" s="34"/>
      <c r="O439" s="33">
        <f>+PROVEEDORES[[#This Row],[Descuento sobre subtotal %]]*(PROVEEDORES[[#This Row],[SUBTOTAL]]-PROVEEDORES[[#This Row],[descuento antes de IVA]])</f>
        <v>0</v>
      </c>
      <c r="P4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39" s="33">
        <f>+(PROVEEDORES[[#This Row],[SUBTOTAL]]-PROVEEDORES[[#This Row],[descuento antes de IVA]])*PROVEEDORES[[#This Row],[Rete Fuente %]]</f>
        <v>0</v>
      </c>
      <c r="R439" s="32">
        <f>+PROVEEDORES[[#This Row],[SUBTOTAL]]+PROVEEDORES[[#This Row],[IVA 19%]]-PROVEEDORES[[#This Row],[descuento antes de IVA]]-PROVEEDORES[[#This Row],[Descuento sobre subtotal $]]-PROVEEDORES[[#This Row],[Rete Fuente $]]</f>
        <v>112000</v>
      </c>
      <c r="S439" s="16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439" s="40"/>
      <c r="U439" s="97"/>
      <c r="V439" s="36"/>
      <c r="W439" s="36"/>
      <c r="X439" s="36"/>
      <c r="Y439" s="36"/>
      <c r="Z439" s="41"/>
      <c r="AA439" s="42"/>
      <c r="AF439" s="36"/>
      <c r="AG439" s="36"/>
    </row>
    <row r="440" spans="1:33" ht="21.95" hidden="1" customHeight="1" x14ac:dyDescent="0.25">
      <c r="A440" s="39" t="str">
        <f>+IF(PROVEEDORES[[#This Row],[FECHA DE PAGO]]=PROVEEDORES[[#This Row],[FECHA DE FACTURACIÓN]],"DE CONTADO","CRÉDITO")</f>
        <v>DE CONTADO</v>
      </c>
      <c r="B440" s="67" t="b">
        <f>+IF((PROVEEDORES[[#This Row],[FECHA DE PAGO]]-PROVEEDORES[[#This Row],[FECHA DE FACTURACIÓN]])&gt;PROVEEDORES[[#This Row],[PLAZO Días]],"PAGO VENCIDO")</f>
        <v>0</v>
      </c>
      <c r="C440" s="27">
        <f>+VLOOKUP(PROVEEDORES[[#This Row],[PROVEEDOR]],TERCEROS_INFO[#All],2,FALSE)</f>
        <v>30</v>
      </c>
      <c r="D440" s="37">
        <f>+SUMIFS(PROVEEDORES[Total],PROVEEDORES[PROVEEDOR],PROVEEDORES[[#This Row],[PROVEEDOR]],PROVEEDORES[FECHA DE PAGO],"")</f>
        <v>0</v>
      </c>
      <c r="E440" s="37"/>
      <c r="F440" s="108" t="str">
        <f>+VLOOKUP(PROVEEDORES[[#This Row],[PROVEEDOR]],TERCEROS_INFO[[PROVEEDOR]:[CORREO]],5,FALSE)</f>
        <v/>
      </c>
      <c r="G440" s="143">
        <v>44165</v>
      </c>
      <c r="H440" s="38" t="s">
        <v>281</v>
      </c>
      <c r="I440" s="30">
        <v>44165</v>
      </c>
      <c r="J440" s="58"/>
      <c r="K440" s="32">
        <v>259000</v>
      </c>
      <c r="L440" s="32"/>
      <c r="M440" s="33">
        <f>(PROVEEDORES[[#This Row],[SUBTOTAL]]-PROVEEDORES[[#This Row],[descuento antes de IVA]])*VLOOKUP(PROVEEDORES[[#This Row],[PROVEEDOR]],TERCEROS_INFO[#All],3,FALSE)</f>
        <v>0</v>
      </c>
      <c r="N440" s="34"/>
      <c r="O440" s="33">
        <f>+PROVEEDORES[[#This Row],[Descuento sobre subtotal %]]*(PROVEEDORES[[#This Row],[SUBTOTAL]]-PROVEEDORES[[#This Row],[descuento antes de IVA]])</f>
        <v>0</v>
      </c>
      <c r="P4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0" s="33">
        <f>+(PROVEEDORES[[#This Row],[SUBTOTAL]]-PROVEEDORES[[#This Row],[descuento antes de IVA]])*PROVEEDORES[[#This Row],[Rete Fuente %]]</f>
        <v>0</v>
      </c>
      <c r="R440" s="32">
        <f>+PROVEEDORES[[#This Row],[SUBTOTAL]]+PROVEEDORES[[#This Row],[IVA 19%]]-PROVEEDORES[[#This Row],[descuento antes de IVA]]-PROVEEDORES[[#This Row],[Descuento sobre subtotal $]]-PROVEEDORES[[#This Row],[Rete Fuente $]]</f>
        <v>259000</v>
      </c>
      <c r="S4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0" s="40"/>
      <c r="U440" s="97"/>
      <c r="V440" s="36"/>
      <c r="W440" s="36"/>
      <c r="X440" s="36"/>
      <c r="Y440" s="36"/>
      <c r="Z440" s="41"/>
      <c r="AA440" s="42"/>
      <c r="AF440" s="36"/>
      <c r="AG440" s="36"/>
    </row>
    <row r="441" spans="1:33" ht="21.95" hidden="1" customHeight="1" x14ac:dyDescent="0.25">
      <c r="A441" s="39" t="str">
        <f>+IF(PROVEEDORES[[#This Row],[FECHA DE PAGO]]=PROVEEDORES[[#This Row],[FECHA DE FACTURACIÓN]],"DE CONTADO","CRÉDITO")</f>
        <v>CRÉDITO</v>
      </c>
      <c r="B441" s="67" t="b">
        <f>+IF((PROVEEDORES[[#This Row],[FECHA DE PAGO]]-PROVEEDORES[[#This Row],[FECHA DE FACTURACIÓN]])&gt;PROVEEDORES[[#This Row],[PLAZO Días]],"PAGO VENCIDO")</f>
        <v>0</v>
      </c>
      <c r="C441" s="27">
        <f>+VLOOKUP(PROVEEDORES[[#This Row],[PROVEEDOR]],TERCEROS_INFO[#All],2,FALSE)</f>
        <v>30</v>
      </c>
      <c r="D441" s="37">
        <f>+SUMIFS(PROVEEDORES[Total],PROVEEDORES[PROVEEDOR],PROVEEDORES[[#This Row],[PROVEEDOR]],PROVEEDORES[FECHA DE PAGO],"")</f>
        <v>702000</v>
      </c>
      <c r="E441" s="37"/>
      <c r="F441" s="108" t="str">
        <f>+VLOOKUP(PROVEEDORES[[#This Row],[PROVEEDOR]],TERCEROS_INFO[[PROVEEDOR]:[CORREO]],5,FALSE)</f>
        <v/>
      </c>
      <c r="G441" s="143">
        <v>44013</v>
      </c>
      <c r="H441" s="38" t="s">
        <v>282</v>
      </c>
      <c r="I441" s="30">
        <v>44006</v>
      </c>
      <c r="J441" s="58"/>
      <c r="K441" s="32">
        <v>1002400</v>
      </c>
      <c r="L441" s="32"/>
      <c r="M441" s="33">
        <f>(PROVEEDORES[[#This Row],[SUBTOTAL]]-PROVEEDORES[[#This Row],[descuento antes de IVA]])*VLOOKUP(PROVEEDORES[[#This Row],[PROVEEDOR]],TERCEROS_INFO[#All],3,FALSE)</f>
        <v>0</v>
      </c>
      <c r="N441" s="34"/>
      <c r="O441" s="33">
        <f>+PROVEEDORES[[#This Row],[Descuento sobre subtotal %]]*(PROVEEDORES[[#This Row],[SUBTOTAL]]-PROVEEDORES[[#This Row],[descuento antes de IVA]])</f>
        <v>0</v>
      </c>
      <c r="P4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1" s="33">
        <f>+(PROVEEDORES[[#This Row],[SUBTOTAL]]-PROVEEDORES[[#This Row],[descuento antes de IVA]])*PROVEEDORES[[#This Row],[Rete Fuente %]]</f>
        <v>0</v>
      </c>
      <c r="R441" s="32">
        <f>+PROVEEDORES[[#This Row],[SUBTOTAL]]+PROVEEDORES[[#This Row],[IVA 19%]]-PROVEEDORES[[#This Row],[descuento antes de IVA]]-PROVEEDORES[[#This Row],[Descuento sobre subtotal $]]-PROVEEDORES[[#This Row],[Rete Fuente $]]</f>
        <v>1002400</v>
      </c>
      <c r="S4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1" s="40"/>
      <c r="U441" s="97"/>
      <c r="V441" s="36"/>
      <c r="W441" s="36"/>
      <c r="X441" s="36"/>
      <c r="Y441" s="36"/>
      <c r="Z441" s="41"/>
      <c r="AA441" s="42"/>
      <c r="AF441" s="36"/>
      <c r="AG441" s="36"/>
    </row>
    <row r="442" spans="1:33" ht="21.95" hidden="1" customHeight="1" x14ac:dyDescent="0.25">
      <c r="A442" s="39" t="str">
        <f>+IF(PROVEEDORES[[#This Row],[FECHA DE PAGO]]=PROVEEDORES[[#This Row],[FECHA DE FACTURACIÓN]],"DE CONTADO","CRÉDITO")</f>
        <v>CRÉDITO</v>
      </c>
      <c r="B442" s="67" t="b">
        <f>+IF((PROVEEDORES[[#This Row],[FECHA DE PAGO]]-PROVEEDORES[[#This Row],[FECHA DE FACTURACIÓN]])&gt;PROVEEDORES[[#This Row],[PLAZO Días]],"PAGO VENCIDO")</f>
        <v>0</v>
      </c>
      <c r="C442" s="27">
        <f>+VLOOKUP(PROVEEDORES[[#This Row],[PROVEEDOR]],TERCEROS_INFO[#All],2,FALSE)</f>
        <v>30</v>
      </c>
      <c r="D442" s="37">
        <f>+SUMIFS(PROVEEDORES[Total],PROVEEDORES[PROVEEDOR],PROVEEDORES[[#This Row],[PROVEEDOR]],PROVEEDORES[FECHA DE PAGO],"")</f>
        <v>702000</v>
      </c>
      <c r="E442" s="37"/>
      <c r="F442" s="108" t="str">
        <f>+VLOOKUP(PROVEEDORES[[#This Row],[PROVEEDOR]],TERCEROS_INFO[[PROVEEDOR]:[CORREO]],5,FALSE)</f>
        <v/>
      </c>
      <c r="G442" s="143">
        <v>44167</v>
      </c>
      <c r="H442" s="38" t="s">
        <v>282</v>
      </c>
      <c r="I442" s="30">
        <v>44165</v>
      </c>
      <c r="J442" s="58"/>
      <c r="K442" s="32">
        <v>1027000</v>
      </c>
      <c r="L442" s="32"/>
      <c r="M442" s="33">
        <f>(PROVEEDORES[[#This Row],[SUBTOTAL]]-PROVEEDORES[[#This Row],[descuento antes de IVA]])*VLOOKUP(PROVEEDORES[[#This Row],[PROVEEDOR]],TERCEROS_INFO[#All],3,FALSE)</f>
        <v>0</v>
      </c>
      <c r="N442" s="34"/>
      <c r="O442" s="33">
        <f>+PROVEEDORES[[#This Row],[Descuento sobre subtotal %]]*(PROVEEDORES[[#This Row],[SUBTOTAL]]-PROVEEDORES[[#This Row],[descuento antes de IVA]])</f>
        <v>0</v>
      </c>
      <c r="P4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2" s="33">
        <f>+(PROVEEDORES[[#This Row],[SUBTOTAL]]-PROVEEDORES[[#This Row],[descuento antes de IVA]])*PROVEEDORES[[#This Row],[Rete Fuente %]]</f>
        <v>0</v>
      </c>
      <c r="R442" s="32">
        <f>+PROVEEDORES[[#This Row],[SUBTOTAL]]+PROVEEDORES[[#This Row],[IVA 19%]]-PROVEEDORES[[#This Row],[descuento antes de IVA]]-PROVEEDORES[[#This Row],[Descuento sobre subtotal $]]-PROVEEDORES[[#This Row],[Rete Fuente $]]</f>
        <v>1027000</v>
      </c>
      <c r="S4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2" s="40"/>
      <c r="U442" s="97"/>
      <c r="V442" s="36"/>
      <c r="W442" s="36"/>
      <c r="X442" s="36"/>
      <c r="Y442" s="36"/>
      <c r="Z442" s="41"/>
      <c r="AA442" s="42"/>
      <c r="AF442" s="36"/>
      <c r="AG442" s="36"/>
    </row>
    <row r="443" spans="1:33" ht="21.95" hidden="1" customHeight="1" x14ac:dyDescent="0.25">
      <c r="A443" s="88" t="str">
        <f>+IF(PROVEEDORES[[#This Row],[FECHA DE PAGO]]=PROVEEDORES[[#This Row],[FECHA DE FACTURACIÓN]],"DE CONTADO","CRÉDITO")</f>
        <v>CRÉDITO</v>
      </c>
      <c r="B443" s="70" t="b">
        <f>+IF((PROVEEDORES[[#This Row],[FECHA DE PAGO]]-PROVEEDORES[[#This Row],[FECHA DE FACTURACIÓN]])&gt;PROVEEDORES[[#This Row],[PLAZO Días]],"PAGO VENCIDO")</f>
        <v>0</v>
      </c>
      <c r="C443" s="27">
        <f>+VLOOKUP(PROVEEDORES[[#This Row],[PROVEEDOR]],TERCEROS_INFO[#All],2,FALSE)</f>
        <v>30</v>
      </c>
      <c r="D443" s="37">
        <f>+SUMIFS(PROVEEDORES[Total],PROVEEDORES[PROVEEDOR],PROVEEDORES[[#This Row],[PROVEEDOR]],PROVEEDORES[FECHA DE PAGO],"")</f>
        <v>702000</v>
      </c>
      <c r="E443" s="37"/>
      <c r="F443" s="108" t="str">
        <f>+VLOOKUP(PROVEEDORES[[#This Row],[PROVEEDOR]],TERCEROS_INFO[[PROVEEDOR]:[CORREO]],5,FALSE)</f>
        <v/>
      </c>
      <c r="G443" s="143">
        <v>44271</v>
      </c>
      <c r="H443" s="38" t="s">
        <v>282</v>
      </c>
      <c r="I443" s="30">
        <v>44261</v>
      </c>
      <c r="J443" s="58"/>
      <c r="K443" s="32">
        <v>1040200</v>
      </c>
      <c r="L443" s="32"/>
      <c r="M443" s="33">
        <f>(PROVEEDORES[[#This Row],[SUBTOTAL]]-PROVEEDORES[[#This Row],[descuento antes de IVA]])*VLOOKUP(PROVEEDORES[[#This Row],[PROVEEDOR]],TERCEROS_INFO[#All],3,FALSE)</f>
        <v>0</v>
      </c>
      <c r="N443" s="34"/>
      <c r="O443" s="33">
        <f>+PROVEEDORES[[#This Row],[Descuento sobre subtotal %]]*(PROVEEDORES[[#This Row],[SUBTOTAL]]-PROVEEDORES[[#This Row],[descuento antes de IVA]])</f>
        <v>0</v>
      </c>
      <c r="P4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3" s="33">
        <f>+(PROVEEDORES[[#This Row],[SUBTOTAL]]-PROVEEDORES[[#This Row],[descuento antes de IVA]])*PROVEEDORES[[#This Row],[Rete Fuente %]]</f>
        <v>0</v>
      </c>
      <c r="R443" s="32">
        <f>+PROVEEDORES[[#This Row],[SUBTOTAL]]+PROVEEDORES[[#This Row],[IVA 19%]]-PROVEEDORES[[#This Row],[descuento antes de IVA]]-PROVEEDORES[[#This Row],[Descuento sobre subtotal $]]-PROVEEDORES[[#This Row],[Rete Fuente $]]</f>
        <v>1040200</v>
      </c>
      <c r="S44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3" s="40"/>
      <c r="U443" s="97"/>
      <c r="V443" s="36"/>
      <c r="W443" s="36"/>
      <c r="X443" s="36"/>
      <c r="Y443" s="36"/>
      <c r="Z443" s="41"/>
      <c r="AA443" s="42"/>
      <c r="AF443" s="36"/>
      <c r="AG443" s="36"/>
    </row>
    <row r="444" spans="1:33" ht="21.95" hidden="1" customHeight="1" x14ac:dyDescent="0.25">
      <c r="A444" s="151" t="str">
        <f>+IF(PROVEEDORES[[#This Row],[FECHA DE PAGO]]=PROVEEDORES[[#This Row],[FECHA DE FACTURACIÓN]],"DE CONTADO","CRÉDITO")</f>
        <v>CRÉDITO</v>
      </c>
      <c r="B444" s="70" t="b">
        <f>+IF((PROVEEDORES[[#This Row],[FECHA DE PAGO]]-PROVEEDORES[[#This Row],[FECHA DE FACTURACIÓN]])&gt;PROVEEDORES[[#This Row],[PLAZO Días]],"PAGO VENCIDO")</f>
        <v>0</v>
      </c>
      <c r="C444" s="27">
        <f>+VLOOKUP(PROVEEDORES[[#This Row],[PROVEEDOR]],TERCEROS_INFO[#All],2,FALSE)</f>
        <v>30</v>
      </c>
      <c r="D444" s="37">
        <f>+SUMIFS(PROVEEDORES[Total],PROVEEDORES[PROVEEDOR],PROVEEDORES[[#This Row],[PROVEEDOR]],PROVEEDORES[FECHA DE PAGO],"")</f>
        <v>702000</v>
      </c>
      <c r="E444" s="37"/>
      <c r="F444" s="108" t="str">
        <f>+VLOOKUP(PROVEEDORES[[#This Row],[PROVEEDOR]],TERCEROS_INFO[[PROVEEDOR]:[CORREO]],5,FALSE)</f>
        <v/>
      </c>
      <c r="G444" s="143">
        <v>44459</v>
      </c>
      <c r="H444" s="38" t="s">
        <v>282</v>
      </c>
      <c r="I444" s="30">
        <v>44450</v>
      </c>
      <c r="J444" s="58"/>
      <c r="K444" s="32">
        <v>1200000</v>
      </c>
      <c r="L444" s="32"/>
      <c r="M444" s="33">
        <f>(PROVEEDORES[[#This Row],[SUBTOTAL]]-PROVEEDORES[[#This Row],[descuento antes de IVA]])*VLOOKUP(PROVEEDORES[[#This Row],[PROVEEDOR]],TERCEROS_INFO[#All],3,FALSE)</f>
        <v>0</v>
      </c>
      <c r="N444" s="34"/>
      <c r="O444" s="33">
        <f>+PROVEEDORES[[#This Row],[Descuento sobre subtotal %]]*(PROVEEDORES[[#This Row],[SUBTOTAL]]-PROVEEDORES[[#This Row],[descuento antes de IVA]])</f>
        <v>0</v>
      </c>
      <c r="P4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4" s="33">
        <f>+(PROVEEDORES[[#This Row],[SUBTOTAL]]-PROVEEDORES[[#This Row],[descuento antes de IVA]])*PROVEEDORES[[#This Row],[Rete Fuente %]]</f>
        <v>0</v>
      </c>
      <c r="R444" s="32">
        <f>+PROVEEDORES[[#This Row],[SUBTOTAL]]+PROVEEDORES[[#This Row],[IVA 19%]]-PROVEEDORES[[#This Row],[descuento antes de IVA]]-PROVEEDORES[[#This Row],[Descuento sobre subtotal $]]-PROVEEDORES[[#This Row],[Rete Fuente $]]</f>
        <v>1200000</v>
      </c>
      <c r="S444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4" s="40"/>
      <c r="U444" s="97"/>
      <c r="V444" s="36"/>
      <c r="W444" s="36"/>
      <c r="X444" s="36"/>
      <c r="Y444" s="36"/>
      <c r="Z444" s="41"/>
      <c r="AA444" s="42"/>
      <c r="AF444" s="36"/>
      <c r="AG444" s="36"/>
    </row>
    <row r="445" spans="1:33" ht="21.95" hidden="1" customHeight="1" x14ac:dyDescent="0.25">
      <c r="A445" s="39" t="str">
        <f>+IF(PROVEEDORES[[#This Row],[FECHA DE PAGO]]=PROVEEDORES[[#This Row],[FECHA DE FACTURACIÓN]],"DE CONTADO","CRÉDITO")</f>
        <v>CRÉDITO</v>
      </c>
      <c r="B445" s="67" t="str">
        <f>+IF((PROVEEDORES[[#This Row],[FECHA DE PAGO]]-PROVEEDORES[[#This Row],[FECHA DE FACTURACIÓN]])&gt;PROVEEDORES[[#This Row],[PLAZO Días]],"PAGO VENCIDO")</f>
        <v>PAGO VENCIDO</v>
      </c>
      <c r="C445" s="27">
        <f>+VLOOKUP(PROVEEDORES[[#This Row],[PROVEEDOR]],TERCEROS_INFO[#All],2,FALSE)</f>
        <v>30</v>
      </c>
      <c r="D445" s="37">
        <f>+SUMIFS(PROVEEDORES[Total],PROVEEDORES[PROVEEDOR],PROVEEDORES[[#This Row],[PROVEEDOR]],PROVEEDORES[FECHA DE PAGO],"")</f>
        <v>0</v>
      </c>
      <c r="E445" s="37"/>
      <c r="F445" s="108" t="str">
        <f>+VLOOKUP(PROVEEDORES[[#This Row],[PROVEEDOR]],TERCEROS_INFO[[PROVEEDOR]:[CORREO]],5,FALSE)</f>
        <v/>
      </c>
      <c r="G445" s="143">
        <v>44165</v>
      </c>
      <c r="H445" s="38" t="s">
        <v>317</v>
      </c>
      <c r="I445" s="30">
        <v>44086</v>
      </c>
      <c r="J445" s="58"/>
      <c r="K445" s="32">
        <v>478000</v>
      </c>
      <c r="L445" s="32"/>
      <c r="M445" s="33">
        <f>(PROVEEDORES[[#This Row],[SUBTOTAL]]-PROVEEDORES[[#This Row],[descuento antes de IVA]])*VLOOKUP(PROVEEDORES[[#This Row],[PROVEEDOR]],TERCEROS_INFO[#All],3,FALSE)</f>
        <v>0</v>
      </c>
      <c r="N445" s="34"/>
      <c r="O445" s="33">
        <f>+PROVEEDORES[[#This Row],[Descuento sobre subtotal %]]*(PROVEEDORES[[#This Row],[SUBTOTAL]]-PROVEEDORES[[#This Row],[descuento antes de IVA]])</f>
        <v>0</v>
      </c>
      <c r="P4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5" s="33">
        <f>+(PROVEEDORES[[#This Row],[SUBTOTAL]]-PROVEEDORES[[#This Row],[descuento antes de IVA]])*PROVEEDORES[[#This Row],[Rete Fuente %]]</f>
        <v>0</v>
      </c>
      <c r="R445" s="32">
        <f>+PROVEEDORES[[#This Row],[SUBTOTAL]]+PROVEEDORES[[#This Row],[IVA 19%]]-PROVEEDORES[[#This Row],[descuento antes de IVA]]-PROVEEDORES[[#This Row],[Descuento sobre subtotal $]]-PROVEEDORES[[#This Row],[Rete Fuente $]]</f>
        <v>478000</v>
      </c>
      <c r="S4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5" s="40"/>
      <c r="U445" s="97"/>
      <c r="V445" s="36"/>
      <c r="W445" s="36"/>
      <c r="X445" s="36"/>
      <c r="Y445" s="36"/>
      <c r="Z445" s="41"/>
      <c r="AA445" s="42"/>
      <c r="AF445" s="36"/>
      <c r="AG445" s="36"/>
    </row>
    <row r="446" spans="1:33" ht="21.95" hidden="1" customHeight="1" x14ac:dyDescent="0.25">
      <c r="A446" s="39" t="str">
        <f>+IF(PROVEEDORES[[#This Row],[FECHA DE PAGO]]=PROVEEDORES[[#This Row],[FECHA DE FACTURACIÓN]],"DE CONTADO","CRÉDITO")</f>
        <v>DE CONTADO</v>
      </c>
      <c r="B446" s="67" t="b">
        <f>+IF((PROVEEDORES[[#This Row],[FECHA DE PAGO]]-PROVEEDORES[[#This Row],[FECHA DE FACTURACIÓN]])&gt;PROVEEDORES[[#This Row],[PLAZO Días]],"PAGO VENCIDO")</f>
        <v>0</v>
      </c>
      <c r="C446" s="27">
        <f>+VLOOKUP(PROVEEDORES[[#This Row],[PROVEEDOR]],TERCEROS_INFO[#All],2,FALSE)</f>
        <v>30</v>
      </c>
      <c r="D446" s="37">
        <f>+SUMIFS(PROVEEDORES[Total],PROVEEDORES[PROVEEDOR],PROVEEDORES[[#This Row],[PROVEEDOR]],PROVEEDORES[FECHA DE PAGO],"")</f>
        <v>0</v>
      </c>
      <c r="E446" s="37"/>
      <c r="F446" s="108" t="str">
        <f>+VLOOKUP(PROVEEDORES[[#This Row],[PROVEEDOR]],TERCEROS_INFO[[PROVEEDOR]:[CORREO]],5,FALSE)</f>
        <v/>
      </c>
      <c r="G446" s="143">
        <v>44177</v>
      </c>
      <c r="H446" s="38" t="s">
        <v>318</v>
      </c>
      <c r="I446" s="30">
        <v>44177</v>
      </c>
      <c r="J446" s="58"/>
      <c r="K446" s="32">
        <v>158000</v>
      </c>
      <c r="L446" s="32"/>
      <c r="M446" s="33">
        <f>(PROVEEDORES[[#This Row],[SUBTOTAL]]-PROVEEDORES[[#This Row],[descuento antes de IVA]])*VLOOKUP(PROVEEDORES[[#This Row],[PROVEEDOR]],TERCEROS_INFO[#All],3,FALSE)</f>
        <v>0</v>
      </c>
      <c r="N446" s="34"/>
      <c r="O446" s="33">
        <f>+PROVEEDORES[[#This Row],[Descuento sobre subtotal %]]*(PROVEEDORES[[#This Row],[SUBTOTAL]]-PROVEEDORES[[#This Row],[descuento antes de IVA]])</f>
        <v>0</v>
      </c>
      <c r="P4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6" s="33">
        <f>+(PROVEEDORES[[#This Row],[SUBTOTAL]]-PROVEEDORES[[#This Row],[descuento antes de IVA]])*PROVEEDORES[[#This Row],[Rete Fuente %]]</f>
        <v>0</v>
      </c>
      <c r="R446" s="32">
        <f>+PROVEEDORES[[#This Row],[SUBTOTAL]]+PROVEEDORES[[#This Row],[IVA 19%]]-PROVEEDORES[[#This Row],[descuento antes de IVA]]-PROVEEDORES[[#This Row],[Descuento sobre subtotal $]]-PROVEEDORES[[#This Row],[Rete Fuente $]]</f>
        <v>158000</v>
      </c>
      <c r="S4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6" s="40"/>
      <c r="U446" s="97"/>
      <c r="V446" s="36"/>
      <c r="W446" s="36"/>
      <c r="X446" s="36"/>
      <c r="Y446" s="36"/>
      <c r="Z446" s="41"/>
      <c r="AA446" s="42"/>
      <c r="AF446" s="36"/>
      <c r="AG446" s="36"/>
    </row>
    <row r="447" spans="1:33" ht="21.95" hidden="1" customHeight="1" x14ac:dyDescent="0.25">
      <c r="A447" s="39" t="str">
        <f>+IF(PROVEEDORES[[#This Row],[FECHA DE PAGO]]=PROVEEDORES[[#This Row],[FECHA DE FACTURACIÓN]],"DE CONTADO","CRÉDITO")</f>
        <v>DE CONTADO</v>
      </c>
      <c r="B447" s="67" t="b">
        <f>+IF((PROVEEDORES[[#This Row],[FECHA DE PAGO]]-PROVEEDORES[[#This Row],[FECHA DE FACTURACIÓN]])&gt;PROVEEDORES[[#This Row],[PLAZO Días]],"PAGO VENCIDO")</f>
        <v>0</v>
      </c>
      <c r="C447" s="27">
        <f>+VLOOKUP(PROVEEDORES[[#This Row],[PROVEEDOR]],TERCEROS_INFO[#All],2,FALSE)</f>
        <v>30</v>
      </c>
      <c r="D447" s="37">
        <f>+SUMIFS(PROVEEDORES[Total],PROVEEDORES[PROVEEDOR],PROVEEDORES[[#This Row],[PROVEEDOR]],PROVEEDORES[FECHA DE PAGO],"")</f>
        <v>0</v>
      </c>
      <c r="E447" s="37"/>
      <c r="F447" s="108" t="str">
        <f>+VLOOKUP(PROVEEDORES[[#This Row],[PROVEEDOR]],TERCEROS_INFO[[PROVEEDOR]:[CORREO]],5,FALSE)</f>
        <v/>
      </c>
      <c r="G447" s="143">
        <v>44177</v>
      </c>
      <c r="H447" s="38" t="s">
        <v>318</v>
      </c>
      <c r="I447" s="30">
        <v>44177</v>
      </c>
      <c r="J447" s="58"/>
      <c r="K447" s="32">
        <v>80000</v>
      </c>
      <c r="L447" s="32"/>
      <c r="M447" s="33">
        <f>(PROVEEDORES[[#This Row],[SUBTOTAL]]-PROVEEDORES[[#This Row],[descuento antes de IVA]])*VLOOKUP(PROVEEDORES[[#This Row],[PROVEEDOR]],TERCEROS_INFO[#All],3,FALSE)</f>
        <v>0</v>
      </c>
      <c r="N447" s="34"/>
      <c r="O447" s="33">
        <f>+PROVEEDORES[[#This Row],[Descuento sobre subtotal %]]*(PROVEEDORES[[#This Row],[SUBTOTAL]]-PROVEEDORES[[#This Row],[descuento antes de IVA]])</f>
        <v>0</v>
      </c>
      <c r="P4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7" s="33">
        <f>+(PROVEEDORES[[#This Row],[SUBTOTAL]]-PROVEEDORES[[#This Row],[descuento antes de IVA]])*PROVEEDORES[[#This Row],[Rete Fuente %]]</f>
        <v>0</v>
      </c>
      <c r="R447" s="32">
        <f>+PROVEEDORES[[#This Row],[SUBTOTAL]]+PROVEEDORES[[#This Row],[IVA 19%]]-PROVEEDORES[[#This Row],[descuento antes de IVA]]-PROVEEDORES[[#This Row],[Descuento sobre subtotal $]]-PROVEEDORES[[#This Row],[Rete Fuente $]]</f>
        <v>80000</v>
      </c>
      <c r="S4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7" s="40"/>
      <c r="U447" s="97"/>
      <c r="V447" s="36"/>
      <c r="W447" s="36"/>
      <c r="X447" s="36"/>
      <c r="Y447" s="36"/>
      <c r="Z447" s="41"/>
      <c r="AA447" s="42"/>
      <c r="AF447" s="36"/>
      <c r="AG447" s="36"/>
    </row>
    <row r="448" spans="1:33" ht="21.95" hidden="1" customHeight="1" x14ac:dyDescent="0.25">
      <c r="A448" s="35" t="str">
        <f>+IF(PROVEEDORES[[#This Row],[FECHA DE PAGO]]=PROVEEDORES[[#This Row],[FECHA DE FACTURACIÓN]],"DE CONTADO","CRÉDITO")</f>
        <v>DE CONTADO</v>
      </c>
      <c r="B448" s="67" t="b">
        <f>+IF((PROVEEDORES[[#This Row],[FECHA DE PAGO]]-PROVEEDORES[[#This Row],[FECHA DE FACTURACIÓN]])&gt;PROVEEDORES[[#This Row],[PLAZO Días]],"PAGO VENCIDO")</f>
        <v>0</v>
      </c>
      <c r="C448" s="27">
        <f>+VLOOKUP(PROVEEDORES[[#This Row],[PROVEEDOR]],TERCEROS_INFO[#All],2,FALSE)</f>
        <v>30</v>
      </c>
      <c r="D448" s="37">
        <f>+SUMIFS(PROVEEDORES[Total],PROVEEDORES[PROVEEDOR],PROVEEDORES[[#This Row],[PROVEEDOR]],PROVEEDORES[FECHA DE PAGO],"")</f>
        <v>0</v>
      </c>
      <c r="E448" s="37"/>
      <c r="F448" s="108" t="str">
        <f>+VLOOKUP(PROVEEDORES[[#This Row],[PROVEEDOR]],TERCEROS_INFO[[PROVEEDOR]:[CORREO]],5,FALSE)</f>
        <v/>
      </c>
      <c r="G448" s="143">
        <v>44216</v>
      </c>
      <c r="H448" s="38" t="s">
        <v>318</v>
      </c>
      <c r="I448" s="30">
        <v>44216</v>
      </c>
      <c r="J448" s="58">
        <v>1411</v>
      </c>
      <c r="K448" s="32">
        <v>60000</v>
      </c>
      <c r="L448" s="32"/>
      <c r="M448" s="33">
        <f>(PROVEEDORES[[#This Row],[SUBTOTAL]]-PROVEEDORES[[#This Row],[descuento antes de IVA]])*VLOOKUP(PROVEEDORES[[#This Row],[PROVEEDOR]],TERCEROS_INFO[#All],3,FALSE)</f>
        <v>0</v>
      </c>
      <c r="N448" s="34"/>
      <c r="O448" s="33">
        <f>+PROVEEDORES[[#This Row],[Descuento sobre subtotal %]]*(PROVEEDORES[[#This Row],[SUBTOTAL]]-PROVEEDORES[[#This Row],[descuento antes de IVA]])</f>
        <v>0</v>
      </c>
      <c r="P4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8" s="33">
        <f>+(PROVEEDORES[[#This Row],[SUBTOTAL]]-PROVEEDORES[[#This Row],[descuento antes de IVA]])*PROVEEDORES[[#This Row],[Rete Fuente %]]</f>
        <v>0</v>
      </c>
      <c r="R448" s="32">
        <f>+PROVEEDORES[[#This Row],[SUBTOTAL]]+PROVEEDORES[[#This Row],[IVA 19%]]-PROVEEDORES[[#This Row],[descuento antes de IVA]]-PROVEEDORES[[#This Row],[Descuento sobre subtotal $]]-PROVEEDORES[[#This Row],[Rete Fuente $]]</f>
        <v>60000</v>
      </c>
      <c r="S44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8" s="40"/>
      <c r="U448" s="97"/>
      <c r="V448" s="36"/>
      <c r="W448" s="36"/>
      <c r="X448" s="36"/>
      <c r="Y448" s="36"/>
      <c r="Z448" s="41"/>
      <c r="AA448" s="42"/>
      <c r="AF448" s="36"/>
      <c r="AG448" s="36"/>
    </row>
    <row r="449" spans="1:33" ht="21.95" hidden="1" customHeight="1" x14ac:dyDescent="0.25">
      <c r="A449" s="35" t="str">
        <f>+IF(PROVEEDORES[[#This Row],[FECHA DE PAGO]]=PROVEEDORES[[#This Row],[FECHA DE FACTURACIÓN]],"DE CONTADO","CRÉDITO")</f>
        <v>DE CONTADO</v>
      </c>
      <c r="B449" s="67" t="b">
        <f>+IF((PROVEEDORES[[#This Row],[FECHA DE PAGO]]-PROVEEDORES[[#This Row],[FECHA DE FACTURACIÓN]])&gt;PROVEEDORES[[#This Row],[PLAZO Días]],"PAGO VENCIDO")</f>
        <v>0</v>
      </c>
      <c r="C449" s="27">
        <f>+VLOOKUP(PROVEEDORES[[#This Row],[PROVEEDOR]],TERCEROS_INFO[#All],2,FALSE)</f>
        <v>30</v>
      </c>
      <c r="D449" s="37">
        <f>+SUMIFS(PROVEEDORES[Total],PROVEEDORES[PROVEEDOR],PROVEEDORES[[#This Row],[PROVEEDOR]],PROVEEDORES[FECHA DE PAGO],"")</f>
        <v>0</v>
      </c>
      <c r="E449" s="37"/>
      <c r="F449" s="108" t="str">
        <f>+VLOOKUP(PROVEEDORES[[#This Row],[PROVEEDOR]],TERCEROS_INFO[[PROVEEDOR]:[CORREO]],5,FALSE)</f>
        <v/>
      </c>
      <c r="G449" s="143">
        <v>44221</v>
      </c>
      <c r="H449" s="38" t="s">
        <v>318</v>
      </c>
      <c r="I449" s="30">
        <v>44221</v>
      </c>
      <c r="J449" s="58"/>
      <c r="K449" s="32">
        <v>1400000</v>
      </c>
      <c r="L449" s="32"/>
      <c r="M449" s="33">
        <f>(PROVEEDORES[[#This Row],[SUBTOTAL]]-PROVEEDORES[[#This Row],[descuento antes de IVA]])*VLOOKUP(PROVEEDORES[[#This Row],[PROVEEDOR]],TERCEROS_INFO[#All],3,FALSE)</f>
        <v>0</v>
      </c>
      <c r="N449" s="34"/>
      <c r="O449" s="33">
        <f>+PROVEEDORES[[#This Row],[Descuento sobre subtotal %]]*(PROVEEDORES[[#This Row],[SUBTOTAL]]-PROVEEDORES[[#This Row],[descuento antes de IVA]])</f>
        <v>0</v>
      </c>
      <c r="P4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49" s="33">
        <f>+(PROVEEDORES[[#This Row],[SUBTOTAL]]-PROVEEDORES[[#This Row],[descuento antes de IVA]])*PROVEEDORES[[#This Row],[Rete Fuente %]]</f>
        <v>0</v>
      </c>
      <c r="R449" s="32">
        <f>+PROVEEDORES[[#This Row],[SUBTOTAL]]+PROVEEDORES[[#This Row],[IVA 19%]]-PROVEEDORES[[#This Row],[descuento antes de IVA]]-PROVEEDORES[[#This Row],[Descuento sobre subtotal $]]-PROVEEDORES[[#This Row],[Rete Fuente $]]</f>
        <v>1400000</v>
      </c>
      <c r="S44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9" s="40"/>
      <c r="U449" s="97"/>
      <c r="V449" s="36"/>
      <c r="W449" s="36"/>
      <c r="X449" s="36"/>
      <c r="Y449" s="36"/>
      <c r="Z449" s="41"/>
      <c r="AA449" s="42"/>
      <c r="AF449" s="36"/>
      <c r="AG449" s="36"/>
    </row>
    <row r="450" spans="1:33" ht="21.95" hidden="1" customHeight="1" x14ac:dyDescent="0.25">
      <c r="A450" s="88" t="str">
        <f>+IF(PROVEEDORES[[#This Row],[FECHA DE PAGO]]=PROVEEDORES[[#This Row],[FECHA DE FACTURACIÓN]],"DE CONTADO","CRÉDITO")</f>
        <v>DE CONTADO</v>
      </c>
      <c r="B450" s="70" t="b">
        <f>+IF((PROVEEDORES[[#This Row],[FECHA DE PAGO]]-PROVEEDORES[[#This Row],[FECHA DE FACTURACIÓN]])&gt;PROVEEDORES[[#This Row],[PLAZO Días]],"PAGO VENCIDO")</f>
        <v>0</v>
      </c>
      <c r="C450" s="27">
        <f>+VLOOKUP(PROVEEDORES[[#This Row],[PROVEEDOR]],TERCEROS_INFO[#All],2,FALSE)</f>
        <v>30</v>
      </c>
      <c r="D450" s="37">
        <f>+SUMIFS(PROVEEDORES[Total],PROVEEDORES[PROVEEDOR],PROVEEDORES[[#This Row],[PROVEEDOR]],PROVEEDORES[FECHA DE PAGO],"")</f>
        <v>0</v>
      </c>
      <c r="E450" s="37"/>
      <c r="F450" s="108" t="str">
        <f>+VLOOKUP(PROVEEDORES[[#This Row],[PROVEEDOR]],TERCEROS_INFO[[PROVEEDOR]:[CORREO]],5,FALSE)</f>
        <v/>
      </c>
      <c r="G450" s="143">
        <v>44246</v>
      </c>
      <c r="H450" s="38" t="s">
        <v>507</v>
      </c>
      <c r="I450" s="30">
        <v>44246</v>
      </c>
      <c r="J450" s="58"/>
      <c r="K450" s="32">
        <v>20000</v>
      </c>
      <c r="L450" s="32"/>
      <c r="M450" s="33">
        <f>(PROVEEDORES[[#This Row],[SUBTOTAL]]-PROVEEDORES[[#This Row],[descuento antes de IVA]])*VLOOKUP(PROVEEDORES[[#This Row],[PROVEEDOR]],TERCEROS_INFO[#All],3,FALSE)</f>
        <v>0</v>
      </c>
      <c r="N450" s="34"/>
      <c r="O450" s="33">
        <f>+PROVEEDORES[[#This Row],[Descuento sobre subtotal %]]*(PROVEEDORES[[#This Row],[SUBTOTAL]]-PROVEEDORES[[#This Row],[descuento antes de IVA]])</f>
        <v>0</v>
      </c>
      <c r="P4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0" s="33">
        <f>+(PROVEEDORES[[#This Row],[SUBTOTAL]]-PROVEEDORES[[#This Row],[descuento antes de IVA]])*PROVEEDORES[[#This Row],[Rete Fuente %]]</f>
        <v>0</v>
      </c>
      <c r="R450" s="32">
        <f>+PROVEEDORES[[#This Row],[SUBTOTAL]]+PROVEEDORES[[#This Row],[IVA 19%]]-PROVEEDORES[[#This Row],[descuento antes de IVA]]-PROVEEDORES[[#This Row],[Descuento sobre subtotal $]]-PROVEEDORES[[#This Row],[Rete Fuente $]]</f>
        <v>20000</v>
      </c>
      <c r="S450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0" s="40"/>
      <c r="U450" s="97"/>
      <c r="V450" s="36"/>
      <c r="W450" s="36"/>
      <c r="X450" s="36"/>
      <c r="Y450" s="36"/>
      <c r="Z450" s="41"/>
      <c r="AA450" s="42"/>
      <c r="AF450" s="36"/>
      <c r="AG450" s="36"/>
    </row>
    <row r="451" spans="1:33" ht="21.95" hidden="1" customHeight="1" x14ac:dyDescent="0.25">
      <c r="A451" s="103" t="str">
        <f>+IF(PROVEEDORES[[#This Row],[FECHA DE PAGO]]=PROVEEDORES[[#This Row],[FECHA DE FACTURACIÓN]],"DE CONTADO","CRÉDITO")</f>
        <v>CRÉDITO</v>
      </c>
      <c r="B451" s="70" t="b">
        <f>+IF((PROVEEDORES[[#This Row],[FECHA DE PAGO]]-PROVEEDORES[[#This Row],[FECHA DE FACTURACIÓN]])&gt;PROVEEDORES[[#This Row],[PLAZO Días]],"PAGO VENCIDO")</f>
        <v>0</v>
      </c>
      <c r="C451" s="27">
        <f>+VLOOKUP(PROVEEDORES[[#This Row],[PROVEEDOR]],TERCEROS_INFO[#All],2,FALSE)</f>
        <v>30</v>
      </c>
      <c r="D451" s="37">
        <f>+SUMIFS(PROVEEDORES[Total],PROVEEDORES[PROVEEDOR],PROVEEDORES[[#This Row],[PROVEEDOR]],PROVEEDORES[FECHA DE PAGO],"")</f>
        <v>0</v>
      </c>
      <c r="E451" s="37"/>
      <c r="F451" s="108" t="str">
        <f>+VLOOKUP(PROVEEDORES[[#This Row],[PROVEEDOR]],TERCEROS_INFO[[PROVEEDOR]:[CORREO]],5,FALSE)</f>
        <v/>
      </c>
      <c r="G451" s="143">
        <v>44313</v>
      </c>
      <c r="H451" s="38" t="s">
        <v>507</v>
      </c>
      <c r="I451" s="30">
        <v>44312</v>
      </c>
      <c r="J451" s="58" t="s">
        <v>1118</v>
      </c>
      <c r="K451" s="32">
        <v>180000</v>
      </c>
      <c r="L451" s="32"/>
      <c r="M451" s="33">
        <f>(PROVEEDORES[[#This Row],[SUBTOTAL]]-PROVEEDORES[[#This Row],[descuento antes de IVA]])*VLOOKUP(PROVEEDORES[[#This Row],[PROVEEDOR]],TERCEROS_INFO[#All],3,FALSE)</f>
        <v>0</v>
      </c>
      <c r="N451" s="34"/>
      <c r="O451" s="33">
        <f>+PROVEEDORES[[#This Row],[Descuento sobre subtotal %]]*(PROVEEDORES[[#This Row],[SUBTOTAL]]-PROVEEDORES[[#This Row],[descuento antes de IVA]])</f>
        <v>0</v>
      </c>
      <c r="P4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1" s="33">
        <f>+(PROVEEDORES[[#This Row],[SUBTOTAL]]-PROVEEDORES[[#This Row],[descuento antes de IVA]])*PROVEEDORES[[#This Row],[Rete Fuente %]]</f>
        <v>0</v>
      </c>
      <c r="R451" s="32">
        <f>+PROVEEDORES[[#This Row],[SUBTOTAL]]+PROVEEDORES[[#This Row],[IVA 19%]]-PROVEEDORES[[#This Row],[descuento antes de IVA]]-PROVEEDORES[[#This Row],[Descuento sobre subtotal $]]-PROVEEDORES[[#This Row],[Rete Fuente $]]</f>
        <v>180000</v>
      </c>
      <c r="S451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1" s="40"/>
      <c r="U451" s="97"/>
      <c r="V451" s="36"/>
      <c r="W451" s="36"/>
      <c r="X451" s="36"/>
      <c r="Y451" s="36"/>
      <c r="Z451" s="41"/>
      <c r="AA451" s="42"/>
      <c r="AF451" s="36"/>
      <c r="AG451" s="36"/>
    </row>
    <row r="452" spans="1:33" ht="21.95" hidden="1" customHeight="1" x14ac:dyDescent="0.25">
      <c r="A452" s="109" t="str">
        <f>+IF(PROVEEDORES[[#This Row],[FECHA DE PAGO]]=PROVEEDORES[[#This Row],[FECHA DE FACTURACIÓN]],"DE CONTADO","CRÉDITO")</f>
        <v>DE CONTADO</v>
      </c>
      <c r="B452" s="70" t="b">
        <f>+IF((PROVEEDORES[[#This Row],[FECHA DE PAGO]]-PROVEEDORES[[#This Row],[FECHA DE FACTURACIÓN]])&gt;PROVEEDORES[[#This Row],[PLAZO Días]],"PAGO VENCIDO")</f>
        <v>0</v>
      </c>
      <c r="C452" s="27">
        <f>+VLOOKUP(PROVEEDORES[[#This Row],[PROVEEDOR]],TERCEROS_INFO[#All],2,FALSE)</f>
        <v>30</v>
      </c>
      <c r="D452" s="37">
        <f>+SUMIFS(PROVEEDORES[Total],PROVEEDORES[PROVEEDOR],PROVEEDORES[[#This Row],[PROVEEDOR]],PROVEEDORES[FECHA DE PAGO],"")</f>
        <v>0</v>
      </c>
      <c r="E452" s="37"/>
      <c r="F452" s="108" t="str">
        <f>+VLOOKUP(PROVEEDORES[[#This Row],[PROVEEDOR]],TERCEROS_INFO[[PROVEEDOR]:[CORREO]],5,FALSE)</f>
        <v/>
      </c>
      <c r="G452" s="143">
        <v>44320</v>
      </c>
      <c r="H452" s="38" t="s">
        <v>318</v>
      </c>
      <c r="I452" s="30">
        <v>44320</v>
      </c>
      <c r="J452" s="58" t="s">
        <v>1124</v>
      </c>
      <c r="K452" s="32">
        <v>75000</v>
      </c>
      <c r="L452" s="32"/>
      <c r="M452" s="33">
        <f>(PROVEEDORES[[#This Row],[SUBTOTAL]]-PROVEEDORES[[#This Row],[descuento antes de IVA]])*VLOOKUP(PROVEEDORES[[#This Row],[PROVEEDOR]],TERCEROS_INFO[#All],3,FALSE)</f>
        <v>0</v>
      </c>
      <c r="N452" s="34"/>
      <c r="O452" s="33">
        <f>+PROVEEDORES[[#This Row],[Descuento sobre subtotal %]]*(PROVEEDORES[[#This Row],[SUBTOTAL]]-PROVEEDORES[[#This Row],[descuento antes de IVA]])</f>
        <v>0</v>
      </c>
      <c r="P4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2" s="33">
        <f>+(PROVEEDORES[[#This Row],[SUBTOTAL]]-PROVEEDORES[[#This Row],[descuento antes de IVA]])*PROVEEDORES[[#This Row],[Rete Fuente %]]</f>
        <v>0</v>
      </c>
      <c r="R452" s="32">
        <f>+PROVEEDORES[[#This Row],[SUBTOTAL]]+PROVEEDORES[[#This Row],[IVA 19%]]-PROVEEDORES[[#This Row],[descuento antes de IVA]]-PROVEEDORES[[#This Row],[Descuento sobre subtotal $]]-PROVEEDORES[[#This Row],[Rete Fuente $]]</f>
        <v>75000</v>
      </c>
      <c r="S452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2" s="40"/>
      <c r="U452" s="97"/>
      <c r="V452" s="36"/>
      <c r="W452" s="36"/>
      <c r="X452" s="36"/>
      <c r="Y452" s="36"/>
      <c r="Z452" s="41"/>
      <c r="AA452" s="42"/>
      <c r="AF452" s="36"/>
      <c r="AG452" s="36"/>
    </row>
    <row r="453" spans="1:33" ht="21.95" hidden="1" customHeight="1" x14ac:dyDescent="0.25">
      <c r="A453" s="35" t="str">
        <f>+IF(PROVEEDORES[[#This Row],[FECHA DE PAGO]]=PROVEEDORES[[#This Row],[FECHA DE FACTURACIÓN]],"DE CONTADO","CRÉDITO")</f>
        <v>DE CONTADO</v>
      </c>
      <c r="B453" s="70" t="b">
        <f>+IF((PROVEEDORES[[#This Row],[FECHA DE PAGO]]-PROVEEDORES[[#This Row],[FECHA DE FACTURACIÓN]])&gt;PROVEEDORES[[#This Row],[PLAZO Días]],"PAGO VENCIDO")</f>
        <v>0</v>
      </c>
      <c r="C453" s="27">
        <f>+VLOOKUP(PROVEEDORES[[#This Row],[PROVEEDOR]],TERCEROS_INFO[#All],2,FALSE)</f>
        <v>30</v>
      </c>
      <c r="D453" s="37">
        <f>+SUMIFS(PROVEEDORES[Total],PROVEEDORES[PROVEEDOR],PROVEEDORES[[#This Row],[PROVEEDOR]],PROVEEDORES[FECHA DE PAGO],"")</f>
        <v>0</v>
      </c>
      <c r="E453" s="37"/>
      <c r="F453" s="108" t="str">
        <f>+VLOOKUP(PROVEEDORES[[#This Row],[PROVEEDOR]],TERCEROS_INFO[[PROVEEDOR]:[CORREO]],5,FALSE)</f>
        <v/>
      </c>
      <c r="G453" s="143">
        <v>44342</v>
      </c>
      <c r="H453" s="57" t="s">
        <v>284</v>
      </c>
      <c r="I453" s="30">
        <v>44342</v>
      </c>
      <c r="J453" s="58" t="s">
        <v>1142</v>
      </c>
      <c r="K453" s="32">
        <v>228000</v>
      </c>
      <c r="L453" s="32"/>
      <c r="M453" s="33">
        <f>(PROVEEDORES[[#This Row],[SUBTOTAL]]-PROVEEDORES[[#This Row],[descuento antes de IVA]])*VLOOKUP(PROVEEDORES[[#This Row],[PROVEEDOR]],TERCEROS_INFO[#All],3,FALSE)</f>
        <v>0</v>
      </c>
      <c r="N453" s="34"/>
      <c r="O453" s="33">
        <f>+PROVEEDORES[[#This Row],[Descuento sobre subtotal %]]*(PROVEEDORES[[#This Row],[SUBTOTAL]]-PROVEEDORES[[#This Row],[descuento antes de IVA]])</f>
        <v>0</v>
      </c>
      <c r="P4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3" s="33">
        <f>+(PROVEEDORES[[#This Row],[SUBTOTAL]]-PROVEEDORES[[#This Row],[descuento antes de IVA]])*PROVEEDORES[[#This Row],[Rete Fuente %]]</f>
        <v>0</v>
      </c>
      <c r="R453" s="32">
        <f>+PROVEEDORES[[#This Row],[SUBTOTAL]]+PROVEEDORES[[#This Row],[IVA 19%]]-PROVEEDORES[[#This Row],[descuento antes de IVA]]-PROVEEDORES[[#This Row],[Descuento sobre subtotal $]]-PROVEEDORES[[#This Row],[Rete Fuente $]]</f>
        <v>228000</v>
      </c>
      <c r="S45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3" s="40"/>
      <c r="U453" s="97"/>
      <c r="V453" s="36"/>
      <c r="W453" s="36"/>
      <c r="X453" s="36"/>
      <c r="Y453" s="36"/>
      <c r="Z453" s="41"/>
      <c r="AA453" s="42"/>
      <c r="AF453" s="36"/>
      <c r="AG453" s="36"/>
    </row>
    <row r="454" spans="1:33" ht="21.95" hidden="1" customHeight="1" x14ac:dyDescent="0.25">
      <c r="A454" s="124" t="str">
        <f>+IF(PROVEEDORES[[#This Row],[FECHA DE PAGO]]=PROVEEDORES[[#This Row],[FECHA DE FACTURACIÓN]],"DE CONTADO","CRÉDITO")</f>
        <v>DE CONTADO</v>
      </c>
      <c r="B454" s="70" t="b">
        <f>+IF((PROVEEDORES[[#This Row],[FECHA DE PAGO]]-PROVEEDORES[[#This Row],[FECHA DE FACTURACIÓN]])&gt;PROVEEDORES[[#This Row],[PLAZO Días]],"PAGO VENCIDO")</f>
        <v>0</v>
      </c>
      <c r="C454" s="27">
        <f>+VLOOKUP(PROVEEDORES[[#This Row],[PROVEEDOR]],TERCEROS_INFO[#All],2,FALSE)</f>
        <v>30</v>
      </c>
      <c r="D454" s="37">
        <f>+SUMIFS(PROVEEDORES[Total],PROVEEDORES[PROVEEDOR],PROVEEDORES[[#This Row],[PROVEEDOR]],PROVEEDORES[FECHA DE PAGO],"")</f>
        <v>0</v>
      </c>
      <c r="E454" s="37"/>
      <c r="F454" s="108" t="str">
        <f>+VLOOKUP(PROVEEDORES[[#This Row],[PROVEEDOR]],TERCEROS_INFO[[PROVEEDOR]:[CORREO]],5,FALSE)</f>
        <v/>
      </c>
      <c r="G454" s="143">
        <v>44357</v>
      </c>
      <c r="H454" s="57" t="s">
        <v>284</v>
      </c>
      <c r="I454" s="30">
        <v>44357</v>
      </c>
      <c r="J454" s="58" t="s">
        <v>1151</v>
      </c>
      <c r="K454" s="32">
        <v>160000</v>
      </c>
      <c r="L454" s="32"/>
      <c r="M454" s="33">
        <f>(PROVEEDORES[[#This Row],[SUBTOTAL]]-PROVEEDORES[[#This Row],[descuento antes de IVA]])*VLOOKUP(PROVEEDORES[[#This Row],[PROVEEDOR]],TERCEROS_INFO[#All],3,FALSE)</f>
        <v>0</v>
      </c>
      <c r="N454" s="34"/>
      <c r="O454" s="33">
        <f>+PROVEEDORES[[#This Row],[Descuento sobre subtotal %]]*(PROVEEDORES[[#This Row],[SUBTOTAL]]-PROVEEDORES[[#This Row],[descuento antes de IVA]])</f>
        <v>0</v>
      </c>
      <c r="P4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4" s="33">
        <f>+(PROVEEDORES[[#This Row],[SUBTOTAL]]-PROVEEDORES[[#This Row],[descuento antes de IVA]])*PROVEEDORES[[#This Row],[Rete Fuente %]]</f>
        <v>0</v>
      </c>
      <c r="R454" s="32">
        <f>+PROVEEDORES[[#This Row],[SUBTOTAL]]+PROVEEDORES[[#This Row],[IVA 19%]]-PROVEEDORES[[#This Row],[descuento antes de IVA]]-PROVEEDORES[[#This Row],[Descuento sobre subtotal $]]-PROVEEDORES[[#This Row],[Rete Fuente $]]</f>
        <v>160000</v>
      </c>
      <c r="S454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4" s="40"/>
      <c r="U454" s="97"/>
      <c r="V454" s="36"/>
      <c r="W454" s="36"/>
      <c r="X454" s="36"/>
      <c r="Y454" s="36"/>
      <c r="Z454" s="41"/>
      <c r="AA454" s="42"/>
      <c r="AF454" s="36"/>
      <c r="AG454" s="36"/>
    </row>
    <row r="455" spans="1:33" ht="21.95" hidden="1" customHeight="1" x14ac:dyDescent="0.25">
      <c r="A455" s="129" t="str">
        <f>+IF(PROVEEDORES[[#This Row],[FECHA DE PAGO]]=PROVEEDORES[[#This Row],[FECHA DE FACTURACIÓN]],"DE CONTADO","CRÉDITO")</f>
        <v>DE CONTADO</v>
      </c>
      <c r="B455" s="70" t="b">
        <f>+IF((PROVEEDORES[[#This Row],[FECHA DE PAGO]]-PROVEEDORES[[#This Row],[FECHA DE FACTURACIÓN]])&gt;PROVEEDORES[[#This Row],[PLAZO Días]],"PAGO VENCIDO")</f>
        <v>0</v>
      </c>
      <c r="C455" s="27">
        <f>+VLOOKUP(PROVEEDORES[[#This Row],[PROVEEDOR]],TERCEROS_INFO[#All],2,FALSE)</f>
        <v>30</v>
      </c>
      <c r="D455" s="37">
        <f>+SUMIFS(PROVEEDORES[Total],PROVEEDORES[PROVEEDOR],PROVEEDORES[[#This Row],[PROVEEDOR]],PROVEEDORES[FECHA DE PAGO],"")</f>
        <v>0</v>
      </c>
      <c r="E455" s="37"/>
      <c r="F455" s="108" t="str">
        <f>+VLOOKUP(PROVEEDORES[[#This Row],[PROVEEDOR]],TERCEROS_INFO[[PROVEEDOR]:[CORREO]],5,FALSE)</f>
        <v/>
      </c>
      <c r="G455" s="143">
        <v>44385</v>
      </c>
      <c r="H455" s="57" t="s">
        <v>284</v>
      </c>
      <c r="I455" s="30">
        <v>44385</v>
      </c>
      <c r="J455" s="58" t="s">
        <v>1181</v>
      </c>
      <c r="K455" s="32">
        <v>160000</v>
      </c>
      <c r="L455" s="32"/>
      <c r="M455" s="33">
        <f>(PROVEEDORES[[#This Row],[SUBTOTAL]]-PROVEEDORES[[#This Row],[descuento antes de IVA]])*VLOOKUP(PROVEEDORES[[#This Row],[PROVEEDOR]],TERCEROS_INFO[#All],3,FALSE)</f>
        <v>0</v>
      </c>
      <c r="N455" s="34"/>
      <c r="O455" s="33">
        <f>+PROVEEDORES[[#This Row],[Descuento sobre subtotal %]]*(PROVEEDORES[[#This Row],[SUBTOTAL]]-PROVEEDORES[[#This Row],[descuento antes de IVA]])</f>
        <v>0</v>
      </c>
      <c r="P4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5" s="33">
        <f>+(PROVEEDORES[[#This Row],[SUBTOTAL]]-PROVEEDORES[[#This Row],[descuento antes de IVA]])*PROVEEDORES[[#This Row],[Rete Fuente %]]</f>
        <v>0</v>
      </c>
      <c r="R455" s="32">
        <f>+PROVEEDORES[[#This Row],[SUBTOTAL]]+PROVEEDORES[[#This Row],[IVA 19%]]-PROVEEDORES[[#This Row],[descuento antes de IVA]]-PROVEEDORES[[#This Row],[Descuento sobre subtotal $]]-PROVEEDORES[[#This Row],[Rete Fuente $]]</f>
        <v>160000</v>
      </c>
      <c r="S455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5" s="40"/>
      <c r="U455" s="97"/>
      <c r="V455" s="36"/>
      <c r="W455" s="36"/>
      <c r="X455" s="36"/>
      <c r="Y455" s="36"/>
      <c r="Z455" s="41"/>
      <c r="AA455" s="42"/>
      <c r="AF455" s="36"/>
      <c r="AG455" s="36"/>
    </row>
    <row r="456" spans="1:33" ht="21.95" hidden="1" customHeight="1" x14ac:dyDescent="0.25">
      <c r="A456" s="154" t="str">
        <f>+IF(PROVEEDORES[[#This Row],[FECHA DE PAGO]]=PROVEEDORES[[#This Row],[FECHA DE FACTURACIÓN]],"DE CONTADO","CRÉDITO")</f>
        <v>DE CONTADO</v>
      </c>
      <c r="B456" s="70" t="b">
        <f>+IF((PROVEEDORES[[#This Row],[FECHA DE PAGO]]-PROVEEDORES[[#This Row],[FECHA DE FACTURACIÓN]])&gt;PROVEEDORES[[#This Row],[PLAZO Días]],"PAGO VENCIDO")</f>
        <v>0</v>
      </c>
      <c r="C456" s="27">
        <f>+VLOOKUP(PROVEEDORES[[#This Row],[PROVEEDOR]],TERCEROS_INFO[#All],2,FALSE)</f>
        <v>30</v>
      </c>
      <c r="D456" s="37">
        <f>+SUMIFS(PROVEEDORES[Total],PROVEEDORES[PROVEEDOR],PROVEEDORES[[#This Row],[PROVEEDOR]],PROVEEDORES[FECHA DE PAGO],"")</f>
        <v>0</v>
      </c>
      <c r="E456" s="37"/>
      <c r="F456" s="108" t="str">
        <f>+VLOOKUP(PROVEEDORES[[#This Row],[PROVEEDOR]],TERCEROS_INFO[[PROVEEDOR]:[CORREO]],5,FALSE)</f>
        <v/>
      </c>
      <c r="G456" s="143">
        <v>44470</v>
      </c>
      <c r="H456" s="57" t="s">
        <v>284</v>
      </c>
      <c r="I456" s="143">
        <v>44470</v>
      </c>
      <c r="J456" s="58" t="s">
        <v>1261</v>
      </c>
      <c r="K456" s="32">
        <v>200000</v>
      </c>
      <c r="L456" s="32"/>
      <c r="M456" s="33">
        <f>(PROVEEDORES[[#This Row],[SUBTOTAL]]-PROVEEDORES[[#This Row],[descuento antes de IVA]])*VLOOKUP(PROVEEDORES[[#This Row],[PROVEEDOR]],TERCEROS_INFO[#All],3,FALSE)</f>
        <v>0</v>
      </c>
      <c r="N456" s="34"/>
      <c r="O456" s="33">
        <f>+PROVEEDORES[[#This Row],[Descuento sobre subtotal %]]*(PROVEEDORES[[#This Row],[SUBTOTAL]]-PROVEEDORES[[#This Row],[descuento antes de IVA]])</f>
        <v>0</v>
      </c>
      <c r="P4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6" s="33">
        <f>+(PROVEEDORES[[#This Row],[SUBTOTAL]]-PROVEEDORES[[#This Row],[descuento antes de IVA]])*PROVEEDORES[[#This Row],[Rete Fuente %]]</f>
        <v>0</v>
      </c>
      <c r="R456" s="32">
        <f>+PROVEEDORES[[#This Row],[SUBTOTAL]]+PROVEEDORES[[#This Row],[IVA 19%]]-PROVEEDORES[[#This Row],[descuento antes de IVA]]-PROVEEDORES[[#This Row],[Descuento sobre subtotal $]]-PROVEEDORES[[#This Row],[Rete Fuente $]]</f>
        <v>200000</v>
      </c>
      <c r="S456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6" s="40"/>
      <c r="U456" s="97"/>
      <c r="V456" s="36"/>
      <c r="W456" s="36"/>
      <c r="X456" s="36"/>
      <c r="Y456" s="36"/>
      <c r="Z456" s="41"/>
      <c r="AA456" s="42"/>
      <c r="AF456" s="36"/>
      <c r="AG456" s="36"/>
    </row>
    <row r="457" spans="1:33" ht="21.95" hidden="1" customHeight="1" x14ac:dyDescent="0.25">
      <c r="A457" s="39" t="str">
        <f>+IF(PROVEEDORES[[#This Row],[FECHA DE PAGO]]=PROVEEDORES[[#This Row],[FECHA DE FACTURACIÓN]],"DE CONTADO","CRÉDITO")</f>
        <v>DE CONTADO</v>
      </c>
      <c r="B457" s="67" t="b">
        <f>+IF((PROVEEDORES[[#This Row],[FECHA DE PAGO]]-PROVEEDORES[[#This Row],[FECHA DE FACTURACIÓN]])&gt;PROVEEDORES[[#This Row],[PLAZO Días]],"PAGO VENCIDO")</f>
        <v>0</v>
      </c>
      <c r="C457" s="27">
        <f>+VLOOKUP(PROVEEDORES[[#This Row],[PROVEEDOR]],TERCEROS_INFO[#All],2,FALSE)</f>
        <v>30</v>
      </c>
      <c r="D457" s="37">
        <f>+SUMIFS(PROVEEDORES[Total],PROVEEDORES[PROVEEDOR],PROVEEDORES[[#This Row],[PROVEEDOR]],PROVEEDORES[FECHA DE PAGO],"")</f>
        <v>0</v>
      </c>
      <c r="E457" s="37"/>
      <c r="F457" s="108" t="str">
        <f>+VLOOKUP(PROVEEDORES[[#This Row],[PROVEEDOR]],TERCEROS_INFO[[PROVEEDOR]:[CORREO]],5,FALSE)</f>
        <v/>
      </c>
      <c r="G457" s="143">
        <v>44165</v>
      </c>
      <c r="H457" s="38" t="s">
        <v>285</v>
      </c>
      <c r="I457" s="30">
        <v>44165</v>
      </c>
      <c r="J457" s="58"/>
      <c r="K457" s="32">
        <v>249000</v>
      </c>
      <c r="L457" s="32"/>
      <c r="M457" s="33">
        <f>(PROVEEDORES[[#This Row],[SUBTOTAL]]-PROVEEDORES[[#This Row],[descuento antes de IVA]])*VLOOKUP(PROVEEDORES[[#This Row],[PROVEEDOR]],TERCEROS_INFO[#All],3,FALSE)</f>
        <v>0</v>
      </c>
      <c r="N457" s="34"/>
      <c r="O457" s="33">
        <f>+PROVEEDORES[[#This Row],[Descuento sobre subtotal %]]*(PROVEEDORES[[#This Row],[SUBTOTAL]]-PROVEEDORES[[#This Row],[descuento antes de IVA]])</f>
        <v>0</v>
      </c>
      <c r="P4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7" s="33">
        <f>+(PROVEEDORES[[#This Row],[SUBTOTAL]]-PROVEEDORES[[#This Row],[descuento antes de IVA]])*PROVEEDORES[[#This Row],[Rete Fuente %]]</f>
        <v>0</v>
      </c>
      <c r="R457" s="32">
        <f>+PROVEEDORES[[#This Row],[SUBTOTAL]]+PROVEEDORES[[#This Row],[IVA 19%]]-PROVEEDORES[[#This Row],[descuento antes de IVA]]-PROVEEDORES[[#This Row],[Descuento sobre subtotal $]]-PROVEEDORES[[#This Row],[Rete Fuente $]]</f>
        <v>249000</v>
      </c>
      <c r="S45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7" s="40"/>
      <c r="U457" s="97"/>
      <c r="V457" s="36"/>
      <c r="W457" s="36"/>
      <c r="X457" s="36"/>
      <c r="Y457" s="36"/>
      <c r="Z457" s="41"/>
      <c r="AA457" s="42"/>
      <c r="AF457" s="36"/>
      <c r="AG457" s="36"/>
    </row>
    <row r="458" spans="1:33" ht="21.95" hidden="1" customHeight="1" x14ac:dyDescent="0.25">
      <c r="A458" s="39" t="str">
        <f>+IF(PROVEEDORES[[#This Row],[FECHA DE PAGO]]=PROVEEDORES[[#This Row],[FECHA DE FACTURACIÓN]],"DE CONTADO","CRÉDITO")</f>
        <v>DE CONTADO</v>
      </c>
      <c r="B458" s="67" t="b">
        <f>+IF((PROVEEDORES[[#This Row],[FECHA DE PAGO]]-PROVEEDORES[[#This Row],[FECHA DE FACTURACIÓN]])&gt;PROVEEDORES[[#This Row],[PLAZO Días]],"PAGO VENCIDO")</f>
        <v>0</v>
      </c>
      <c r="C458" s="27">
        <f>+VLOOKUP(PROVEEDORES[[#This Row],[PROVEEDOR]],TERCEROS_INFO[#All],2,FALSE)</f>
        <v>30</v>
      </c>
      <c r="D458" s="37">
        <f>+SUMIFS(PROVEEDORES[Total],PROVEEDORES[PROVEEDOR],PROVEEDORES[[#This Row],[PROVEEDOR]],PROVEEDORES[FECHA DE PAGO],"")</f>
        <v>0</v>
      </c>
      <c r="E458" s="37"/>
      <c r="F458" s="108" t="str">
        <f>+VLOOKUP(PROVEEDORES[[#This Row],[PROVEEDOR]],TERCEROS_INFO[[PROVEEDOR]:[CORREO]],5,FALSE)</f>
        <v/>
      </c>
      <c r="G458" s="143">
        <v>44196</v>
      </c>
      <c r="H458" s="38" t="s">
        <v>319</v>
      </c>
      <c r="I458" s="30">
        <v>44196</v>
      </c>
      <c r="J458" s="58"/>
      <c r="K458" s="32">
        <v>604700</v>
      </c>
      <c r="L458" s="32"/>
      <c r="M458" s="33">
        <f>(PROVEEDORES[[#This Row],[SUBTOTAL]]-PROVEEDORES[[#This Row],[descuento antes de IVA]])*VLOOKUP(PROVEEDORES[[#This Row],[PROVEEDOR]],TERCEROS_INFO[#All],3,FALSE)</f>
        <v>0</v>
      </c>
      <c r="N458" s="34"/>
      <c r="O458" s="33">
        <f>+PROVEEDORES[[#This Row],[Descuento sobre subtotal %]]*(PROVEEDORES[[#This Row],[SUBTOTAL]]-PROVEEDORES[[#This Row],[descuento antes de IVA]])</f>
        <v>0</v>
      </c>
      <c r="P4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8" s="33">
        <f>+(PROVEEDORES[[#This Row],[SUBTOTAL]]-PROVEEDORES[[#This Row],[descuento antes de IVA]])*PROVEEDORES[[#This Row],[Rete Fuente %]]</f>
        <v>0</v>
      </c>
      <c r="R458" s="32">
        <f>+PROVEEDORES[[#This Row],[SUBTOTAL]]+PROVEEDORES[[#This Row],[IVA 19%]]-PROVEEDORES[[#This Row],[descuento antes de IVA]]-PROVEEDORES[[#This Row],[Descuento sobre subtotal $]]-PROVEEDORES[[#This Row],[Rete Fuente $]]</f>
        <v>604700</v>
      </c>
      <c r="S45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8" s="40"/>
      <c r="U458" s="97"/>
      <c r="V458" s="36"/>
      <c r="W458" s="36"/>
      <c r="X458" s="36"/>
      <c r="Y458" s="36"/>
      <c r="Z458" s="41"/>
      <c r="AA458" s="42"/>
      <c r="AF458" s="36"/>
      <c r="AG458" s="36"/>
    </row>
    <row r="459" spans="1:33" ht="21.95" hidden="1" customHeight="1" x14ac:dyDescent="0.25">
      <c r="A459" s="101" t="str">
        <f>+IF(PROVEEDORES[[#This Row],[FECHA DE PAGO]]=PROVEEDORES[[#This Row],[FECHA DE FACTURACIÓN]],"DE CONTADO","CRÉDITO")</f>
        <v>DE CONTADO</v>
      </c>
      <c r="B459" s="70" t="b">
        <f>+IF((PROVEEDORES[[#This Row],[FECHA DE PAGO]]-PROVEEDORES[[#This Row],[FECHA DE FACTURACIÓN]])&gt;PROVEEDORES[[#This Row],[PLAZO Días]],"PAGO VENCIDO")</f>
        <v>0</v>
      </c>
      <c r="C459" s="27">
        <f>+VLOOKUP(PROVEEDORES[[#This Row],[PROVEEDOR]],TERCEROS_INFO[#All],2,FALSE)</f>
        <v>30</v>
      </c>
      <c r="D459" s="37">
        <f>+SUMIFS(PROVEEDORES[Total],PROVEEDORES[PROVEEDOR],PROVEEDORES[[#This Row],[PROVEEDOR]],PROVEEDORES[FECHA DE PAGO],"")</f>
        <v>0</v>
      </c>
      <c r="E459" s="37"/>
      <c r="F459" s="108" t="str">
        <f>+VLOOKUP(PROVEEDORES[[#This Row],[PROVEEDOR]],TERCEROS_INFO[[PROVEEDOR]:[CORREO]],5,FALSE)</f>
        <v/>
      </c>
      <c r="G459" s="143">
        <v>44286</v>
      </c>
      <c r="H459" s="38" t="s">
        <v>319</v>
      </c>
      <c r="I459" s="30">
        <v>44286</v>
      </c>
      <c r="J459" s="58"/>
      <c r="K459" s="32">
        <v>456000</v>
      </c>
      <c r="L459" s="32"/>
      <c r="M459" s="33">
        <f>(PROVEEDORES[[#This Row],[SUBTOTAL]]-PROVEEDORES[[#This Row],[descuento antes de IVA]])*VLOOKUP(PROVEEDORES[[#This Row],[PROVEEDOR]],TERCEROS_INFO[#All],3,FALSE)</f>
        <v>0</v>
      </c>
      <c r="N459" s="34"/>
      <c r="O459" s="33">
        <f>+PROVEEDORES[[#This Row],[Descuento sobre subtotal %]]*(PROVEEDORES[[#This Row],[SUBTOTAL]]-PROVEEDORES[[#This Row],[descuento antes de IVA]])</f>
        <v>0</v>
      </c>
      <c r="P4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59" s="33">
        <f>+(PROVEEDORES[[#This Row],[SUBTOTAL]]-PROVEEDORES[[#This Row],[descuento antes de IVA]])*PROVEEDORES[[#This Row],[Rete Fuente %]]</f>
        <v>0</v>
      </c>
      <c r="R459" s="32">
        <f>+PROVEEDORES[[#This Row],[SUBTOTAL]]+PROVEEDORES[[#This Row],[IVA 19%]]-PROVEEDORES[[#This Row],[descuento antes de IVA]]-PROVEEDORES[[#This Row],[Descuento sobre subtotal $]]-PROVEEDORES[[#This Row],[Rete Fuente $]]</f>
        <v>456000</v>
      </c>
      <c r="S459" s="10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9" s="40"/>
      <c r="U459" s="97"/>
      <c r="V459" s="36"/>
      <c r="W459" s="36"/>
      <c r="X459" s="36"/>
      <c r="Y459" s="36"/>
      <c r="Z459" s="41"/>
      <c r="AA459" s="42"/>
      <c r="AF459" s="36"/>
      <c r="AG459" s="36"/>
    </row>
    <row r="460" spans="1:33" ht="21.95" hidden="1" customHeight="1" x14ac:dyDescent="0.25">
      <c r="A460" s="107" t="str">
        <f>+IF(PROVEEDORES[[#This Row],[FECHA DE PAGO]]=PROVEEDORES[[#This Row],[FECHA DE FACTURACIÓN]],"DE CONTADO","CRÉDITO")</f>
        <v>DE CONTADO</v>
      </c>
      <c r="B460" s="70" t="b">
        <f>+IF((PROVEEDORES[[#This Row],[FECHA DE PAGO]]-PROVEEDORES[[#This Row],[FECHA DE FACTURACIÓN]])&gt;PROVEEDORES[[#This Row],[PLAZO Días]],"PAGO VENCIDO")</f>
        <v>0</v>
      </c>
      <c r="C460" s="27">
        <f>+VLOOKUP(PROVEEDORES[[#This Row],[PROVEEDOR]],TERCEROS_INFO[#All],2,FALSE)</f>
        <v>30</v>
      </c>
      <c r="D460" s="37">
        <f>+SUMIFS(PROVEEDORES[Total],PROVEEDORES[PROVEEDOR],PROVEEDORES[[#This Row],[PROVEEDOR]],PROVEEDORES[FECHA DE PAGO],"")</f>
        <v>0</v>
      </c>
      <c r="E460" s="37"/>
      <c r="F460" s="108" t="str">
        <f>+VLOOKUP(PROVEEDORES[[#This Row],[PROVEEDOR]],TERCEROS_INFO[[PROVEEDOR]:[CORREO]],5,FALSE)</f>
        <v/>
      </c>
      <c r="G460" s="143">
        <v>44316</v>
      </c>
      <c r="H460" s="38" t="s">
        <v>319</v>
      </c>
      <c r="I460" s="30">
        <v>44316</v>
      </c>
      <c r="J460" s="58"/>
      <c r="K460" s="32">
        <v>71400</v>
      </c>
      <c r="L460" s="32"/>
      <c r="M460" s="33">
        <f>(PROVEEDORES[[#This Row],[SUBTOTAL]]-PROVEEDORES[[#This Row],[descuento antes de IVA]])*VLOOKUP(PROVEEDORES[[#This Row],[PROVEEDOR]],TERCEROS_INFO[#All],3,FALSE)</f>
        <v>0</v>
      </c>
      <c r="N460" s="34"/>
      <c r="O460" s="33">
        <f>+PROVEEDORES[[#This Row],[Descuento sobre subtotal %]]*(PROVEEDORES[[#This Row],[SUBTOTAL]]-PROVEEDORES[[#This Row],[descuento antes de IVA]])</f>
        <v>0</v>
      </c>
      <c r="P4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0" s="33">
        <f>+(PROVEEDORES[[#This Row],[SUBTOTAL]]-PROVEEDORES[[#This Row],[descuento antes de IVA]])*PROVEEDORES[[#This Row],[Rete Fuente %]]</f>
        <v>0</v>
      </c>
      <c r="R460" s="32">
        <f>+PROVEEDORES[[#This Row],[SUBTOTAL]]+PROVEEDORES[[#This Row],[IVA 19%]]-PROVEEDORES[[#This Row],[descuento antes de IVA]]-PROVEEDORES[[#This Row],[Descuento sobre subtotal $]]-PROVEEDORES[[#This Row],[Rete Fuente $]]</f>
        <v>71400</v>
      </c>
      <c r="S460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0" s="40"/>
      <c r="U460" s="97"/>
      <c r="V460" s="36"/>
      <c r="W460" s="36"/>
      <c r="X460" s="36"/>
      <c r="Y460" s="36"/>
      <c r="Z460" s="41"/>
      <c r="AA460" s="42"/>
      <c r="AF460" s="36"/>
      <c r="AG460" s="36"/>
    </row>
    <row r="461" spans="1:33" ht="21.95" hidden="1" customHeight="1" x14ac:dyDescent="0.25">
      <c r="A461" s="119" t="str">
        <f>+IF(PROVEEDORES[[#This Row],[FECHA DE PAGO]]=PROVEEDORES[[#This Row],[FECHA DE FACTURACIÓN]],"DE CONTADO","CRÉDITO")</f>
        <v>DE CONTADO</v>
      </c>
      <c r="B461" s="70" t="b">
        <f>+IF((PROVEEDORES[[#This Row],[FECHA DE PAGO]]-PROVEEDORES[[#This Row],[FECHA DE FACTURACIÓN]])&gt;PROVEEDORES[[#This Row],[PLAZO Días]],"PAGO VENCIDO")</f>
        <v>0</v>
      </c>
      <c r="C461" s="27">
        <f>+VLOOKUP(PROVEEDORES[[#This Row],[PROVEEDOR]],TERCEROS_INFO[#All],2,FALSE)</f>
        <v>30</v>
      </c>
      <c r="D461" s="37">
        <f>+SUMIFS(PROVEEDORES[Total],PROVEEDORES[PROVEEDOR],PROVEEDORES[[#This Row],[PROVEEDOR]],PROVEEDORES[FECHA DE PAGO],"")</f>
        <v>0</v>
      </c>
      <c r="E461" s="37"/>
      <c r="F461" s="108" t="str">
        <f>+VLOOKUP(PROVEEDORES[[#This Row],[PROVEEDOR]],TERCEROS_INFO[[PROVEEDOR]:[CORREO]],5,FALSE)</f>
        <v/>
      </c>
      <c r="G461" s="143">
        <v>44347</v>
      </c>
      <c r="H461" s="38" t="s">
        <v>319</v>
      </c>
      <c r="I461" s="30">
        <v>44347</v>
      </c>
      <c r="J461" s="58"/>
      <c r="K461" s="32">
        <v>709000</v>
      </c>
      <c r="L461" s="32"/>
      <c r="M461" s="33">
        <f>(PROVEEDORES[[#This Row],[SUBTOTAL]]-PROVEEDORES[[#This Row],[descuento antes de IVA]])*VLOOKUP(PROVEEDORES[[#This Row],[PROVEEDOR]],TERCEROS_INFO[#All],3,FALSE)</f>
        <v>0</v>
      </c>
      <c r="N461" s="34"/>
      <c r="O461" s="33">
        <f>+PROVEEDORES[[#This Row],[Descuento sobre subtotal %]]*(PROVEEDORES[[#This Row],[SUBTOTAL]]-PROVEEDORES[[#This Row],[descuento antes de IVA]])</f>
        <v>0</v>
      </c>
      <c r="P4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1" s="33">
        <f>+(PROVEEDORES[[#This Row],[SUBTOTAL]]-PROVEEDORES[[#This Row],[descuento antes de IVA]])*PROVEEDORES[[#This Row],[Rete Fuente %]]</f>
        <v>0</v>
      </c>
      <c r="R461" s="32">
        <f>+PROVEEDORES[[#This Row],[SUBTOTAL]]+PROVEEDORES[[#This Row],[IVA 19%]]-PROVEEDORES[[#This Row],[descuento antes de IVA]]-PROVEEDORES[[#This Row],[Descuento sobre subtotal $]]-PROVEEDORES[[#This Row],[Rete Fuente $]]</f>
        <v>709000</v>
      </c>
      <c r="S461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1" s="40"/>
      <c r="U461" s="97"/>
      <c r="V461" s="36"/>
      <c r="W461" s="36"/>
      <c r="X461" s="36"/>
      <c r="Y461" s="36"/>
      <c r="Z461" s="41"/>
      <c r="AA461" s="42"/>
      <c r="AF461" s="36"/>
      <c r="AG461" s="36"/>
    </row>
    <row r="462" spans="1:33" ht="21.95" hidden="1" customHeight="1" x14ac:dyDescent="0.25">
      <c r="A462" s="129" t="str">
        <f>+IF(PROVEEDORES[[#This Row],[FECHA DE PAGO]]=PROVEEDORES[[#This Row],[FECHA DE FACTURACIÓN]],"DE CONTADO","CRÉDITO")</f>
        <v>DE CONTADO</v>
      </c>
      <c r="B462" s="70" t="b">
        <f>+IF((PROVEEDORES[[#This Row],[FECHA DE PAGO]]-PROVEEDORES[[#This Row],[FECHA DE FACTURACIÓN]])&gt;PROVEEDORES[[#This Row],[PLAZO Días]],"PAGO VENCIDO")</f>
        <v>0</v>
      </c>
      <c r="C462" s="27">
        <f>+VLOOKUP(PROVEEDORES[[#This Row],[PROVEEDOR]],TERCEROS_INFO[#All],2,FALSE)</f>
        <v>30</v>
      </c>
      <c r="D462" s="37">
        <f>+SUMIFS(PROVEEDORES[Total],PROVEEDORES[PROVEEDOR],PROVEEDORES[[#This Row],[PROVEEDOR]],PROVEEDORES[FECHA DE PAGO],"")</f>
        <v>0</v>
      </c>
      <c r="E462" s="37"/>
      <c r="F462" s="108" t="str">
        <f>+VLOOKUP(PROVEEDORES[[#This Row],[PROVEEDOR]],TERCEROS_INFO[[PROVEEDOR]:[CORREO]],5,FALSE)</f>
        <v/>
      </c>
      <c r="G462" s="143">
        <v>44377</v>
      </c>
      <c r="H462" s="38" t="s">
        <v>319</v>
      </c>
      <c r="I462" s="30">
        <v>44377</v>
      </c>
      <c r="J462" s="58"/>
      <c r="K462" s="32">
        <v>526000</v>
      </c>
      <c r="L462" s="32"/>
      <c r="M462" s="33">
        <f>(PROVEEDORES[[#This Row],[SUBTOTAL]]-PROVEEDORES[[#This Row],[descuento antes de IVA]])*VLOOKUP(PROVEEDORES[[#This Row],[PROVEEDOR]],TERCEROS_INFO[#All],3,FALSE)</f>
        <v>0</v>
      </c>
      <c r="N462" s="34"/>
      <c r="O462" s="33">
        <f>+PROVEEDORES[[#This Row],[Descuento sobre subtotal %]]*(PROVEEDORES[[#This Row],[SUBTOTAL]]-PROVEEDORES[[#This Row],[descuento antes de IVA]])</f>
        <v>0</v>
      </c>
      <c r="P4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2" s="33">
        <f>+(PROVEEDORES[[#This Row],[SUBTOTAL]]-PROVEEDORES[[#This Row],[descuento antes de IVA]])*PROVEEDORES[[#This Row],[Rete Fuente %]]</f>
        <v>0</v>
      </c>
      <c r="R462" s="32">
        <f>+PROVEEDORES[[#This Row],[SUBTOTAL]]+PROVEEDORES[[#This Row],[IVA 19%]]-PROVEEDORES[[#This Row],[descuento antes de IVA]]-PROVEEDORES[[#This Row],[Descuento sobre subtotal $]]-PROVEEDORES[[#This Row],[Rete Fuente $]]</f>
        <v>526000</v>
      </c>
      <c r="S462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2" s="40"/>
      <c r="U462" s="97"/>
      <c r="V462" s="36"/>
      <c r="W462" s="36"/>
      <c r="X462" s="36"/>
      <c r="Y462" s="36"/>
      <c r="Z462" s="41"/>
      <c r="AA462" s="42"/>
      <c r="AF462" s="36"/>
      <c r="AG462" s="36"/>
    </row>
    <row r="463" spans="1:33" ht="21.95" hidden="1" customHeight="1" x14ac:dyDescent="0.25">
      <c r="A463" s="139" t="str">
        <f>+IF(PROVEEDORES[[#This Row],[FECHA DE PAGO]]=PROVEEDORES[[#This Row],[FECHA DE FACTURACIÓN]],"DE CONTADO","CRÉDITO")</f>
        <v>DE CONTADO</v>
      </c>
      <c r="B463" s="70" t="b">
        <f>+IF((PROVEEDORES[[#This Row],[FECHA DE PAGO]]-PROVEEDORES[[#This Row],[FECHA DE FACTURACIÓN]])&gt;PROVEEDORES[[#This Row],[PLAZO Días]],"PAGO VENCIDO")</f>
        <v>0</v>
      </c>
      <c r="C463" s="27">
        <f>+VLOOKUP(PROVEEDORES[[#This Row],[PROVEEDOR]],TERCEROS_INFO[#All],2,FALSE)</f>
        <v>30</v>
      </c>
      <c r="D463" s="37">
        <f>+SUMIFS(PROVEEDORES[Total],PROVEEDORES[PROVEEDOR],PROVEEDORES[[#This Row],[PROVEEDOR]],PROVEEDORES[FECHA DE PAGO],"")</f>
        <v>0</v>
      </c>
      <c r="E463" s="37"/>
      <c r="F463" s="108" t="str">
        <f>+VLOOKUP(PROVEEDORES[[#This Row],[PROVEEDOR]],TERCEROS_INFO[[PROVEEDOR]:[CORREO]],5,FALSE)</f>
        <v/>
      </c>
      <c r="G463" s="143">
        <v>44408</v>
      </c>
      <c r="H463" s="38" t="s">
        <v>285</v>
      </c>
      <c r="I463" s="30">
        <v>44408</v>
      </c>
      <c r="J463" s="58"/>
      <c r="K463" s="32">
        <v>114700</v>
      </c>
      <c r="L463" s="32"/>
      <c r="M463" s="33">
        <f>(PROVEEDORES[[#This Row],[SUBTOTAL]]-PROVEEDORES[[#This Row],[descuento antes de IVA]])*VLOOKUP(PROVEEDORES[[#This Row],[PROVEEDOR]],TERCEROS_INFO[#All],3,FALSE)</f>
        <v>0</v>
      </c>
      <c r="N463" s="34"/>
      <c r="O463" s="33">
        <f>+PROVEEDORES[[#This Row],[Descuento sobre subtotal %]]*(PROVEEDORES[[#This Row],[SUBTOTAL]]-PROVEEDORES[[#This Row],[descuento antes de IVA]])</f>
        <v>0</v>
      </c>
      <c r="P4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3" s="33">
        <f>+(PROVEEDORES[[#This Row],[SUBTOTAL]]-PROVEEDORES[[#This Row],[descuento antes de IVA]])*PROVEEDORES[[#This Row],[Rete Fuente %]]</f>
        <v>0</v>
      </c>
      <c r="R463" s="32">
        <f>+PROVEEDORES[[#This Row],[SUBTOTAL]]+PROVEEDORES[[#This Row],[IVA 19%]]-PROVEEDORES[[#This Row],[descuento antes de IVA]]-PROVEEDORES[[#This Row],[Descuento sobre subtotal $]]-PROVEEDORES[[#This Row],[Rete Fuente $]]</f>
        <v>114700</v>
      </c>
      <c r="S463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3" s="40"/>
      <c r="U463" s="97"/>
      <c r="V463" s="36"/>
      <c r="W463" s="36"/>
      <c r="X463" s="36"/>
      <c r="Y463" s="36"/>
      <c r="Z463" s="41"/>
      <c r="AA463" s="42"/>
      <c r="AF463" s="36"/>
      <c r="AG463" s="36"/>
    </row>
    <row r="464" spans="1:33" ht="21.95" hidden="1" customHeight="1" x14ac:dyDescent="0.25">
      <c r="A464" s="35" t="str">
        <f>+IF(PROVEEDORES[[#This Row],[FECHA DE PAGO]]=PROVEEDORES[[#This Row],[FECHA DE FACTURACIÓN]],"DE CONTADO","CRÉDITO")</f>
        <v>DE CONTADO</v>
      </c>
      <c r="B464" s="67" t="b">
        <f>+IF((PROVEEDORES[[#This Row],[FECHA DE PAGO]]-PROVEEDORES[[#This Row],[FECHA DE FACTURACIÓN]])&gt;PROVEEDORES[[#This Row],[PLAZO Días]],"PAGO VENCIDO")</f>
        <v>0</v>
      </c>
      <c r="C464" s="27">
        <f>+VLOOKUP(PROVEEDORES[[#This Row],[PROVEEDOR]],TERCEROS_INFO[#All],2,FALSE)</f>
        <v>30</v>
      </c>
      <c r="D464" s="37">
        <f>+SUMIFS(PROVEEDORES[Total],PROVEEDORES[PROVEEDOR],PROVEEDORES[[#This Row],[PROVEEDOR]],PROVEEDORES[FECHA DE PAGO],"")</f>
        <v>0</v>
      </c>
      <c r="E464" s="37"/>
      <c r="F464" s="108" t="str">
        <f>+VLOOKUP(PROVEEDORES[[#This Row],[PROVEEDOR]],TERCEROS_INFO[[PROVEEDOR]:[CORREO]],5,FALSE)</f>
        <v/>
      </c>
      <c r="G464" s="143">
        <v>44216</v>
      </c>
      <c r="H464" s="38" t="s">
        <v>384</v>
      </c>
      <c r="I464" s="30">
        <v>44216</v>
      </c>
      <c r="J464" s="58">
        <v>1409</v>
      </c>
      <c r="K464" s="32">
        <v>100000</v>
      </c>
      <c r="L464" s="32"/>
      <c r="M464" s="33">
        <f>(PROVEEDORES[[#This Row],[SUBTOTAL]]-PROVEEDORES[[#This Row],[descuento antes de IVA]])*VLOOKUP(PROVEEDORES[[#This Row],[PROVEEDOR]],TERCEROS_INFO[#All],3,FALSE)</f>
        <v>0</v>
      </c>
      <c r="N464" s="34"/>
      <c r="O464" s="33">
        <f>+PROVEEDORES[[#This Row],[Descuento sobre subtotal %]]*(PROVEEDORES[[#This Row],[SUBTOTAL]]-PROVEEDORES[[#This Row],[descuento antes de IVA]])</f>
        <v>0</v>
      </c>
      <c r="P4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4" s="33">
        <f>+(PROVEEDORES[[#This Row],[SUBTOTAL]]-PROVEEDORES[[#This Row],[descuento antes de IVA]])*PROVEEDORES[[#This Row],[Rete Fuente %]]</f>
        <v>0</v>
      </c>
      <c r="R464" s="32">
        <f>+PROVEEDORES[[#This Row],[SUBTOTAL]]+PROVEEDORES[[#This Row],[IVA 19%]]-PROVEEDORES[[#This Row],[descuento antes de IVA]]-PROVEEDORES[[#This Row],[Descuento sobre subtotal $]]-PROVEEDORES[[#This Row],[Rete Fuente $]]</f>
        <v>100000</v>
      </c>
      <c r="S46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4" s="40"/>
      <c r="U464" s="97"/>
      <c r="V464" s="36"/>
      <c r="W464" s="36"/>
      <c r="X464" s="36"/>
      <c r="Y464" s="36"/>
      <c r="Z464" s="41"/>
      <c r="AA464" s="42"/>
      <c r="AF464" s="36"/>
      <c r="AG464" s="36"/>
    </row>
    <row r="465" spans="1:33" ht="21.95" hidden="1" customHeight="1" x14ac:dyDescent="0.25">
      <c r="A465" s="35" t="str">
        <f>+IF(PROVEEDORES[[#This Row],[FECHA DE PAGO]]=PROVEEDORES[[#This Row],[FECHA DE FACTURACIÓN]],"DE CONTADO","CRÉDITO")</f>
        <v>DE CONTADO</v>
      </c>
      <c r="B465" s="67" t="b">
        <f>+IF((PROVEEDORES[[#This Row],[FECHA DE PAGO]]-PROVEEDORES[[#This Row],[FECHA DE FACTURACIÓN]])&gt;PROVEEDORES[[#This Row],[PLAZO Días]],"PAGO VENCIDO")</f>
        <v>0</v>
      </c>
      <c r="C465" s="27">
        <f>+VLOOKUP(PROVEEDORES[[#This Row],[PROVEEDOR]],TERCEROS_INFO[#All],2,FALSE)</f>
        <v>30</v>
      </c>
      <c r="D465" s="37">
        <f>+SUMIFS(PROVEEDORES[Total],PROVEEDORES[PROVEEDOR],PROVEEDORES[[#This Row],[PROVEEDOR]],PROVEEDORES[FECHA DE PAGO],"")</f>
        <v>0</v>
      </c>
      <c r="E465" s="37"/>
      <c r="F465" s="108" t="str">
        <f>+VLOOKUP(PROVEEDORES[[#This Row],[PROVEEDOR]],TERCEROS_INFO[[PROVEEDOR]:[CORREO]],5,FALSE)</f>
        <v/>
      </c>
      <c r="G465" s="143">
        <v>44216</v>
      </c>
      <c r="H465" s="38" t="s">
        <v>384</v>
      </c>
      <c r="I465" s="30">
        <v>44216</v>
      </c>
      <c r="J465" s="58">
        <v>1410</v>
      </c>
      <c r="K465" s="32">
        <v>192050</v>
      </c>
      <c r="L465" s="32"/>
      <c r="M465" s="33">
        <f>(PROVEEDORES[[#This Row],[SUBTOTAL]]-PROVEEDORES[[#This Row],[descuento antes de IVA]])*VLOOKUP(PROVEEDORES[[#This Row],[PROVEEDOR]],TERCEROS_INFO[#All],3,FALSE)</f>
        <v>0</v>
      </c>
      <c r="N465" s="34"/>
      <c r="O465" s="33">
        <f>+PROVEEDORES[[#This Row],[Descuento sobre subtotal %]]*(PROVEEDORES[[#This Row],[SUBTOTAL]]-PROVEEDORES[[#This Row],[descuento antes de IVA]])</f>
        <v>0</v>
      </c>
      <c r="P4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5" s="33">
        <f>+(PROVEEDORES[[#This Row],[SUBTOTAL]]-PROVEEDORES[[#This Row],[descuento antes de IVA]])*PROVEEDORES[[#This Row],[Rete Fuente %]]</f>
        <v>0</v>
      </c>
      <c r="R465" s="32">
        <f>+PROVEEDORES[[#This Row],[SUBTOTAL]]+PROVEEDORES[[#This Row],[IVA 19%]]-PROVEEDORES[[#This Row],[descuento antes de IVA]]-PROVEEDORES[[#This Row],[Descuento sobre subtotal $]]-PROVEEDORES[[#This Row],[Rete Fuente $]]</f>
        <v>192050</v>
      </c>
      <c r="S46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5" s="40"/>
      <c r="U465" s="97"/>
      <c r="V465" s="36"/>
      <c r="W465" s="36"/>
      <c r="X465" s="36"/>
      <c r="Y465" s="36"/>
      <c r="Z465" s="41"/>
      <c r="AA465" s="42"/>
      <c r="AF465" s="36"/>
      <c r="AG465" s="36"/>
    </row>
    <row r="466" spans="1:33" ht="21.95" hidden="1" customHeight="1" x14ac:dyDescent="0.25">
      <c r="A466" s="39" t="str">
        <f>+IF(PROVEEDORES[[#This Row],[FECHA DE PAGO]]=PROVEEDORES[[#This Row],[FECHA DE FACTURACIÓN]],"DE CONTADO","CRÉDITO")</f>
        <v>DE CONTADO</v>
      </c>
      <c r="B466" s="67" t="b">
        <f>+IF((PROVEEDORES[[#This Row],[FECHA DE PAGO]]-PROVEEDORES[[#This Row],[FECHA DE FACTURACIÓN]])&gt;PROVEEDORES[[#This Row],[PLAZO Días]],"PAGO VENCIDO")</f>
        <v>0</v>
      </c>
      <c r="C466" s="27">
        <f>+VLOOKUP(PROVEEDORES[[#This Row],[PROVEEDOR]],TERCEROS_INFO[#All],2,FALSE)</f>
        <v>30</v>
      </c>
      <c r="D466" s="37">
        <f>+SUMIFS(PROVEEDORES[Total],PROVEEDORES[PROVEEDOR],PROVEEDORES[[#This Row],[PROVEEDOR]],PROVEEDORES[FECHA DE PAGO],"")</f>
        <v>0</v>
      </c>
      <c r="E466" s="37" t="s">
        <v>342</v>
      </c>
      <c r="F466" s="108" t="str">
        <f>+VLOOKUP(PROVEEDORES[[#This Row],[PROVEEDOR]],TERCEROS_INFO[[PROVEEDOR]:[CORREO]],5,FALSE)</f>
        <v/>
      </c>
      <c r="G466" s="143">
        <v>44040</v>
      </c>
      <c r="H466" s="38" t="s">
        <v>286</v>
      </c>
      <c r="I466" s="30">
        <v>44040</v>
      </c>
      <c r="J466" s="58"/>
      <c r="K466" s="32">
        <v>185000</v>
      </c>
      <c r="L466" s="32"/>
      <c r="M466" s="33">
        <f>(PROVEEDORES[[#This Row],[SUBTOTAL]]-PROVEEDORES[[#This Row],[descuento antes de IVA]])*VLOOKUP(PROVEEDORES[[#This Row],[PROVEEDOR]],TERCEROS_INFO[#All],3,FALSE)</f>
        <v>0</v>
      </c>
      <c r="N466" s="34"/>
      <c r="O466" s="33">
        <f>+PROVEEDORES[[#This Row],[Descuento sobre subtotal %]]*(PROVEEDORES[[#This Row],[SUBTOTAL]]-PROVEEDORES[[#This Row],[descuento antes de IVA]])</f>
        <v>0</v>
      </c>
      <c r="P4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6" s="33">
        <f>+(PROVEEDORES[[#This Row],[SUBTOTAL]]-PROVEEDORES[[#This Row],[descuento antes de IVA]])*PROVEEDORES[[#This Row],[Rete Fuente %]]</f>
        <v>0</v>
      </c>
      <c r="R466" s="32">
        <f>+PROVEEDORES[[#This Row],[SUBTOTAL]]+PROVEEDORES[[#This Row],[IVA 19%]]-PROVEEDORES[[#This Row],[descuento antes de IVA]]-PROVEEDORES[[#This Row],[Descuento sobre subtotal $]]-PROVEEDORES[[#This Row],[Rete Fuente $]]</f>
        <v>185000</v>
      </c>
      <c r="S46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6" s="40"/>
      <c r="U466" s="97"/>
      <c r="V466" s="36"/>
      <c r="W466" s="36"/>
      <c r="X466" s="36"/>
      <c r="Y466" s="36"/>
      <c r="Z466" s="41"/>
      <c r="AA466" s="42"/>
      <c r="AF466" s="36"/>
      <c r="AG466" s="36"/>
    </row>
    <row r="467" spans="1:33" ht="21.95" hidden="1" customHeight="1" x14ac:dyDescent="0.25">
      <c r="A467" s="39" t="str">
        <f>+IF(PROVEEDORES[[#This Row],[FECHA DE PAGO]]=PROVEEDORES[[#This Row],[FECHA DE FACTURACIÓN]],"DE CONTADO","CRÉDITO")</f>
        <v>DE CONTADO</v>
      </c>
      <c r="B467" s="67" t="b">
        <f>+IF((PROVEEDORES[[#This Row],[FECHA DE PAGO]]-PROVEEDORES[[#This Row],[FECHA DE FACTURACIÓN]])&gt;PROVEEDORES[[#This Row],[PLAZO Días]],"PAGO VENCIDO")</f>
        <v>0</v>
      </c>
      <c r="C467" s="27">
        <f>+VLOOKUP(PROVEEDORES[[#This Row],[PROVEEDOR]],TERCEROS_INFO[#All],2,FALSE)</f>
        <v>30</v>
      </c>
      <c r="D467" s="37">
        <f>+SUMIFS(PROVEEDORES[Total],PROVEEDORES[PROVEEDOR],PROVEEDORES[[#This Row],[PROVEEDOR]],PROVEEDORES[FECHA DE PAGO],"")</f>
        <v>0</v>
      </c>
      <c r="E467" s="37" t="s">
        <v>342</v>
      </c>
      <c r="F467" s="108" t="str">
        <f>+VLOOKUP(PROVEEDORES[[#This Row],[PROVEEDOR]],TERCEROS_INFO[[PROVEEDOR]:[CORREO]],5,FALSE)</f>
        <v/>
      </c>
      <c r="G467" s="143">
        <v>44056</v>
      </c>
      <c r="H467" s="38" t="s">
        <v>286</v>
      </c>
      <c r="I467" s="30">
        <v>44056</v>
      </c>
      <c r="J467" s="58"/>
      <c r="K467" s="32">
        <v>50000</v>
      </c>
      <c r="L467" s="32"/>
      <c r="M467" s="33">
        <f>(PROVEEDORES[[#This Row],[SUBTOTAL]]-PROVEEDORES[[#This Row],[descuento antes de IVA]])*VLOOKUP(PROVEEDORES[[#This Row],[PROVEEDOR]],TERCEROS_INFO[#All],3,FALSE)</f>
        <v>0</v>
      </c>
      <c r="N467" s="34"/>
      <c r="O467" s="33">
        <f>+PROVEEDORES[[#This Row],[Descuento sobre subtotal %]]*(PROVEEDORES[[#This Row],[SUBTOTAL]]-PROVEEDORES[[#This Row],[descuento antes de IVA]])</f>
        <v>0</v>
      </c>
      <c r="P4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7" s="33">
        <f>+(PROVEEDORES[[#This Row],[SUBTOTAL]]-PROVEEDORES[[#This Row],[descuento antes de IVA]])*PROVEEDORES[[#This Row],[Rete Fuente %]]</f>
        <v>0</v>
      </c>
      <c r="R467" s="32">
        <f>+PROVEEDORES[[#This Row],[SUBTOTAL]]+PROVEEDORES[[#This Row],[IVA 19%]]-PROVEEDORES[[#This Row],[descuento antes de IVA]]-PROVEEDORES[[#This Row],[Descuento sobre subtotal $]]-PROVEEDORES[[#This Row],[Rete Fuente $]]</f>
        <v>50000</v>
      </c>
      <c r="S46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7" s="40"/>
      <c r="U467" s="97"/>
      <c r="V467" s="36"/>
      <c r="W467" s="36"/>
      <c r="X467" s="36"/>
      <c r="Y467" s="36"/>
      <c r="Z467" s="41"/>
      <c r="AA467" s="42"/>
      <c r="AF467" s="36"/>
      <c r="AG467" s="36"/>
    </row>
    <row r="468" spans="1:33" ht="21.95" hidden="1" customHeight="1" x14ac:dyDescent="0.25">
      <c r="A468" s="39" t="str">
        <f>+IF(PROVEEDORES[[#This Row],[FECHA DE PAGO]]=PROVEEDORES[[#This Row],[FECHA DE FACTURACIÓN]],"DE CONTADO","CRÉDITO")</f>
        <v>DE CONTADO</v>
      </c>
      <c r="B468" s="67" t="b">
        <f>+IF((PROVEEDORES[[#This Row],[FECHA DE PAGO]]-PROVEEDORES[[#This Row],[FECHA DE FACTURACIÓN]])&gt;PROVEEDORES[[#This Row],[PLAZO Días]],"PAGO VENCIDO")</f>
        <v>0</v>
      </c>
      <c r="C468" s="27">
        <f>+VLOOKUP(PROVEEDORES[[#This Row],[PROVEEDOR]],TERCEROS_INFO[#All],2,FALSE)</f>
        <v>30</v>
      </c>
      <c r="D468" s="37">
        <f>+SUMIFS(PROVEEDORES[Total],PROVEEDORES[PROVEEDOR],PROVEEDORES[[#This Row],[PROVEEDOR]],PROVEEDORES[FECHA DE PAGO],"")</f>
        <v>0</v>
      </c>
      <c r="E468" s="37" t="s">
        <v>343</v>
      </c>
      <c r="F468" s="108" t="str">
        <f>+VLOOKUP(PROVEEDORES[[#This Row],[PROVEEDOR]],TERCEROS_INFO[[PROVEEDOR]:[CORREO]],5,FALSE)</f>
        <v/>
      </c>
      <c r="G468" s="143">
        <v>44023</v>
      </c>
      <c r="H468" s="38" t="s">
        <v>287</v>
      </c>
      <c r="I468" s="30">
        <v>44023</v>
      </c>
      <c r="J468" s="58"/>
      <c r="K468" s="32">
        <v>72000</v>
      </c>
      <c r="L468" s="32"/>
      <c r="M468" s="33">
        <f>(PROVEEDORES[[#This Row],[SUBTOTAL]]-PROVEEDORES[[#This Row],[descuento antes de IVA]])*VLOOKUP(PROVEEDORES[[#This Row],[PROVEEDOR]],TERCEROS_INFO[#All],3,FALSE)</f>
        <v>0</v>
      </c>
      <c r="N468" s="34"/>
      <c r="O468" s="33">
        <f>+PROVEEDORES[[#This Row],[Descuento sobre subtotal %]]*(PROVEEDORES[[#This Row],[SUBTOTAL]]-PROVEEDORES[[#This Row],[descuento antes de IVA]])</f>
        <v>0</v>
      </c>
      <c r="P4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8" s="33">
        <f>+(PROVEEDORES[[#This Row],[SUBTOTAL]]-PROVEEDORES[[#This Row],[descuento antes de IVA]])*PROVEEDORES[[#This Row],[Rete Fuente %]]</f>
        <v>0</v>
      </c>
      <c r="R468" s="32">
        <f>+PROVEEDORES[[#This Row],[SUBTOTAL]]+PROVEEDORES[[#This Row],[IVA 19%]]-PROVEEDORES[[#This Row],[descuento antes de IVA]]-PROVEEDORES[[#This Row],[Descuento sobre subtotal $]]-PROVEEDORES[[#This Row],[Rete Fuente $]]</f>
        <v>72000</v>
      </c>
      <c r="S46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8" s="40"/>
      <c r="U468" s="97"/>
      <c r="V468" s="36"/>
      <c r="W468" s="36"/>
      <c r="X468" s="36"/>
      <c r="Y468" s="36"/>
      <c r="Z468" s="41"/>
      <c r="AA468" s="42"/>
      <c r="AF468" s="36"/>
      <c r="AG468" s="36"/>
    </row>
    <row r="469" spans="1:33" ht="21.95" hidden="1" customHeight="1" x14ac:dyDescent="0.25">
      <c r="A469" s="39" t="str">
        <f>+IF(PROVEEDORES[[#This Row],[FECHA DE PAGO]]=PROVEEDORES[[#This Row],[FECHA DE FACTURACIÓN]],"DE CONTADO","CRÉDITO")</f>
        <v>CRÉDITO</v>
      </c>
      <c r="B469" s="67" t="str">
        <f>+IF((PROVEEDORES[[#This Row],[FECHA DE PAGO]]-PROVEEDORES[[#This Row],[FECHA DE FACTURACIÓN]])&gt;PROVEEDORES[[#This Row],[PLAZO Días]],"PAGO VENCIDO")</f>
        <v>PAGO VENCIDO</v>
      </c>
      <c r="C469" s="27">
        <f>+VLOOKUP(PROVEEDORES[[#This Row],[PROVEEDOR]],TERCEROS_INFO[#All],2,FALSE)</f>
        <v>30</v>
      </c>
      <c r="D469" s="37">
        <f>+SUMIFS(PROVEEDORES[Total],PROVEEDORES[PROVEEDOR],PROVEEDORES[[#This Row],[PROVEEDOR]],PROVEEDORES[FECHA DE PAGO],"")</f>
        <v>1783000</v>
      </c>
      <c r="E469" s="37"/>
      <c r="F469" s="108" t="str">
        <f>+VLOOKUP(PROVEEDORES[[#This Row],[PROVEEDOR]],TERCEROS_INFO[[PROVEEDOR]:[CORREO]],5,FALSE)</f>
        <v>Pygimportadora@gmail.com;girlesa.ruiz@servipilas.com;joriescobar64@gmail.com</v>
      </c>
      <c r="G469" s="143">
        <v>44118</v>
      </c>
      <c r="H469" s="38" t="s">
        <v>288</v>
      </c>
      <c r="I469" s="30">
        <v>44076</v>
      </c>
      <c r="J469" s="58">
        <v>1067</v>
      </c>
      <c r="K469" s="32">
        <v>25000</v>
      </c>
      <c r="L469" s="32"/>
      <c r="M469" s="33">
        <f>(PROVEEDORES[[#This Row],[SUBTOTAL]]-PROVEEDORES[[#This Row],[descuento antes de IVA]])*VLOOKUP(PROVEEDORES[[#This Row],[PROVEEDOR]],TERCEROS_INFO[#All],3,FALSE)</f>
        <v>0</v>
      </c>
      <c r="N469" s="34"/>
      <c r="O469" s="33">
        <f>+PROVEEDORES[[#This Row],[Descuento sobre subtotal %]]*(PROVEEDORES[[#This Row],[SUBTOTAL]]-PROVEEDORES[[#This Row],[descuento antes de IVA]])</f>
        <v>0</v>
      </c>
      <c r="P4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69" s="33">
        <f>+(PROVEEDORES[[#This Row],[SUBTOTAL]]-PROVEEDORES[[#This Row],[descuento antes de IVA]])*PROVEEDORES[[#This Row],[Rete Fuente %]]</f>
        <v>0</v>
      </c>
      <c r="R469" s="32">
        <f>+PROVEEDORES[[#This Row],[SUBTOTAL]]+PROVEEDORES[[#This Row],[IVA 19%]]-PROVEEDORES[[#This Row],[descuento antes de IVA]]-PROVEEDORES[[#This Row],[Descuento sobre subtotal $]]-PROVEEDORES[[#This Row],[Rete Fuente $]]</f>
        <v>25000</v>
      </c>
      <c r="S46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9" s="40"/>
      <c r="U469" s="97"/>
      <c r="V469" s="36"/>
      <c r="W469" s="36"/>
      <c r="X469" s="36"/>
      <c r="Y469" s="36"/>
      <c r="Z469" s="41"/>
      <c r="AA469" s="42"/>
      <c r="AF469" s="36"/>
      <c r="AG469" s="36"/>
    </row>
    <row r="470" spans="1:33" ht="21.95" hidden="1" customHeight="1" x14ac:dyDescent="0.25">
      <c r="A470" s="39" t="str">
        <f>+IF(PROVEEDORES[[#This Row],[FECHA DE PAGO]]=PROVEEDORES[[#This Row],[FECHA DE FACTURACIÓN]],"DE CONTADO","CRÉDITO")</f>
        <v>CRÉDITO</v>
      </c>
      <c r="B470" s="67" t="str">
        <f>+IF((PROVEEDORES[[#This Row],[FECHA DE PAGO]]-PROVEEDORES[[#This Row],[FECHA DE FACTURACIÓN]])&gt;PROVEEDORES[[#This Row],[PLAZO Días]],"PAGO VENCIDO")</f>
        <v>PAGO VENCIDO</v>
      </c>
      <c r="C470" s="27">
        <f>+VLOOKUP(PROVEEDORES[[#This Row],[PROVEEDOR]],TERCEROS_INFO[#All],2,FALSE)</f>
        <v>30</v>
      </c>
      <c r="D470" s="37">
        <f>+SUMIFS(PROVEEDORES[Total],PROVEEDORES[PROVEEDOR],PROVEEDORES[[#This Row],[PROVEEDOR]],PROVEEDORES[FECHA DE PAGO],"")</f>
        <v>1783000</v>
      </c>
      <c r="E470" s="37"/>
      <c r="F470" s="108" t="str">
        <f>+VLOOKUP(PROVEEDORES[[#This Row],[PROVEEDOR]],TERCEROS_INFO[[PROVEEDOR]:[CORREO]],5,FALSE)</f>
        <v>Pygimportadora@gmail.com;girlesa.ruiz@servipilas.com;joriescobar64@gmail.com</v>
      </c>
      <c r="G470" s="143">
        <v>44068</v>
      </c>
      <c r="H470" s="38" t="s">
        <v>288</v>
      </c>
      <c r="I470" s="30">
        <v>44018</v>
      </c>
      <c r="J470" s="58">
        <v>2822</v>
      </c>
      <c r="K470" s="32">
        <v>928000</v>
      </c>
      <c r="L470" s="32"/>
      <c r="M470" s="33">
        <f>(PROVEEDORES[[#This Row],[SUBTOTAL]]-PROVEEDORES[[#This Row],[descuento antes de IVA]])*VLOOKUP(PROVEEDORES[[#This Row],[PROVEEDOR]],TERCEROS_INFO[#All],3,FALSE)</f>
        <v>0</v>
      </c>
      <c r="N470" s="34"/>
      <c r="O470" s="33">
        <f>+PROVEEDORES[[#This Row],[Descuento sobre subtotal %]]*(PROVEEDORES[[#This Row],[SUBTOTAL]]-PROVEEDORES[[#This Row],[descuento antes de IVA]])</f>
        <v>0</v>
      </c>
      <c r="P4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0" s="33">
        <f>+(PROVEEDORES[[#This Row],[SUBTOTAL]]-PROVEEDORES[[#This Row],[descuento antes de IVA]])*PROVEEDORES[[#This Row],[Rete Fuente %]]</f>
        <v>0</v>
      </c>
      <c r="R470" s="32">
        <f>+PROVEEDORES[[#This Row],[SUBTOTAL]]+PROVEEDORES[[#This Row],[IVA 19%]]-PROVEEDORES[[#This Row],[descuento antes de IVA]]-PROVEEDORES[[#This Row],[Descuento sobre subtotal $]]-PROVEEDORES[[#This Row],[Rete Fuente $]]</f>
        <v>928000</v>
      </c>
      <c r="S47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0" s="40"/>
      <c r="U470" s="97"/>
      <c r="V470" s="36"/>
      <c r="W470" s="36"/>
      <c r="X470" s="36"/>
      <c r="Y470" s="36"/>
      <c r="Z470" s="41"/>
      <c r="AA470" s="42"/>
      <c r="AF470" s="36"/>
      <c r="AG470" s="36"/>
    </row>
    <row r="471" spans="1:33" ht="21.95" hidden="1" customHeight="1" x14ac:dyDescent="0.25">
      <c r="A471" s="39" t="str">
        <f>+IF(PROVEEDORES[[#This Row],[FECHA DE PAGO]]=PROVEEDORES[[#This Row],[FECHA DE FACTURACIÓN]],"DE CONTADO","CRÉDITO")</f>
        <v>CRÉDITO</v>
      </c>
      <c r="B471" s="67" t="str">
        <f>+IF((PROVEEDORES[[#This Row],[FECHA DE PAGO]]-PROVEEDORES[[#This Row],[FECHA DE FACTURACIÓN]])&gt;PROVEEDORES[[#This Row],[PLAZO Días]],"PAGO VENCIDO")</f>
        <v>PAGO VENCIDO</v>
      </c>
      <c r="C471" s="27">
        <f>+VLOOKUP(PROVEEDORES[[#This Row],[PROVEEDOR]],TERCEROS_INFO[#All],2,FALSE)</f>
        <v>30</v>
      </c>
      <c r="D471" s="37">
        <f>+SUMIFS(PROVEEDORES[Total],PROVEEDORES[PROVEEDOR],PROVEEDORES[[#This Row],[PROVEEDOR]],PROVEEDORES[FECHA DE PAGO],"")</f>
        <v>1783000</v>
      </c>
      <c r="E471" s="37"/>
      <c r="F471" s="108" t="str">
        <f>+VLOOKUP(PROVEEDORES[[#This Row],[PROVEEDOR]],TERCEROS_INFO[[PROVEEDOR]:[CORREO]],5,FALSE)</f>
        <v>Pygimportadora@gmail.com;girlesa.ruiz@servipilas.com;joriescobar64@gmail.com</v>
      </c>
      <c r="G471" s="143">
        <v>44118</v>
      </c>
      <c r="H471" s="38" t="s">
        <v>288</v>
      </c>
      <c r="I471" s="30">
        <v>44071</v>
      </c>
      <c r="J471" s="58">
        <v>2888</v>
      </c>
      <c r="K471" s="32">
        <v>706000</v>
      </c>
      <c r="L471" s="32"/>
      <c r="M471" s="33">
        <f>(PROVEEDORES[[#This Row],[SUBTOTAL]]-PROVEEDORES[[#This Row],[descuento antes de IVA]])*VLOOKUP(PROVEEDORES[[#This Row],[PROVEEDOR]],TERCEROS_INFO[#All],3,FALSE)</f>
        <v>0</v>
      </c>
      <c r="N471" s="34"/>
      <c r="O471" s="33">
        <f>+PROVEEDORES[[#This Row],[Descuento sobre subtotal %]]*(PROVEEDORES[[#This Row],[SUBTOTAL]]-PROVEEDORES[[#This Row],[descuento antes de IVA]])</f>
        <v>0</v>
      </c>
      <c r="P4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1" s="33">
        <f>+(PROVEEDORES[[#This Row],[SUBTOTAL]]-PROVEEDORES[[#This Row],[descuento antes de IVA]])*PROVEEDORES[[#This Row],[Rete Fuente %]]</f>
        <v>0</v>
      </c>
      <c r="R471" s="32">
        <f>+PROVEEDORES[[#This Row],[SUBTOTAL]]+PROVEEDORES[[#This Row],[IVA 19%]]-PROVEEDORES[[#This Row],[descuento antes de IVA]]-PROVEEDORES[[#This Row],[Descuento sobre subtotal $]]-PROVEEDORES[[#This Row],[Rete Fuente $]]</f>
        <v>706000</v>
      </c>
      <c r="S47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1" s="40"/>
      <c r="U471" s="97"/>
      <c r="V471" s="36"/>
      <c r="W471" s="36"/>
      <c r="X471" s="36"/>
      <c r="Y471" s="36"/>
      <c r="Z471" s="41"/>
      <c r="AA471" s="42"/>
      <c r="AF471" s="36"/>
      <c r="AG471" s="36"/>
    </row>
    <row r="472" spans="1:33" ht="21.95" hidden="1" customHeight="1" x14ac:dyDescent="0.25">
      <c r="A472" s="144" t="str">
        <f>+IF(PROVEEDORES[[#This Row],[FECHA DE PAGO]]=PROVEEDORES[[#This Row],[FECHA DE FACTURACIÓN]],"DE CONTADO","CRÉDITO")</f>
        <v>CRÉDITO</v>
      </c>
      <c r="B472" s="70" t="b">
        <f>+IF((PROVEEDORES[[#This Row],[FECHA DE PAGO]]-PROVEEDORES[[#This Row],[FECHA DE FACTURACIÓN]])&gt;PROVEEDORES[[#This Row],[PLAZO Días]],"PAGO VENCIDO")</f>
        <v>0</v>
      </c>
      <c r="C472" s="27">
        <f>+VLOOKUP(PROVEEDORES[[#This Row],[PROVEEDOR]],TERCEROS_INFO[#All],2,FALSE)</f>
        <v>30</v>
      </c>
      <c r="D472" s="37">
        <f>+SUMIFS(PROVEEDORES[Total],PROVEEDORES[PROVEEDOR],PROVEEDORES[[#This Row],[PROVEEDOR]],PROVEEDORES[FECHA DE PAGO],"")</f>
        <v>1783000</v>
      </c>
      <c r="E472" s="37"/>
      <c r="F472" s="108" t="str">
        <f>+VLOOKUP(PROVEEDORES[[#This Row],[PROVEEDOR]],TERCEROS_INFO[[PROVEEDOR]:[CORREO]],5,FALSE)</f>
        <v>Pygimportadora@gmail.com;girlesa.ruiz@servipilas.com;joriescobar64@gmail.com</v>
      </c>
      <c r="G472" s="143">
        <v>44445</v>
      </c>
      <c r="H472" s="57" t="s">
        <v>288</v>
      </c>
      <c r="I472" s="30">
        <v>44435</v>
      </c>
      <c r="J472" s="58" t="s">
        <v>1228</v>
      </c>
      <c r="K472" s="32">
        <v>1500000</v>
      </c>
      <c r="L472" s="32"/>
      <c r="M472" s="33">
        <f>(PROVEEDORES[[#This Row],[SUBTOTAL]]-PROVEEDORES[[#This Row],[descuento antes de IVA]])*VLOOKUP(PROVEEDORES[[#This Row],[PROVEEDOR]],TERCEROS_INFO[#All],3,FALSE)</f>
        <v>0</v>
      </c>
      <c r="N472" s="34"/>
      <c r="O472" s="33">
        <f>+PROVEEDORES[[#This Row],[Descuento sobre subtotal %]]*(PROVEEDORES[[#This Row],[SUBTOTAL]]-PROVEEDORES[[#This Row],[descuento antes de IVA]])</f>
        <v>0</v>
      </c>
      <c r="P4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2" s="33">
        <f>+(PROVEEDORES[[#This Row],[SUBTOTAL]]-PROVEEDORES[[#This Row],[descuento antes de IVA]])*PROVEEDORES[[#This Row],[Rete Fuente %]]</f>
        <v>0</v>
      </c>
      <c r="R472" s="32">
        <f>+PROVEEDORES[[#This Row],[SUBTOTAL]]+PROVEEDORES[[#This Row],[IVA 19%]]-PROVEEDORES[[#This Row],[descuento antes de IVA]]-PROVEEDORES[[#This Row],[Descuento sobre subtotal $]]-PROVEEDORES[[#This Row],[Rete Fuente $]]</f>
        <v>1500000</v>
      </c>
      <c r="S472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2" s="40"/>
      <c r="U472" s="97"/>
      <c r="V472" s="36"/>
      <c r="W472" s="36"/>
      <c r="X472" s="36"/>
      <c r="Y472" s="36"/>
      <c r="Z472" s="41"/>
      <c r="AA472" s="42"/>
      <c r="AF472" s="36"/>
      <c r="AG472" s="36"/>
    </row>
    <row r="473" spans="1:33" ht="21.95" hidden="1" customHeight="1" x14ac:dyDescent="0.25">
      <c r="A473" s="129" t="str">
        <f>+IF(PROVEEDORES[[#This Row],[FECHA DE PAGO]]=PROVEEDORES[[#This Row],[FECHA DE FACTURACIÓN]],"DE CONTADO","CRÉDITO")</f>
        <v>CRÉDITO</v>
      </c>
      <c r="B473" s="70" t="str">
        <f>+IF((PROVEEDORES[[#This Row],[FECHA DE PAGO]]-PROVEEDORES[[#This Row],[FECHA DE FACTURACIÓN]])&gt;PROVEEDORES[[#This Row],[PLAZO Días]],"PAGO VENCIDO")</f>
        <v>PAGO VENCIDO</v>
      </c>
      <c r="C473" s="27">
        <f>+VLOOKUP(PROVEEDORES[[#This Row],[PROVEEDOR]],TERCEROS_INFO[#All],2,FALSE)</f>
        <v>30</v>
      </c>
      <c r="D473" s="37">
        <f>+SUMIFS(PROVEEDORES[Total],PROVEEDORES[PROVEEDOR],PROVEEDORES[[#This Row],[PROVEEDOR]],PROVEEDORES[FECHA DE PAGO],"")</f>
        <v>1783000</v>
      </c>
      <c r="E473" s="37"/>
      <c r="F473" s="108" t="str">
        <f>+VLOOKUP(PROVEEDORES[[#This Row],[PROVEEDOR]],TERCEROS_INFO[[PROVEEDOR]:[CORREO]],5,FALSE)</f>
        <v>Pygimportadora@gmail.com;girlesa.ruiz@servipilas.com;joriescobar64@gmail.com</v>
      </c>
      <c r="G473" s="143">
        <v>44418</v>
      </c>
      <c r="H473" s="57" t="s">
        <v>288</v>
      </c>
      <c r="I473" s="30">
        <v>44378</v>
      </c>
      <c r="J473" s="58" t="s">
        <v>745</v>
      </c>
      <c r="K473" s="32">
        <v>2090000</v>
      </c>
      <c r="L473" s="32"/>
      <c r="M473" s="33">
        <f>(PROVEEDORES[[#This Row],[SUBTOTAL]]-PROVEEDORES[[#This Row],[descuento antes de IVA]])*VLOOKUP(PROVEEDORES[[#This Row],[PROVEEDOR]],TERCEROS_INFO[#All],3,FALSE)</f>
        <v>0</v>
      </c>
      <c r="N473" s="34"/>
      <c r="O473" s="33">
        <f>+PROVEEDORES[[#This Row],[Descuento sobre subtotal %]]*(PROVEEDORES[[#This Row],[SUBTOTAL]]-PROVEEDORES[[#This Row],[descuento antes de IVA]])</f>
        <v>0</v>
      </c>
      <c r="P4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3" s="33">
        <f>+(PROVEEDORES[[#This Row],[SUBTOTAL]]-PROVEEDORES[[#This Row],[descuento antes de IVA]])*PROVEEDORES[[#This Row],[Rete Fuente %]]</f>
        <v>0</v>
      </c>
      <c r="R473" s="32">
        <f>+PROVEEDORES[[#This Row],[SUBTOTAL]]+PROVEEDORES[[#This Row],[IVA 19%]]-PROVEEDORES[[#This Row],[descuento antes de IVA]]-PROVEEDORES[[#This Row],[Descuento sobre subtotal $]]-PROVEEDORES[[#This Row],[Rete Fuente $]]</f>
        <v>2090000</v>
      </c>
      <c r="S473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3" s="40"/>
      <c r="U473" s="97"/>
      <c r="V473" s="36"/>
      <c r="W473" s="36"/>
      <c r="X473" s="36"/>
      <c r="Y473" s="36"/>
      <c r="Z473" s="41"/>
      <c r="AA473" s="42"/>
      <c r="AF473" s="36"/>
      <c r="AG473" s="36"/>
    </row>
    <row r="474" spans="1:33" ht="21.95" hidden="1" customHeight="1" x14ac:dyDescent="0.25">
      <c r="A474" s="165" t="str">
        <f>+IF(PROVEEDORES[[#This Row],[FECHA DE PAGO]]=PROVEEDORES[[#This Row],[FECHA DE FACTURACIÓN]],"DE CONTADO","CRÉDITO")</f>
        <v>CRÉDITO</v>
      </c>
      <c r="B474" s="70" t="str">
        <f>+IF((PROVEEDORES[[#This Row],[FECHA DE PAGO]]-PROVEEDORES[[#This Row],[FECHA DE FACTURACIÓN]])&gt;PROVEEDORES[[#This Row],[PLAZO Días]],"PAGO VENCIDO")</f>
        <v>PAGO VENCIDO</v>
      </c>
      <c r="C474" s="27">
        <f>+VLOOKUP(PROVEEDORES[[#This Row],[PROVEEDOR]],TERCEROS_INFO[#All],2,FALSE)</f>
        <v>30</v>
      </c>
      <c r="D474" s="37">
        <f>+SUMIFS(PROVEEDORES[Total],PROVEEDORES[PROVEEDOR],PROVEEDORES[[#This Row],[PROVEEDOR]],PROVEEDORES[FECHA DE PAGO],"")</f>
        <v>1783000</v>
      </c>
      <c r="E474" s="37"/>
      <c r="F474" s="108" t="str">
        <f>+VLOOKUP(PROVEEDORES[[#This Row],[PROVEEDOR]],TERCEROS_INFO[[PROVEEDOR]:[CORREO]],5,FALSE)</f>
        <v>Pygimportadora@gmail.com;girlesa.ruiz@servipilas.com;joriescobar64@gmail.com</v>
      </c>
      <c r="G474" s="143">
        <v>44560</v>
      </c>
      <c r="H474" s="57" t="s">
        <v>288</v>
      </c>
      <c r="I474" s="30">
        <v>44513</v>
      </c>
      <c r="J474" s="58" t="s">
        <v>969</v>
      </c>
      <c r="K474" s="32">
        <v>3024000</v>
      </c>
      <c r="L474" s="32"/>
      <c r="M474" s="33">
        <f>(PROVEEDORES[[#This Row],[SUBTOTAL]]-PROVEEDORES[[#This Row],[descuento antes de IVA]])*VLOOKUP(PROVEEDORES[[#This Row],[PROVEEDOR]],TERCEROS_INFO[#All],3,FALSE)</f>
        <v>0</v>
      </c>
      <c r="N474" s="34"/>
      <c r="O474" s="33">
        <f>+PROVEEDORES[[#This Row],[Descuento sobre subtotal %]]*(PROVEEDORES[[#This Row],[SUBTOTAL]]-PROVEEDORES[[#This Row],[descuento antes de IVA]])</f>
        <v>0</v>
      </c>
      <c r="P4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4" s="33">
        <f>+(PROVEEDORES[[#This Row],[SUBTOTAL]]-PROVEEDORES[[#This Row],[descuento antes de IVA]])*PROVEEDORES[[#This Row],[Rete Fuente %]]</f>
        <v>0</v>
      </c>
      <c r="R474" s="32">
        <f>+PROVEEDORES[[#This Row],[SUBTOTAL]]+PROVEEDORES[[#This Row],[IVA 19%]]-PROVEEDORES[[#This Row],[descuento antes de IVA]]-PROVEEDORES[[#This Row],[Descuento sobre subtotal $]]-PROVEEDORES[[#This Row],[Rete Fuente $]]</f>
        <v>3024000</v>
      </c>
      <c r="S474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4" s="40"/>
      <c r="U474" s="97"/>
      <c r="V474" s="36"/>
      <c r="W474" s="36"/>
      <c r="X474" s="36"/>
      <c r="Y474" s="36"/>
      <c r="Z474" s="41"/>
      <c r="AA474" s="42"/>
      <c r="AF474" s="36"/>
      <c r="AG474" s="36"/>
    </row>
    <row r="475" spans="1:33" ht="21.95" hidden="1" customHeight="1" x14ac:dyDescent="0.25">
      <c r="A475" s="169" t="str">
        <f>+IF(PROVEEDORES[[#This Row],[FECHA DE PAGO]]=PROVEEDORES[[#This Row],[FECHA DE FACTURACIÓN]],"DE CONTADO","CRÉDITO")</f>
        <v>CRÉDITO</v>
      </c>
      <c r="B475" s="70" t="str">
        <f>+IF((PROVEEDORES[[#This Row],[FECHA DE PAGO]]-PROVEEDORES[[#This Row],[FECHA DE FACTURACIÓN]])&gt;PROVEEDORES[[#This Row],[PLAZO Días]],"PAGO VENCIDO")</f>
        <v>PAGO VENCIDO</v>
      </c>
      <c r="C475" s="27">
        <v>-1</v>
      </c>
      <c r="D475" s="37">
        <f>+SUMIFS(PROVEEDORES[Total],PROVEEDORES[PROVEEDOR],PROVEEDORES[[#This Row],[PROVEEDOR]],PROVEEDORES[FECHA DE PAGO],"")</f>
        <v>1783000</v>
      </c>
      <c r="E475" s="37"/>
      <c r="F475" s="108" t="str">
        <f>+VLOOKUP(PROVEEDORES[[#This Row],[PROVEEDOR]],TERCEROS_INFO[[PROVEEDOR]:[CORREO]],5,FALSE)</f>
        <v>Pygimportadora@gmail.com;girlesa.ruiz@servipilas.com;joriescobar64@gmail.com</v>
      </c>
      <c r="G475" s="143">
        <v>44560</v>
      </c>
      <c r="H475" s="57" t="s">
        <v>288</v>
      </c>
      <c r="I475" s="30">
        <v>44557</v>
      </c>
      <c r="J475" s="58" t="s">
        <v>1332</v>
      </c>
      <c r="K475" s="32">
        <v>-1100000</v>
      </c>
      <c r="L475" s="32"/>
      <c r="M475" s="33">
        <f>(PROVEEDORES[[#This Row],[SUBTOTAL]]-PROVEEDORES[[#This Row],[descuento antes de IVA]])*VLOOKUP(PROVEEDORES[[#This Row],[PROVEEDOR]],TERCEROS_INFO[#All],3,FALSE)</f>
        <v>0</v>
      </c>
      <c r="N475" s="34"/>
      <c r="O475" s="33">
        <f>+PROVEEDORES[[#This Row],[Descuento sobre subtotal %]]*(PROVEEDORES[[#This Row],[SUBTOTAL]]-PROVEEDORES[[#This Row],[descuento antes de IVA]])</f>
        <v>0</v>
      </c>
      <c r="P4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5" s="33">
        <f>+(PROVEEDORES[[#This Row],[SUBTOTAL]]-PROVEEDORES[[#This Row],[descuento antes de IVA]])*PROVEEDORES[[#This Row],[Rete Fuente %]]</f>
        <v>0</v>
      </c>
      <c r="R475" s="32">
        <v>0</v>
      </c>
      <c r="S475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5" s="40"/>
      <c r="U475" s="97"/>
      <c r="V475" s="36"/>
      <c r="W475" s="36"/>
      <c r="X475" s="36"/>
      <c r="Y475" s="36"/>
      <c r="Z475" s="41"/>
      <c r="AA475" s="42"/>
      <c r="AF475" s="36"/>
      <c r="AG475" s="36"/>
    </row>
    <row r="476" spans="1:33" ht="21.95" hidden="1" customHeight="1" x14ac:dyDescent="0.25">
      <c r="A476" s="35" t="str">
        <f>+IF(PROVEEDORES[[#This Row],[FECHA DE PAGO]]=PROVEEDORES[[#This Row],[FECHA DE FACTURACIÓN]],"DE CONTADO","CRÉDITO")</f>
        <v>DE CONTADO</v>
      </c>
      <c r="B476" s="70" t="b">
        <f>+IF((PROVEEDORES[[#This Row],[FECHA DE PAGO]]-PROVEEDORES[[#This Row],[FECHA DE FACTURACIÓN]])&gt;PROVEEDORES[[#This Row],[PLAZO Días]],"PAGO VENCIDO")</f>
        <v>0</v>
      </c>
      <c r="C476" s="27">
        <f>+VLOOKUP(PROVEEDORES[[#This Row],[PROVEEDOR]],TERCEROS_INFO[#All],2,FALSE)</f>
        <v>30</v>
      </c>
      <c r="D476" s="37">
        <f>+SUMIFS(PROVEEDORES[Total],PROVEEDORES[PROVEEDOR],PROVEEDORES[[#This Row],[PROVEEDOR]],PROVEEDORES[FECHA DE PAGO],"")</f>
        <v>1783000</v>
      </c>
      <c r="E476" s="37"/>
      <c r="F476" s="108" t="str">
        <f>+VLOOKUP(PROVEEDORES[[#This Row],[PROVEEDOR]],TERCEROS_INFO[[PROVEEDOR]:[CORREO]],5,FALSE)</f>
        <v>Pygimportadora@gmail.com;girlesa.ruiz@servipilas.com;joriescobar64@gmail.com</v>
      </c>
      <c r="G476" s="143">
        <v>44560</v>
      </c>
      <c r="H476" s="57" t="s">
        <v>288</v>
      </c>
      <c r="I476" s="143">
        <v>44560</v>
      </c>
      <c r="J476" s="58" t="s">
        <v>1332</v>
      </c>
      <c r="K476" s="32">
        <v>-1924000</v>
      </c>
      <c r="L476" s="32"/>
      <c r="M476" s="33">
        <f>(PROVEEDORES[[#This Row],[SUBTOTAL]]-PROVEEDORES[[#This Row],[descuento antes de IVA]])*VLOOKUP(PROVEEDORES[[#This Row],[PROVEEDOR]],TERCEROS_INFO[#All],3,FALSE)</f>
        <v>0</v>
      </c>
      <c r="N476" s="34"/>
      <c r="O476" s="33">
        <f>+PROVEEDORES[[#This Row],[Descuento sobre subtotal %]]*(PROVEEDORES[[#This Row],[SUBTOTAL]]-PROVEEDORES[[#This Row],[descuento antes de IVA]])</f>
        <v>0</v>
      </c>
      <c r="P4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6" s="33">
        <f>+(PROVEEDORES[[#This Row],[SUBTOTAL]]-PROVEEDORES[[#This Row],[descuento antes de IVA]])*PROVEEDORES[[#This Row],[Rete Fuente %]]</f>
        <v>0</v>
      </c>
      <c r="R476" s="32">
        <v>0</v>
      </c>
      <c r="S47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6" s="40"/>
      <c r="U476" s="97"/>
      <c r="V476" s="36"/>
      <c r="W476" s="36"/>
      <c r="X476" s="36"/>
      <c r="Y476" s="36"/>
      <c r="Z476" s="41"/>
      <c r="AA476" s="42"/>
      <c r="AF476" s="36"/>
      <c r="AG476" s="36"/>
    </row>
    <row r="477" spans="1:33" ht="21.95" hidden="1" customHeight="1" x14ac:dyDescent="0.25">
      <c r="A477" s="167" t="str">
        <f>+IF(PROVEEDORES[[#This Row],[FECHA DE PAGO]]=PROVEEDORES[[#This Row],[FECHA DE FACTURACIÓN]],"DE CONTADO","CRÉDITO")</f>
        <v>CRÉDITO</v>
      </c>
      <c r="B477" s="70" t="str">
        <f>+IF((PROVEEDORES[[#This Row],[FECHA DE PAGO]]-PROVEEDORES[[#This Row],[FECHA DE FACTURACIÓN]])&gt;PROVEEDORES[[#This Row],[PLAZO Días]],"PAGO VENCIDO")</f>
        <v>PAGO VENCIDO</v>
      </c>
      <c r="C477" s="27">
        <f>+VLOOKUP(PROVEEDORES[[#This Row],[PROVEEDOR]],TERCEROS_INFO[#All],2,FALSE)</f>
        <v>30</v>
      </c>
      <c r="D477" s="37">
        <f>+SUMIFS(PROVEEDORES[Total],PROVEEDORES[PROVEEDOR],PROVEEDORES[[#This Row],[PROVEEDOR]],PROVEEDORES[FECHA DE PAGO],"")</f>
        <v>1783000</v>
      </c>
      <c r="E477" s="37"/>
      <c r="F477" s="108" t="str">
        <f>+VLOOKUP(PROVEEDORES[[#This Row],[PROVEEDOR]],TERCEROS_INFO[[PROVEEDOR]:[CORREO]],5,FALSE)</f>
        <v>Pygimportadora@gmail.com;girlesa.ruiz@servipilas.com;joriescobar64@gmail.com</v>
      </c>
      <c r="G477" s="143">
        <v>44557</v>
      </c>
      <c r="H477" s="57" t="s">
        <v>288</v>
      </c>
      <c r="I477" s="30">
        <v>44525</v>
      </c>
      <c r="J477" s="58" t="s">
        <v>1306</v>
      </c>
      <c r="K477" s="32">
        <v>2880000</v>
      </c>
      <c r="L477" s="32"/>
      <c r="M477" s="33">
        <f>(PROVEEDORES[[#This Row],[SUBTOTAL]]-PROVEEDORES[[#This Row],[descuento antes de IVA]])*VLOOKUP(PROVEEDORES[[#This Row],[PROVEEDOR]],TERCEROS_INFO[#All],3,FALSE)</f>
        <v>0</v>
      </c>
      <c r="N477" s="34"/>
      <c r="O477" s="33">
        <f>+PROVEEDORES[[#This Row],[Descuento sobre subtotal %]]*(PROVEEDORES[[#This Row],[SUBTOTAL]]-PROVEEDORES[[#This Row],[descuento antes de IVA]])</f>
        <v>0</v>
      </c>
      <c r="P4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7" s="33">
        <f>+(PROVEEDORES[[#This Row],[SUBTOTAL]]-PROVEEDORES[[#This Row],[descuento antes de IVA]])*PROVEEDORES[[#This Row],[Rete Fuente %]]</f>
        <v>0</v>
      </c>
      <c r="R477" s="32">
        <f>+PROVEEDORES[[#This Row],[SUBTOTAL]]+PROVEEDORES[[#This Row],[IVA 19%]]-PROVEEDORES[[#This Row],[descuento antes de IVA]]-PROVEEDORES[[#This Row],[Descuento sobre subtotal $]]-PROVEEDORES[[#This Row],[Rete Fuente $]]</f>
        <v>2880000</v>
      </c>
      <c r="S477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7" s="40"/>
      <c r="U477" s="97"/>
      <c r="V477" s="36"/>
      <c r="W477" s="36"/>
      <c r="X477" s="36"/>
      <c r="Y477" s="36"/>
      <c r="Z477" s="41"/>
      <c r="AA477" s="42"/>
      <c r="AF477" s="36"/>
      <c r="AG477" s="36"/>
    </row>
    <row r="478" spans="1:33" ht="21.95" hidden="1" customHeight="1" x14ac:dyDescent="0.25">
      <c r="A478" s="35" t="str">
        <f>+IF(PROVEEDORES[[#This Row],[FECHA DE PAGO]]=PROVEEDORES[[#This Row],[FECHA DE FACTURACIÓN]],"DE CONTADO","CRÉDITO")</f>
        <v>CRÉDITO</v>
      </c>
      <c r="B478" s="70" t="str">
        <f>+IF((PROVEEDORES[[#This Row],[FECHA DE PAGO]]-PROVEEDORES[[#This Row],[FECHA DE FACTURACIÓN]])&gt;PROVEEDORES[[#This Row],[PLAZO Días]],"PAGO VENCIDO")</f>
        <v>PAGO VENCIDO</v>
      </c>
      <c r="C478" s="27">
        <f>+VLOOKUP(PROVEEDORES[[#This Row],[PROVEEDOR]],TERCEROS_INFO[#All],2,FALSE)</f>
        <v>30</v>
      </c>
      <c r="D478" s="37">
        <f>+SUMIFS(PROVEEDORES[Total],PROVEEDORES[PROVEEDOR],PROVEEDORES[[#This Row],[PROVEEDOR]],PROVEEDORES[FECHA DE PAGO],"")</f>
        <v>1783000</v>
      </c>
      <c r="E478" s="37"/>
      <c r="F478" s="108" t="str">
        <f>+VLOOKUP(PROVEEDORES[[#This Row],[PROVEEDOR]],TERCEROS_INFO[[PROVEEDOR]:[CORREO]],5,FALSE)</f>
        <v>Pygimportadora@gmail.com;girlesa.ruiz@servipilas.com;joriescobar64@gmail.com</v>
      </c>
      <c r="G478" s="143">
        <v>44382</v>
      </c>
      <c r="H478" s="57" t="s">
        <v>288</v>
      </c>
      <c r="I478" s="30">
        <v>44336</v>
      </c>
      <c r="J478" s="58" t="s">
        <v>1134</v>
      </c>
      <c r="K478" s="32">
        <v>312000</v>
      </c>
      <c r="L478" s="32"/>
      <c r="M478" s="33">
        <f>(PROVEEDORES[[#This Row],[SUBTOTAL]]-PROVEEDORES[[#This Row],[descuento antes de IVA]])*VLOOKUP(PROVEEDORES[[#This Row],[PROVEEDOR]],TERCEROS_INFO[#All],3,FALSE)</f>
        <v>0</v>
      </c>
      <c r="N478" s="34"/>
      <c r="O478" s="33">
        <f>+PROVEEDORES[[#This Row],[Descuento sobre subtotal %]]*(PROVEEDORES[[#This Row],[SUBTOTAL]]-PROVEEDORES[[#This Row],[descuento antes de IVA]])</f>
        <v>0</v>
      </c>
      <c r="P4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8" s="33">
        <f>+(PROVEEDORES[[#This Row],[SUBTOTAL]]-PROVEEDORES[[#This Row],[descuento antes de IVA]])*PROVEEDORES[[#This Row],[Rete Fuente %]]</f>
        <v>0</v>
      </c>
      <c r="R478" s="32">
        <f>+PROVEEDORES[[#This Row],[SUBTOTAL]]+PROVEEDORES[[#This Row],[IVA 19%]]-PROVEEDORES[[#This Row],[descuento antes de IVA]]-PROVEEDORES[[#This Row],[Descuento sobre subtotal $]]-PROVEEDORES[[#This Row],[Rete Fuente $]]</f>
        <v>312000</v>
      </c>
      <c r="S47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8" s="40"/>
      <c r="U478" s="97"/>
      <c r="V478" s="36"/>
      <c r="W478" s="36"/>
      <c r="X478" s="36"/>
      <c r="Y478" s="36"/>
      <c r="Z478" s="41"/>
      <c r="AA478" s="42"/>
      <c r="AF478" s="36"/>
      <c r="AG478" s="36"/>
    </row>
    <row r="479" spans="1:33" ht="21.95" hidden="1" customHeight="1" x14ac:dyDescent="0.25">
      <c r="A479" s="119" t="str">
        <f>+IF(PROVEEDORES[[#This Row],[FECHA DE PAGO]]=PROVEEDORES[[#This Row],[FECHA DE FACTURACIÓN]],"DE CONTADO","CRÉDITO")</f>
        <v>CRÉDITO</v>
      </c>
      <c r="B479" s="70" t="str">
        <f>+IF((PROVEEDORES[[#This Row],[FECHA DE PAGO]]-PROVEEDORES[[#This Row],[FECHA DE FACTURACIÓN]])&gt;PROVEEDORES[[#This Row],[PLAZO Días]],"PAGO VENCIDO")</f>
        <v>PAGO VENCIDO</v>
      </c>
      <c r="C479" s="27">
        <f>+VLOOKUP(PROVEEDORES[[#This Row],[PROVEEDOR]],TERCEROS_INFO[#All],2,FALSE)</f>
        <v>30</v>
      </c>
      <c r="D479" s="37">
        <f>+SUMIFS(PROVEEDORES[Total],PROVEEDORES[PROVEEDOR],PROVEEDORES[[#This Row],[PROVEEDOR]],PROVEEDORES[FECHA DE PAGO],"")</f>
        <v>1783000</v>
      </c>
      <c r="E479" s="37"/>
      <c r="F479" s="108" t="str">
        <f>+VLOOKUP(PROVEEDORES[[#This Row],[PROVEEDOR]],TERCEROS_INFO[[PROVEEDOR]:[CORREO]],5,FALSE)</f>
        <v>Pygimportadora@gmail.com;girlesa.ruiz@servipilas.com;joriescobar64@gmail.com</v>
      </c>
      <c r="G479" s="143">
        <v>44392</v>
      </c>
      <c r="H479" s="57" t="s">
        <v>288</v>
      </c>
      <c r="I479" s="30">
        <v>44348</v>
      </c>
      <c r="J479" s="58" t="s">
        <v>1146</v>
      </c>
      <c r="K479" s="32">
        <v>900000</v>
      </c>
      <c r="L479" s="32"/>
      <c r="M479" s="33">
        <f>(PROVEEDORES[[#This Row],[SUBTOTAL]]-PROVEEDORES[[#This Row],[descuento antes de IVA]])*VLOOKUP(PROVEEDORES[[#This Row],[PROVEEDOR]],TERCEROS_INFO[#All],3,FALSE)</f>
        <v>0</v>
      </c>
      <c r="N479" s="34"/>
      <c r="O479" s="33">
        <f>+PROVEEDORES[[#This Row],[Descuento sobre subtotal %]]*(PROVEEDORES[[#This Row],[SUBTOTAL]]-PROVEEDORES[[#This Row],[descuento antes de IVA]])</f>
        <v>0</v>
      </c>
      <c r="P4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79" s="33">
        <f>+(PROVEEDORES[[#This Row],[SUBTOTAL]]-PROVEEDORES[[#This Row],[descuento antes de IVA]])*PROVEEDORES[[#This Row],[Rete Fuente %]]</f>
        <v>0</v>
      </c>
      <c r="R479" s="32">
        <f>+PROVEEDORES[[#This Row],[SUBTOTAL]]+PROVEEDORES[[#This Row],[IVA 19%]]-PROVEEDORES[[#This Row],[descuento antes de IVA]]-PROVEEDORES[[#This Row],[Descuento sobre subtotal $]]-PROVEEDORES[[#This Row],[Rete Fuente $]]</f>
        <v>900000</v>
      </c>
      <c r="S479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9" s="40"/>
      <c r="U479" s="97"/>
      <c r="V479" s="36"/>
      <c r="W479" s="36"/>
      <c r="X479" s="36"/>
      <c r="Y479" s="36"/>
      <c r="Z479" s="41"/>
      <c r="AA479" s="42"/>
      <c r="AF479" s="36"/>
      <c r="AG479" s="36"/>
    </row>
    <row r="480" spans="1:33" ht="21.95" hidden="1" customHeight="1" x14ac:dyDescent="0.25">
      <c r="A480" s="167" t="str">
        <f>+IF(PROVEEDORES[[#This Row],[FECHA DE PAGO]]=PROVEEDORES[[#This Row],[FECHA DE FACTURACIÓN]],"DE CONTADO","CRÉDITO")</f>
        <v>CRÉDITO</v>
      </c>
      <c r="B480" s="70" t="b">
        <f>+IF((PROVEEDORES[[#This Row],[FECHA DE PAGO]]-PROVEEDORES[[#This Row],[FECHA DE FACTURACIÓN]])&gt;PROVEEDORES[[#This Row],[PLAZO Días]],"PAGO VENCIDO")</f>
        <v>0</v>
      </c>
      <c r="C480" s="27">
        <f>+VLOOKUP(PROVEEDORES[[#This Row],[PROVEEDOR]],TERCEROS_INFO[#All],2,FALSE)</f>
        <v>30</v>
      </c>
      <c r="D480" s="37">
        <f>+SUMIFS(PROVEEDORES[Total],PROVEEDORES[PROVEEDOR],PROVEEDORES[[#This Row],[PROVEEDOR]],PROVEEDORES[FECHA DE PAGO],"")</f>
        <v>1783000</v>
      </c>
      <c r="E480" s="37"/>
      <c r="F480" s="108" t="str">
        <f>+VLOOKUP(PROVEEDORES[[#This Row],[PROVEEDOR]],TERCEROS_INFO[[PROVEEDOR]:[CORREO]],5,FALSE)</f>
        <v>Pygimportadora@gmail.com;girlesa.ruiz@servipilas.com;joriescobar64@gmail.com</v>
      </c>
      <c r="H480" s="57" t="s">
        <v>288</v>
      </c>
      <c r="I480" s="30">
        <v>44529</v>
      </c>
      <c r="J480" s="58" t="s">
        <v>1308</v>
      </c>
      <c r="K480" s="32">
        <v>1678000</v>
      </c>
      <c r="L480" s="32"/>
      <c r="M480" s="33">
        <f>(PROVEEDORES[[#This Row],[SUBTOTAL]]-PROVEEDORES[[#This Row],[descuento antes de IVA]])*VLOOKUP(PROVEEDORES[[#This Row],[PROVEEDOR]],TERCEROS_INFO[#All],3,FALSE)</f>
        <v>0</v>
      </c>
      <c r="N480" s="34"/>
      <c r="O480" s="33">
        <f>+PROVEEDORES[[#This Row],[Descuento sobre subtotal %]]*(PROVEEDORES[[#This Row],[SUBTOTAL]]-PROVEEDORES[[#This Row],[descuento antes de IVA]])</f>
        <v>0</v>
      </c>
      <c r="P4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0" s="33">
        <f>+(PROVEEDORES[[#This Row],[SUBTOTAL]]-PROVEEDORES[[#This Row],[descuento antes de IVA]])*PROVEEDORES[[#This Row],[Rete Fuente %]]</f>
        <v>0</v>
      </c>
      <c r="R480" s="32">
        <f>+PROVEEDORES[[#This Row],[SUBTOTAL]]+PROVEEDORES[[#This Row],[IVA 19%]]-PROVEEDORES[[#This Row],[descuento antes de IVA]]-PROVEEDORES[[#This Row],[Descuento sobre subtotal $]]-PROVEEDORES[[#This Row],[Rete Fuente $]]</f>
        <v>1678000</v>
      </c>
      <c r="S480" s="16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480" s="40"/>
      <c r="U480" s="97"/>
      <c r="V480" s="36"/>
      <c r="W480" s="36"/>
      <c r="X480" s="36"/>
      <c r="Y480" s="36"/>
      <c r="Z480" s="41"/>
      <c r="AA480" s="42"/>
      <c r="AF480" s="36"/>
      <c r="AG480" s="36"/>
    </row>
    <row r="481" spans="1:33" ht="21.95" hidden="1" customHeight="1" x14ac:dyDescent="0.25">
      <c r="A481" s="35" t="str">
        <f>+IF(PROVEEDORES[[#This Row],[FECHA DE PAGO]]=PROVEEDORES[[#This Row],[FECHA DE FACTURACIÓN]],"DE CONTADO","CRÉDITO")</f>
        <v>CRÉDITO</v>
      </c>
      <c r="B481" s="70" t="b">
        <f>+IF((PROVEEDORES[[#This Row],[FECHA DE PAGO]]-PROVEEDORES[[#This Row],[FECHA DE FACTURACIÓN]])&gt;PROVEEDORES[[#This Row],[PLAZO Días]],"PAGO VENCIDO")</f>
        <v>0</v>
      </c>
      <c r="C481" s="27">
        <f>+VLOOKUP(PROVEEDORES[[#This Row],[PROVEEDOR]],TERCEROS_INFO[#All],2,FALSE)</f>
        <v>30</v>
      </c>
      <c r="D481" s="37">
        <f>+SUMIFS(PROVEEDORES[Total],PROVEEDORES[PROVEEDOR],PROVEEDORES[[#This Row],[PROVEEDOR]],PROVEEDORES[FECHA DE PAGO],"")</f>
        <v>1783000</v>
      </c>
      <c r="E481" s="37"/>
      <c r="F481" s="108" t="str">
        <f>+VLOOKUP(PROVEEDORES[[#This Row],[PROVEEDOR]],TERCEROS_INFO[[PROVEEDOR]:[CORREO]],5,FALSE)</f>
        <v>Pygimportadora@gmail.com;girlesa.ruiz@servipilas.com;joriescobar64@gmail.com</v>
      </c>
      <c r="H481" s="57" t="s">
        <v>288</v>
      </c>
      <c r="I481" s="30">
        <v>44551</v>
      </c>
      <c r="J481" s="58" t="s">
        <v>1021</v>
      </c>
      <c r="K481" s="32">
        <v>105000</v>
      </c>
      <c r="L481" s="32"/>
      <c r="M481" s="33">
        <f>(PROVEEDORES[[#This Row],[SUBTOTAL]]-PROVEEDORES[[#This Row],[descuento antes de IVA]])*VLOOKUP(PROVEEDORES[[#This Row],[PROVEEDOR]],TERCEROS_INFO[#All],3,FALSE)</f>
        <v>0</v>
      </c>
      <c r="N481" s="34"/>
      <c r="O481" s="33">
        <f>+PROVEEDORES[[#This Row],[Descuento sobre subtotal %]]*(PROVEEDORES[[#This Row],[SUBTOTAL]]-PROVEEDORES[[#This Row],[descuento antes de IVA]])</f>
        <v>0</v>
      </c>
      <c r="P4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1" s="33">
        <f>+(PROVEEDORES[[#This Row],[SUBTOTAL]]-PROVEEDORES[[#This Row],[descuento antes de IVA]])*PROVEEDORES[[#This Row],[Rete Fuente %]]</f>
        <v>0</v>
      </c>
      <c r="R481" s="32">
        <f>+PROVEEDORES[[#This Row],[SUBTOTAL]]+PROVEEDORES[[#This Row],[IVA 19%]]-PROVEEDORES[[#This Row],[descuento antes de IVA]]-PROVEEDORES[[#This Row],[Descuento sobre subtotal $]]-PROVEEDORES[[#This Row],[Rete Fuente $]]</f>
        <v>105000</v>
      </c>
      <c r="S481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481" s="40"/>
      <c r="U481" s="97"/>
      <c r="V481" s="36"/>
      <c r="W481" s="36"/>
      <c r="X481" s="36"/>
      <c r="Y481" s="36"/>
      <c r="Z481" s="41"/>
      <c r="AA481" s="42"/>
      <c r="AF481" s="36"/>
      <c r="AG481" s="36"/>
    </row>
    <row r="482" spans="1:33" ht="21.95" hidden="1" customHeight="1" x14ac:dyDescent="0.25">
      <c r="A482" s="39" t="str">
        <f>+IF(PROVEEDORES[[#This Row],[FECHA DE PAGO]]=PROVEEDORES[[#This Row],[FECHA DE FACTURACIÓN]],"DE CONTADO","CRÉDITO")</f>
        <v>CRÉDITO</v>
      </c>
      <c r="B482" s="67" t="str">
        <f>+IF((PROVEEDORES[[#This Row],[FECHA DE PAGO]]-PROVEEDORES[[#This Row],[FECHA DE FACTURACIÓN]])&gt;PROVEEDORES[[#This Row],[PLAZO Días]],"PAGO VENCIDO")</f>
        <v>PAGO VENCIDO</v>
      </c>
      <c r="C482" s="27">
        <f>+VLOOKUP(PROVEEDORES[[#This Row],[PROVEEDOR]],TERCEROS_INFO[#All],2,FALSE)</f>
        <v>30</v>
      </c>
      <c r="D482" s="37">
        <f>+SUMIFS(PROVEEDORES[Total],PROVEEDORES[PROVEEDOR],PROVEEDORES[[#This Row],[PROVEEDOR]],PROVEEDORES[FECHA DE PAGO],"")</f>
        <v>1783000</v>
      </c>
      <c r="E482" s="37"/>
      <c r="F482" s="108" t="str">
        <f>+VLOOKUP(PROVEEDORES[[#This Row],[PROVEEDOR]],TERCEROS_INFO[[PROVEEDOR]:[CORREO]],5,FALSE)</f>
        <v>Pygimportadora@gmail.com;girlesa.ruiz@servipilas.com;joriescobar64@gmail.com</v>
      </c>
      <c r="G482" s="143">
        <v>43951</v>
      </c>
      <c r="H482" s="38" t="s">
        <v>288</v>
      </c>
      <c r="I482" s="30">
        <v>43902</v>
      </c>
      <c r="J482" s="58" t="s">
        <v>1022</v>
      </c>
      <c r="K482" s="32">
        <v>325000</v>
      </c>
      <c r="L482" s="32"/>
      <c r="M482" s="33">
        <f>(PROVEEDORES[[#This Row],[SUBTOTAL]]-PROVEEDORES[[#This Row],[descuento antes de IVA]])*VLOOKUP(PROVEEDORES[[#This Row],[PROVEEDOR]],TERCEROS_INFO[#All],3,FALSE)</f>
        <v>0</v>
      </c>
      <c r="N482" s="34"/>
      <c r="O482" s="33">
        <f>+PROVEEDORES[[#This Row],[Descuento sobre subtotal %]]*(PROVEEDORES[[#This Row],[SUBTOTAL]]-PROVEEDORES[[#This Row],[descuento antes de IVA]])</f>
        <v>0</v>
      </c>
      <c r="P4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2" s="33">
        <f>+(PROVEEDORES[[#This Row],[SUBTOTAL]]-PROVEEDORES[[#This Row],[descuento antes de IVA]])*PROVEEDORES[[#This Row],[Rete Fuente %]]</f>
        <v>0</v>
      </c>
      <c r="R482" s="32">
        <f>+PROVEEDORES[[#This Row],[SUBTOTAL]]+PROVEEDORES[[#This Row],[IVA 19%]]-PROVEEDORES[[#This Row],[descuento antes de IVA]]-PROVEEDORES[[#This Row],[Descuento sobre subtotal $]]-PROVEEDORES[[#This Row],[Rete Fuente $]]</f>
        <v>325000</v>
      </c>
      <c r="S48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2" s="40"/>
      <c r="U482" s="97"/>
      <c r="V482" s="36"/>
      <c r="W482" s="36"/>
      <c r="X482" s="36"/>
      <c r="Y482" s="36"/>
      <c r="Z482" s="41"/>
      <c r="AA482" s="42"/>
      <c r="AF482" s="36"/>
      <c r="AG482" s="36"/>
    </row>
    <row r="483" spans="1:33" ht="21.95" hidden="1" customHeight="1" x14ac:dyDescent="0.25">
      <c r="A483" s="39" t="str">
        <f>+IF(PROVEEDORES[[#This Row],[FECHA DE PAGO]]=PROVEEDORES[[#This Row],[FECHA DE FACTURACIÓN]],"DE CONTADO","CRÉDITO")</f>
        <v>CRÉDITO</v>
      </c>
      <c r="B483" s="67" t="b">
        <f>+IF((PROVEEDORES[[#This Row],[FECHA DE PAGO]]-PROVEEDORES[[#This Row],[FECHA DE FACTURACIÓN]])&gt;PROVEEDORES[[#This Row],[PLAZO Días]],"PAGO VENCIDO")</f>
        <v>0</v>
      </c>
      <c r="C483" s="27">
        <f>+VLOOKUP(PROVEEDORES[[#This Row],[PROVEEDOR]],TERCEROS_INFO[#All],2,FALSE)</f>
        <v>30</v>
      </c>
      <c r="D483" s="37">
        <f>+SUMIFS(PROVEEDORES[Total],PROVEEDORES[PROVEEDOR],PROVEEDORES[[#This Row],[PROVEEDOR]],PROVEEDORES[FECHA DE PAGO],"")</f>
        <v>1783000</v>
      </c>
      <c r="E483" s="37"/>
      <c r="F483" s="108" t="str">
        <f>+VLOOKUP(PROVEEDORES[[#This Row],[PROVEEDOR]],TERCEROS_INFO[[PROVEEDOR]:[CORREO]],5,FALSE)</f>
        <v>Pygimportadora@gmail.com;girlesa.ruiz@servipilas.com;joriescobar64@gmail.com</v>
      </c>
      <c r="G483" s="143">
        <v>44016</v>
      </c>
      <c r="H483" s="38" t="s">
        <v>288</v>
      </c>
      <c r="I483" s="30">
        <v>43998</v>
      </c>
      <c r="J483" s="58" t="s">
        <v>1022</v>
      </c>
      <c r="K483" s="32">
        <v>370000</v>
      </c>
      <c r="L483" s="32"/>
      <c r="M483" s="33">
        <f>(PROVEEDORES[[#This Row],[SUBTOTAL]]-PROVEEDORES[[#This Row],[descuento antes de IVA]])*VLOOKUP(PROVEEDORES[[#This Row],[PROVEEDOR]],TERCEROS_INFO[#All],3,FALSE)</f>
        <v>0</v>
      </c>
      <c r="N483" s="34"/>
      <c r="O483" s="33">
        <f>+PROVEEDORES[[#This Row],[Descuento sobre subtotal %]]*(PROVEEDORES[[#This Row],[SUBTOTAL]]-PROVEEDORES[[#This Row],[descuento antes de IVA]])</f>
        <v>0</v>
      </c>
      <c r="P4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3" s="33">
        <f>+(PROVEEDORES[[#This Row],[SUBTOTAL]]-PROVEEDORES[[#This Row],[descuento antes de IVA]])*PROVEEDORES[[#This Row],[Rete Fuente %]]</f>
        <v>0</v>
      </c>
      <c r="R483" s="32">
        <f>+PROVEEDORES[[#This Row],[SUBTOTAL]]+PROVEEDORES[[#This Row],[IVA 19%]]-PROVEEDORES[[#This Row],[descuento antes de IVA]]-PROVEEDORES[[#This Row],[Descuento sobre subtotal $]]-PROVEEDORES[[#This Row],[Rete Fuente $]]</f>
        <v>370000</v>
      </c>
      <c r="S48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3" s="40"/>
      <c r="U483" s="97"/>
      <c r="V483" s="36"/>
      <c r="W483" s="36"/>
      <c r="X483" s="36"/>
      <c r="Y483" s="36"/>
      <c r="Z483" s="41"/>
      <c r="AA483" s="42"/>
      <c r="AF483" s="36"/>
      <c r="AG483" s="36"/>
    </row>
    <row r="484" spans="1:33" ht="21.95" hidden="1" customHeight="1" x14ac:dyDescent="0.25">
      <c r="A484" s="109" t="str">
        <f>+IF(PROVEEDORES[[#This Row],[FECHA DE PAGO]]=PROVEEDORES[[#This Row],[FECHA DE FACTURACIÓN]],"DE CONTADO","CRÉDITO")</f>
        <v>CRÉDITO</v>
      </c>
      <c r="B484" s="70" t="str">
        <f>+IF((PROVEEDORES[[#This Row],[FECHA DE PAGO]]-PROVEEDORES[[#This Row],[FECHA DE FACTURACIÓN]])&gt;PROVEEDORES[[#This Row],[PLAZO Días]],"PAGO VENCIDO")</f>
        <v>PAGO VENCIDO</v>
      </c>
      <c r="C484" s="27">
        <f>+VLOOKUP(PROVEEDORES[[#This Row],[PROVEEDOR]],TERCEROS_INFO[#All],2,FALSE)</f>
        <v>30</v>
      </c>
      <c r="D484" s="37">
        <f>+SUMIFS(PROVEEDORES[Total],PROVEEDORES[PROVEEDOR],PROVEEDORES[[#This Row],[PROVEEDOR]],PROVEEDORES[FECHA DE PAGO],"")</f>
        <v>1783000</v>
      </c>
      <c r="E484" s="37"/>
      <c r="F484" s="108" t="str">
        <f>+VLOOKUP(PROVEEDORES[[#This Row],[PROVEEDOR]],TERCEROS_INFO[[PROVEEDOR]:[CORREO]],5,FALSE)</f>
        <v>Pygimportadora@gmail.com;girlesa.ruiz@servipilas.com;joriescobar64@gmail.com</v>
      </c>
      <c r="G484" s="143">
        <v>44377</v>
      </c>
      <c r="H484" s="57" t="s">
        <v>288</v>
      </c>
      <c r="I484" s="30">
        <v>44315</v>
      </c>
      <c r="J484" s="58" t="s">
        <v>1120</v>
      </c>
      <c r="K484" s="32">
        <v>1512990</v>
      </c>
      <c r="L484" s="32"/>
      <c r="M484" s="33">
        <f>(PROVEEDORES[[#This Row],[SUBTOTAL]]-PROVEEDORES[[#This Row],[descuento antes de IVA]])*VLOOKUP(PROVEEDORES[[#This Row],[PROVEEDOR]],TERCEROS_INFO[#All],3,FALSE)</f>
        <v>0</v>
      </c>
      <c r="N484" s="34"/>
      <c r="O484" s="33">
        <f>+PROVEEDORES[[#This Row],[Descuento sobre subtotal %]]*(PROVEEDORES[[#This Row],[SUBTOTAL]]-PROVEEDORES[[#This Row],[descuento antes de IVA]])</f>
        <v>0</v>
      </c>
      <c r="P4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4" s="33">
        <f>+(PROVEEDORES[[#This Row],[SUBTOTAL]]-PROVEEDORES[[#This Row],[descuento antes de IVA]])*PROVEEDORES[[#This Row],[Rete Fuente %]]</f>
        <v>0</v>
      </c>
      <c r="R484" s="32">
        <f>+PROVEEDORES[[#This Row],[SUBTOTAL]]+PROVEEDORES[[#This Row],[IVA 19%]]-PROVEEDORES[[#This Row],[descuento antes de IVA]]-PROVEEDORES[[#This Row],[Descuento sobre subtotal $]]-PROVEEDORES[[#This Row],[Rete Fuente $]]</f>
        <v>1512990</v>
      </c>
      <c r="S484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4" s="40"/>
      <c r="U484" s="97"/>
      <c r="V484" s="36"/>
      <c r="W484" s="36"/>
      <c r="X484" s="36"/>
      <c r="Y484" s="36"/>
      <c r="Z484" s="41"/>
      <c r="AA484" s="42"/>
      <c r="AF484" s="36"/>
      <c r="AG484" s="36"/>
    </row>
    <row r="485" spans="1:33" ht="21.95" hidden="1" customHeight="1" x14ac:dyDescent="0.25">
      <c r="A485" s="35" t="str">
        <f>+IF(PROVEEDORES[[#This Row],[FECHA DE PAGO]]=PROVEEDORES[[#This Row],[FECHA DE FACTURACIÓN]],"DE CONTADO","CRÉDITO")</f>
        <v>CRÉDITO</v>
      </c>
      <c r="B485" s="70" t="str">
        <f>+IF((PROVEEDORES[[#This Row],[FECHA DE PAGO]]-PROVEEDORES[[#This Row],[FECHA DE FACTURACIÓN]])&gt;PROVEEDORES[[#This Row],[PLAZO Días]],"PAGO VENCIDO")</f>
        <v>PAGO VENCIDO</v>
      </c>
      <c r="C485" s="27">
        <f>+VLOOKUP(PROVEEDORES[[#This Row],[PROVEEDOR]],TERCEROS_INFO[#All],2,FALSE)</f>
        <v>30</v>
      </c>
      <c r="D485" s="37">
        <f>+SUMIFS(PROVEEDORES[Total],PROVEEDORES[PROVEEDOR],PROVEEDORES[[#This Row],[PROVEEDOR]],PROVEEDORES[FECHA DE PAGO],"")</f>
        <v>1783000</v>
      </c>
      <c r="E485" s="37"/>
      <c r="F485" s="108" t="str">
        <f>+VLOOKUP(PROVEEDORES[[#This Row],[PROVEEDOR]],TERCEROS_INFO[[PROVEEDOR]:[CORREO]],5,FALSE)</f>
        <v>Pygimportadora@gmail.com;girlesa.ruiz@servipilas.com;joriescobar64@gmail.com</v>
      </c>
      <c r="G485" s="143">
        <v>44560</v>
      </c>
      <c r="H485" s="57" t="s">
        <v>288</v>
      </c>
      <c r="I485" s="30">
        <v>44515</v>
      </c>
      <c r="J485" s="58" t="s">
        <v>31</v>
      </c>
      <c r="K485" s="32">
        <v>2000000</v>
      </c>
      <c r="L485" s="32"/>
      <c r="M485" s="33">
        <f>(PROVEEDORES[[#This Row],[SUBTOTAL]]-PROVEEDORES[[#This Row],[descuento antes de IVA]])*VLOOKUP(PROVEEDORES[[#This Row],[PROVEEDOR]],TERCEROS_INFO[#All],3,FALSE)</f>
        <v>0</v>
      </c>
      <c r="N485" s="34"/>
      <c r="O485" s="33">
        <f>+PROVEEDORES[[#This Row],[Descuento sobre subtotal %]]*(PROVEEDORES[[#This Row],[SUBTOTAL]]-PROVEEDORES[[#This Row],[descuento antes de IVA]])</f>
        <v>0</v>
      </c>
      <c r="P4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5" s="33">
        <f>+(PROVEEDORES[[#This Row],[SUBTOTAL]]-PROVEEDORES[[#This Row],[descuento antes de IVA]])*PROVEEDORES[[#This Row],[Rete Fuente %]]</f>
        <v>0</v>
      </c>
      <c r="R485" s="32">
        <f>+PROVEEDORES[[#This Row],[SUBTOTAL]]+PROVEEDORES[[#This Row],[IVA 19%]]-PROVEEDORES[[#This Row],[descuento antes de IVA]]-PROVEEDORES[[#This Row],[Descuento sobre subtotal $]]-PROVEEDORES[[#This Row],[Rete Fuente $]]</f>
        <v>2000000</v>
      </c>
      <c r="S48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5" s="40"/>
      <c r="U485" s="97"/>
      <c r="V485" s="36"/>
      <c r="W485" s="36"/>
      <c r="X485" s="36"/>
      <c r="Y485" s="36"/>
      <c r="Z485" s="41"/>
      <c r="AA485" s="42"/>
      <c r="AF485" s="36"/>
      <c r="AG485" s="36"/>
    </row>
    <row r="486" spans="1:33" ht="21.95" hidden="1" customHeight="1" x14ac:dyDescent="0.25">
      <c r="A486" s="39" t="str">
        <f>+IF(PROVEEDORES[[#This Row],[FECHA DE PAGO]]=PROVEEDORES[[#This Row],[FECHA DE FACTURACIÓN]],"DE CONTADO","CRÉDITO")</f>
        <v>CRÉDITO</v>
      </c>
      <c r="B486" s="67" t="b">
        <f>+IF((PROVEEDORES[[#This Row],[FECHA DE PAGO]]-PROVEEDORES[[#This Row],[FECHA DE FACTURACIÓN]])&gt;PROVEEDORES[[#This Row],[PLAZO Días]],"PAGO VENCIDO")</f>
        <v>0</v>
      </c>
      <c r="C486" s="27">
        <f>+VLOOKUP(PROVEEDORES[[#This Row],[PROVEEDOR]],TERCEROS_INFO[#All],2,FALSE)</f>
        <v>30</v>
      </c>
      <c r="D486" s="37">
        <f>+SUMIFS(PROVEEDORES[Total],PROVEEDORES[PROVEEDOR],PROVEEDORES[[#This Row],[PROVEEDOR]],PROVEEDORES[FECHA DE PAGO],"")</f>
        <v>0</v>
      </c>
      <c r="E486" s="37"/>
      <c r="F486" s="108" t="str">
        <f>+VLOOKUP(PROVEEDORES[[#This Row],[PROVEEDOR]],TERCEROS_INFO[[PROVEEDOR]:[CORREO]],5,FALSE)</f>
        <v/>
      </c>
      <c r="G486" s="143">
        <v>44025</v>
      </c>
      <c r="H486" s="38" t="s">
        <v>290</v>
      </c>
      <c r="I486" s="30">
        <v>44007</v>
      </c>
      <c r="J486" s="58" t="s">
        <v>1072</v>
      </c>
      <c r="K486" s="32">
        <v>452000</v>
      </c>
      <c r="L486" s="32"/>
      <c r="M486" s="33">
        <f>(PROVEEDORES[[#This Row],[SUBTOTAL]]-PROVEEDORES[[#This Row],[descuento antes de IVA]])*VLOOKUP(PROVEEDORES[[#This Row],[PROVEEDOR]],TERCEROS_INFO[#All],3,FALSE)</f>
        <v>0</v>
      </c>
      <c r="N486" s="34"/>
      <c r="O486" s="33">
        <f>+PROVEEDORES[[#This Row],[Descuento sobre subtotal %]]*(PROVEEDORES[[#This Row],[SUBTOTAL]]-PROVEEDORES[[#This Row],[descuento antes de IVA]])</f>
        <v>0</v>
      </c>
      <c r="P4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6" s="33">
        <f>+(PROVEEDORES[[#This Row],[SUBTOTAL]]-PROVEEDORES[[#This Row],[descuento antes de IVA]])*PROVEEDORES[[#This Row],[Rete Fuente %]]</f>
        <v>0</v>
      </c>
      <c r="R486" s="32">
        <f>+PROVEEDORES[[#This Row],[SUBTOTAL]]+PROVEEDORES[[#This Row],[IVA 19%]]-PROVEEDORES[[#This Row],[descuento antes de IVA]]-PROVEEDORES[[#This Row],[Descuento sobre subtotal $]]-PROVEEDORES[[#This Row],[Rete Fuente $]]</f>
        <v>452000</v>
      </c>
      <c r="S48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6" s="40"/>
      <c r="U486" s="97"/>
      <c r="V486" s="36"/>
      <c r="W486" s="36"/>
      <c r="X486" s="36"/>
      <c r="Y486" s="36"/>
      <c r="Z486" s="41"/>
      <c r="AA486" s="42"/>
      <c r="AF486" s="36"/>
      <c r="AG486" s="36"/>
    </row>
    <row r="487" spans="1:33" ht="21.95" hidden="1" customHeight="1" x14ac:dyDescent="0.25">
      <c r="A487" s="39" t="str">
        <f>+IF(PROVEEDORES[[#This Row],[FECHA DE PAGO]]=PROVEEDORES[[#This Row],[FECHA DE FACTURACIÓN]],"DE CONTADO","CRÉDITO")</f>
        <v>CRÉDITO</v>
      </c>
      <c r="B487" s="67" t="str">
        <f>+IF((PROVEEDORES[[#This Row],[FECHA DE PAGO]]-PROVEEDORES[[#This Row],[FECHA DE FACTURACIÓN]])&gt;PROVEEDORES[[#This Row],[PLAZO Días]],"PAGO VENCIDO")</f>
        <v>PAGO VENCIDO</v>
      </c>
      <c r="C487" s="27">
        <f>+VLOOKUP(PROVEEDORES[[#This Row],[PROVEEDOR]],TERCEROS_INFO[#All],2,FALSE)</f>
        <v>30</v>
      </c>
      <c r="D487" s="37">
        <f>+SUMIFS(PROVEEDORES[Total],PROVEEDORES[PROVEEDOR],PROVEEDORES[[#This Row],[PROVEEDOR]],PROVEEDORES[FECHA DE PAGO],"")</f>
        <v>0</v>
      </c>
      <c r="E487" s="37"/>
      <c r="F487" s="108" t="str">
        <f>+VLOOKUP(PROVEEDORES[[#This Row],[PROVEEDOR]],TERCEROS_INFO[[PROVEEDOR]:[CORREO]],5,FALSE)</f>
        <v/>
      </c>
      <c r="G487" s="143">
        <v>44068</v>
      </c>
      <c r="H487" s="38" t="s">
        <v>290</v>
      </c>
      <c r="I487" s="30">
        <v>44030</v>
      </c>
      <c r="J487" s="58" t="s">
        <v>1075</v>
      </c>
      <c r="K487" s="32">
        <v>402850</v>
      </c>
      <c r="L487" s="32"/>
      <c r="M487" s="33">
        <f>(PROVEEDORES[[#This Row],[SUBTOTAL]]-PROVEEDORES[[#This Row],[descuento antes de IVA]])*VLOOKUP(PROVEEDORES[[#This Row],[PROVEEDOR]],TERCEROS_INFO[#All],3,FALSE)</f>
        <v>0</v>
      </c>
      <c r="N487" s="34"/>
      <c r="O487" s="33">
        <f>+PROVEEDORES[[#This Row],[Descuento sobre subtotal %]]*(PROVEEDORES[[#This Row],[SUBTOTAL]]-PROVEEDORES[[#This Row],[descuento antes de IVA]])</f>
        <v>0</v>
      </c>
      <c r="P4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7" s="33">
        <f>+(PROVEEDORES[[#This Row],[SUBTOTAL]]-PROVEEDORES[[#This Row],[descuento antes de IVA]])*PROVEEDORES[[#This Row],[Rete Fuente %]]</f>
        <v>0</v>
      </c>
      <c r="R487" s="32">
        <f>+PROVEEDORES[[#This Row],[SUBTOTAL]]+PROVEEDORES[[#This Row],[IVA 19%]]-PROVEEDORES[[#This Row],[descuento antes de IVA]]-PROVEEDORES[[#This Row],[Descuento sobre subtotal $]]-PROVEEDORES[[#This Row],[Rete Fuente $]]</f>
        <v>402850</v>
      </c>
      <c r="S48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7" s="40"/>
      <c r="U487" s="97"/>
      <c r="V487" s="36"/>
      <c r="W487" s="36"/>
      <c r="X487" s="36"/>
      <c r="Y487" s="36"/>
      <c r="Z487" s="41"/>
      <c r="AA487" s="42"/>
      <c r="AF487" s="36"/>
      <c r="AG487" s="36"/>
    </row>
    <row r="488" spans="1:33" ht="21.95" hidden="1" customHeight="1" x14ac:dyDescent="0.25">
      <c r="A488" s="39" t="str">
        <f>+IF(PROVEEDORES[[#This Row],[FECHA DE PAGO]]=PROVEEDORES[[#This Row],[FECHA DE FACTURACIÓN]],"DE CONTADO","CRÉDITO")</f>
        <v>CRÉDITO</v>
      </c>
      <c r="B488" s="67" t="b">
        <f>+IF((PROVEEDORES[[#This Row],[FECHA DE PAGO]]-PROVEEDORES[[#This Row],[FECHA DE FACTURACIÓN]])&gt;PROVEEDORES[[#This Row],[PLAZO Días]],"PAGO VENCIDO")</f>
        <v>0</v>
      </c>
      <c r="C488" s="27">
        <f>+VLOOKUP(PROVEEDORES[[#This Row],[PROVEEDOR]],TERCEROS_INFO[#All],2,FALSE)</f>
        <v>30</v>
      </c>
      <c r="D488" s="37">
        <f>+SUMIFS(PROVEEDORES[Total],PROVEEDORES[PROVEEDOR],PROVEEDORES[[#This Row],[PROVEEDOR]],PROVEEDORES[FECHA DE PAGO],"")</f>
        <v>0</v>
      </c>
      <c r="E488" s="37"/>
      <c r="F488" s="108" t="str">
        <f>+VLOOKUP(PROVEEDORES[[#This Row],[PROVEEDOR]],TERCEROS_INFO[[PROVEEDOR]:[CORREO]],5,FALSE)</f>
        <v/>
      </c>
      <c r="G488" s="143">
        <v>44126</v>
      </c>
      <c r="H488" s="38" t="s">
        <v>290</v>
      </c>
      <c r="I488" s="30">
        <v>44105</v>
      </c>
      <c r="J488" s="58">
        <v>1592</v>
      </c>
      <c r="K488" s="32">
        <v>641000</v>
      </c>
      <c r="L488" s="32"/>
      <c r="M488" s="33">
        <f>(PROVEEDORES[[#This Row],[SUBTOTAL]]-PROVEEDORES[[#This Row],[descuento antes de IVA]])*VLOOKUP(PROVEEDORES[[#This Row],[PROVEEDOR]],TERCEROS_INFO[#All],3,FALSE)</f>
        <v>0</v>
      </c>
      <c r="N488" s="34"/>
      <c r="O488" s="33">
        <f>+PROVEEDORES[[#This Row],[Descuento sobre subtotal %]]*(PROVEEDORES[[#This Row],[SUBTOTAL]]-PROVEEDORES[[#This Row],[descuento antes de IVA]])</f>
        <v>0</v>
      </c>
      <c r="P4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8" s="33">
        <f>+(PROVEEDORES[[#This Row],[SUBTOTAL]]-PROVEEDORES[[#This Row],[descuento antes de IVA]])*PROVEEDORES[[#This Row],[Rete Fuente %]]</f>
        <v>0</v>
      </c>
      <c r="R488" s="32">
        <f>+PROVEEDORES[[#This Row],[SUBTOTAL]]+PROVEEDORES[[#This Row],[IVA 19%]]-PROVEEDORES[[#This Row],[descuento antes de IVA]]-PROVEEDORES[[#This Row],[Descuento sobre subtotal $]]-PROVEEDORES[[#This Row],[Rete Fuente $]]</f>
        <v>641000</v>
      </c>
      <c r="S48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8" s="40"/>
      <c r="U488" s="97"/>
      <c r="V488" s="36"/>
      <c r="W488" s="36"/>
      <c r="X488" s="36"/>
      <c r="Y488" s="36"/>
      <c r="Z488" s="41"/>
      <c r="AA488" s="42"/>
      <c r="AF488" s="36"/>
      <c r="AG488" s="36"/>
    </row>
    <row r="489" spans="1:33" ht="21.95" hidden="1" customHeight="1" x14ac:dyDescent="0.25">
      <c r="A489" s="39" t="str">
        <f>+IF(PROVEEDORES[[#This Row],[FECHA DE PAGO]]=PROVEEDORES[[#This Row],[FECHA DE FACTURACIÓN]],"DE CONTADO","CRÉDITO")</f>
        <v>CRÉDITO</v>
      </c>
      <c r="B489" s="67" t="b">
        <f>+IF((PROVEEDORES[[#This Row],[FECHA DE PAGO]]-PROVEEDORES[[#This Row],[FECHA DE FACTURACIÓN]])&gt;PROVEEDORES[[#This Row],[PLAZO Días]],"PAGO VENCIDO")</f>
        <v>0</v>
      </c>
      <c r="C489" s="27">
        <f>+VLOOKUP(PROVEEDORES[[#This Row],[PROVEEDOR]],TERCEROS_INFO[#All],2,FALSE)</f>
        <v>30</v>
      </c>
      <c r="D489" s="37">
        <f>+SUMIFS(PROVEEDORES[Total],PROVEEDORES[PROVEEDOR],PROVEEDORES[[#This Row],[PROVEEDOR]],PROVEEDORES[FECHA DE PAGO],"")</f>
        <v>0</v>
      </c>
      <c r="E489" s="37"/>
      <c r="F489" s="108" t="str">
        <f>+VLOOKUP(PROVEEDORES[[#This Row],[PROVEEDOR]],TERCEROS_INFO[[PROVEEDOR]:[CORREO]],5,FALSE)</f>
        <v/>
      </c>
      <c r="G489" s="143">
        <v>44126</v>
      </c>
      <c r="H489" s="38" t="s">
        <v>290</v>
      </c>
      <c r="I489" s="30">
        <v>44108</v>
      </c>
      <c r="J489" s="58">
        <v>1582</v>
      </c>
      <c r="K489" s="32">
        <v>339000</v>
      </c>
      <c r="L489" s="32"/>
      <c r="M489" s="33">
        <f>(PROVEEDORES[[#This Row],[SUBTOTAL]]-PROVEEDORES[[#This Row],[descuento antes de IVA]])*VLOOKUP(PROVEEDORES[[#This Row],[PROVEEDOR]],TERCEROS_INFO[#All],3,FALSE)</f>
        <v>0</v>
      </c>
      <c r="N489" s="34"/>
      <c r="O489" s="33">
        <f>+PROVEEDORES[[#This Row],[Descuento sobre subtotal %]]*(PROVEEDORES[[#This Row],[SUBTOTAL]]-PROVEEDORES[[#This Row],[descuento antes de IVA]])</f>
        <v>0</v>
      </c>
      <c r="P4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89" s="33">
        <f>+(PROVEEDORES[[#This Row],[SUBTOTAL]]-PROVEEDORES[[#This Row],[descuento antes de IVA]])*PROVEEDORES[[#This Row],[Rete Fuente %]]</f>
        <v>0</v>
      </c>
      <c r="R489" s="32">
        <f>+PROVEEDORES[[#This Row],[SUBTOTAL]]+PROVEEDORES[[#This Row],[IVA 19%]]-PROVEEDORES[[#This Row],[descuento antes de IVA]]-PROVEEDORES[[#This Row],[Descuento sobre subtotal $]]-PROVEEDORES[[#This Row],[Rete Fuente $]]</f>
        <v>339000</v>
      </c>
      <c r="S4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9" s="40"/>
      <c r="U489" s="97"/>
      <c r="V489" s="36"/>
      <c r="W489" s="36"/>
      <c r="X489" s="36"/>
      <c r="Y489" s="36"/>
      <c r="Z489" s="41"/>
      <c r="AA489" s="42"/>
      <c r="AF489" s="36"/>
      <c r="AG489" s="36"/>
    </row>
    <row r="490" spans="1:33" ht="21.95" hidden="1" customHeight="1" x14ac:dyDescent="0.25">
      <c r="A490" s="39" t="str">
        <f>+IF(PROVEEDORES[[#This Row],[FECHA DE PAGO]]=PROVEEDORES[[#This Row],[FECHA DE FACTURACIÓN]],"DE CONTADO","CRÉDITO")</f>
        <v>CRÉDITO</v>
      </c>
      <c r="B490" s="67" t="str">
        <f>+IF((PROVEEDORES[[#This Row],[FECHA DE PAGO]]-PROVEEDORES[[#This Row],[FECHA DE FACTURACIÓN]])&gt;PROVEEDORES[[#This Row],[PLAZO Días]],"PAGO VENCIDO")</f>
        <v>PAGO VENCIDO</v>
      </c>
      <c r="C490" s="27">
        <f>+VLOOKUP(PROVEEDORES[[#This Row],[PROVEEDOR]],TERCEROS_INFO[#All],2,FALSE)</f>
        <v>30</v>
      </c>
      <c r="D490" s="37">
        <f>+SUMIFS(PROVEEDORES[Total],PROVEEDORES[PROVEEDOR],PROVEEDORES[[#This Row],[PROVEEDOR]],PROVEEDORES[FECHA DE PAGO],"")</f>
        <v>0</v>
      </c>
      <c r="E490" s="37"/>
      <c r="F490" s="108" t="str">
        <f>+VLOOKUP(PROVEEDORES[[#This Row],[PROVEEDOR]],TERCEROS_INFO[[PROVEEDOR]:[CORREO]],5,FALSE)</f>
        <v/>
      </c>
      <c r="G490" s="143">
        <v>44168</v>
      </c>
      <c r="H490" s="38" t="s">
        <v>290</v>
      </c>
      <c r="I490" s="30">
        <v>44132</v>
      </c>
      <c r="J490" s="58">
        <v>1616</v>
      </c>
      <c r="K490" s="32">
        <v>411000</v>
      </c>
      <c r="L490" s="32"/>
      <c r="M490" s="33">
        <f>(PROVEEDORES[[#This Row],[SUBTOTAL]]-PROVEEDORES[[#This Row],[descuento antes de IVA]])*VLOOKUP(PROVEEDORES[[#This Row],[PROVEEDOR]],TERCEROS_INFO[#All],3,FALSE)</f>
        <v>0</v>
      </c>
      <c r="N490" s="34"/>
      <c r="O490" s="33">
        <f>+PROVEEDORES[[#This Row],[Descuento sobre subtotal %]]*(PROVEEDORES[[#This Row],[SUBTOTAL]]-PROVEEDORES[[#This Row],[descuento antes de IVA]])</f>
        <v>0</v>
      </c>
      <c r="P4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0" s="33">
        <f>+(PROVEEDORES[[#This Row],[SUBTOTAL]]-PROVEEDORES[[#This Row],[descuento antes de IVA]])*PROVEEDORES[[#This Row],[Rete Fuente %]]</f>
        <v>0</v>
      </c>
      <c r="R490" s="32">
        <f>+PROVEEDORES[[#This Row],[SUBTOTAL]]+PROVEEDORES[[#This Row],[IVA 19%]]-PROVEEDORES[[#This Row],[descuento antes de IVA]]-PROVEEDORES[[#This Row],[Descuento sobre subtotal $]]-PROVEEDORES[[#This Row],[Rete Fuente $]]</f>
        <v>411000</v>
      </c>
      <c r="S49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0" s="40"/>
      <c r="U490" s="97"/>
      <c r="V490" s="36"/>
      <c r="W490" s="36"/>
      <c r="X490" s="36"/>
      <c r="Y490" s="36"/>
      <c r="Z490" s="41"/>
      <c r="AA490" s="42"/>
      <c r="AF490" s="36"/>
      <c r="AG490" s="36"/>
    </row>
    <row r="491" spans="1:33" ht="21.95" hidden="1" customHeight="1" x14ac:dyDescent="0.25">
      <c r="A491" s="39" t="str">
        <f>+IF(PROVEEDORES[[#This Row],[FECHA DE PAGO]]=PROVEEDORES[[#This Row],[FECHA DE FACTURACIÓN]],"DE CONTADO","CRÉDITO")</f>
        <v>CRÉDITO</v>
      </c>
      <c r="B491" s="67" t="str">
        <f>+IF((PROVEEDORES[[#This Row],[FECHA DE PAGO]]-PROVEEDORES[[#This Row],[FECHA DE FACTURACIÓN]])&gt;PROVEEDORES[[#This Row],[PLAZO Días]],"PAGO VENCIDO")</f>
        <v>PAGO VENCIDO</v>
      </c>
      <c r="C491" s="27">
        <f>+VLOOKUP(PROVEEDORES[[#This Row],[PROVEEDOR]],TERCEROS_INFO[#All],2,FALSE)</f>
        <v>30</v>
      </c>
      <c r="D491" s="37">
        <f>+SUMIFS(PROVEEDORES[Total],PROVEEDORES[PROVEEDOR],PROVEEDORES[[#This Row],[PROVEEDOR]],PROVEEDORES[FECHA DE PAGO],"")</f>
        <v>0</v>
      </c>
      <c r="E491" s="37"/>
      <c r="F491" s="108" t="str">
        <f>+VLOOKUP(PROVEEDORES[[#This Row],[PROVEEDOR]],TERCEROS_INFO[[PROVEEDOR]:[CORREO]],5,FALSE)</f>
        <v/>
      </c>
      <c r="G491" s="143">
        <v>44264</v>
      </c>
      <c r="H491" s="38" t="s">
        <v>290</v>
      </c>
      <c r="I491" s="30">
        <v>44210</v>
      </c>
      <c r="J491" s="58">
        <v>757</v>
      </c>
      <c r="K491" s="32">
        <v>990500</v>
      </c>
      <c r="L491" s="32"/>
      <c r="M491" s="33">
        <f>(PROVEEDORES[[#This Row],[SUBTOTAL]]-PROVEEDORES[[#This Row],[descuento antes de IVA]])*VLOOKUP(PROVEEDORES[[#This Row],[PROVEEDOR]],TERCEROS_INFO[#All],3,FALSE)</f>
        <v>0</v>
      </c>
      <c r="N491" s="34"/>
      <c r="O491" s="33">
        <f>+PROVEEDORES[[#This Row],[Descuento sobre subtotal %]]*(PROVEEDORES[[#This Row],[SUBTOTAL]]-PROVEEDORES[[#This Row],[descuento antes de IVA]])</f>
        <v>0</v>
      </c>
      <c r="P4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1" s="33">
        <f>+(PROVEEDORES[[#This Row],[SUBTOTAL]]-PROVEEDORES[[#This Row],[descuento antes de IVA]])*PROVEEDORES[[#This Row],[Rete Fuente %]]</f>
        <v>0</v>
      </c>
      <c r="R491" s="32">
        <f>+PROVEEDORES[[#This Row],[SUBTOTAL]]+PROVEEDORES[[#This Row],[IVA 19%]]-PROVEEDORES[[#This Row],[descuento antes de IVA]]-PROVEEDORES[[#This Row],[Descuento sobre subtotal $]]-PROVEEDORES[[#This Row],[Rete Fuente $]]</f>
        <v>990500</v>
      </c>
      <c r="S49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1" s="40"/>
      <c r="U491" s="97"/>
      <c r="V491" s="36"/>
      <c r="W491" s="36"/>
      <c r="X491" s="36"/>
      <c r="Y491" s="36"/>
      <c r="Z491" s="41"/>
      <c r="AA491" s="42"/>
      <c r="AF491" s="36"/>
      <c r="AG491" s="36"/>
    </row>
    <row r="492" spans="1:33" ht="21.95" hidden="1" customHeight="1" x14ac:dyDescent="0.25">
      <c r="A492" s="35" t="str">
        <f>+IF(PROVEEDORES[[#This Row],[FECHA DE PAGO]]=PROVEEDORES[[#This Row],[FECHA DE FACTURACIÓN]],"DE CONTADO","CRÉDITO")</f>
        <v>CRÉDITO</v>
      </c>
      <c r="B492" s="70" t="b">
        <f>+IF((PROVEEDORES[[#This Row],[FECHA DE PAGO]]-PROVEEDORES[[#This Row],[FECHA DE FACTURACIÓN]])&gt;PROVEEDORES[[#This Row],[PLAZO Días]],"PAGO VENCIDO")</f>
        <v>0</v>
      </c>
      <c r="C492" s="27">
        <f>+VLOOKUP(PROVEEDORES[[#This Row],[PROVEEDOR]],TERCEROS_INFO[#All],2,FALSE)</f>
        <v>30</v>
      </c>
      <c r="D492" s="37">
        <f>+SUMIFS(PROVEEDORES[Total],PROVEEDORES[PROVEEDOR],PROVEEDORES[[#This Row],[PROVEEDOR]],PROVEEDORES[FECHA DE PAGO],"")</f>
        <v>0</v>
      </c>
      <c r="E492" s="37"/>
      <c r="F492" s="108" t="str">
        <f>+VLOOKUP(PROVEEDORES[[#This Row],[PROVEEDOR]],TERCEROS_INFO[[PROVEEDOR]:[CORREO]],5,FALSE)</f>
        <v/>
      </c>
      <c r="G492" s="143">
        <v>44355</v>
      </c>
      <c r="H492" s="38" t="s">
        <v>290</v>
      </c>
      <c r="I492" s="30">
        <v>44335</v>
      </c>
      <c r="J492" s="58" t="s">
        <v>1132</v>
      </c>
      <c r="K492" s="32">
        <v>490000</v>
      </c>
      <c r="L492" s="32"/>
      <c r="M492" s="33">
        <f>(PROVEEDORES[[#This Row],[SUBTOTAL]]-PROVEEDORES[[#This Row],[descuento antes de IVA]])*VLOOKUP(PROVEEDORES[[#This Row],[PROVEEDOR]],TERCEROS_INFO[#All],3,FALSE)</f>
        <v>0</v>
      </c>
      <c r="N492" s="34"/>
      <c r="O492" s="33">
        <f>+PROVEEDORES[[#This Row],[Descuento sobre subtotal %]]*(PROVEEDORES[[#This Row],[SUBTOTAL]]-PROVEEDORES[[#This Row],[descuento antes de IVA]])</f>
        <v>0</v>
      </c>
      <c r="P4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2" s="33">
        <f>+(PROVEEDORES[[#This Row],[SUBTOTAL]]-PROVEEDORES[[#This Row],[descuento antes de IVA]])*PROVEEDORES[[#This Row],[Rete Fuente %]]</f>
        <v>0</v>
      </c>
      <c r="R492" s="32">
        <f>+PROVEEDORES[[#This Row],[SUBTOTAL]]+PROVEEDORES[[#This Row],[IVA 19%]]-PROVEEDORES[[#This Row],[descuento antes de IVA]]-PROVEEDORES[[#This Row],[Descuento sobre subtotal $]]-PROVEEDORES[[#This Row],[Rete Fuente $]]</f>
        <v>490000</v>
      </c>
      <c r="S49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2" s="40"/>
      <c r="U492" s="97"/>
      <c r="V492" s="36"/>
      <c r="W492" s="36"/>
      <c r="X492" s="36"/>
      <c r="Y492" s="36"/>
      <c r="Z492" s="41"/>
      <c r="AA492" s="42"/>
      <c r="AF492" s="36"/>
      <c r="AG492" s="36"/>
    </row>
    <row r="493" spans="1:33" ht="21.95" hidden="1" customHeight="1" x14ac:dyDescent="0.25">
      <c r="A493" s="127" t="str">
        <f>+IF(PROVEEDORES[[#This Row],[FECHA DE PAGO]]=PROVEEDORES[[#This Row],[FECHA DE FACTURACIÓN]],"DE CONTADO","CRÉDITO")</f>
        <v>CRÉDITO</v>
      </c>
      <c r="B493" s="70" t="b">
        <f>+IF((PROVEEDORES[[#This Row],[FECHA DE PAGO]]-PROVEEDORES[[#This Row],[FECHA DE FACTURACIÓN]])&gt;PROVEEDORES[[#This Row],[PLAZO Días]],"PAGO VENCIDO")</f>
        <v>0</v>
      </c>
      <c r="C493" s="27">
        <f>+VLOOKUP(PROVEEDORES[[#This Row],[PROVEEDOR]],TERCEROS_INFO[#All],2,FALSE)</f>
        <v>30</v>
      </c>
      <c r="D493" s="37">
        <f>+SUMIFS(PROVEEDORES[Total],PROVEEDORES[PROVEEDOR],PROVEEDORES[[#This Row],[PROVEEDOR]],PROVEEDORES[FECHA DE PAGO],"")</f>
        <v>0</v>
      </c>
      <c r="E493" s="37"/>
      <c r="F493" s="108" t="str">
        <f>+VLOOKUP(PROVEEDORES[[#This Row],[PROVEEDOR]],TERCEROS_INFO[[PROVEEDOR]:[CORREO]],5,FALSE)</f>
        <v/>
      </c>
      <c r="G493" s="143">
        <v>44396</v>
      </c>
      <c r="H493" s="38" t="s">
        <v>290</v>
      </c>
      <c r="I493" s="30">
        <v>44367</v>
      </c>
      <c r="J493" s="58" t="s">
        <v>1166</v>
      </c>
      <c r="K493" s="32">
        <v>926000</v>
      </c>
      <c r="L493" s="32"/>
      <c r="M493" s="33">
        <f>(PROVEEDORES[[#This Row],[SUBTOTAL]]-PROVEEDORES[[#This Row],[descuento antes de IVA]])*VLOOKUP(PROVEEDORES[[#This Row],[PROVEEDOR]],TERCEROS_INFO[#All],3,FALSE)</f>
        <v>0</v>
      </c>
      <c r="N493" s="34"/>
      <c r="O493" s="33">
        <f>+PROVEEDORES[[#This Row],[Descuento sobre subtotal %]]*(PROVEEDORES[[#This Row],[SUBTOTAL]]-PROVEEDORES[[#This Row],[descuento antes de IVA]])</f>
        <v>0</v>
      </c>
      <c r="P4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3" s="33">
        <f>+(PROVEEDORES[[#This Row],[SUBTOTAL]]-PROVEEDORES[[#This Row],[descuento antes de IVA]])*PROVEEDORES[[#This Row],[Rete Fuente %]]</f>
        <v>0</v>
      </c>
      <c r="R493" s="32">
        <f>+PROVEEDORES[[#This Row],[SUBTOTAL]]+PROVEEDORES[[#This Row],[IVA 19%]]-PROVEEDORES[[#This Row],[descuento antes de IVA]]-PROVEEDORES[[#This Row],[Descuento sobre subtotal $]]-PROVEEDORES[[#This Row],[Rete Fuente $]]</f>
        <v>926000</v>
      </c>
      <c r="S493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3" s="40"/>
      <c r="U493" s="97"/>
      <c r="V493" s="36"/>
      <c r="W493" s="36"/>
      <c r="X493" s="36"/>
      <c r="Y493" s="36"/>
      <c r="Z493" s="41"/>
      <c r="AA493" s="42"/>
      <c r="AF493" s="36"/>
      <c r="AG493" s="36"/>
    </row>
    <row r="494" spans="1:33" ht="21.95" hidden="1" customHeight="1" x14ac:dyDescent="0.25">
      <c r="A494" s="134" t="str">
        <f>+IF(PROVEEDORES[[#This Row],[FECHA DE PAGO]]=PROVEEDORES[[#This Row],[FECHA DE FACTURACIÓN]],"DE CONTADO","CRÉDITO")</f>
        <v>CRÉDITO</v>
      </c>
      <c r="B494" s="70" t="str">
        <f>+IF((PROVEEDORES[[#This Row],[FECHA DE PAGO]]-PROVEEDORES[[#This Row],[FECHA DE FACTURACIÓN]])&gt;PROVEEDORES[[#This Row],[PLAZO Días]],"PAGO VENCIDO")</f>
        <v>PAGO VENCIDO</v>
      </c>
      <c r="C494" s="27">
        <f>+VLOOKUP(PROVEEDORES[[#This Row],[PROVEEDOR]],TERCEROS_INFO[#All],2,FALSE)</f>
        <v>30</v>
      </c>
      <c r="D494" s="37">
        <f>+SUMIFS(PROVEEDORES[Total],PROVEEDORES[PROVEEDOR],PROVEEDORES[[#This Row],[PROVEEDOR]],PROVEEDORES[FECHA DE PAGO],"")</f>
        <v>0</v>
      </c>
      <c r="E494" s="37"/>
      <c r="F494" s="108" t="str">
        <f>+VLOOKUP(PROVEEDORES[[#This Row],[PROVEEDOR]],TERCEROS_INFO[[PROVEEDOR]:[CORREO]],5,FALSE)</f>
        <v/>
      </c>
      <c r="G494" s="143">
        <v>44431</v>
      </c>
      <c r="H494" s="38" t="s">
        <v>290</v>
      </c>
      <c r="I494" s="30">
        <v>44396</v>
      </c>
      <c r="J494" s="58" t="s">
        <v>1188</v>
      </c>
      <c r="K494" s="32">
        <v>1033000</v>
      </c>
      <c r="L494" s="32"/>
      <c r="M494" s="33">
        <f>(PROVEEDORES[[#This Row],[SUBTOTAL]]-PROVEEDORES[[#This Row],[descuento antes de IVA]])*VLOOKUP(PROVEEDORES[[#This Row],[PROVEEDOR]],TERCEROS_INFO[#All],3,FALSE)</f>
        <v>0</v>
      </c>
      <c r="N494" s="34"/>
      <c r="O494" s="33">
        <f>+PROVEEDORES[[#This Row],[Descuento sobre subtotal %]]*(PROVEEDORES[[#This Row],[SUBTOTAL]]-PROVEEDORES[[#This Row],[descuento antes de IVA]])</f>
        <v>0</v>
      </c>
      <c r="P4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4" s="33">
        <f>+(PROVEEDORES[[#This Row],[SUBTOTAL]]-PROVEEDORES[[#This Row],[descuento antes de IVA]])*PROVEEDORES[[#This Row],[Rete Fuente %]]</f>
        <v>0</v>
      </c>
      <c r="R494" s="32">
        <f>+PROVEEDORES[[#This Row],[SUBTOTAL]]+PROVEEDORES[[#This Row],[IVA 19%]]-PROVEEDORES[[#This Row],[descuento antes de IVA]]-PROVEEDORES[[#This Row],[Descuento sobre subtotal $]]-PROVEEDORES[[#This Row],[Rete Fuente $]]</f>
        <v>1033000</v>
      </c>
      <c r="S494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4" s="40"/>
      <c r="U494" s="97"/>
      <c r="V494" s="36"/>
      <c r="W494" s="36"/>
      <c r="X494" s="36"/>
      <c r="Y494" s="36"/>
      <c r="Z494" s="41"/>
      <c r="AA494" s="42"/>
      <c r="AF494" s="36"/>
      <c r="AG494" s="36"/>
    </row>
    <row r="495" spans="1:33" ht="21.95" hidden="1" customHeight="1" x14ac:dyDescent="0.25">
      <c r="A495" s="140" t="str">
        <f>+IF(PROVEEDORES[[#This Row],[FECHA DE PAGO]]=PROVEEDORES[[#This Row],[FECHA DE FACTURACIÓN]],"DE CONTADO","CRÉDITO")</f>
        <v>CRÉDITO</v>
      </c>
      <c r="B495" s="70" t="str">
        <f>+IF((PROVEEDORES[[#This Row],[FECHA DE PAGO]]-PROVEEDORES[[#This Row],[FECHA DE FACTURACIÓN]])&gt;PROVEEDORES[[#This Row],[PLAZO Días]],"PAGO VENCIDO")</f>
        <v>PAGO VENCIDO</v>
      </c>
      <c r="C495" s="27">
        <f>+VLOOKUP(PROVEEDORES[[#This Row],[PROVEEDOR]],TERCEROS_INFO[#All],2,FALSE)</f>
        <v>30</v>
      </c>
      <c r="D495" s="37">
        <f>+SUMIFS(PROVEEDORES[Total],PROVEEDORES[PROVEEDOR],PROVEEDORES[[#This Row],[PROVEEDOR]],PROVEEDORES[FECHA DE PAGO],"")</f>
        <v>0</v>
      </c>
      <c r="E495" s="37"/>
      <c r="F495" s="108" t="str">
        <f>+VLOOKUP(PROVEEDORES[[#This Row],[PROVEEDOR]],TERCEROS_INFO[[PROVEEDOR]:[CORREO]],5,FALSE)</f>
        <v/>
      </c>
      <c r="G495" s="143">
        <v>44442</v>
      </c>
      <c r="H495" s="38" t="s">
        <v>290</v>
      </c>
      <c r="I495" s="30">
        <v>44410</v>
      </c>
      <c r="J495" s="58" t="s">
        <v>1199</v>
      </c>
      <c r="K495" s="32">
        <v>673605</v>
      </c>
      <c r="L495" s="32"/>
      <c r="M495" s="33">
        <f>(PROVEEDORES[[#This Row],[SUBTOTAL]]-PROVEEDORES[[#This Row],[descuento antes de IVA]])*VLOOKUP(PROVEEDORES[[#This Row],[PROVEEDOR]],TERCEROS_INFO[#All],3,FALSE)</f>
        <v>0</v>
      </c>
      <c r="N495" s="34"/>
      <c r="O495" s="33">
        <f>+PROVEEDORES[[#This Row],[Descuento sobre subtotal %]]*(PROVEEDORES[[#This Row],[SUBTOTAL]]-PROVEEDORES[[#This Row],[descuento antes de IVA]])</f>
        <v>0</v>
      </c>
      <c r="P4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5" s="33">
        <f>+(PROVEEDORES[[#This Row],[SUBTOTAL]]-PROVEEDORES[[#This Row],[descuento antes de IVA]])*PROVEEDORES[[#This Row],[Rete Fuente %]]</f>
        <v>0</v>
      </c>
      <c r="R495" s="32">
        <f>+PROVEEDORES[[#This Row],[SUBTOTAL]]+PROVEEDORES[[#This Row],[IVA 19%]]-PROVEEDORES[[#This Row],[descuento antes de IVA]]-PROVEEDORES[[#This Row],[Descuento sobre subtotal $]]-PROVEEDORES[[#This Row],[Rete Fuente $]]</f>
        <v>673605</v>
      </c>
      <c r="S495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5" s="40"/>
      <c r="U495" s="97"/>
      <c r="V495" s="36"/>
      <c r="W495" s="36"/>
      <c r="X495" s="36"/>
      <c r="Y495" s="36"/>
      <c r="Z495" s="41"/>
      <c r="AA495" s="42"/>
      <c r="AF495" s="36"/>
      <c r="AG495" s="36"/>
    </row>
    <row r="496" spans="1:33" ht="21.95" hidden="1" customHeight="1" x14ac:dyDescent="0.25">
      <c r="A496" s="35" t="str">
        <f>+IF(PROVEEDORES[[#This Row],[FECHA DE PAGO]]=PROVEEDORES[[#This Row],[FECHA DE FACTURACIÓN]],"DE CONTADO","CRÉDITO")</f>
        <v>CRÉDITO</v>
      </c>
      <c r="B496" s="70" t="str">
        <f>+IF((PROVEEDORES[[#This Row],[FECHA DE PAGO]]-PROVEEDORES[[#This Row],[FECHA DE FACTURACIÓN]])&gt;PROVEEDORES[[#This Row],[PLAZO Días]],"PAGO VENCIDO")</f>
        <v>PAGO VENCIDO</v>
      </c>
      <c r="C496" s="27">
        <f>+VLOOKUP(PROVEEDORES[[#This Row],[PROVEEDOR]],TERCEROS_INFO[#All],2,FALSE)</f>
        <v>30</v>
      </c>
      <c r="D496" s="37">
        <f>+SUMIFS(PROVEEDORES[Total],PROVEEDORES[PROVEEDOR],PROVEEDORES[[#This Row],[PROVEEDOR]],PROVEEDORES[FECHA DE PAGO],"")</f>
        <v>0</v>
      </c>
      <c r="E496" s="37"/>
      <c r="F496" s="108" t="str">
        <f>+VLOOKUP(PROVEEDORES[[#This Row],[PROVEEDOR]],TERCEROS_INFO[[PROVEEDOR]:[CORREO]],5,FALSE)</f>
        <v/>
      </c>
      <c r="G496" s="143">
        <v>44482</v>
      </c>
      <c r="H496" s="38" t="s">
        <v>290</v>
      </c>
      <c r="I496" s="30">
        <v>44448</v>
      </c>
      <c r="J496" s="58" t="s">
        <v>1243</v>
      </c>
      <c r="K496" s="32">
        <v>821000</v>
      </c>
      <c r="L496" s="32"/>
      <c r="M496" s="33">
        <f>(PROVEEDORES[[#This Row],[SUBTOTAL]]-PROVEEDORES[[#This Row],[descuento antes de IVA]])*VLOOKUP(PROVEEDORES[[#This Row],[PROVEEDOR]],TERCEROS_INFO[#All],3,FALSE)</f>
        <v>0</v>
      </c>
      <c r="N496" s="34"/>
      <c r="O496" s="33">
        <f>+PROVEEDORES[[#This Row],[Descuento sobre subtotal %]]*(PROVEEDORES[[#This Row],[SUBTOTAL]]-PROVEEDORES[[#This Row],[descuento antes de IVA]])</f>
        <v>0</v>
      </c>
      <c r="P4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6" s="33">
        <f>+(PROVEEDORES[[#This Row],[SUBTOTAL]]-PROVEEDORES[[#This Row],[descuento antes de IVA]])*PROVEEDORES[[#This Row],[Rete Fuente %]]</f>
        <v>0</v>
      </c>
      <c r="R496" s="32">
        <f>+PROVEEDORES[[#This Row],[SUBTOTAL]]+PROVEEDORES[[#This Row],[IVA 19%]]-PROVEEDORES[[#This Row],[descuento antes de IVA]]-PROVEEDORES[[#This Row],[Descuento sobre subtotal $]]-PROVEEDORES[[#This Row],[Rete Fuente $]]</f>
        <v>821000</v>
      </c>
      <c r="S49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6" s="40"/>
      <c r="U496" s="97"/>
      <c r="V496" s="36"/>
      <c r="W496" s="36"/>
      <c r="X496" s="36"/>
      <c r="Y496" s="36"/>
      <c r="Z496" s="41"/>
      <c r="AA496" s="42"/>
      <c r="AF496" s="36"/>
      <c r="AG496" s="36"/>
    </row>
    <row r="497" spans="1:33" ht="21.95" hidden="1" customHeight="1" x14ac:dyDescent="0.25">
      <c r="A497" s="154" t="str">
        <f>+IF(PROVEEDORES[[#This Row],[FECHA DE PAGO]]=PROVEEDORES[[#This Row],[FECHA DE FACTURACIÓN]],"DE CONTADO","CRÉDITO")</f>
        <v>CRÉDITO</v>
      </c>
      <c r="B497" s="70" t="str">
        <f>+IF((PROVEEDORES[[#This Row],[FECHA DE PAGO]]-PROVEEDORES[[#This Row],[FECHA DE FACTURACIÓN]])&gt;PROVEEDORES[[#This Row],[PLAZO Días]],"PAGO VENCIDO")</f>
        <v>PAGO VENCIDO</v>
      </c>
      <c r="C497" s="27">
        <f>+VLOOKUP(PROVEEDORES[[#This Row],[PROVEEDOR]],TERCEROS_INFO[#All],2,FALSE)</f>
        <v>30</v>
      </c>
      <c r="D497" s="37">
        <f>+SUMIFS(PROVEEDORES[Total],PROVEEDORES[PROVEEDOR],PROVEEDORES[[#This Row],[PROVEEDOR]],PROVEEDORES[FECHA DE PAGO],"")</f>
        <v>0</v>
      </c>
      <c r="E497" s="37"/>
      <c r="F497" s="108" t="str">
        <f>+VLOOKUP(PROVEEDORES[[#This Row],[PROVEEDOR]],TERCEROS_INFO[[PROVEEDOR]:[CORREO]],5,FALSE)</f>
        <v/>
      </c>
      <c r="G497" s="143">
        <v>44494</v>
      </c>
      <c r="H497" s="38" t="s">
        <v>290</v>
      </c>
      <c r="I497" s="30">
        <v>44460</v>
      </c>
      <c r="J497" s="58" t="s">
        <v>1256</v>
      </c>
      <c r="K497" s="32">
        <v>796800</v>
      </c>
      <c r="L497" s="32"/>
      <c r="M497" s="33">
        <f>(PROVEEDORES[[#This Row],[SUBTOTAL]]-PROVEEDORES[[#This Row],[descuento antes de IVA]])*VLOOKUP(PROVEEDORES[[#This Row],[PROVEEDOR]],TERCEROS_INFO[#All],3,FALSE)</f>
        <v>0</v>
      </c>
      <c r="N497" s="34"/>
      <c r="O497" s="33">
        <f>+PROVEEDORES[[#This Row],[Descuento sobre subtotal %]]*(PROVEEDORES[[#This Row],[SUBTOTAL]]-PROVEEDORES[[#This Row],[descuento antes de IVA]])</f>
        <v>0</v>
      </c>
      <c r="P4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7" s="33">
        <f>+(PROVEEDORES[[#This Row],[SUBTOTAL]]-PROVEEDORES[[#This Row],[descuento antes de IVA]])*PROVEEDORES[[#This Row],[Rete Fuente %]]</f>
        <v>0</v>
      </c>
      <c r="R497" s="32">
        <f>+PROVEEDORES[[#This Row],[SUBTOTAL]]+PROVEEDORES[[#This Row],[IVA 19%]]-PROVEEDORES[[#This Row],[descuento antes de IVA]]-PROVEEDORES[[#This Row],[Descuento sobre subtotal $]]-PROVEEDORES[[#This Row],[Rete Fuente $]]</f>
        <v>796800</v>
      </c>
      <c r="S497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7" s="40"/>
      <c r="U497" s="97"/>
      <c r="V497" s="36"/>
      <c r="W497" s="36"/>
      <c r="X497" s="36"/>
      <c r="Y497" s="36"/>
      <c r="Z497" s="41"/>
      <c r="AA497" s="42"/>
      <c r="AF497" s="36"/>
      <c r="AG497" s="36"/>
    </row>
    <row r="498" spans="1:33" ht="21.95" hidden="1" customHeight="1" x14ac:dyDescent="0.25">
      <c r="A498" s="35" t="str">
        <f>+IF(PROVEEDORES[[#This Row],[FECHA DE PAGO]]=PROVEEDORES[[#This Row],[FECHA DE FACTURACIÓN]],"DE CONTADO","CRÉDITO")</f>
        <v>CRÉDITO</v>
      </c>
      <c r="B498" s="70" t="str">
        <f>+IF((PROVEEDORES[[#This Row],[FECHA DE PAGO]]-PROVEEDORES[[#This Row],[FECHA DE FACTURACIÓN]])&gt;PROVEEDORES[[#This Row],[PLAZO Días]],"PAGO VENCIDO")</f>
        <v>PAGO VENCIDO</v>
      </c>
      <c r="C498" s="27">
        <f>+VLOOKUP(PROVEEDORES[[#This Row],[PROVEEDOR]],TERCEROS_INFO[#All],2,FALSE)</f>
        <v>30</v>
      </c>
      <c r="D498" s="37">
        <f>+SUMIFS(PROVEEDORES[Total],PROVEEDORES[PROVEEDOR],PROVEEDORES[[#This Row],[PROVEEDOR]],PROVEEDORES[FECHA DE PAGO],"")</f>
        <v>0</v>
      </c>
      <c r="E498" s="37"/>
      <c r="F498" s="108" t="str">
        <f>+VLOOKUP(PROVEEDORES[[#This Row],[PROVEEDOR]],TERCEROS_INFO[[PROVEEDOR]:[CORREO]],5,FALSE)</f>
        <v/>
      </c>
      <c r="G498" s="143">
        <v>44543</v>
      </c>
      <c r="H498" s="38" t="s">
        <v>290</v>
      </c>
      <c r="I498" s="30">
        <v>44506</v>
      </c>
      <c r="J498" s="58" t="s">
        <v>1296</v>
      </c>
      <c r="K498" s="32">
        <v>529000</v>
      </c>
      <c r="L498" s="32"/>
      <c r="M498" s="33">
        <f>(PROVEEDORES[[#This Row],[SUBTOTAL]]-PROVEEDORES[[#This Row],[descuento antes de IVA]])*VLOOKUP(PROVEEDORES[[#This Row],[PROVEEDOR]],TERCEROS_INFO[#All],3,FALSE)</f>
        <v>0</v>
      </c>
      <c r="N498" s="34"/>
      <c r="O498" s="33">
        <f>+PROVEEDORES[[#This Row],[Descuento sobre subtotal %]]*(PROVEEDORES[[#This Row],[SUBTOTAL]]-PROVEEDORES[[#This Row],[descuento antes de IVA]])</f>
        <v>0</v>
      </c>
      <c r="P4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8" s="33">
        <f>+(PROVEEDORES[[#This Row],[SUBTOTAL]]-PROVEEDORES[[#This Row],[descuento antes de IVA]])*PROVEEDORES[[#This Row],[Rete Fuente %]]</f>
        <v>0</v>
      </c>
      <c r="R498" s="32">
        <f>+PROVEEDORES[[#This Row],[SUBTOTAL]]+PROVEEDORES[[#This Row],[IVA 19%]]-PROVEEDORES[[#This Row],[descuento antes de IVA]]-PROVEEDORES[[#This Row],[Descuento sobre subtotal $]]-PROVEEDORES[[#This Row],[Rete Fuente $]]</f>
        <v>529000</v>
      </c>
      <c r="S49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8" s="40"/>
      <c r="U498" s="97"/>
      <c r="V498" s="36"/>
      <c r="W498" s="36"/>
      <c r="X498" s="36"/>
      <c r="Y498" s="36"/>
      <c r="Z498" s="41"/>
      <c r="AA498" s="42"/>
      <c r="AF498" s="36"/>
      <c r="AG498" s="36"/>
    </row>
    <row r="499" spans="1:33" ht="21.95" hidden="1" customHeight="1" x14ac:dyDescent="0.25">
      <c r="A499" s="167" t="str">
        <f>+IF(PROVEEDORES[[#This Row],[FECHA DE PAGO]]=PROVEEDORES[[#This Row],[FECHA DE FACTURACIÓN]],"DE CONTADO","CRÉDITO")</f>
        <v>CRÉDITO</v>
      </c>
      <c r="B499" s="70" t="str">
        <f>+IF((PROVEEDORES[[#This Row],[FECHA DE PAGO]]-PROVEEDORES[[#This Row],[FECHA DE FACTURACIÓN]])&gt;PROVEEDORES[[#This Row],[PLAZO Días]],"PAGO VENCIDO")</f>
        <v>PAGO VENCIDO</v>
      </c>
      <c r="C499" s="27">
        <f>+VLOOKUP(PROVEEDORES[[#This Row],[PROVEEDOR]],TERCEROS_INFO[#All],2,FALSE)</f>
        <v>30</v>
      </c>
      <c r="D499" s="37">
        <f>+SUMIFS(PROVEEDORES[Total],PROVEEDORES[PROVEEDOR],PROVEEDORES[[#This Row],[PROVEEDOR]],PROVEEDORES[FECHA DE PAGO],"")</f>
        <v>0</v>
      </c>
      <c r="E499" s="37"/>
      <c r="F499" s="108" t="str">
        <f>+VLOOKUP(PROVEEDORES[[#This Row],[PROVEEDOR]],TERCEROS_INFO[[PROVEEDOR]:[CORREO]],5,FALSE)</f>
        <v/>
      </c>
      <c r="G499" s="143">
        <v>44557</v>
      </c>
      <c r="H499" s="38" t="s">
        <v>290</v>
      </c>
      <c r="I499" s="30">
        <v>44525</v>
      </c>
      <c r="J499" s="58" t="s">
        <v>1307</v>
      </c>
      <c r="K499" s="32">
        <v>500000</v>
      </c>
      <c r="L499" s="32"/>
      <c r="M499" s="33">
        <f>(PROVEEDORES[[#This Row],[SUBTOTAL]]-PROVEEDORES[[#This Row],[descuento antes de IVA]])*VLOOKUP(PROVEEDORES[[#This Row],[PROVEEDOR]],TERCEROS_INFO[#All],3,FALSE)</f>
        <v>0</v>
      </c>
      <c r="N499" s="34"/>
      <c r="O499" s="33">
        <f>+PROVEEDORES[[#This Row],[Descuento sobre subtotal %]]*(PROVEEDORES[[#This Row],[SUBTOTAL]]-PROVEEDORES[[#This Row],[descuento antes de IVA]])</f>
        <v>0</v>
      </c>
      <c r="P4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499" s="33">
        <f>+(PROVEEDORES[[#This Row],[SUBTOTAL]]-PROVEEDORES[[#This Row],[descuento antes de IVA]])*PROVEEDORES[[#This Row],[Rete Fuente %]]</f>
        <v>0</v>
      </c>
      <c r="R499" s="32">
        <f>+PROVEEDORES[[#This Row],[SUBTOTAL]]+PROVEEDORES[[#This Row],[IVA 19%]]-PROVEEDORES[[#This Row],[descuento antes de IVA]]-PROVEEDORES[[#This Row],[Descuento sobre subtotal $]]-PROVEEDORES[[#This Row],[Rete Fuente $]]</f>
        <v>500000</v>
      </c>
      <c r="S499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9" s="40"/>
      <c r="U499" s="97"/>
      <c r="V499" s="36"/>
      <c r="W499" s="36"/>
      <c r="X499" s="36"/>
      <c r="Y499" s="36"/>
      <c r="Z499" s="41"/>
      <c r="AA499" s="42"/>
      <c r="AF499" s="36"/>
      <c r="AG499" s="36"/>
    </row>
    <row r="500" spans="1:33" ht="21.95" hidden="1" customHeight="1" x14ac:dyDescent="0.25">
      <c r="A500" s="39" t="str">
        <f>+IF(PROVEEDORES[[#This Row],[FECHA DE PAGO]]=PROVEEDORES[[#This Row],[FECHA DE FACTURACIÓN]],"DE CONTADO","CRÉDITO")</f>
        <v>DE CONTADO</v>
      </c>
      <c r="B500" s="67" t="b">
        <f>+IF((PROVEEDORES[[#This Row],[FECHA DE PAGO]]-PROVEEDORES[[#This Row],[FECHA DE FACTURACIÓN]])&gt;PROVEEDORES[[#This Row],[PLAZO Días]],"PAGO VENCIDO")</f>
        <v>0</v>
      </c>
      <c r="C500" s="27">
        <f>+VLOOKUP(PROVEEDORES[[#This Row],[PROVEEDOR]],TERCEROS_INFO[#All],2,FALSE)</f>
        <v>30</v>
      </c>
      <c r="D500" s="37">
        <f>+SUMIFS(PROVEEDORES[Total],PROVEEDORES[PROVEEDOR],PROVEEDORES[[#This Row],[PROVEEDOR]],PROVEEDORES[FECHA DE PAGO],"")</f>
        <v>0</v>
      </c>
      <c r="E500" s="37"/>
      <c r="F500" s="108" t="str">
        <f>+VLOOKUP(PROVEEDORES[[#This Row],[PROVEEDOR]],TERCEROS_INFO[[PROVEEDOR]:[CORREO]],5,FALSE)</f>
        <v/>
      </c>
      <c r="G500" s="143">
        <v>44012</v>
      </c>
      <c r="H500" s="38" t="s">
        <v>291</v>
      </c>
      <c r="I500" s="30">
        <v>44012</v>
      </c>
      <c r="J500" s="58"/>
      <c r="K500" s="32">
        <v>451400</v>
      </c>
      <c r="L500" s="32"/>
      <c r="M500" s="33">
        <f>(PROVEEDORES[[#This Row],[SUBTOTAL]]-PROVEEDORES[[#This Row],[descuento antes de IVA]])*VLOOKUP(PROVEEDORES[[#This Row],[PROVEEDOR]],TERCEROS_INFO[#All],3,FALSE)</f>
        <v>0</v>
      </c>
      <c r="N500" s="34"/>
      <c r="O500" s="33">
        <f>+PROVEEDORES[[#This Row],[Descuento sobre subtotal %]]*(PROVEEDORES[[#This Row],[SUBTOTAL]]-PROVEEDORES[[#This Row],[descuento antes de IVA]])</f>
        <v>0</v>
      </c>
      <c r="P5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0" s="33">
        <f>+(PROVEEDORES[[#This Row],[SUBTOTAL]]-PROVEEDORES[[#This Row],[descuento antes de IVA]])*PROVEEDORES[[#This Row],[Rete Fuente %]]</f>
        <v>0</v>
      </c>
      <c r="R500" s="32">
        <f>+PROVEEDORES[[#This Row],[SUBTOTAL]]+PROVEEDORES[[#This Row],[IVA 19%]]-PROVEEDORES[[#This Row],[descuento antes de IVA]]-PROVEEDORES[[#This Row],[Descuento sobre subtotal $]]-PROVEEDORES[[#This Row],[Rete Fuente $]]</f>
        <v>451400</v>
      </c>
      <c r="S50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0" s="40"/>
      <c r="U500" s="97"/>
      <c r="V500" s="36"/>
      <c r="W500" s="36"/>
      <c r="X500" s="36"/>
      <c r="Y500" s="36"/>
      <c r="Z500" s="41"/>
      <c r="AA500" s="42"/>
      <c r="AF500" s="36"/>
      <c r="AG500" s="36"/>
    </row>
    <row r="501" spans="1:33" ht="21.95" hidden="1" customHeight="1" x14ac:dyDescent="0.25">
      <c r="A501" s="39" t="str">
        <f>+IF(PROVEEDORES[[#This Row],[FECHA DE PAGO]]=PROVEEDORES[[#This Row],[FECHA DE FACTURACIÓN]],"DE CONTADO","CRÉDITO")</f>
        <v>DE CONTADO</v>
      </c>
      <c r="B501" s="67" t="b">
        <f>+IF((PROVEEDORES[[#This Row],[FECHA DE PAGO]]-PROVEEDORES[[#This Row],[FECHA DE FACTURACIÓN]])&gt;PROVEEDORES[[#This Row],[PLAZO Días]],"PAGO VENCIDO")</f>
        <v>0</v>
      </c>
      <c r="C501" s="27">
        <f>+VLOOKUP(PROVEEDORES[[#This Row],[PROVEEDOR]],TERCEROS_INFO[#All],2,FALSE)</f>
        <v>30</v>
      </c>
      <c r="D501" s="37">
        <f>+SUMIFS(PROVEEDORES[Total],PROVEEDORES[PROVEEDOR],PROVEEDORES[[#This Row],[PROVEEDOR]],PROVEEDORES[FECHA DE PAGO],"")</f>
        <v>0</v>
      </c>
      <c r="E501" s="37"/>
      <c r="F501" s="108" t="str">
        <f>+VLOOKUP(PROVEEDORES[[#This Row],[PROVEEDOR]],TERCEROS_INFO[[PROVEEDOR]:[CORREO]],5,FALSE)</f>
        <v/>
      </c>
      <c r="G501" s="143">
        <v>44043</v>
      </c>
      <c r="H501" s="38" t="s">
        <v>291</v>
      </c>
      <c r="I501" s="30">
        <v>44043</v>
      </c>
      <c r="J501" s="58" t="s">
        <v>1076</v>
      </c>
      <c r="K501" s="32">
        <v>1127700</v>
      </c>
      <c r="L501" s="32"/>
      <c r="M501" s="33">
        <f>(PROVEEDORES[[#This Row],[SUBTOTAL]]-PROVEEDORES[[#This Row],[descuento antes de IVA]])*VLOOKUP(PROVEEDORES[[#This Row],[PROVEEDOR]],TERCEROS_INFO[#All],3,FALSE)</f>
        <v>0</v>
      </c>
      <c r="N501" s="34"/>
      <c r="O501" s="33">
        <f>+PROVEEDORES[[#This Row],[Descuento sobre subtotal %]]*(PROVEEDORES[[#This Row],[SUBTOTAL]]-PROVEEDORES[[#This Row],[descuento antes de IVA]])</f>
        <v>0</v>
      </c>
      <c r="P5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1" s="33">
        <f>+(PROVEEDORES[[#This Row],[SUBTOTAL]]-PROVEEDORES[[#This Row],[descuento antes de IVA]])*PROVEEDORES[[#This Row],[Rete Fuente %]]</f>
        <v>0</v>
      </c>
      <c r="R501" s="32">
        <f>+PROVEEDORES[[#This Row],[SUBTOTAL]]+PROVEEDORES[[#This Row],[IVA 19%]]-PROVEEDORES[[#This Row],[descuento antes de IVA]]-PROVEEDORES[[#This Row],[Descuento sobre subtotal $]]-PROVEEDORES[[#This Row],[Rete Fuente $]]</f>
        <v>1127700</v>
      </c>
      <c r="S50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1" s="40"/>
      <c r="U501" s="97"/>
      <c r="V501" s="36"/>
      <c r="W501" s="36"/>
      <c r="X501" s="36"/>
      <c r="Y501" s="36"/>
      <c r="Z501" s="41"/>
      <c r="AA501" s="42"/>
      <c r="AF501" s="36"/>
      <c r="AG501" s="36"/>
    </row>
    <row r="502" spans="1:33" ht="21.95" hidden="1" customHeight="1" x14ac:dyDescent="0.25">
      <c r="A502" s="39" t="str">
        <f>+IF(PROVEEDORES[[#This Row],[FECHA DE PAGO]]=PROVEEDORES[[#This Row],[FECHA DE FACTURACIÓN]],"DE CONTADO","CRÉDITO")</f>
        <v>DE CONTADO</v>
      </c>
      <c r="B502" s="67" t="b">
        <f>+IF((PROVEEDORES[[#This Row],[FECHA DE PAGO]]-PROVEEDORES[[#This Row],[FECHA DE FACTURACIÓN]])&gt;PROVEEDORES[[#This Row],[PLAZO Días]],"PAGO VENCIDO")</f>
        <v>0</v>
      </c>
      <c r="C502" s="27">
        <f>+VLOOKUP(PROVEEDORES[[#This Row],[PROVEEDOR]],TERCEROS_INFO[#All],2,FALSE)</f>
        <v>30</v>
      </c>
      <c r="D502" s="37">
        <f>+SUMIFS(PROVEEDORES[Total],PROVEEDORES[PROVEEDOR],PROVEEDORES[[#This Row],[PROVEEDOR]],PROVEEDORES[FECHA DE PAGO],"")</f>
        <v>0</v>
      </c>
      <c r="E502" s="37"/>
      <c r="F502" s="108" t="str">
        <f>+VLOOKUP(PROVEEDORES[[#This Row],[PROVEEDOR]],TERCEROS_INFO[[PROVEEDOR]:[CORREO]],5,FALSE)</f>
        <v/>
      </c>
      <c r="G502" s="143">
        <v>44165</v>
      </c>
      <c r="H502" s="38" t="s">
        <v>291</v>
      </c>
      <c r="I502" s="30">
        <v>44165</v>
      </c>
      <c r="J502" s="58"/>
      <c r="K502" s="32">
        <v>4456000</v>
      </c>
      <c r="L502" s="32"/>
      <c r="M502" s="33">
        <f>(PROVEEDORES[[#This Row],[SUBTOTAL]]-PROVEEDORES[[#This Row],[descuento antes de IVA]])*VLOOKUP(PROVEEDORES[[#This Row],[PROVEEDOR]],TERCEROS_INFO[#All],3,FALSE)</f>
        <v>0</v>
      </c>
      <c r="N502" s="34"/>
      <c r="O502" s="33">
        <f>+PROVEEDORES[[#This Row],[Descuento sobre subtotal %]]*(PROVEEDORES[[#This Row],[SUBTOTAL]]-PROVEEDORES[[#This Row],[descuento antes de IVA]])</f>
        <v>0</v>
      </c>
      <c r="P5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2" s="33">
        <f>+(PROVEEDORES[[#This Row],[SUBTOTAL]]-PROVEEDORES[[#This Row],[descuento antes de IVA]])*PROVEEDORES[[#This Row],[Rete Fuente %]]</f>
        <v>0</v>
      </c>
      <c r="R502" s="32">
        <f>+PROVEEDORES[[#This Row],[SUBTOTAL]]+PROVEEDORES[[#This Row],[IVA 19%]]-PROVEEDORES[[#This Row],[descuento antes de IVA]]-PROVEEDORES[[#This Row],[Descuento sobre subtotal $]]-PROVEEDORES[[#This Row],[Rete Fuente $]]</f>
        <v>4456000</v>
      </c>
      <c r="S50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2" s="40"/>
      <c r="U502" s="97"/>
      <c r="V502" s="36"/>
      <c r="W502" s="36"/>
      <c r="X502" s="36"/>
      <c r="Y502" s="36"/>
      <c r="Z502" s="41"/>
      <c r="AA502" s="42"/>
      <c r="AF502" s="36"/>
      <c r="AG502" s="36"/>
    </row>
    <row r="503" spans="1:33" ht="21.95" hidden="1" customHeight="1" x14ac:dyDescent="0.25">
      <c r="A503" s="39" t="str">
        <f>+IF(PROVEEDORES[[#This Row],[FECHA DE PAGO]]=PROVEEDORES[[#This Row],[FECHA DE FACTURACIÓN]],"DE CONTADO","CRÉDITO")</f>
        <v>DE CONTADO</v>
      </c>
      <c r="B503" s="67" t="b">
        <f>+IF((PROVEEDORES[[#This Row],[FECHA DE PAGO]]-PROVEEDORES[[#This Row],[FECHA DE FACTURACIÓN]])&gt;PROVEEDORES[[#This Row],[PLAZO Días]],"PAGO VENCIDO")</f>
        <v>0</v>
      </c>
      <c r="C503" s="27">
        <f>+VLOOKUP(PROVEEDORES[[#This Row],[PROVEEDOR]],TERCEROS_INFO[#All],2,FALSE)</f>
        <v>30</v>
      </c>
      <c r="D503" s="37">
        <f>+SUMIFS(PROVEEDORES[Total],PROVEEDORES[PROVEEDOR],PROVEEDORES[[#This Row],[PROVEEDOR]],PROVEEDORES[FECHA DE PAGO],"")</f>
        <v>0</v>
      </c>
      <c r="E503" s="37"/>
      <c r="F503" s="108" t="str">
        <f>+VLOOKUP(PROVEEDORES[[#This Row],[PROVEEDOR]],TERCEROS_INFO[[PROVEEDOR]:[CORREO]],5,FALSE)</f>
        <v/>
      </c>
      <c r="G503" s="143">
        <v>44196</v>
      </c>
      <c r="H503" s="38" t="s">
        <v>291</v>
      </c>
      <c r="I503" s="30">
        <v>44196</v>
      </c>
      <c r="J503" s="58"/>
      <c r="K503" s="32">
        <v>3429200</v>
      </c>
      <c r="L503" s="32"/>
      <c r="M503" s="33">
        <f>(PROVEEDORES[[#This Row],[SUBTOTAL]]-PROVEEDORES[[#This Row],[descuento antes de IVA]])*VLOOKUP(PROVEEDORES[[#This Row],[PROVEEDOR]],TERCEROS_INFO[#All],3,FALSE)</f>
        <v>0</v>
      </c>
      <c r="N503" s="34"/>
      <c r="O503" s="33">
        <f>+PROVEEDORES[[#This Row],[Descuento sobre subtotal %]]*(PROVEEDORES[[#This Row],[SUBTOTAL]]-PROVEEDORES[[#This Row],[descuento antes de IVA]])</f>
        <v>0</v>
      </c>
      <c r="P5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3" s="33">
        <f>+(PROVEEDORES[[#This Row],[SUBTOTAL]]-PROVEEDORES[[#This Row],[descuento antes de IVA]])*PROVEEDORES[[#This Row],[Rete Fuente %]]</f>
        <v>0</v>
      </c>
      <c r="R503" s="32">
        <f>+PROVEEDORES[[#This Row],[SUBTOTAL]]+PROVEEDORES[[#This Row],[IVA 19%]]-PROVEEDORES[[#This Row],[descuento antes de IVA]]-PROVEEDORES[[#This Row],[Descuento sobre subtotal $]]-PROVEEDORES[[#This Row],[Rete Fuente $]]</f>
        <v>3429200</v>
      </c>
      <c r="S50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3" s="40"/>
      <c r="U503" s="97"/>
      <c r="V503" s="36"/>
      <c r="W503" s="36"/>
      <c r="X503" s="36"/>
      <c r="Y503" s="36"/>
      <c r="Z503" s="41"/>
      <c r="AA503" s="42"/>
      <c r="AF503" s="36"/>
      <c r="AG503" s="36"/>
    </row>
    <row r="504" spans="1:33" ht="21.95" hidden="1" customHeight="1" x14ac:dyDescent="0.25">
      <c r="A504" s="39" t="str">
        <f>+IF(PROVEEDORES[[#This Row],[FECHA DE PAGO]]=PROVEEDORES[[#This Row],[FECHA DE FACTURACIÓN]],"DE CONTADO","CRÉDITO")</f>
        <v>DE CONTADO</v>
      </c>
      <c r="B504" s="67" t="b">
        <f>+IF((PROVEEDORES[[#This Row],[FECHA DE PAGO]]-PROVEEDORES[[#This Row],[FECHA DE FACTURACIÓN]])&gt;PROVEEDORES[[#This Row],[PLAZO Días]],"PAGO VENCIDO")</f>
        <v>0</v>
      </c>
      <c r="C504" s="27">
        <f>+VLOOKUP(PROVEEDORES[[#This Row],[PROVEEDOR]],TERCEROS_INFO[#All],2,FALSE)</f>
        <v>30</v>
      </c>
      <c r="D504" s="37">
        <f>+SUMIFS(PROVEEDORES[Total],PROVEEDORES[PROVEEDOR],PROVEEDORES[[#This Row],[PROVEEDOR]],PROVEEDORES[FECHA DE PAGO],"")</f>
        <v>0</v>
      </c>
      <c r="E504" s="37"/>
      <c r="F504" s="108" t="str">
        <f>+VLOOKUP(PROVEEDORES[[#This Row],[PROVEEDOR]],TERCEROS_INFO[[PROVEEDOR]:[CORREO]],5,FALSE)</f>
        <v/>
      </c>
      <c r="G504" s="143">
        <v>43861</v>
      </c>
      <c r="H504" s="38" t="s">
        <v>392</v>
      </c>
      <c r="I504" s="30">
        <v>43861</v>
      </c>
      <c r="J504" s="58" t="s">
        <v>1033</v>
      </c>
      <c r="K504" s="32">
        <v>1847478.9915966387</v>
      </c>
      <c r="L504" s="32"/>
      <c r="M504" s="33">
        <f>(PROVEEDORES[[#This Row],[SUBTOTAL]]-PROVEEDORES[[#This Row],[descuento antes de IVA]])*VLOOKUP(PROVEEDORES[[#This Row],[PROVEEDOR]],TERCEROS_INFO[#All],3,FALSE)</f>
        <v>0</v>
      </c>
      <c r="N504" s="34"/>
      <c r="O504" s="33">
        <f>+PROVEEDORES[[#This Row],[Descuento sobre subtotal %]]*(PROVEEDORES[[#This Row],[SUBTOTAL]]-PROVEEDORES[[#This Row],[descuento antes de IVA]])</f>
        <v>0</v>
      </c>
      <c r="P5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4" s="33">
        <f>+(PROVEEDORES[[#This Row],[SUBTOTAL]]-PROVEEDORES[[#This Row],[descuento antes de IVA]])*PROVEEDORES[[#This Row],[Rete Fuente %]]</f>
        <v>0</v>
      </c>
      <c r="R504" s="32">
        <f>+PROVEEDORES[[#This Row],[SUBTOTAL]]+PROVEEDORES[[#This Row],[IVA 19%]]-PROVEEDORES[[#This Row],[descuento antes de IVA]]-PROVEEDORES[[#This Row],[Descuento sobre subtotal $]]-PROVEEDORES[[#This Row],[Rete Fuente $]]</f>
        <v>1847478.9915966387</v>
      </c>
      <c r="S50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4" s="40"/>
      <c r="U504" s="97"/>
      <c r="V504" s="36"/>
      <c r="W504" s="36"/>
      <c r="X504" s="36"/>
      <c r="Y504" s="36"/>
      <c r="Z504" s="41"/>
      <c r="AA504" s="42"/>
      <c r="AF504" s="36"/>
      <c r="AG504" s="36"/>
    </row>
    <row r="505" spans="1:33" ht="21.95" hidden="1" customHeight="1" x14ac:dyDescent="0.25">
      <c r="A505" s="39" t="str">
        <f>+IF(PROVEEDORES[[#This Row],[FECHA DE PAGO]]=PROVEEDORES[[#This Row],[FECHA DE FACTURACIÓN]],"DE CONTADO","CRÉDITO")</f>
        <v>DE CONTADO</v>
      </c>
      <c r="B505" s="67" t="b">
        <f>+IF((PROVEEDORES[[#This Row],[FECHA DE PAGO]]-PROVEEDORES[[#This Row],[FECHA DE FACTURACIÓN]])&gt;PROVEEDORES[[#This Row],[PLAZO Días]],"PAGO VENCIDO")</f>
        <v>0</v>
      </c>
      <c r="C505" s="27">
        <f>+VLOOKUP(PROVEEDORES[[#This Row],[PROVEEDOR]],TERCEROS_INFO[#All],2,FALSE)</f>
        <v>30</v>
      </c>
      <c r="D505" s="37">
        <f>+SUMIFS(PROVEEDORES[Total],PROVEEDORES[PROVEEDOR],PROVEEDORES[[#This Row],[PROVEEDOR]],PROVEEDORES[FECHA DE PAGO],"")</f>
        <v>0</v>
      </c>
      <c r="E505" s="37"/>
      <c r="F505" s="108" t="str">
        <f>+VLOOKUP(PROVEEDORES[[#This Row],[PROVEEDOR]],TERCEROS_INFO[[PROVEEDOR]:[CORREO]],5,FALSE)</f>
        <v/>
      </c>
      <c r="G505" s="143">
        <v>43890</v>
      </c>
      <c r="H505" s="38" t="s">
        <v>392</v>
      </c>
      <c r="I505" s="30">
        <v>43890</v>
      </c>
      <c r="J505" s="58" t="s">
        <v>53</v>
      </c>
      <c r="K505" s="32">
        <v>573781.51260504208</v>
      </c>
      <c r="L505" s="32"/>
      <c r="M505" s="33">
        <f>(PROVEEDORES[[#This Row],[SUBTOTAL]]-PROVEEDORES[[#This Row],[descuento antes de IVA]])*VLOOKUP(PROVEEDORES[[#This Row],[PROVEEDOR]],TERCEROS_INFO[#All],3,FALSE)</f>
        <v>0</v>
      </c>
      <c r="N505" s="34"/>
      <c r="O505" s="33">
        <f>+PROVEEDORES[[#This Row],[Descuento sobre subtotal %]]*(PROVEEDORES[[#This Row],[SUBTOTAL]]-PROVEEDORES[[#This Row],[descuento antes de IVA]])</f>
        <v>0</v>
      </c>
      <c r="P5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5" s="33">
        <f>+(PROVEEDORES[[#This Row],[SUBTOTAL]]-PROVEEDORES[[#This Row],[descuento antes de IVA]])*PROVEEDORES[[#This Row],[Rete Fuente %]]</f>
        <v>0</v>
      </c>
      <c r="R505" s="32">
        <f>+PROVEEDORES[[#This Row],[SUBTOTAL]]+PROVEEDORES[[#This Row],[IVA 19%]]-PROVEEDORES[[#This Row],[descuento antes de IVA]]-PROVEEDORES[[#This Row],[Descuento sobre subtotal $]]-PROVEEDORES[[#This Row],[Rete Fuente $]]</f>
        <v>573781.51260504208</v>
      </c>
      <c r="S5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5" s="40"/>
      <c r="U505" s="97"/>
      <c r="V505" s="36"/>
      <c r="W505" s="36"/>
      <c r="X505" s="36"/>
      <c r="Y505" s="36"/>
      <c r="Z505" s="41"/>
      <c r="AA505" s="42"/>
      <c r="AF505" s="36"/>
      <c r="AG505" s="36"/>
    </row>
    <row r="506" spans="1:33" ht="21.95" hidden="1" customHeight="1" x14ac:dyDescent="0.25">
      <c r="A506" s="39" t="str">
        <f>+IF(PROVEEDORES[[#This Row],[FECHA DE PAGO]]=PROVEEDORES[[#This Row],[FECHA DE FACTURACIÓN]],"DE CONTADO","CRÉDITO")</f>
        <v>DE CONTADO</v>
      </c>
      <c r="B506" s="67" t="b">
        <f>+IF((PROVEEDORES[[#This Row],[FECHA DE PAGO]]-PROVEEDORES[[#This Row],[FECHA DE FACTURACIÓN]])&gt;PROVEEDORES[[#This Row],[PLAZO Días]],"PAGO VENCIDO")</f>
        <v>0</v>
      </c>
      <c r="C506" s="27">
        <f>+VLOOKUP(PROVEEDORES[[#This Row],[PROVEEDOR]],TERCEROS_INFO[#All],2,FALSE)</f>
        <v>30</v>
      </c>
      <c r="D506" s="37">
        <f>+SUMIFS(PROVEEDORES[Total],PROVEEDORES[PROVEEDOR],PROVEEDORES[[#This Row],[PROVEEDOR]],PROVEEDORES[FECHA DE PAGO],"")</f>
        <v>0</v>
      </c>
      <c r="E506" s="37"/>
      <c r="F506" s="108" t="str">
        <f>+VLOOKUP(PROVEEDORES[[#This Row],[PROVEEDOR]],TERCEROS_INFO[[PROVEEDOR]:[CORREO]],5,FALSE)</f>
        <v/>
      </c>
      <c r="G506" s="143">
        <v>43921</v>
      </c>
      <c r="H506" s="38" t="s">
        <v>392</v>
      </c>
      <c r="I506" s="30">
        <v>43921</v>
      </c>
      <c r="J506" s="58" t="s">
        <v>1033</v>
      </c>
      <c r="K506" s="32">
        <v>1080252.1008403362</v>
      </c>
      <c r="L506" s="32"/>
      <c r="M506" s="33">
        <f>(PROVEEDORES[[#This Row],[SUBTOTAL]]-PROVEEDORES[[#This Row],[descuento antes de IVA]])*VLOOKUP(PROVEEDORES[[#This Row],[PROVEEDOR]],TERCEROS_INFO[#All],3,FALSE)</f>
        <v>0</v>
      </c>
      <c r="N506" s="34"/>
      <c r="O506" s="33">
        <f>+PROVEEDORES[[#This Row],[Descuento sobre subtotal %]]*(PROVEEDORES[[#This Row],[SUBTOTAL]]-PROVEEDORES[[#This Row],[descuento antes de IVA]])</f>
        <v>0</v>
      </c>
      <c r="P5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6" s="33">
        <f>+(PROVEEDORES[[#This Row],[SUBTOTAL]]-PROVEEDORES[[#This Row],[descuento antes de IVA]])*PROVEEDORES[[#This Row],[Rete Fuente %]]</f>
        <v>0</v>
      </c>
      <c r="R506" s="32">
        <f>+PROVEEDORES[[#This Row],[SUBTOTAL]]+PROVEEDORES[[#This Row],[IVA 19%]]-PROVEEDORES[[#This Row],[descuento antes de IVA]]-PROVEEDORES[[#This Row],[Descuento sobre subtotal $]]-PROVEEDORES[[#This Row],[Rete Fuente $]]</f>
        <v>1080252.1008403362</v>
      </c>
      <c r="S5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6" s="40"/>
      <c r="U506" s="97"/>
      <c r="V506" s="36"/>
      <c r="W506" s="36"/>
      <c r="X506" s="36"/>
      <c r="Y506" s="36"/>
      <c r="Z506" s="41"/>
      <c r="AA506" s="42"/>
      <c r="AF506" s="36"/>
      <c r="AG506" s="36"/>
    </row>
    <row r="507" spans="1:33" ht="21.95" hidden="1" customHeight="1" x14ac:dyDescent="0.25">
      <c r="A507" s="39" t="str">
        <f>+IF(PROVEEDORES[[#This Row],[FECHA DE PAGO]]=PROVEEDORES[[#This Row],[FECHA DE FACTURACIÓN]],"DE CONTADO","CRÉDITO")</f>
        <v>DE CONTADO</v>
      </c>
      <c r="B507" s="67" t="b">
        <f>+IF((PROVEEDORES[[#This Row],[FECHA DE PAGO]]-PROVEEDORES[[#This Row],[FECHA DE FACTURACIÓN]])&gt;PROVEEDORES[[#This Row],[PLAZO Días]],"PAGO VENCIDO")</f>
        <v>0</v>
      </c>
      <c r="C507" s="27">
        <f>+VLOOKUP(PROVEEDORES[[#This Row],[PROVEEDOR]],TERCEROS_INFO[#All],2,FALSE)</f>
        <v>30</v>
      </c>
      <c r="D507" s="37">
        <f>+SUMIFS(PROVEEDORES[Total],PROVEEDORES[PROVEEDOR],PROVEEDORES[[#This Row],[PROVEEDOR]],PROVEEDORES[FECHA DE PAGO],"")</f>
        <v>0</v>
      </c>
      <c r="E507" s="37"/>
      <c r="F507" s="108" t="str">
        <f>+VLOOKUP(PROVEEDORES[[#This Row],[PROVEEDOR]],TERCEROS_INFO[[PROVEEDOR]:[CORREO]],5,FALSE)</f>
        <v/>
      </c>
      <c r="G507" s="143">
        <v>44074</v>
      </c>
      <c r="H507" s="38" t="s">
        <v>292</v>
      </c>
      <c r="I507" s="30">
        <v>44074</v>
      </c>
      <c r="J507" s="58" t="s">
        <v>1076</v>
      </c>
      <c r="K507" s="32">
        <v>973000</v>
      </c>
      <c r="L507" s="32"/>
      <c r="M507" s="33">
        <f>(PROVEEDORES[[#This Row],[SUBTOTAL]]-PROVEEDORES[[#This Row],[descuento antes de IVA]])*VLOOKUP(PROVEEDORES[[#This Row],[PROVEEDOR]],TERCEROS_INFO[#All],3,FALSE)</f>
        <v>0</v>
      </c>
      <c r="N507" s="34"/>
      <c r="O507" s="33">
        <f>+PROVEEDORES[[#This Row],[Descuento sobre subtotal %]]*(PROVEEDORES[[#This Row],[SUBTOTAL]]-PROVEEDORES[[#This Row],[descuento antes de IVA]])</f>
        <v>0</v>
      </c>
      <c r="P5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7" s="33">
        <f>+(PROVEEDORES[[#This Row],[SUBTOTAL]]-PROVEEDORES[[#This Row],[descuento antes de IVA]])*PROVEEDORES[[#This Row],[Rete Fuente %]]</f>
        <v>0</v>
      </c>
      <c r="R507" s="32">
        <f>+PROVEEDORES[[#This Row],[SUBTOTAL]]+PROVEEDORES[[#This Row],[IVA 19%]]-PROVEEDORES[[#This Row],[descuento antes de IVA]]-PROVEEDORES[[#This Row],[Descuento sobre subtotal $]]-PROVEEDORES[[#This Row],[Rete Fuente $]]</f>
        <v>973000</v>
      </c>
      <c r="S5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7" s="40"/>
      <c r="U507" s="97"/>
      <c r="V507" s="36"/>
      <c r="W507" s="36"/>
      <c r="X507" s="36"/>
      <c r="Y507" s="36"/>
      <c r="Z507" s="41"/>
      <c r="AA507" s="42"/>
      <c r="AF507" s="36"/>
      <c r="AG507" s="36"/>
    </row>
    <row r="508" spans="1:33" ht="21.95" hidden="1" customHeight="1" x14ac:dyDescent="0.25">
      <c r="A508" s="39" t="str">
        <f>+IF(PROVEEDORES[[#This Row],[FECHA DE PAGO]]=PROVEEDORES[[#This Row],[FECHA DE FACTURACIÓN]],"DE CONTADO","CRÉDITO")</f>
        <v>DE CONTADO</v>
      </c>
      <c r="B508" s="67" t="b">
        <f>+IF((PROVEEDORES[[#This Row],[FECHA DE PAGO]]-PROVEEDORES[[#This Row],[FECHA DE FACTURACIÓN]])&gt;PROVEEDORES[[#This Row],[PLAZO Días]],"PAGO VENCIDO")</f>
        <v>0</v>
      </c>
      <c r="C508" s="27">
        <f>+VLOOKUP(PROVEEDORES[[#This Row],[PROVEEDOR]],TERCEROS_INFO[#All],2,FALSE)</f>
        <v>30</v>
      </c>
      <c r="D508" s="37">
        <f>+SUMIFS(PROVEEDORES[Total],PROVEEDORES[PROVEEDOR],PROVEEDORES[[#This Row],[PROVEEDOR]],PROVEEDORES[FECHA DE PAGO],"")</f>
        <v>0</v>
      </c>
      <c r="E508" s="37"/>
      <c r="F508" s="108" t="str">
        <f>+VLOOKUP(PROVEEDORES[[#This Row],[PROVEEDOR]],TERCEROS_INFO[[PROVEEDOR]:[CORREO]],5,FALSE)</f>
        <v/>
      </c>
      <c r="G508" s="143">
        <v>44135</v>
      </c>
      <c r="H508" s="38" t="s">
        <v>292</v>
      </c>
      <c r="I508" s="30">
        <v>44135</v>
      </c>
      <c r="J508" s="58" t="s">
        <v>1076</v>
      </c>
      <c r="K508" s="32">
        <v>2346200</v>
      </c>
      <c r="L508" s="32"/>
      <c r="M508" s="33">
        <f>(PROVEEDORES[[#This Row],[SUBTOTAL]]-PROVEEDORES[[#This Row],[descuento antes de IVA]])*VLOOKUP(PROVEEDORES[[#This Row],[PROVEEDOR]],TERCEROS_INFO[#All],3,FALSE)</f>
        <v>0</v>
      </c>
      <c r="N508" s="34"/>
      <c r="O508" s="33">
        <f>+PROVEEDORES[[#This Row],[Descuento sobre subtotal %]]*(PROVEEDORES[[#This Row],[SUBTOTAL]]-PROVEEDORES[[#This Row],[descuento antes de IVA]])</f>
        <v>0</v>
      </c>
      <c r="P5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8" s="33">
        <f>+(PROVEEDORES[[#This Row],[SUBTOTAL]]-PROVEEDORES[[#This Row],[descuento antes de IVA]])*PROVEEDORES[[#This Row],[Rete Fuente %]]</f>
        <v>0</v>
      </c>
      <c r="R508" s="32">
        <f>+PROVEEDORES[[#This Row],[SUBTOTAL]]+PROVEEDORES[[#This Row],[IVA 19%]]-PROVEEDORES[[#This Row],[descuento antes de IVA]]-PROVEEDORES[[#This Row],[Descuento sobre subtotal $]]-PROVEEDORES[[#This Row],[Rete Fuente $]]</f>
        <v>2346200</v>
      </c>
      <c r="S5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8" s="40"/>
      <c r="U508" s="97"/>
      <c r="V508" s="36"/>
      <c r="W508" s="36"/>
      <c r="X508" s="36"/>
      <c r="Y508" s="36"/>
      <c r="Z508" s="41"/>
      <c r="AA508" s="42"/>
      <c r="AF508" s="36"/>
      <c r="AG508" s="36"/>
    </row>
    <row r="509" spans="1:33" ht="21.95" hidden="1" customHeight="1" x14ac:dyDescent="0.25">
      <c r="A509" s="101" t="str">
        <f>+IF(PROVEEDORES[[#This Row],[FECHA DE PAGO]]=PROVEEDORES[[#This Row],[FECHA DE FACTURACIÓN]],"DE CONTADO","CRÉDITO")</f>
        <v>DE CONTADO</v>
      </c>
      <c r="B509" s="70" t="b">
        <f>+IF((PROVEEDORES[[#This Row],[FECHA DE PAGO]]-PROVEEDORES[[#This Row],[FECHA DE FACTURACIÓN]])&gt;PROVEEDORES[[#This Row],[PLAZO Días]],"PAGO VENCIDO")</f>
        <v>0</v>
      </c>
      <c r="C509" s="27">
        <f>+VLOOKUP(PROVEEDORES[[#This Row],[PROVEEDOR]],TERCEROS_INFO[#All],2,FALSE)</f>
        <v>30</v>
      </c>
      <c r="D509" s="37">
        <f>+SUMIFS(PROVEEDORES[Total],PROVEEDORES[PROVEEDOR],PROVEEDORES[[#This Row],[PROVEEDOR]],PROVEEDORES[FECHA DE PAGO],"")</f>
        <v>0</v>
      </c>
      <c r="E509" s="37"/>
      <c r="F509" s="108" t="str">
        <f>+VLOOKUP(PROVEEDORES[[#This Row],[PROVEEDOR]],TERCEROS_INFO[[PROVEEDOR]:[CORREO]],5,FALSE)</f>
        <v/>
      </c>
      <c r="G509" s="143">
        <v>44286</v>
      </c>
      <c r="H509" s="38" t="s">
        <v>292</v>
      </c>
      <c r="I509" s="30">
        <v>44286</v>
      </c>
      <c r="J509" s="58"/>
      <c r="K509" s="32">
        <v>2073000</v>
      </c>
      <c r="L509" s="32"/>
      <c r="M509" s="33">
        <f>(PROVEEDORES[[#This Row],[SUBTOTAL]]-PROVEEDORES[[#This Row],[descuento antes de IVA]])*VLOOKUP(PROVEEDORES[[#This Row],[PROVEEDOR]],TERCEROS_INFO[#All],3,FALSE)</f>
        <v>0</v>
      </c>
      <c r="N509" s="34"/>
      <c r="O509" s="33">
        <f>+PROVEEDORES[[#This Row],[Descuento sobre subtotal %]]*(PROVEEDORES[[#This Row],[SUBTOTAL]]-PROVEEDORES[[#This Row],[descuento antes de IVA]])</f>
        <v>0</v>
      </c>
      <c r="P5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09" s="33">
        <f>+(PROVEEDORES[[#This Row],[SUBTOTAL]]-PROVEEDORES[[#This Row],[descuento antes de IVA]])*PROVEEDORES[[#This Row],[Rete Fuente %]]</f>
        <v>0</v>
      </c>
      <c r="R509" s="32">
        <f>+PROVEEDORES[[#This Row],[SUBTOTAL]]+PROVEEDORES[[#This Row],[IVA 19%]]-PROVEEDORES[[#This Row],[descuento antes de IVA]]-PROVEEDORES[[#This Row],[Descuento sobre subtotal $]]-PROVEEDORES[[#This Row],[Rete Fuente $]]</f>
        <v>2073000</v>
      </c>
      <c r="S509" s="10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9" s="40"/>
      <c r="U509" s="97"/>
      <c r="V509" s="36"/>
      <c r="W509" s="36"/>
      <c r="X509" s="36"/>
      <c r="Y509" s="36"/>
      <c r="Z509" s="41"/>
      <c r="AA509" s="42"/>
      <c r="AF509" s="36"/>
      <c r="AG509" s="36"/>
    </row>
    <row r="510" spans="1:33" ht="21.95" hidden="1" customHeight="1" x14ac:dyDescent="0.25">
      <c r="A510" s="107" t="str">
        <f>+IF(PROVEEDORES[[#This Row],[FECHA DE PAGO]]=PROVEEDORES[[#This Row],[FECHA DE FACTURACIÓN]],"DE CONTADO","CRÉDITO")</f>
        <v>DE CONTADO</v>
      </c>
      <c r="B510" s="70" t="b">
        <f>+IF((PROVEEDORES[[#This Row],[FECHA DE PAGO]]-PROVEEDORES[[#This Row],[FECHA DE FACTURACIÓN]])&gt;PROVEEDORES[[#This Row],[PLAZO Días]],"PAGO VENCIDO")</f>
        <v>0</v>
      </c>
      <c r="C510" s="27">
        <f>+VLOOKUP(PROVEEDORES[[#This Row],[PROVEEDOR]],TERCEROS_INFO[#All],2,FALSE)</f>
        <v>30</v>
      </c>
      <c r="D510" s="37">
        <f>+SUMIFS(PROVEEDORES[Total],PROVEEDORES[PROVEEDOR],PROVEEDORES[[#This Row],[PROVEEDOR]],PROVEEDORES[FECHA DE PAGO],"")</f>
        <v>0</v>
      </c>
      <c r="E510" s="37"/>
      <c r="F510" s="108" t="str">
        <f>+VLOOKUP(PROVEEDORES[[#This Row],[PROVEEDOR]],TERCEROS_INFO[[PROVEEDOR]:[CORREO]],5,FALSE)</f>
        <v/>
      </c>
      <c r="G510" s="143">
        <v>44316</v>
      </c>
      <c r="H510" s="38" t="s">
        <v>292</v>
      </c>
      <c r="I510" s="30">
        <v>44316</v>
      </c>
      <c r="J510" s="58"/>
      <c r="K510" s="32">
        <v>1519700</v>
      </c>
      <c r="L510" s="32"/>
      <c r="M510" s="33">
        <f>(PROVEEDORES[[#This Row],[SUBTOTAL]]-PROVEEDORES[[#This Row],[descuento antes de IVA]])*VLOOKUP(PROVEEDORES[[#This Row],[PROVEEDOR]],TERCEROS_INFO[#All],3,FALSE)</f>
        <v>0</v>
      </c>
      <c r="N510" s="34"/>
      <c r="O510" s="33">
        <f>+PROVEEDORES[[#This Row],[Descuento sobre subtotal %]]*(PROVEEDORES[[#This Row],[SUBTOTAL]]-PROVEEDORES[[#This Row],[descuento antes de IVA]])</f>
        <v>0</v>
      </c>
      <c r="P5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0" s="33">
        <f>+(PROVEEDORES[[#This Row],[SUBTOTAL]]-PROVEEDORES[[#This Row],[descuento antes de IVA]])*PROVEEDORES[[#This Row],[Rete Fuente %]]</f>
        <v>0</v>
      </c>
      <c r="R510" s="32">
        <f>+PROVEEDORES[[#This Row],[SUBTOTAL]]+PROVEEDORES[[#This Row],[IVA 19%]]-PROVEEDORES[[#This Row],[descuento antes de IVA]]-PROVEEDORES[[#This Row],[Descuento sobre subtotal $]]-PROVEEDORES[[#This Row],[Rete Fuente $]]</f>
        <v>1519700</v>
      </c>
      <c r="S510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0" s="40"/>
      <c r="U510" s="97"/>
      <c r="V510" s="36"/>
      <c r="W510" s="36"/>
      <c r="X510" s="36"/>
      <c r="Y510" s="36"/>
      <c r="Z510" s="41"/>
      <c r="AA510" s="42"/>
      <c r="AF510" s="36"/>
      <c r="AG510" s="36"/>
    </row>
    <row r="511" spans="1:33" ht="21.95" hidden="1" customHeight="1" x14ac:dyDescent="0.25">
      <c r="A511" s="119" t="str">
        <f>+IF(PROVEEDORES[[#This Row],[FECHA DE PAGO]]=PROVEEDORES[[#This Row],[FECHA DE FACTURACIÓN]],"DE CONTADO","CRÉDITO")</f>
        <v>DE CONTADO</v>
      </c>
      <c r="B511" s="70" t="b">
        <f>+IF((PROVEEDORES[[#This Row],[FECHA DE PAGO]]-PROVEEDORES[[#This Row],[FECHA DE FACTURACIÓN]])&gt;PROVEEDORES[[#This Row],[PLAZO Días]],"PAGO VENCIDO")</f>
        <v>0</v>
      </c>
      <c r="C511" s="27">
        <f>+VLOOKUP(PROVEEDORES[[#This Row],[PROVEEDOR]],TERCEROS_INFO[#All],2,FALSE)</f>
        <v>30</v>
      </c>
      <c r="D511" s="37">
        <f>+SUMIFS(PROVEEDORES[Total],PROVEEDORES[PROVEEDOR],PROVEEDORES[[#This Row],[PROVEEDOR]],PROVEEDORES[FECHA DE PAGO],"")</f>
        <v>0</v>
      </c>
      <c r="E511" s="37"/>
      <c r="F511" s="108" t="str">
        <f>+VLOOKUP(PROVEEDORES[[#This Row],[PROVEEDOR]],TERCEROS_INFO[[PROVEEDOR]:[CORREO]],5,FALSE)</f>
        <v/>
      </c>
      <c r="G511" s="143">
        <v>44347</v>
      </c>
      <c r="H511" s="38" t="s">
        <v>292</v>
      </c>
      <c r="I511" s="30">
        <v>44347</v>
      </c>
      <c r="J511" s="58"/>
      <c r="K511" s="32">
        <v>2835922</v>
      </c>
      <c r="L511" s="32"/>
      <c r="M511" s="33">
        <f>(PROVEEDORES[[#This Row],[SUBTOTAL]]-PROVEEDORES[[#This Row],[descuento antes de IVA]])*VLOOKUP(PROVEEDORES[[#This Row],[PROVEEDOR]],TERCEROS_INFO[#All],3,FALSE)</f>
        <v>0</v>
      </c>
      <c r="N511" s="34"/>
      <c r="O511" s="33">
        <f>+PROVEEDORES[[#This Row],[Descuento sobre subtotal %]]*(PROVEEDORES[[#This Row],[SUBTOTAL]]-PROVEEDORES[[#This Row],[descuento antes de IVA]])</f>
        <v>0</v>
      </c>
      <c r="P5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1" s="33">
        <f>+(PROVEEDORES[[#This Row],[SUBTOTAL]]-PROVEEDORES[[#This Row],[descuento antes de IVA]])*PROVEEDORES[[#This Row],[Rete Fuente %]]</f>
        <v>0</v>
      </c>
      <c r="R511" s="32">
        <f>+PROVEEDORES[[#This Row],[SUBTOTAL]]+PROVEEDORES[[#This Row],[IVA 19%]]-PROVEEDORES[[#This Row],[descuento antes de IVA]]-PROVEEDORES[[#This Row],[Descuento sobre subtotal $]]-PROVEEDORES[[#This Row],[Rete Fuente $]]</f>
        <v>2835922</v>
      </c>
      <c r="S511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1" s="40"/>
      <c r="U511" s="97"/>
      <c r="V511" s="36"/>
      <c r="W511" s="36"/>
      <c r="X511" s="36"/>
      <c r="Y511" s="36"/>
      <c r="Z511" s="41"/>
      <c r="AA511" s="42"/>
      <c r="AF511" s="36"/>
      <c r="AG511" s="36"/>
    </row>
    <row r="512" spans="1:33" ht="21.95" hidden="1" customHeight="1" x14ac:dyDescent="0.25">
      <c r="A512" s="129" t="str">
        <f>+IF(PROVEEDORES[[#This Row],[FECHA DE PAGO]]=PROVEEDORES[[#This Row],[FECHA DE FACTURACIÓN]],"DE CONTADO","CRÉDITO")</f>
        <v>DE CONTADO</v>
      </c>
      <c r="B512" s="70" t="b">
        <f>+IF((PROVEEDORES[[#This Row],[FECHA DE PAGO]]-PROVEEDORES[[#This Row],[FECHA DE FACTURACIÓN]])&gt;PROVEEDORES[[#This Row],[PLAZO Días]],"PAGO VENCIDO")</f>
        <v>0</v>
      </c>
      <c r="C512" s="27">
        <f>+VLOOKUP(PROVEEDORES[[#This Row],[PROVEEDOR]],TERCEROS_INFO[#All],2,FALSE)</f>
        <v>30</v>
      </c>
      <c r="D512" s="37">
        <f>+SUMIFS(PROVEEDORES[Total],PROVEEDORES[PROVEEDOR],PROVEEDORES[[#This Row],[PROVEEDOR]],PROVEEDORES[FECHA DE PAGO],"")</f>
        <v>0</v>
      </c>
      <c r="E512" s="37"/>
      <c r="F512" s="108" t="str">
        <f>+VLOOKUP(PROVEEDORES[[#This Row],[PROVEEDOR]],TERCEROS_INFO[[PROVEEDOR]:[CORREO]],5,FALSE)</f>
        <v/>
      </c>
      <c r="G512" s="143">
        <v>44377</v>
      </c>
      <c r="H512" s="38" t="s">
        <v>292</v>
      </c>
      <c r="I512" s="30">
        <v>44377</v>
      </c>
      <c r="J512" s="58"/>
      <c r="K512" s="32">
        <v>5550000</v>
      </c>
      <c r="L512" s="32"/>
      <c r="M512" s="33">
        <f>(PROVEEDORES[[#This Row],[SUBTOTAL]]-PROVEEDORES[[#This Row],[descuento antes de IVA]])*VLOOKUP(PROVEEDORES[[#This Row],[PROVEEDOR]],TERCEROS_INFO[#All],3,FALSE)</f>
        <v>0</v>
      </c>
      <c r="N512" s="34"/>
      <c r="O512" s="33">
        <f>+PROVEEDORES[[#This Row],[Descuento sobre subtotal %]]*(PROVEEDORES[[#This Row],[SUBTOTAL]]-PROVEEDORES[[#This Row],[descuento antes de IVA]])</f>
        <v>0</v>
      </c>
      <c r="P5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2" s="33">
        <f>+(PROVEEDORES[[#This Row],[SUBTOTAL]]-PROVEEDORES[[#This Row],[descuento antes de IVA]])*PROVEEDORES[[#This Row],[Rete Fuente %]]</f>
        <v>0</v>
      </c>
      <c r="R512" s="32">
        <f>+PROVEEDORES[[#This Row],[SUBTOTAL]]+PROVEEDORES[[#This Row],[IVA 19%]]-PROVEEDORES[[#This Row],[descuento antes de IVA]]-PROVEEDORES[[#This Row],[Descuento sobre subtotal $]]-PROVEEDORES[[#This Row],[Rete Fuente $]]</f>
        <v>5550000</v>
      </c>
      <c r="S512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2" s="40"/>
      <c r="U512" s="97"/>
      <c r="V512" s="36"/>
      <c r="W512" s="36"/>
      <c r="X512" s="36"/>
      <c r="Y512" s="36"/>
      <c r="Z512" s="41"/>
      <c r="AA512" s="42"/>
      <c r="AF512" s="36"/>
      <c r="AG512" s="36"/>
    </row>
    <row r="513" spans="1:33" ht="21.95" hidden="1" customHeight="1" x14ac:dyDescent="0.25">
      <c r="A513" s="139" t="str">
        <f>+IF(PROVEEDORES[[#This Row],[FECHA DE PAGO]]=PROVEEDORES[[#This Row],[FECHA DE FACTURACIÓN]],"DE CONTADO","CRÉDITO")</f>
        <v>DE CONTADO</v>
      </c>
      <c r="B513" s="70" t="b">
        <f>+IF((PROVEEDORES[[#This Row],[FECHA DE PAGO]]-PROVEEDORES[[#This Row],[FECHA DE FACTURACIÓN]])&gt;PROVEEDORES[[#This Row],[PLAZO Días]],"PAGO VENCIDO")</f>
        <v>0</v>
      </c>
      <c r="C513" s="27">
        <f>+VLOOKUP(PROVEEDORES[[#This Row],[PROVEEDOR]],TERCEROS_INFO[#All],2,FALSE)</f>
        <v>30</v>
      </c>
      <c r="D513" s="37">
        <f>+SUMIFS(PROVEEDORES[Total],PROVEEDORES[PROVEEDOR],PROVEEDORES[[#This Row],[PROVEEDOR]],PROVEEDORES[FECHA DE PAGO],"")</f>
        <v>0</v>
      </c>
      <c r="E513" s="37"/>
      <c r="F513" s="108" t="str">
        <f>+VLOOKUP(PROVEEDORES[[#This Row],[PROVEEDOR]],TERCEROS_INFO[[PROVEEDOR]:[CORREO]],5,FALSE)</f>
        <v/>
      </c>
      <c r="G513" s="143">
        <v>44408</v>
      </c>
      <c r="H513" s="38" t="s">
        <v>292</v>
      </c>
      <c r="I513" s="30">
        <v>44408</v>
      </c>
      <c r="J513" s="58"/>
      <c r="K513" s="32">
        <v>6425000</v>
      </c>
      <c r="L513" s="32"/>
      <c r="M513" s="33">
        <f>(PROVEEDORES[[#This Row],[SUBTOTAL]]-PROVEEDORES[[#This Row],[descuento antes de IVA]])*VLOOKUP(PROVEEDORES[[#This Row],[PROVEEDOR]],TERCEROS_INFO[#All],3,FALSE)</f>
        <v>0</v>
      </c>
      <c r="N513" s="34"/>
      <c r="O513" s="33">
        <f>+PROVEEDORES[[#This Row],[Descuento sobre subtotal %]]*(PROVEEDORES[[#This Row],[SUBTOTAL]]-PROVEEDORES[[#This Row],[descuento antes de IVA]])</f>
        <v>0</v>
      </c>
      <c r="P5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3" s="33">
        <f>+(PROVEEDORES[[#This Row],[SUBTOTAL]]-PROVEEDORES[[#This Row],[descuento antes de IVA]])*PROVEEDORES[[#This Row],[Rete Fuente %]]</f>
        <v>0</v>
      </c>
      <c r="R513" s="32">
        <f>+PROVEEDORES[[#This Row],[SUBTOTAL]]+PROVEEDORES[[#This Row],[IVA 19%]]-PROVEEDORES[[#This Row],[descuento antes de IVA]]-PROVEEDORES[[#This Row],[Descuento sobre subtotal $]]-PROVEEDORES[[#This Row],[Rete Fuente $]]</f>
        <v>6425000</v>
      </c>
      <c r="S513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3" s="40"/>
      <c r="U513" s="97"/>
      <c r="V513" s="36"/>
      <c r="W513" s="36"/>
      <c r="X513" s="36"/>
      <c r="Y513" s="36"/>
      <c r="Z513" s="41"/>
      <c r="AA513" s="42"/>
      <c r="AF513" s="36"/>
      <c r="AG513" s="36"/>
    </row>
    <row r="514" spans="1:33" ht="21.95" hidden="1" customHeight="1" x14ac:dyDescent="0.25">
      <c r="A514" s="144" t="str">
        <f>+IF(PROVEEDORES[[#This Row],[FECHA DE PAGO]]=PROVEEDORES[[#This Row],[FECHA DE FACTURACIÓN]],"DE CONTADO","CRÉDITO")</f>
        <v>CRÉDITO</v>
      </c>
      <c r="B514" s="70" t="str">
        <f>+IF((PROVEEDORES[[#This Row],[FECHA DE PAGO]]-PROVEEDORES[[#This Row],[FECHA DE FACTURACIÓN]])&gt;PROVEEDORES[[#This Row],[PLAZO Días]],"PAGO VENCIDO")</f>
        <v>PAGO VENCIDO</v>
      </c>
      <c r="C514" s="27">
        <f>+VLOOKUP(PROVEEDORES[[#This Row],[PROVEEDOR]],TERCEROS_INFO[#All],2,FALSE)</f>
        <v>30</v>
      </c>
      <c r="D514" s="37">
        <f>+SUMIFS(PROVEEDORES[Total],PROVEEDORES[PROVEEDOR],PROVEEDORES[[#This Row],[PROVEEDOR]],PROVEEDORES[FECHA DE PAGO],"")</f>
        <v>700000</v>
      </c>
      <c r="E514" s="37"/>
      <c r="F514" s="108">
        <f>+VLOOKUP(PROVEEDORES[[#This Row],[PROVEEDOR]],TERCEROS_INFO[[PROVEEDOR]:[CORREO]],5,FALSE)</f>
        <v>0</v>
      </c>
      <c r="G514" s="143">
        <v>44477</v>
      </c>
      <c r="H514" s="57" t="s">
        <v>972</v>
      </c>
      <c r="I514" s="30">
        <v>44432</v>
      </c>
      <c r="J514" s="58" t="s">
        <v>1224</v>
      </c>
      <c r="K514" s="32">
        <v>2317000</v>
      </c>
      <c r="L514" s="32"/>
      <c r="M514" s="33">
        <f>(PROVEEDORES[[#This Row],[SUBTOTAL]]-PROVEEDORES[[#This Row],[descuento antes de IVA]])*VLOOKUP(PROVEEDORES[[#This Row],[PROVEEDOR]],TERCEROS_INFO[#All],3,FALSE)</f>
        <v>0</v>
      </c>
      <c r="N514" s="34"/>
      <c r="O514" s="33">
        <f>+PROVEEDORES[[#This Row],[Descuento sobre subtotal %]]*(PROVEEDORES[[#This Row],[SUBTOTAL]]-PROVEEDORES[[#This Row],[descuento antes de IVA]])</f>
        <v>0</v>
      </c>
      <c r="P5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4" s="33">
        <f>+(PROVEEDORES[[#This Row],[SUBTOTAL]]-PROVEEDORES[[#This Row],[descuento antes de IVA]])*PROVEEDORES[[#This Row],[Rete Fuente %]]</f>
        <v>0</v>
      </c>
      <c r="R514" s="32">
        <f>+PROVEEDORES[[#This Row],[SUBTOTAL]]+PROVEEDORES[[#This Row],[IVA 19%]]-PROVEEDORES[[#This Row],[descuento antes de IVA]]-PROVEEDORES[[#This Row],[Descuento sobre subtotal $]]-PROVEEDORES[[#This Row],[Rete Fuente $]]</f>
        <v>2317000</v>
      </c>
      <c r="S514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4" s="40"/>
      <c r="U514" s="97"/>
      <c r="V514" s="36"/>
      <c r="W514" s="36"/>
      <c r="X514" s="36"/>
      <c r="Y514" s="36"/>
      <c r="Z514" s="41"/>
      <c r="AA514" s="42"/>
      <c r="AF514" s="36"/>
      <c r="AG514" s="36"/>
    </row>
    <row r="515" spans="1:33" ht="21.95" hidden="1" customHeight="1" x14ac:dyDescent="0.25">
      <c r="A515" s="164" t="str">
        <f>+IF(PROVEEDORES[[#This Row],[FECHA DE PAGO]]=PROVEEDORES[[#This Row],[FECHA DE FACTURACIÓN]],"DE CONTADO","CRÉDITO")</f>
        <v>CRÉDITO</v>
      </c>
      <c r="B515" s="70" t="str">
        <f>+IF((PROVEEDORES[[#This Row],[FECHA DE PAGO]]-PROVEEDORES[[#This Row],[FECHA DE FACTURACIÓN]])&gt;PROVEEDORES[[#This Row],[PLAZO Días]],"PAGO VENCIDO")</f>
        <v>PAGO VENCIDO</v>
      </c>
      <c r="C515" s="27">
        <f>+VLOOKUP(PROVEEDORES[[#This Row],[PROVEEDOR]],TERCEROS_INFO[#All],2,FALSE)</f>
        <v>30</v>
      </c>
      <c r="D515" s="37">
        <f>+SUMIFS(PROVEEDORES[Total],PROVEEDORES[PROVEEDOR],PROVEEDORES[[#This Row],[PROVEEDOR]],PROVEEDORES[FECHA DE PAGO],"")</f>
        <v>700000</v>
      </c>
      <c r="E515" s="37"/>
      <c r="F515" s="108">
        <f>+VLOOKUP(PROVEEDORES[[#This Row],[PROVEEDOR]],TERCEROS_INFO[[PROVEEDOR]:[CORREO]],5,FALSE)</f>
        <v>0</v>
      </c>
      <c r="G515" s="143">
        <v>44543</v>
      </c>
      <c r="H515" s="57" t="s">
        <v>972</v>
      </c>
      <c r="I515" s="30">
        <v>44509</v>
      </c>
      <c r="J515" s="58" t="s">
        <v>1299</v>
      </c>
      <c r="K515" s="32">
        <v>1470000</v>
      </c>
      <c r="L515" s="32"/>
      <c r="M515" s="33">
        <f>(PROVEEDORES[[#This Row],[SUBTOTAL]]-PROVEEDORES[[#This Row],[descuento antes de IVA]])*VLOOKUP(PROVEEDORES[[#This Row],[PROVEEDOR]],TERCEROS_INFO[#All],3,FALSE)</f>
        <v>0</v>
      </c>
      <c r="N515" s="34"/>
      <c r="O515" s="33">
        <f>+PROVEEDORES[[#This Row],[Descuento sobre subtotal %]]*(PROVEEDORES[[#This Row],[SUBTOTAL]]-PROVEEDORES[[#This Row],[descuento antes de IVA]])</f>
        <v>0</v>
      </c>
      <c r="P5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5" s="33">
        <f>+(PROVEEDORES[[#This Row],[SUBTOTAL]]-PROVEEDORES[[#This Row],[descuento antes de IVA]])*PROVEEDORES[[#This Row],[Rete Fuente %]]</f>
        <v>0</v>
      </c>
      <c r="R515" s="32">
        <f>+PROVEEDORES[[#This Row],[SUBTOTAL]]+PROVEEDORES[[#This Row],[IVA 19%]]-PROVEEDORES[[#This Row],[descuento antes de IVA]]-PROVEEDORES[[#This Row],[Descuento sobre subtotal $]]-PROVEEDORES[[#This Row],[Rete Fuente $]]</f>
        <v>1470000</v>
      </c>
      <c r="S515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5" s="40"/>
      <c r="U515" s="97"/>
      <c r="V515" s="36"/>
      <c r="W515" s="36"/>
      <c r="X515" s="36"/>
      <c r="Y515" s="36"/>
      <c r="Z515" s="41"/>
      <c r="AA515" s="42"/>
      <c r="AF515" s="36"/>
      <c r="AG515" s="36"/>
    </row>
    <row r="516" spans="1:33" ht="21.95" hidden="1" customHeight="1" x14ac:dyDescent="0.25">
      <c r="A516" s="165" t="str">
        <f>+IF(PROVEEDORES[[#This Row],[FECHA DE PAGO]]=PROVEEDORES[[#This Row],[FECHA DE FACTURACIÓN]],"DE CONTADO","CRÉDITO")</f>
        <v>CRÉDITO</v>
      </c>
      <c r="B516" s="70" t="str">
        <f>+IF((PROVEEDORES[[#This Row],[FECHA DE PAGO]]-PROVEEDORES[[#This Row],[FECHA DE FACTURACIÓN]])&gt;PROVEEDORES[[#This Row],[PLAZO Días]],"PAGO VENCIDO")</f>
        <v>PAGO VENCIDO</v>
      </c>
      <c r="C516" s="27">
        <f>+VLOOKUP(PROVEEDORES[[#This Row],[PROVEEDOR]],TERCEROS_INFO[#All],2,FALSE)</f>
        <v>30</v>
      </c>
      <c r="D516" s="37">
        <f>+SUMIFS(PROVEEDORES[Total],PROVEEDORES[PROVEEDOR],PROVEEDORES[[#This Row],[PROVEEDOR]],PROVEEDORES[FECHA DE PAGO],"")</f>
        <v>700000</v>
      </c>
      <c r="E516" s="37"/>
      <c r="F516" s="108">
        <f>+VLOOKUP(PROVEEDORES[[#This Row],[PROVEEDOR]],TERCEROS_INFO[[PROVEEDOR]:[CORREO]],5,FALSE)</f>
        <v>0</v>
      </c>
      <c r="G516" s="143">
        <v>44543</v>
      </c>
      <c r="H516" s="57" t="s">
        <v>972</v>
      </c>
      <c r="I516" s="30">
        <v>44511</v>
      </c>
      <c r="J516" s="58" t="s">
        <v>968</v>
      </c>
      <c r="K516" s="32">
        <v>1750000</v>
      </c>
      <c r="L516" s="32"/>
      <c r="M516" s="33">
        <f>(PROVEEDORES[[#This Row],[SUBTOTAL]]-PROVEEDORES[[#This Row],[descuento antes de IVA]])*VLOOKUP(PROVEEDORES[[#This Row],[PROVEEDOR]],TERCEROS_INFO[#All],3,FALSE)</f>
        <v>0</v>
      </c>
      <c r="N516" s="34"/>
      <c r="O516" s="33">
        <f>+PROVEEDORES[[#This Row],[Descuento sobre subtotal %]]*(PROVEEDORES[[#This Row],[SUBTOTAL]]-PROVEEDORES[[#This Row],[descuento antes de IVA]])</f>
        <v>0</v>
      </c>
      <c r="P5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6" s="33">
        <f>+(PROVEEDORES[[#This Row],[SUBTOTAL]]-PROVEEDORES[[#This Row],[descuento antes de IVA]])*PROVEEDORES[[#This Row],[Rete Fuente %]]</f>
        <v>0</v>
      </c>
      <c r="R516" s="32">
        <f>+PROVEEDORES[[#This Row],[SUBTOTAL]]+PROVEEDORES[[#This Row],[IVA 19%]]-PROVEEDORES[[#This Row],[descuento antes de IVA]]-PROVEEDORES[[#This Row],[Descuento sobre subtotal $]]-PROVEEDORES[[#This Row],[Rete Fuente $]]</f>
        <v>1750000</v>
      </c>
      <c r="S516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6" s="40"/>
      <c r="U516" s="97"/>
      <c r="V516" s="36"/>
      <c r="W516" s="36"/>
      <c r="X516" s="36"/>
      <c r="Y516" s="36"/>
      <c r="Z516" s="41"/>
      <c r="AA516" s="42"/>
      <c r="AF516" s="36"/>
      <c r="AG516" s="36"/>
    </row>
    <row r="517" spans="1:33" ht="21.95" hidden="1" customHeight="1" x14ac:dyDescent="0.25">
      <c r="A517" s="165" t="str">
        <f>+IF(PROVEEDORES[[#This Row],[FECHA DE PAGO]]=PROVEEDORES[[#This Row],[FECHA DE FACTURACIÓN]],"DE CONTADO","CRÉDITO")</f>
        <v>CRÉDITO</v>
      </c>
      <c r="B517" s="70" t="b">
        <f>+IF((PROVEEDORES[[#This Row],[FECHA DE PAGO]]-PROVEEDORES[[#This Row],[FECHA DE FACTURACIÓN]])&gt;PROVEEDORES[[#This Row],[PLAZO Días]],"PAGO VENCIDO")</f>
        <v>0</v>
      </c>
      <c r="C517" s="27">
        <f>+VLOOKUP(PROVEEDORES[[#This Row],[PROVEEDOR]],TERCEROS_INFO[#All],2,FALSE)</f>
        <v>30</v>
      </c>
      <c r="D517" s="37">
        <f>+SUMIFS(PROVEEDORES[Total],PROVEEDORES[PROVEEDOR],PROVEEDORES[[#This Row],[PROVEEDOR]],PROVEEDORES[FECHA DE PAGO],"")</f>
        <v>700000</v>
      </c>
      <c r="E517" s="37"/>
      <c r="F517" s="108">
        <f>+VLOOKUP(PROVEEDORES[[#This Row],[PROVEEDOR]],TERCEROS_INFO[[PROVEEDOR]:[CORREO]],5,FALSE)</f>
        <v>0</v>
      </c>
      <c r="G517" s="143">
        <v>44543</v>
      </c>
      <c r="H517" s="57" t="s">
        <v>972</v>
      </c>
      <c r="I517" s="30">
        <v>44517</v>
      </c>
      <c r="J517" s="58" t="s">
        <v>973</v>
      </c>
      <c r="K517" s="32">
        <v>-49000</v>
      </c>
      <c r="L517" s="32"/>
      <c r="M517" s="33">
        <f>(PROVEEDORES[[#This Row],[SUBTOTAL]]-PROVEEDORES[[#This Row],[descuento antes de IVA]])*VLOOKUP(PROVEEDORES[[#This Row],[PROVEEDOR]],TERCEROS_INFO[#All],3,FALSE)</f>
        <v>0</v>
      </c>
      <c r="N517" s="34"/>
      <c r="O517" s="33">
        <f>+PROVEEDORES[[#This Row],[Descuento sobre subtotal %]]*(PROVEEDORES[[#This Row],[SUBTOTAL]]-PROVEEDORES[[#This Row],[descuento antes de IVA]])</f>
        <v>0</v>
      </c>
      <c r="P5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7" s="33">
        <f>+(PROVEEDORES[[#This Row],[SUBTOTAL]]-PROVEEDORES[[#This Row],[descuento antes de IVA]])*PROVEEDORES[[#This Row],[Rete Fuente %]]</f>
        <v>0</v>
      </c>
      <c r="R517" s="32">
        <f>+PROVEEDORES[[#This Row],[SUBTOTAL]]+PROVEEDORES[[#This Row],[IVA 19%]]-PROVEEDORES[[#This Row],[descuento antes de IVA]]-PROVEEDORES[[#This Row],[Descuento sobre subtotal $]]-PROVEEDORES[[#This Row],[Rete Fuente $]]</f>
        <v>-49000</v>
      </c>
      <c r="S517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7" s="40"/>
      <c r="U517" s="97"/>
      <c r="V517" s="36"/>
      <c r="W517" s="36"/>
      <c r="X517" s="36"/>
      <c r="Y517" s="36"/>
      <c r="Z517" s="41"/>
      <c r="AA517" s="42"/>
      <c r="AF517" s="36"/>
      <c r="AG517" s="36"/>
    </row>
    <row r="518" spans="1:33" ht="21.95" hidden="1" customHeight="1" x14ac:dyDescent="0.25">
      <c r="A518" s="35" t="str">
        <f>+IF(PROVEEDORES[[#This Row],[FECHA DE PAGO]]=PROVEEDORES[[#This Row],[FECHA DE FACTURACIÓN]],"DE CONTADO","CRÉDITO")</f>
        <v>CRÉDITO</v>
      </c>
      <c r="B518" s="70" t="b">
        <f>+IF((PROVEEDORES[[#This Row],[FECHA DE PAGO]]-PROVEEDORES[[#This Row],[FECHA DE FACTURACIÓN]])&gt;PROVEEDORES[[#This Row],[PLAZO Días]],"PAGO VENCIDO")</f>
        <v>0</v>
      </c>
      <c r="C518" s="27">
        <f>+VLOOKUP(PROVEEDORES[[#This Row],[PROVEEDOR]],TERCEROS_INFO[#All],2,FALSE)</f>
        <v>30</v>
      </c>
      <c r="D518" s="37">
        <f>+SUMIFS(PROVEEDORES[Total],PROVEEDORES[PROVEEDOR],PROVEEDORES[[#This Row],[PROVEEDOR]],PROVEEDORES[FECHA DE PAGO],"")</f>
        <v>700000</v>
      </c>
      <c r="E518" s="37"/>
      <c r="F518" s="108">
        <f>+VLOOKUP(PROVEEDORES[[#This Row],[PROVEEDOR]],TERCEROS_INFO[[PROVEEDOR]:[CORREO]],5,FALSE)</f>
        <v>0</v>
      </c>
      <c r="H518" s="57" t="s">
        <v>972</v>
      </c>
      <c r="I518" s="30">
        <v>44540</v>
      </c>
      <c r="J518" s="58" t="s">
        <v>1020</v>
      </c>
      <c r="K518" s="32">
        <v>700000</v>
      </c>
      <c r="L518" s="32"/>
      <c r="M518" s="33">
        <f>(PROVEEDORES[[#This Row],[SUBTOTAL]]-PROVEEDORES[[#This Row],[descuento antes de IVA]])*VLOOKUP(PROVEEDORES[[#This Row],[PROVEEDOR]],TERCEROS_INFO[#All],3,FALSE)</f>
        <v>0</v>
      </c>
      <c r="N518" s="34"/>
      <c r="O518" s="33">
        <f>+PROVEEDORES[[#This Row],[Descuento sobre subtotal %]]*(PROVEEDORES[[#This Row],[SUBTOTAL]]-PROVEEDORES[[#This Row],[descuento antes de IVA]])</f>
        <v>0</v>
      </c>
      <c r="P5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8" s="33">
        <f>+(PROVEEDORES[[#This Row],[SUBTOTAL]]-PROVEEDORES[[#This Row],[descuento antes de IVA]])*PROVEEDORES[[#This Row],[Rete Fuente %]]</f>
        <v>0</v>
      </c>
      <c r="R518" s="32">
        <f>+PROVEEDORES[[#This Row],[SUBTOTAL]]+PROVEEDORES[[#This Row],[IVA 19%]]-PROVEEDORES[[#This Row],[descuento antes de IVA]]-PROVEEDORES[[#This Row],[Descuento sobre subtotal $]]-PROVEEDORES[[#This Row],[Rete Fuente $]]</f>
        <v>700000</v>
      </c>
      <c r="S518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518" s="40"/>
      <c r="U518" s="97"/>
      <c r="V518" s="36"/>
      <c r="W518" s="36"/>
      <c r="X518" s="36"/>
      <c r="Y518" s="36"/>
      <c r="Z518" s="41"/>
      <c r="AA518" s="42"/>
      <c r="AF518" s="36"/>
      <c r="AG518" s="36"/>
    </row>
    <row r="519" spans="1:33" ht="21.95" hidden="1" customHeight="1" x14ac:dyDescent="0.25">
      <c r="A519" s="39" t="str">
        <f>+IF(PROVEEDORES[[#This Row],[FECHA DE PAGO]]=PROVEEDORES[[#This Row],[FECHA DE FACTURACIÓN]],"DE CONTADO","CRÉDITO")</f>
        <v>DE CONTADO</v>
      </c>
      <c r="B519" s="67" t="b">
        <f>+IF((PROVEEDORES[[#This Row],[FECHA DE PAGO]]-PROVEEDORES[[#This Row],[FECHA DE FACTURACIÓN]])&gt;PROVEEDORES[[#This Row],[PLAZO Días]],"PAGO VENCIDO")</f>
        <v>0</v>
      </c>
      <c r="C519" s="27">
        <f>+VLOOKUP(PROVEEDORES[[#This Row],[PROVEEDOR]],TERCEROS_INFO[#All],2,FALSE)</f>
        <v>30</v>
      </c>
      <c r="D519" s="37">
        <f>+SUMIFS(PROVEEDORES[Total],PROVEEDORES[PROVEEDOR],PROVEEDORES[[#This Row],[PROVEEDOR]],PROVEEDORES[FECHA DE PAGO],"")</f>
        <v>0</v>
      </c>
      <c r="E519" s="37"/>
      <c r="F519" s="108" t="str">
        <f>+VLOOKUP(PROVEEDORES[[#This Row],[PROVEEDOR]],TERCEROS_INFO[[PROVEEDOR]:[CORREO]],5,FALSE)</f>
        <v/>
      </c>
      <c r="G519" s="143">
        <v>44128</v>
      </c>
      <c r="H519" s="38" t="s">
        <v>320</v>
      </c>
      <c r="I519" s="30">
        <v>44128</v>
      </c>
      <c r="J519" s="58">
        <v>385</v>
      </c>
      <c r="K519" s="32">
        <v>90000</v>
      </c>
      <c r="L519" s="32"/>
      <c r="M519" s="33">
        <f>(PROVEEDORES[[#This Row],[SUBTOTAL]]-PROVEEDORES[[#This Row],[descuento antes de IVA]])*VLOOKUP(PROVEEDORES[[#This Row],[PROVEEDOR]],TERCEROS_INFO[#All],3,FALSE)</f>
        <v>0</v>
      </c>
      <c r="N519" s="34"/>
      <c r="O519" s="33">
        <f>+PROVEEDORES[[#This Row],[Descuento sobre subtotal %]]*(PROVEEDORES[[#This Row],[SUBTOTAL]]-PROVEEDORES[[#This Row],[descuento antes de IVA]])</f>
        <v>0</v>
      </c>
      <c r="P5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19" s="33">
        <f>+(PROVEEDORES[[#This Row],[SUBTOTAL]]-PROVEEDORES[[#This Row],[descuento antes de IVA]])*PROVEEDORES[[#This Row],[Rete Fuente %]]</f>
        <v>0</v>
      </c>
      <c r="R519" s="32">
        <f>+PROVEEDORES[[#This Row],[SUBTOTAL]]+PROVEEDORES[[#This Row],[IVA 19%]]-PROVEEDORES[[#This Row],[descuento antes de IVA]]-PROVEEDORES[[#This Row],[Descuento sobre subtotal $]]-PROVEEDORES[[#This Row],[Rete Fuente $]]</f>
        <v>90000</v>
      </c>
      <c r="S51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9" s="40"/>
      <c r="U519" s="97"/>
      <c r="V519" s="36"/>
      <c r="W519" s="36"/>
      <c r="X519" s="36"/>
      <c r="Y519" s="36"/>
      <c r="Z519" s="41"/>
      <c r="AA519" s="42"/>
      <c r="AF519" s="36"/>
      <c r="AG519" s="36"/>
    </row>
    <row r="520" spans="1:33" ht="21.95" hidden="1" customHeight="1" x14ac:dyDescent="0.25">
      <c r="A520" s="39" t="str">
        <f>+IF(PROVEEDORES[[#This Row],[FECHA DE PAGO]]=PROVEEDORES[[#This Row],[FECHA DE FACTURACIÓN]],"DE CONTADO","CRÉDITO")</f>
        <v>DE CONTADO</v>
      </c>
      <c r="B520" s="67" t="b">
        <f>+IF((PROVEEDORES[[#This Row],[FECHA DE PAGO]]-PROVEEDORES[[#This Row],[FECHA DE FACTURACIÓN]])&gt;PROVEEDORES[[#This Row],[PLAZO Días]],"PAGO VENCIDO")</f>
        <v>0</v>
      </c>
      <c r="C520" s="27">
        <f>+VLOOKUP(PROVEEDORES[[#This Row],[PROVEEDOR]],TERCEROS_INFO[#All],2,FALSE)</f>
        <v>30</v>
      </c>
      <c r="D520" s="37">
        <f>+SUMIFS(PROVEEDORES[Total],PROVEEDORES[PROVEEDOR],PROVEEDORES[[#This Row],[PROVEEDOR]],PROVEEDORES[FECHA DE PAGO],"")</f>
        <v>0</v>
      </c>
      <c r="E520" s="37"/>
      <c r="F520" s="108" t="str">
        <f>+VLOOKUP(PROVEEDORES[[#This Row],[PROVEEDOR]],TERCEROS_INFO[[PROVEEDOR]:[CORREO]],5,FALSE)</f>
        <v/>
      </c>
      <c r="G520" s="143">
        <v>43841</v>
      </c>
      <c r="H520" s="38" t="s">
        <v>294</v>
      </c>
      <c r="I520" s="30">
        <v>43841</v>
      </c>
      <c r="J520" s="58" t="s">
        <v>1026</v>
      </c>
      <c r="K520" s="32">
        <v>525000</v>
      </c>
      <c r="L520" s="32"/>
      <c r="M520" s="33">
        <f>(PROVEEDORES[[#This Row],[SUBTOTAL]]-PROVEEDORES[[#This Row],[descuento antes de IVA]])*VLOOKUP(PROVEEDORES[[#This Row],[PROVEEDOR]],TERCEROS_INFO[#All],3,FALSE)</f>
        <v>0</v>
      </c>
      <c r="N520" s="34"/>
      <c r="O520" s="33">
        <f>+PROVEEDORES[[#This Row],[Descuento sobre subtotal %]]*(PROVEEDORES[[#This Row],[SUBTOTAL]]-PROVEEDORES[[#This Row],[descuento antes de IVA]])</f>
        <v>0</v>
      </c>
      <c r="P5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0" s="33">
        <f>+(PROVEEDORES[[#This Row],[SUBTOTAL]]-PROVEEDORES[[#This Row],[descuento antes de IVA]])*PROVEEDORES[[#This Row],[Rete Fuente %]]</f>
        <v>0</v>
      </c>
      <c r="R520" s="32">
        <f>+PROVEEDORES[[#This Row],[SUBTOTAL]]+PROVEEDORES[[#This Row],[IVA 19%]]-PROVEEDORES[[#This Row],[descuento antes de IVA]]-PROVEEDORES[[#This Row],[Descuento sobre subtotal $]]-PROVEEDORES[[#This Row],[Rete Fuente $]]</f>
        <v>525000</v>
      </c>
      <c r="S5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0" s="40"/>
      <c r="U520" s="97"/>
      <c r="V520" s="36"/>
      <c r="W520" s="36"/>
      <c r="X520" s="36"/>
      <c r="Y520" s="36"/>
      <c r="Z520" s="41"/>
      <c r="AA520" s="42"/>
      <c r="AF520" s="36"/>
      <c r="AG520" s="36"/>
    </row>
    <row r="521" spans="1:33" ht="21.95" hidden="1" customHeight="1" x14ac:dyDescent="0.25">
      <c r="A521" s="39" t="str">
        <f>+IF(PROVEEDORES[[#This Row],[FECHA DE PAGO]]=PROVEEDORES[[#This Row],[FECHA DE FACTURACIÓN]],"DE CONTADO","CRÉDITO")</f>
        <v>CRÉDITO</v>
      </c>
      <c r="B521" s="67" t="b">
        <f>+IF((PROVEEDORES[[#This Row],[FECHA DE PAGO]]-PROVEEDORES[[#This Row],[FECHA DE FACTURACIÓN]])&gt;PROVEEDORES[[#This Row],[PLAZO Días]],"PAGO VENCIDO")</f>
        <v>0</v>
      </c>
      <c r="C521" s="27">
        <f>+VLOOKUP(PROVEEDORES[[#This Row],[PROVEEDOR]],TERCEROS_INFO[#All],2,FALSE)</f>
        <v>30</v>
      </c>
      <c r="D521" s="37">
        <f>+SUMIFS(PROVEEDORES[Total],PROVEEDORES[PROVEEDOR],PROVEEDORES[[#This Row],[PROVEEDOR]],PROVEEDORES[FECHA DE PAGO],"")</f>
        <v>0</v>
      </c>
      <c r="E521" s="37"/>
      <c r="F521" s="108" t="str">
        <f>+VLOOKUP(PROVEEDORES[[#This Row],[PROVEEDOR]],TERCEROS_INFO[[PROVEEDOR]:[CORREO]],5,FALSE)</f>
        <v/>
      </c>
      <c r="G521" s="143">
        <v>43967</v>
      </c>
      <c r="H521" s="38" t="s">
        <v>294</v>
      </c>
      <c r="I521" s="30">
        <v>43966</v>
      </c>
      <c r="J521" s="58" t="s">
        <v>1063</v>
      </c>
      <c r="K521" s="32">
        <v>300000</v>
      </c>
      <c r="L521" s="32"/>
      <c r="M521" s="33">
        <f>(PROVEEDORES[[#This Row],[SUBTOTAL]]-PROVEEDORES[[#This Row],[descuento antes de IVA]])*VLOOKUP(PROVEEDORES[[#This Row],[PROVEEDOR]],TERCEROS_INFO[#All],3,FALSE)</f>
        <v>0</v>
      </c>
      <c r="N521" s="34"/>
      <c r="O521" s="33">
        <f>+PROVEEDORES[[#This Row],[Descuento sobre subtotal %]]*(PROVEEDORES[[#This Row],[SUBTOTAL]]-PROVEEDORES[[#This Row],[descuento antes de IVA]])</f>
        <v>0</v>
      </c>
      <c r="P5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1" s="33">
        <f>+(PROVEEDORES[[#This Row],[SUBTOTAL]]-PROVEEDORES[[#This Row],[descuento antes de IVA]])*PROVEEDORES[[#This Row],[Rete Fuente %]]</f>
        <v>0</v>
      </c>
      <c r="R521" s="32">
        <f>+PROVEEDORES[[#This Row],[SUBTOTAL]]+PROVEEDORES[[#This Row],[IVA 19%]]-PROVEEDORES[[#This Row],[descuento antes de IVA]]-PROVEEDORES[[#This Row],[Descuento sobre subtotal $]]-PROVEEDORES[[#This Row],[Rete Fuente $]]</f>
        <v>300000</v>
      </c>
      <c r="S5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1" s="40"/>
      <c r="U521" s="97"/>
      <c r="V521" s="36"/>
      <c r="W521" s="36"/>
      <c r="X521" s="36"/>
      <c r="Y521" s="36"/>
      <c r="Z521" s="41"/>
      <c r="AA521" s="42"/>
      <c r="AF521" s="36"/>
      <c r="AG521" s="36"/>
    </row>
    <row r="522" spans="1:33" ht="21.95" hidden="1" customHeight="1" x14ac:dyDescent="0.25">
      <c r="A522" s="39" t="str">
        <f>+IF(PROVEEDORES[[#This Row],[FECHA DE PAGO]]=PROVEEDORES[[#This Row],[FECHA DE FACTURACIÓN]],"DE CONTADO","CRÉDITO")</f>
        <v>CRÉDITO</v>
      </c>
      <c r="B522" s="67" t="b">
        <f>+IF((PROVEEDORES[[#This Row],[FECHA DE PAGO]]-PROVEEDORES[[#This Row],[FECHA DE FACTURACIÓN]])&gt;PROVEEDORES[[#This Row],[PLAZO Días]],"PAGO VENCIDO")</f>
        <v>0</v>
      </c>
      <c r="C522" s="27">
        <f>+VLOOKUP(PROVEEDORES[[#This Row],[PROVEEDOR]],TERCEROS_INFO[#All],2,FALSE)</f>
        <v>30</v>
      </c>
      <c r="D522" s="37">
        <f>+SUMIFS(PROVEEDORES[Total],PROVEEDORES[PROVEEDOR],PROVEEDORES[[#This Row],[PROVEEDOR]],PROVEEDORES[FECHA DE PAGO],"")</f>
        <v>0</v>
      </c>
      <c r="E522" s="37" t="s">
        <v>344</v>
      </c>
      <c r="F522" s="108" t="str">
        <f>+VLOOKUP(PROVEEDORES[[#This Row],[PROVEEDOR]],TERCEROS_INFO[[PROVEEDOR]:[CORREO]],5,FALSE)</f>
        <v/>
      </c>
      <c r="G522" s="143">
        <v>43889</v>
      </c>
      <c r="H522" s="38" t="s">
        <v>295</v>
      </c>
      <c r="I522" s="30">
        <v>43863</v>
      </c>
      <c r="J522" s="58" t="s">
        <v>1037</v>
      </c>
      <c r="K522" s="32">
        <v>1999310.62</v>
      </c>
      <c r="L522" s="32"/>
      <c r="M522" s="33">
        <f>(PROVEEDORES[[#This Row],[SUBTOTAL]]-PROVEEDORES[[#This Row],[descuento antes de IVA]])*VLOOKUP(PROVEEDORES[[#This Row],[PROVEEDOR]],TERCEROS_INFO[#All],3,FALSE)</f>
        <v>0</v>
      </c>
      <c r="N522" s="34"/>
      <c r="O522" s="33">
        <f>+PROVEEDORES[[#This Row],[Descuento sobre subtotal %]]*(PROVEEDORES[[#This Row],[SUBTOTAL]]-PROVEEDORES[[#This Row],[descuento antes de IVA]])</f>
        <v>0</v>
      </c>
      <c r="P5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2" s="33">
        <f>+(PROVEEDORES[[#This Row],[SUBTOTAL]]-PROVEEDORES[[#This Row],[descuento antes de IVA]])*PROVEEDORES[[#This Row],[Rete Fuente %]]</f>
        <v>0</v>
      </c>
      <c r="R522" s="32">
        <f>+PROVEEDORES[[#This Row],[SUBTOTAL]]+PROVEEDORES[[#This Row],[IVA 19%]]-PROVEEDORES[[#This Row],[descuento antes de IVA]]-PROVEEDORES[[#This Row],[Descuento sobre subtotal $]]-PROVEEDORES[[#This Row],[Rete Fuente $]]</f>
        <v>1999310.62</v>
      </c>
      <c r="S5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2" s="40"/>
      <c r="U522" s="97"/>
      <c r="V522" s="36"/>
      <c r="W522" s="36"/>
      <c r="X522" s="36"/>
      <c r="Y522" s="36"/>
      <c r="Z522" s="41"/>
      <c r="AA522" s="42"/>
      <c r="AF522" s="36"/>
      <c r="AG522" s="36"/>
    </row>
    <row r="523" spans="1:33" ht="21.95" hidden="1" customHeight="1" x14ac:dyDescent="0.25">
      <c r="A523" s="39" t="str">
        <f>+IF(PROVEEDORES[[#This Row],[FECHA DE PAGO]]=PROVEEDORES[[#This Row],[FECHA DE FACTURACIÓN]],"DE CONTADO","CRÉDITO")</f>
        <v>CRÉDITO</v>
      </c>
      <c r="B523" s="67" t="b">
        <f>+IF((PROVEEDORES[[#This Row],[FECHA DE PAGO]]-PROVEEDORES[[#This Row],[FECHA DE FACTURACIÓN]])&gt;PROVEEDORES[[#This Row],[PLAZO Días]],"PAGO VENCIDO")</f>
        <v>0</v>
      </c>
      <c r="C523" s="27">
        <f>+VLOOKUP(PROVEEDORES[[#This Row],[PROVEEDOR]],TERCEROS_INFO[#All],2,FALSE)</f>
        <v>30</v>
      </c>
      <c r="D523" s="37">
        <f>+SUMIFS(PROVEEDORES[Total],PROVEEDORES[PROVEEDOR],PROVEEDORES[[#This Row],[PROVEEDOR]],PROVEEDORES[FECHA DE PAGO],"")</f>
        <v>0</v>
      </c>
      <c r="E523" s="37"/>
      <c r="F523" s="108" t="str">
        <f>+VLOOKUP(PROVEEDORES[[#This Row],[PROVEEDOR]],TERCEROS_INFO[[PROVEEDOR]:[CORREO]],5,FALSE)</f>
        <v/>
      </c>
      <c r="G523" s="143">
        <v>44019</v>
      </c>
      <c r="H523" s="38" t="s">
        <v>295</v>
      </c>
      <c r="I523" s="30">
        <v>44013</v>
      </c>
      <c r="J523" s="58">
        <v>602806</v>
      </c>
      <c r="K523" s="32">
        <v>1614310</v>
      </c>
      <c r="L523" s="32"/>
      <c r="M523" s="33">
        <f>(PROVEEDORES[[#This Row],[SUBTOTAL]]-PROVEEDORES[[#This Row],[descuento antes de IVA]])*VLOOKUP(PROVEEDORES[[#This Row],[PROVEEDOR]],TERCEROS_INFO[#All],3,FALSE)</f>
        <v>0</v>
      </c>
      <c r="N523" s="34"/>
      <c r="O523" s="33">
        <f>+PROVEEDORES[[#This Row],[Descuento sobre subtotal %]]*(PROVEEDORES[[#This Row],[SUBTOTAL]]-PROVEEDORES[[#This Row],[descuento antes de IVA]])</f>
        <v>0</v>
      </c>
      <c r="P5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3" s="33">
        <f>+(PROVEEDORES[[#This Row],[SUBTOTAL]]-PROVEEDORES[[#This Row],[descuento antes de IVA]])*PROVEEDORES[[#This Row],[Rete Fuente %]]</f>
        <v>0</v>
      </c>
      <c r="R523" s="32">
        <f>+PROVEEDORES[[#This Row],[SUBTOTAL]]+PROVEEDORES[[#This Row],[IVA 19%]]-PROVEEDORES[[#This Row],[descuento antes de IVA]]-PROVEEDORES[[#This Row],[Descuento sobre subtotal $]]-PROVEEDORES[[#This Row],[Rete Fuente $]]</f>
        <v>1614310</v>
      </c>
      <c r="S5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3" s="40"/>
      <c r="U523" s="97"/>
      <c r="V523" s="36"/>
      <c r="W523" s="36"/>
      <c r="X523" s="36"/>
      <c r="Y523" s="36"/>
      <c r="Z523" s="41"/>
      <c r="AA523" s="42"/>
      <c r="AF523" s="36"/>
      <c r="AG523" s="36"/>
    </row>
    <row r="524" spans="1:33" ht="21.95" hidden="1" customHeight="1" x14ac:dyDescent="0.25">
      <c r="A524" s="39" t="str">
        <f>+IF(PROVEEDORES[[#This Row],[FECHA DE PAGO]]=PROVEEDORES[[#This Row],[FECHA DE FACTURACIÓN]],"DE CONTADO","CRÉDITO")</f>
        <v>CRÉDITO</v>
      </c>
      <c r="B524" s="67" t="b">
        <f>+IF((PROVEEDORES[[#This Row],[FECHA DE PAGO]]-PROVEEDORES[[#This Row],[FECHA DE FACTURACIÓN]])&gt;PROVEEDORES[[#This Row],[PLAZO Días]],"PAGO VENCIDO")</f>
        <v>0</v>
      </c>
      <c r="C524" s="27">
        <f>+VLOOKUP(PROVEEDORES[[#This Row],[PROVEEDOR]],TERCEROS_INFO[#All],2,FALSE)</f>
        <v>30</v>
      </c>
      <c r="D524" s="37">
        <f>+SUMIFS(PROVEEDORES[Total],PROVEEDORES[PROVEEDOR],PROVEEDORES[[#This Row],[PROVEEDOR]],PROVEEDORES[FECHA DE PAGO],"")</f>
        <v>0</v>
      </c>
      <c r="E524" s="37"/>
      <c r="F524" s="108" t="str">
        <f>+VLOOKUP(PROVEEDORES[[#This Row],[PROVEEDOR]],TERCEROS_INFO[[PROVEEDOR]:[CORREO]],5,FALSE)</f>
        <v/>
      </c>
      <c r="G524" s="143">
        <v>44048</v>
      </c>
      <c r="H524" s="38" t="s">
        <v>295</v>
      </c>
      <c r="I524" s="30">
        <v>44047</v>
      </c>
      <c r="J524" s="58">
        <v>605935</v>
      </c>
      <c r="K524" s="32">
        <v>812174</v>
      </c>
      <c r="L524" s="32"/>
      <c r="M524" s="33">
        <f>(PROVEEDORES[[#This Row],[SUBTOTAL]]-PROVEEDORES[[#This Row],[descuento antes de IVA]])*VLOOKUP(PROVEEDORES[[#This Row],[PROVEEDOR]],TERCEROS_INFO[#All],3,FALSE)</f>
        <v>0</v>
      </c>
      <c r="N524" s="34"/>
      <c r="O524" s="33">
        <f>+PROVEEDORES[[#This Row],[Descuento sobre subtotal %]]*(PROVEEDORES[[#This Row],[SUBTOTAL]]-PROVEEDORES[[#This Row],[descuento antes de IVA]])</f>
        <v>0</v>
      </c>
      <c r="P5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4" s="33">
        <f>+(PROVEEDORES[[#This Row],[SUBTOTAL]]-PROVEEDORES[[#This Row],[descuento antes de IVA]])*PROVEEDORES[[#This Row],[Rete Fuente %]]</f>
        <v>0</v>
      </c>
      <c r="R524" s="32">
        <f>+PROVEEDORES[[#This Row],[SUBTOTAL]]+PROVEEDORES[[#This Row],[IVA 19%]]-PROVEEDORES[[#This Row],[descuento antes de IVA]]-PROVEEDORES[[#This Row],[Descuento sobre subtotal $]]-PROVEEDORES[[#This Row],[Rete Fuente $]]</f>
        <v>812174</v>
      </c>
      <c r="S5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4" s="40"/>
      <c r="U524" s="97"/>
      <c r="V524" s="36"/>
      <c r="W524" s="36"/>
      <c r="X524" s="36"/>
      <c r="Y524" s="36"/>
      <c r="Z524" s="41"/>
      <c r="AA524" s="42"/>
      <c r="AF524" s="36"/>
      <c r="AG524" s="36"/>
    </row>
    <row r="525" spans="1:33" ht="21.95" hidden="1" customHeight="1" x14ac:dyDescent="0.25">
      <c r="A525" s="39" t="str">
        <f>+IF(PROVEEDORES[[#This Row],[FECHA DE PAGO]]=PROVEEDORES[[#This Row],[FECHA DE FACTURACIÓN]],"DE CONTADO","CRÉDITO")</f>
        <v>CRÉDITO</v>
      </c>
      <c r="B525" s="67" t="b">
        <f>+IF((PROVEEDORES[[#This Row],[FECHA DE PAGO]]-PROVEEDORES[[#This Row],[FECHA DE FACTURACIÓN]])&gt;PROVEEDORES[[#This Row],[PLAZO Días]],"PAGO VENCIDO")</f>
        <v>0</v>
      </c>
      <c r="C525" s="27">
        <f>+VLOOKUP(PROVEEDORES[[#This Row],[PROVEEDOR]],TERCEROS_INFO[#All],2,FALSE)</f>
        <v>30</v>
      </c>
      <c r="D525" s="37">
        <f>+SUMIFS(PROVEEDORES[Total],PROVEEDORES[PROVEEDOR],PROVEEDORES[[#This Row],[PROVEEDOR]],PROVEEDORES[FECHA DE PAGO],"")</f>
        <v>0</v>
      </c>
      <c r="E525" s="37"/>
      <c r="F525" s="108" t="str">
        <f>+VLOOKUP(PROVEEDORES[[#This Row],[PROVEEDOR]],TERCEROS_INFO[[PROVEEDOR]:[CORREO]],5,FALSE)</f>
        <v/>
      </c>
      <c r="G525" s="143">
        <v>44102</v>
      </c>
      <c r="H525" s="38" t="s">
        <v>295</v>
      </c>
      <c r="I525" s="30">
        <v>44077</v>
      </c>
      <c r="J525" s="58">
        <v>608363</v>
      </c>
      <c r="K525" s="32">
        <v>0</v>
      </c>
      <c r="L525" s="32"/>
      <c r="M525" s="33">
        <f>(PROVEEDORES[[#This Row],[SUBTOTAL]]-PROVEEDORES[[#This Row],[descuento antes de IVA]])*VLOOKUP(PROVEEDORES[[#This Row],[PROVEEDOR]],TERCEROS_INFO[#All],3,FALSE)</f>
        <v>0</v>
      </c>
      <c r="N525" s="34"/>
      <c r="O525" s="33">
        <f>+PROVEEDORES[[#This Row],[Descuento sobre subtotal %]]*(PROVEEDORES[[#This Row],[SUBTOTAL]]-PROVEEDORES[[#This Row],[descuento antes de IVA]])</f>
        <v>0</v>
      </c>
      <c r="P5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5" s="33">
        <f>+(PROVEEDORES[[#This Row],[SUBTOTAL]]-PROVEEDORES[[#This Row],[descuento antes de IVA]])*PROVEEDORES[[#This Row],[Rete Fuente %]]</f>
        <v>0</v>
      </c>
      <c r="R525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5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5" s="40"/>
      <c r="U525" s="97"/>
      <c r="V525" s="36"/>
      <c r="W525" s="36"/>
      <c r="X525" s="36"/>
      <c r="Y525" s="36"/>
      <c r="Z525" s="41"/>
      <c r="AA525" s="42"/>
      <c r="AF525" s="36"/>
      <c r="AG525" s="36"/>
    </row>
    <row r="526" spans="1:33" ht="21.95" hidden="1" customHeight="1" x14ac:dyDescent="0.25">
      <c r="A526" s="39" t="str">
        <f>+IF(PROVEEDORES[[#This Row],[FECHA DE PAGO]]=PROVEEDORES[[#This Row],[FECHA DE FACTURACIÓN]],"DE CONTADO","CRÉDITO")</f>
        <v>DE CONTADO</v>
      </c>
      <c r="B526" s="67" t="b">
        <f>+IF((PROVEEDORES[[#This Row],[FECHA DE PAGO]]-PROVEEDORES[[#This Row],[FECHA DE FACTURACIÓN]])&gt;PROVEEDORES[[#This Row],[PLAZO Días]],"PAGO VENCIDO")</f>
        <v>0</v>
      </c>
      <c r="C526" s="27">
        <f>+VLOOKUP(PROVEEDORES[[#This Row],[PROVEEDOR]],TERCEROS_INFO[#All],2,FALSE)</f>
        <v>30</v>
      </c>
      <c r="D526" s="37">
        <f>+SUMIFS(PROVEEDORES[Total],PROVEEDORES[PROVEEDOR],PROVEEDORES[[#This Row],[PROVEEDOR]],PROVEEDORES[FECHA DE PAGO],"")</f>
        <v>0</v>
      </c>
      <c r="E526" s="37"/>
      <c r="F526" s="108" t="str">
        <f>+VLOOKUP(PROVEEDORES[[#This Row],[PROVEEDOR]],TERCEROS_INFO[[PROVEEDOR]:[CORREO]],5,FALSE)</f>
        <v/>
      </c>
      <c r="G526" s="143">
        <v>44158</v>
      </c>
      <c r="H526" s="38" t="s">
        <v>295</v>
      </c>
      <c r="I526" s="30">
        <v>44158</v>
      </c>
      <c r="J526" s="58">
        <v>614717</v>
      </c>
      <c r="K526" s="32">
        <v>1963290.0000000002</v>
      </c>
      <c r="L526" s="32"/>
      <c r="M526" s="33">
        <f>(PROVEEDORES[[#This Row],[SUBTOTAL]]-PROVEEDORES[[#This Row],[descuento antes de IVA]])*VLOOKUP(PROVEEDORES[[#This Row],[PROVEEDOR]],TERCEROS_INFO[#All],3,FALSE)</f>
        <v>0</v>
      </c>
      <c r="N526" s="34"/>
      <c r="O526" s="33">
        <f>+PROVEEDORES[[#This Row],[Descuento sobre subtotal %]]*(PROVEEDORES[[#This Row],[SUBTOTAL]]-PROVEEDORES[[#This Row],[descuento antes de IVA]])</f>
        <v>0</v>
      </c>
      <c r="P5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6" s="33">
        <f>+(PROVEEDORES[[#This Row],[SUBTOTAL]]-PROVEEDORES[[#This Row],[descuento antes de IVA]])*PROVEEDORES[[#This Row],[Rete Fuente %]]</f>
        <v>0</v>
      </c>
      <c r="R526" s="32">
        <f>+PROVEEDORES[[#This Row],[SUBTOTAL]]+PROVEEDORES[[#This Row],[IVA 19%]]-PROVEEDORES[[#This Row],[descuento antes de IVA]]-PROVEEDORES[[#This Row],[Descuento sobre subtotal $]]-PROVEEDORES[[#This Row],[Rete Fuente $]]</f>
        <v>1963290.0000000002</v>
      </c>
      <c r="S52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6" s="40"/>
      <c r="U526" s="97"/>
      <c r="V526" s="36"/>
      <c r="W526" s="36"/>
      <c r="X526" s="36"/>
      <c r="Y526" s="36"/>
      <c r="Z526" s="41"/>
      <c r="AA526" s="42"/>
      <c r="AF526" s="36"/>
      <c r="AG526" s="36"/>
    </row>
    <row r="527" spans="1:33" ht="21.95" hidden="1" customHeight="1" x14ac:dyDescent="0.25">
      <c r="A527" s="39" t="str">
        <f>+IF(PROVEEDORES[[#This Row],[FECHA DE PAGO]]=PROVEEDORES[[#This Row],[FECHA DE FACTURACIÓN]],"DE CONTADO","CRÉDITO")</f>
        <v>CRÉDITO</v>
      </c>
      <c r="B527" s="67" t="b">
        <f>+IF((PROVEEDORES[[#This Row],[FECHA DE PAGO]]-PROVEEDORES[[#This Row],[FECHA DE FACTURACIÓN]])&gt;PROVEEDORES[[#This Row],[PLAZO Días]],"PAGO VENCIDO")</f>
        <v>0</v>
      </c>
      <c r="C527" s="27">
        <f>+VLOOKUP(PROVEEDORES[[#This Row],[PROVEEDOR]],TERCEROS_INFO[#All],2,FALSE)</f>
        <v>30</v>
      </c>
      <c r="D527" s="37">
        <f>+SUMIFS(PROVEEDORES[Total],PROVEEDORES[PROVEEDOR],PROVEEDORES[[#This Row],[PROVEEDOR]],PROVEEDORES[FECHA DE PAGO],"")</f>
        <v>0</v>
      </c>
      <c r="E527" s="37"/>
      <c r="F527" s="108" t="str">
        <f>+VLOOKUP(PROVEEDORES[[#This Row],[PROVEEDOR]],TERCEROS_INFO[[PROVEEDOR]:[CORREO]],5,FALSE)</f>
        <v/>
      </c>
      <c r="G527" s="143">
        <v>44181</v>
      </c>
      <c r="H527" s="38" t="s">
        <v>295</v>
      </c>
      <c r="I527" s="30">
        <v>44180</v>
      </c>
      <c r="J527" s="58">
        <v>616449</v>
      </c>
      <c r="K527" s="32">
        <v>3140025</v>
      </c>
      <c r="L527" s="32"/>
      <c r="M527" s="33">
        <f>(PROVEEDORES[[#This Row],[SUBTOTAL]]-PROVEEDORES[[#This Row],[descuento antes de IVA]])*VLOOKUP(PROVEEDORES[[#This Row],[PROVEEDOR]],TERCEROS_INFO[#All],3,FALSE)</f>
        <v>0</v>
      </c>
      <c r="N527" s="34"/>
      <c r="O527" s="33">
        <f>+PROVEEDORES[[#This Row],[Descuento sobre subtotal %]]*(PROVEEDORES[[#This Row],[SUBTOTAL]]-PROVEEDORES[[#This Row],[descuento antes de IVA]])</f>
        <v>0</v>
      </c>
      <c r="P5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7" s="33">
        <f>+(PROVEEDORES[[#This Row],[SUBTOTAL]]-PROVEEDORES[[#This Row],[descuento antes de IVA]])*PROVEEDORES[[#This Row],[Rete Fuente %]]</f>
        <v>0</v>
      </c>
      <c r="R527" s="32">
        <f>+PROVEEDORES[[#This Row],[SUBTOTAL]]+PROVEEDORES[[#This Row],[IVA 19%]]-PROVEEDORES[[#This Row],[descuento antes de IVA]]-PROVEEDORES[[#This Row],[Descuento sobre subtotal $]]-PROVEEDORES[[#This Row],[Rete Fuente $]]</f>
        <v>3140025</v>
      </c>
      <c r="S52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7" s="40"/>
      <c r="U527" s="97"/>
      <c r="V527" s="36"/>
      <c r="W527" s="36"/>
      <c r="X527" s="36"/>
      <c r="Y527" s="36"/>
      <c r="Z527" s="41"/>
      <c r="AA527" s="42"/>
      <c r="AF527" s="36"/>
      <c r="AG527" s="36"/>
    </row>
    <row r="528" spans="1:33" ht="21.95" hidden="1" customHeight="1" x14ac:dyDescent="0.25">
      <c r="A528" s="111" t="str">
        <f>+IF(PROVEEDORES[[#This Row],[FECHA DE PAGO]]=PROVEEDORES[[#This Row],[FECHA DE FACTURACIÓN]],"DE CONTADO","CRÉDITO")</f>
        <v>CRÉDITO</v>
      </c>
      <c r="B528" s="70" t="b">
        <f>+IF((PROVEEDORES[[#This Row],[FECHA DE PAGO]]-PROVEEDORES[[#This Row],[FECHA DE FACTURACIÓN]])&gt;PROVEEDORES[[#This Row],[PLAZO Días]],"PAGO VENCIDO")</f>
        <v>0</v>
      </c>
      <c r="C528" s="27">
        <f>+VLOOKUP(PROVEEDORES[[#This Row],[PROVEEDOR]],TERCEROS_INFO[#All],2,FALSE)</f>
        <v>30</v>
      </c>
      <c r="D528" s="37">
        <f>+SUMIFS(PROVEEDORES[Total],PROVEEDORES[PROVEEDOR],PROVEEDORES[[#This Row],[PROVEEDOR]],PROVEEDORES[FECHA DE PAGO],"")</f>
        <v>0</v>
      </c>
      <c r="E528" s="37"/>
      <c r="F528" s="108" t="str">
        <f>+VLOOKUP(PROVEEDORES[[#This Row],[PROVEEDOR]],TERCEROS_INFO[[PROVEEDOR]:[CORREO]],5,FALSE)</f>
        <v/>
      </c>
      <c r="G528" s="143">
        <v>44336</v>
      </c>
      <c r="H528" s="38" t="s">
        <v>295</v>
      </c>
      <c r="I528" s="30">
        <v>44335</v>
      </c>
      <c r="J528" s="58">
        <v>628478</v>
      </c>
      <c r="K528" s="32">
        <f>629.08*3700</f>
        <v>2327596</v>
      </c>
      <c r="L528" s="32"/>
      <c r="M528" s="33">
        <f>(PROVEEDORES[[#This Row],[SUBTOTAL]]-PROVEEDORES[[#This Row],[descuento antes de IVA]])*VLOOKUP(PROVEEDORES[[#This Row],[PROVEEDOR]],TERCEROS_INFO[#All],3,FALSE)</f>
        <v>0</v>
      </c>
      <c r="N528" s="34"/>
      <c r="O528" s="33">
        <f>+PROVEEDORES[[#This Row],[Descuento sobre subtotal %]]*(PROVEEDORES[[#This Row],[SUBTOTAL]]-PROVEEDORES[[#This Row],[descuento antes de IVA]])</f>
        <v>0</v>
      </c>
      <c r="P5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8" s="33">
        <f>+(PROVEEDORES[[#This Row],[SUBTOTAL]]-PROVEEDORES[[#This Row],[descuento antes de IVA]])*PROVEEDORES[[#This Row],[Rete Fuente %]]</f>
        <v>0</v>
      </c>
      <c r="R528" s="32">
        <f>+PROVEEDORES[[#This Row],[SUBTOTAL]]+PROVEEDORES[[#This Row],[IVA 19%]]-PROVEEDORES[[#This Row],[descuento antes de IVA]]-PROVEEDORES[[#This Row],[Descuento sobre subtotal $]]-PROVEEDORES[[#This Row],[Rete Fuente $]]</f>
        <v>2327596</v>
      </c>
      <c r="S528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8" s="40"/>
      <c r="U528" s="97"/>
      <c r="V528" s="36"/>
      <c r="W528" s="36"/>
      <c r="X528" s="36"/>
      <c r="Y528" s="36"/>
      <c r="Z528" s="41"/>
      <c r="AA528" s="42"/>
      <c r="AF528" s="36"/>
      <c r="AG528" s="36"/>
    </row>
    <row r="529" spans="1:33" ht="21.95" hidden="1" customHeight="1" x14ac:dyDescent="0.25">
      <c r="A529" s="127" t="str">
        <f>+IF(PROVEEDORES[[#This Row],[FECHA DE PAGO]]=PROVEEDORES[[#This Row],[FECHA DE FACTURACIÓN]],"DE CONTADO","CRÉDITO")</f>
        <v>CRÉDITO</v>
      </c>
      <c r="B529" s="70" t="b">
        <f>+IF((PROVEEDORES[[#This Row],[FECHA DE PAGO]]-PROVEEDORES[[#This Row],[FECHA DE FACTURACIÓN]])&gt;PROVEEDORES[[#This Row],[PLAZO Días]],"PAGO VENCIDO")</f>
        <v>0</v>
      </c>
      <c r="C529" s="27">
        <f>+VLOOKUP(PROVEEDORES[[#This Row],[PROVEEDOR]],TERCEROS_INFO[#All],2,FALSE)</f>
        <v>30</v>
      </c>
      <c r="D529" s="37">
        <f>+SUMIFS(PROVEEDORES[Total],PROVEEDORES[PROVEEDOR],PROVEEDORES[[#This Row],[PROVEEDOR]],PROVEEDORES[FECHA DE PAGO],"")</f>
        <v>0</v>
      </c>
      <c r="E529" s="37"/>
      <c r="F529" s="108" t="str">
        <f>+VLOOKUP(PROVEEDORES[[#This Row],[PROVEEDOR]],TERCEROS_INFO[[PROVEEDOR]:[CORREO]],5,FALSE)</f>
        <v/>
      </c>
      <c r="G529" s="143">
        <v>44368</v>
      </c>
      <c r="H529" s="38" t="s">
        <v>295</v>
      </c>
      <c r="I529" s="30">
        <v>44366</v>
      </c>
      <c r="J529" s="58" t="s">
        <v>1162</v>
      </c>
      <c r="K529" s="32">
        <f>629.08*3800</f>
        <v>2390504</v>
      </c>
      <c r="L529" s="32"/>
      <c r="M529" s="33">
        <f>(PROVEEDORES[[#This Row],[SUBTOTAL]]-PROVEEDORES[[#This Row],[descuento antes de IVA]])*VLOOKUP(PROVEEDORES[[#This Row],[PROVEEDOR]],TERCEROS_INFO[#All],3,FALSE)</f>
        <v>0</v>
      </c>
      <c r="N529" s="34"/>
      <c r="O529" s="33">
        <f>+PROVEEDORES[[#This Row],[Descuento sobre subtotal %]]*(PROVEEDORES[[#This Row],[SUBTOTAL]]-PROVEEDORES[[#This Row],[descuento antes de IVA]])</f>
        <v>0</v>
      </c>
      <c r="P5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29" s="33">
        <f>+(PROVEEDORES[[#This Row],[SUBTOTAL]]-PROVEEDORES[[#This Row],[descuento antes de IVA]])*PROVEEDORES[[#This Row],[Rete Fuente %]]</f>
        <v>0</v>
      </c>
      <c r="R529" s="32">
        <f>+PROVEEDORES[[#This Row],[SUBTOTAL]]+PROVEEDORES[[#This Row],[IVA 19%]]-PROVEEDORES[[#This Row],[descuento antes de IVA]]-PROVEEDORES[[#This Row],[Descuento sobre subtotal $]]-PROVEEDORES[[#This Row],[Rete Fuente $]]</f>
        <v>2390504</v>
      </c>
      <c r="S529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9" s="40"/>
      <c r="U529" s="97"/>
      <c r="V529" s="36"/>
      <c r="W529" s="36"/>
      <c r="X529" s="36"/>
      <c r="Y529" s="36"/>
      <c r="Z529" s="41"/>
      <c r="AA529" s="42"/>
      <c r="AF529" s="36"/>
      <c r="AG529" s="36"/>
    </row>
    <row r="530" spans="1:33" ht="21.95" hidden="1" customHeight="1" x14ac:dyDescent="0.25">
      <c r="A530" s="140" t="str">
        <f>+IF(PROVEEDORES[[#This Row],[FECHA DE PAGO]]=PROVEEDORES[[#This Row],[FECHA DE FACTURACIÓN]],"DE CONTADO","CRÉDITO")</f>
        <v>CRÉDITO</v>
      </c>
      <c r="B530" s="70" t="b">
        <f>+IF((PROVEEDORES[[#This Row],[FECHA DE PAGO]]-PROVEEDORES[[#This Row],[FECHA DE FACTURACIÓN]])&gt;PROVEEDORES[[#This Row],[PLAZO Días]],"PAGO VENCIDO")</f>
        <v>0</v>
      </c>
      <c r="C530" s="27">
        <f>+VLOOKUP(PROVEEDORES[[#This Row],[PROVEEDOR]],TERCEROS_INFO[#All],2,FALSE)</f>
        <v>30</v>
      </c>
      <c r="D530" s="37">
        <f>+SUMIFS(PROVEEDORES[Total],PROVEEDORES[PROVEEDOR],PROVEEDORES[[#This Row],[PROVEEDOR]],PROVEEDORES[FECHA DE PAGO],"")</f>
        <v>0</v>
      </c>
      <c r="E530" s="37"/>
      <c r="F530" s="108" t="str">
        <f>+VLOOKUP(PROVEEDORES[[#This Row],[PROVEEDOR]],TERCEROS_INFO[[PROVEEDOR]:[CORREO]],5,FALSE)</f>
        <v/>
      </c>
      <c r="G530" s="143">
        <v>44417</v>
      </c>
      <c r="H530" s="38" t="s">
        <v>295</v>
      </c>
      <c r="I530" s="30">
        <v>44414</v>
      </c>
      <c r="J530" s="58">
        <v>309339</v>
      </c>
      <c r="K530" s="32">
        <f>312.71*4000</f>
        <v>1250840</v>
      </c>
      <c r="L530" s="32"/>
      <c r="M530" s="33">
        <f>(PROVEEDORES[[#This Row],[SUBTOTAL]]-PROVEEDORES[[#This Row],[descuento antes de IVA]])*VLOOKUP(PROVEEDORES[[#This Row],[PROVEEDOR]],TERCEROS_INFO[#All],3,FALSE)</f>
        <v>0</v>
      </c>
      <c r="N530" s="34"/>
      <c r="O530" s="33">
        <f>+PROVEEDORES[[#This Row],[Descuento sobre subtotal %]]*(PROVEEDORES[[#This Row],[SUBTOTAL]]-PROVEEDORES[[#This Row],[descuento antes de IVA]])</f>
        <v>0</v>
      </c>
      <c r="P5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0" s="33">
        <f>+(PROVEEDORES[[#This Row],[SUBTOTAL]]-PROVEEDORES[[#This Row],[descuento antes de IVA]])*PROVEEDORES[[#This Row],[Rete Fuente %]]</f>
        <v>0</v>
      </c>
      <c r="R530" s="32">
        <f>+PROVEEDORES[[#This Row],[SUBTOTAL]]+PROVEEDORES[[#This Row],[IVA 19%]]-PROVEEDORES[[#This Row],[descuento antes de IVA]]-PROVEEDORES[[#This Row],[Descuento sobre subtotal $]]-PROVEEDORES[[#This Row],[Rete Fuente $]]</f>
        <v>1250840</v>
      </c>
      <c r="S530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0" s="40"/>
      <c r="U530" s="97"/>
      <c r="V530" s="36"/>
      <c r="W530" s="36"/>
      <c r="X530" s="36"/>
      <c r="Y530" s="36"/>
      <c r="Z530" s="41"/>
      <c r="AA530" s="42"/>
      <c r="AF530" s="36"/>
      <c r="AG530" s="36"/>
    </row>
    <row r="531" spans="1:33" ht="21.95" hidden="1" customHeight="1" x14ac:dyDescent="0.25">
      <c r="A531" s="161" t="str">
        <f>+IF(PROVEEDORES[[#This Row],[FECHA DE PAGO]]=PROVEEDORES[[#This Row],[FECHA DE FACTURACIÓN]],"DE CONTADO","CRÉDITO")</f>
        <v>CRÉDITO</v>
      </c>
      <c r="B531" s="70" t="b">
        <f>+IF((PROVEEDORES[[#This Row],[FECHA DE PAGO]]-PROVEEDORES[[#This Row],[FECHA DE FACTURACIÓN]])&gt;PROVEEDORES[[#This Row],[PLAZO Días]],"PAGO VENCIDO")</f>
        <v>0</v>
      </c>
      <c r="C531" s="27">
        <f>+VLOOKUP(PROVEEDORES[[#This Row],[PROVEEDOR]],TERCEROS_INFO[#All],2,FALSE)</f>
        <v>30</v>
      </c>
      <c r="D531" s="37">
        <f>+SUMIFS(PROVEEDORES[Total],PROVEEDORES[PROVEEDOR],PROVEEDORES[[#This Row],[PROVEEDOR]],PROVEEDORES[FECHA DE PAGO],"")</f>
        <v>0</v>
      </c>
      <c r="E531" s="37"/>
      <c r="F531" s="108" t="str">
        <f>+VLOOKUP(PROVEEDORES[[#This Row],[PROVEEDOR]],TERCEROS_INFO[[PROVEEDOR]:[CORREO]],5,FALSE)</f>
        <v/>
      </c>
      <c r="G531" s="143">
        <v>44492</v>
      </c>
      <c r="H531" s="38" t="s">
        <v>295</v>
      </c>
      <c r="I531" s="30">
        <v>44491</v>
      </c>
      <c r="J531" s="58" t="s">
        <v>1280</v>
      </c>
      <c r="K531" s="32">
        <f>349.47*3800</f>
        <v>1327986</v>
      </c>
      <c r="L531" s="32"/>
      <c r="M531" s="33">
        <f>(PROVEEDORES[[#This Row],[SUBTOTAL]]-PROVEEDORES[[#This Row],[descuento antes de IVA]])*VLOOKUP(PROVEEDORES[[#This Row],[PROVEEDOR]],TERCEROS_INFO[#All],3,FALSE)</f>
        <v>0</v>
      </c>
      <c r="N531" s="34"/>
      <c r="O531" s="33">
        <f>+PROVEEDORES[[#This Row],[Descuento sobre subtotal %]]*(PROVEEDORES[[#This Row],[SUBTOTAL]]-PROVEEDORES[[#This Row],[descuento antes de IVA]])</f>
        <v>0</v>
      </c>
      <c r="P5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1" s="33">
        <f>+(PROVEEDORES[[#This Row],[SUBTOTAL]]-PROVEEDORES[[#This Row],[descuento antes de IVA]])*PROVEEDORES[[#This Row],[Rete Fuente %]]</f>
        <v>0</v>
      </c>
      <c r="R531" s="32">
        <f>+PROVEEDORES[[#This Row],[SUBTOTAL]]+PROVEEDORES[[#This Row],[IVA 19%]]-PROVEEDORES[[#This Row],[descuento antes de IVA]]-PROVEEDORES[[#This Row],[Descuento sobre subtotal $]]-PROVEEDORES[[#This Row],[Rete Fuente $]]</f>
        <v>1327986</v>
      </c>
      <c r="S531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1" s="40"/>
      <c r="U531" s="97"/>
      <c r="V531" s="36"/>
      <c r="W531" s="36"/>
      <c r="X531" s="36"/>
      <c r="Y531" s="36"/>
      <c r="Z531" s="41"/>
      <c r="AA531" s="42"/>
      <c r="AF531" s="36"/>
      <c r="AG531" s="36"/>
    </row>
    <row r="532" spans="1:33" ht="21.95" hidden="1" customHeight="1" x14ac:dyDescent="0.25">
      <c r="A532" s="35" t="str">
        <f>+IF(PROVEEDORES[[#This Row],[FECHA DE PAGO]]=PROVEEDORES[[#This Row],[FECHA DE FACTURACIÓN]],"DE CONTADO","CRÉDITO")</f>
        <v>CRÉDITO</v>
      </c>
      <c r="B532" s="70" t="b">
        <f>+IF((PROVEEDORES[[#This Row],[FECHA DE PAGO]]-PROVEEDORES[[#This Row],[FECHA DE FACTURACIÓN]])&gt;PROVEEDORES[[#This Row],[PLAZO Días]],"PAGO VENCIDO")</f>
        <v>0</v>
      </c>
      <c r="C532" s="27">
        <f>+VLOOKUP(PROVEEDORES[[#This Row],[PROVEEDOR]],TERCEROS_INFO[#All],2,FALSE)</f>
        <v>30</v>
      </c>
      <c r="D532" s="37">
        <f>+SUMIFS(PROVEEDORES[Total],PROVEEDORES[PROVEEDOR],PROVEEDORES[[#This Row],[PROVEEDOR]],PROVEEDORES[FECHA DE PAGO],"")</f>
        <v>0</v>
      </c>
      <c r="E532" s="37"/>
      <c r="F532" s="108" t="str">
        <f>+VLOOKUP(PROVEEDORES[[#This Row],[PROVEEDOR]],TERCEROS_INFO[[PROVEEDOR]:[CORREO]],5,FALSE)</f>
        <v/>
      </c>
      <c r="G532" s="143">
        <v>44536</v>
      </c>
      <c r="H532" s="38" t="s">
        <v>295</v>
      </c>
      <c r="I532" s="30">
        <v>44531</v>
      </c>
      <c r="J532" s="58" t="s">
        <v>1009</v>
      </c>
      <c r="K532" s="32">
        <f>609.55*3900</f>
        <v>2377245</v>
      </c>
      <c r="L532" s="32"/>
      <c r="M532" s="33">
        <f>(PROVEEDORES[[#This Row],[SUBTOTAL]]-PROVEEDORES[[#This Row],[descuento antes de IVA]])*VLOOKUP(PROVEEDORES[[#This Row],[PROVEEDOR]],TERCEROS_INFO[#All],3,FALSE)</f>
        <v>0</v>
      </c>
      <c r="N532" s="34"/>
      <c r="O532" s="33">
        <f>+PROVEEDORES[[#This Row],[Descuento sobre subtotal %]]*(PROVEEDORES[[#This Row],[SUBTOTAL]]-PROVEEDORES[[#This Row],[descuento antes de IVA]])</f>
        <v>0</v>
      </c>
      <c r="P5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2" s="33">
        <f>+(PROVEEDORES[[#This Row],[SUBTOTAL]]-PROVEEDORES[[#This Row],[descuento antes de IVA]])*PROVEEDORES[[#This Row],[Rete Fuente %]]</f>
        <v>0</v>
      </c>
      <c r="R532" s="32">
        <f>+PROVEEDORES[[#This Row],[SUBTOTAL]]+PROVEEDORES[[#This Row],[IVA 19%]]-PROVEEDORES[[#This Row],[descuento antes de IVA]]-PROVEEDORES[[#This Row],[Descuento sobre subtotal $]]-PROVEEDORES[[#This Row],[Rete Fuente $]]</f>
        <v>2377245</v>
      </c>
      <c r="S53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2" s="40"/>
      <c r="U532" s="97"/>
      <c r="V532" s="36"/>
      <c r="W532" s="36"/>
      <c r="X532" s="36"/>
      <c r="Y532" s="36"/>
      <c r="Z532" s="41"/>
      <c r="AA532" s="42"/>
      <c r="AF532" s="36"/>
      <c r="AG532" s="36"/>
    </row>
    <row r="533" spans="1:33" ht="21.95" hidden="1" customHeight="1" x14ac:dyDescent="0.25">
      <c r="A533" s="39" t="str">
        <f>+IF(PROVEEDORES[[#This Row],[FECHA DE PAGO]]=PROVEEDORES[[#This Row],[FECHA DE FACTURACIÓN]],"DE CONTADO","CRÉDITO")</f>
        <v>DE CONTADO</v>
      </c>
      <c r="B533" s="69" t="b">
        <f>+IF((PROVEEDORES[[#This Row],[FECHA DE PAGO]]-PROVEEDORES[[#This Row],[FECHA DE FACTURACIÓN]])&gt;PROVEEDORES[[#This Row],[PLAZO Días]],"PAGO VENCIDO")</f>
        <v>0</v>
      </c>
      <c r="C533" s="27">
        <f>+VLOOKUP(PROVEEDORES[[#This Row],[PROVEEDOR]],TERCEROS_INFO[#All],2,FALSE)</f>
        <v>30</v>
      </c>
      <c r="D533" s="37">
        <f>+SUMIFS(PROVEEDORES[Total],PROVEEDORES[PROVEEDOR],PROVEEDORES[[#This Row],[PROVEEDOR]],PROVEEDORES[FECHA DE PAGO],"")</f>
        <v>165300</v>
      </c>
      <c r="E533" s="37"/>
      <c r="F533" s="108" t="str">
        <f>+VLOOKUP(PROVEEDORES[[#This Row],[PROVEEDOR]],TERCEROS_INFO[[PROVEEDOR]:[CORREO]],5,FALSE)</f>
        <v>swizzeraux2@gmail.com;girlesa.ruiz@servipilas.com;joriescobar64@gmail.com</v>
      </c>
      <c r="G533" s="143">
        <v>43999</v>
      </c>
      <c r="H533" s="38" t="s">
        <v>296</v>
      </c>
      <c r="I533" s="30">
        <v>43999</v>
      </c>
      <c r="J533" s="58" t="s">
        <v>1068</v>
      </c>
      <c r="K533" s="32">
        <v>140000</v>
      </c>
      <c r="L533" s="32"/>
      <c r="M533" s="33">
        <f>(PROVEEDORES[[#This Row],[SUBTOTAL]]-PROVEEDORES[[#This Row],[descuento antes de IVA]])*VLOOKUP(PROVEEDORES[[#This Row],[PROVEEDOR]],TERCEROS_INFO[#All],3,FALSE)</f>
        <v>0</v>
      </c>
      <c r="N533" s="34"/>
      <c r="O533" s="33">
        <f>+PROVEEDORES[[#This Row],[Descuento sobre subtotal %]]*(PROVEEDORES[[#This Row],[SUBTOTAL]]-PROVEEDORES[[#This Row],[descuento antes de IVA]])</f>
        <v>0</v>
      </c>
      <c r="P5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3" s="33">
        <f>+(PROVEEDORES[[#This Row],[SUBTOTAL]]-PROVEEDORES[[#This Row],[descuento antes de IVA]])*PROVEEDORES[[#This Row],[Rete Fuente %]]</f>
        <v>0</v>
      </c>
      <c r="R533" s="32">
        <f>+PROVEEDORES[[#This Row],[SUBTOTAL]]+PROVEEDORES[[#This Row],[IVA 19%]]-PROVEEDORES[[#This Row],[descuento antes de IVA]]-PROVEEDORES[[#This Row],[Descuento sobre subtotal $]]-PROVEEDORES[[#This Row],[Rete Fuente $]]</f>
        <v>140000</v>
      </c>
      <c r="S53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3" s="40"/>
      <c r="U533" s="97"/>
      <c r="V533" s="36"/>
      <c r="W533" s="36"/>
      <c r="X533" s="36"/>
      <c r="Y533" s="36"/>
      <c r="Z533" s="41"/>
      <c r="AA533" s="42"/>
      <c r="AF533" s="36"/>
      <c r="AG533" s="36"/>
    </row>
    <row r="534" spans="1:33" ht="21.95" hidden="1" customHeight="1" x14ac:dyDescent="0.25">
      <c r="A534" s="39" t="str">
        <f>+IF(PROVEEDORES[[#This Row],[FECHA DE PAGO]]=PROVEEDORES[[#This Row],[FECHA DE FACTURACIÓN]],"DE CONTADO","CRÉDITO")</f>
        <v>DE CONTADO</v>
      </c>
      <c r="B534" s="69" t="b">
        <f>+IF((PROVEEDORES[[#This Row],[FECHA DE PAGO]]-PROVEEDORES[[#This Row],[FECHA DE FACTURACIÓN]])&gt;PROVEEDORES[[#This Row],[PLAZO Días]],"PAGO VENCIDO")</f>
        <v>0</v>
      </c>
      <c r="C534" s="27">
        <f>+VLOOKUP(PROVEEDORES[[#This Row],[PROVEEDOR]],TERCEROS_INFO[#All],2,FALSE)</f>
        <v>30</v>
      </c>
      <c r="D534" s="37">
        <f>+SUMIFS(PROVEEDORES[Total],PROVEEDORES[PROVEEDOR],PROVEEDORES[[#This Row],[PROVEEDOR]],PROVEEDORES[FECHA DE PAGO],"")</f>
        <v>165300</v>
      </c>
      <c r="E534" s="37"/>
      <c r="F534" s="108" t="str">
        <f>+VLOOKUP(PROVEEDORES[[#This Row],[PROVEEDOR]],TERCEROS_INFO[[PROVEEDOR]:[CORREO]],5,FALSE)</f>
        <v>swizzeraux2@gmail.com;girlesa.ruiz@servipilas.com;joriescobar64@gmail.com</v>
      </c>
      <c r="G534" s="143">
        <v>44006</v>
      </c>
      <c r="H534" s="38" t="s">
        <v>296</v>
      </c>
      <c r="I534" s="30">
        <v>44006</v>
      </c>
      <c r="J534" s="58">
        <v>2183</v>
      </c>
      <c r="K534" s="32">
        <v>365000</v>
      </c>
      <c r="L534" s="32"/>
      <c r="M534" s="33">
        <f>(PROVEEDORES[[#This Row],[SUBTOTAL]]-PROVEEDORES[[#This Row],[descuento antes de IVA]])*VLOOKUP(PROVEEDORES[[#This Row],[PROVEEDOR]],TERCEROS_INFO[#All],3,FALSE)</f>
        <v>0</v>
      </c>
      <c r="N534" s="34"/>
      <c r="O534" s="33">
        <f>+PROVEEDORES[[#This Row],[Descuento sobre subtotal %]]*(PROVEEDORES[[#This Row],[SUBTOTAL]]-PROVEEDORES[[#This Row],[descuento antes de IVA]])</f>
        <v>0</v>
      </c>
      <c r="P5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4" s="33">
        <f>+(PROVEEDORES[[#This Row],[SUBTOTAL]]-PROVEEDORES[[#This Row],[descuento antes de IVA]])*PROVEEDORES[[#This Row],[Rete Fuente %]]</f>
        <v>0</v>
      </c>
      <c r="R534" s="32">
        <f>+PROVEEDORES[[#This Row],[SUBTOTAL]]+PROVEEDORES[[#This Row],[IVA 19%]]-PROVEEDORES[[#This Row],[descuento antes de IVA]]-PROVEEDORES[[#This Row],[Descuento sobre subtotal $]]-PROVEEDORES[[#This Row],[Rete Fuente $]]</f>
        <v>365000</v>
      </c>
      <c r="S53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4" s="40"/>
      <c r="U534" s="97"/>
      <c r="V534" s="36"/>
      <c r="W534" s="36"/>
      <c r="X534" s="36"/>
      <c r="Y534" s="36"/>
      <c r="Z534" s="41"/>
      <c r="AA534" s="42"/>
      <c r="AF534" s="36"/>
      <c r="AG534" s="36"/>
    </row>
    <row r="535" spans="1:33" ht="21.95" hidden="1" customHeight="1" x14ac:dyDescent="0.25">
      <c r="A535" s="39" t="str">
        <f>+IF(PROVEEDORES[[#This Row],[FECHA DE PAGO]]=PROVEEDORES[[#This Row],[FECHA DE FACTURACIÓN]],"DE CONTADO","CRÉDITO")</f>
        <v>DE CONTADO</v>
      </c>
      <c r="B535" s="69" t="b">
        <f>+IF((PROVEEDORES[[#This Row],[FECHA DE PAGO]]-PROVEEDORES[[#This Row],[FECHA DE FACTURACIÓN]])&gt;PROVEEDORES[[#This Row],[PLAZO Días]],"PAGO VENCIDO")</f>
        <v>0</v>
      </c>
      <c r="C535" s="27">
        <f>+VLOOKUP(PROVEEDORES[[#This Row],[PROVEEDOR]],TERCEROS_INFO[#All],2,FALSE)</f>
        <v>30</v>
      </c>
      <c r="D535" s="37">
        <f>+SUMIFS(PROVEEDORES[Total],PROVEEDORES[PROVEEDOR],PROVEEDORES[[#This Row],[PROVEEDOR]],PROVEEDORES[FECHA DE PAGO],"")</f>
        <v>165300</v>
      </c>
      <c r="E535" s="37"/>
      <c r="F535" s="108" t="str">
        <f>+VLOOKUP(PROVEEDORES[[#This Row],[PROVEEDOR]],TERCEROS_INFO[[PROVEEDOR]:[CORREO]],5,FALSE)</f>
        <v>swizzeraux2@gmail.com;girlesa.ruiz@servipilas.com;joriescobar64@gmail.com</v>
      </c>
      <c r="G535" s="143">
        <v>44015</v>
      </c>
      <c r="H535" s="38" t="s">
        <v>296</v>
      </c>
      <c r="I535" s="30">
        <v>44015</v>
      </c>
      <c r="J535" s="58">
        <v>2183</v>
      </c>
      <c r="K535" s="32">
        <v>365000</v>
      </c>
      <c r="L535" s="32"/>
      <c r="M535" s="33">
        <f>(PROVEEDORES[[#This Row],[SUBTOTAL]]-PROVEEDORES[[#This Row],[descuento antes de IVA]])*VLOOKUP(PROVEEDORES[[#This Row],[PROVEEDOR]],TERCEROS_INFO[#All],3,FALSE)</f>
        <v>0</v>
      </c>
      <c r="N535" s="34"/>
      <c r="O535" s="33">
        <f>+PROVEEDORES[[#This Row],[Descuento sobre subtotal %]]*(PROVEEDORES[[#This Row],[SUBTOTAL]]-PROVEEDORES[[#This Row],[descuento antes de IVA]])</f>
        <v>0</v>
      </c>
      <c r="P5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5" s="33">
        <f>+(PROVEEDORES[[#This Row],[SUBTOTAL]]-PROVEEDORES[[#This Row],[descuento antes de IVA]])*PROVEEDORES[[#This Row],[Rete Fuente %]]</f>
        <v>0</v>
      </c>
      <c r="R535" s="32">
        <f>+PROVEEDORES[[#This Row],[SUBTOTAL]]+PROVEEDORES[[#This Row],[IVA 19%]]-PROVEEDORES[[#This Row],[descuento antes de IVA]]-PROVEEDORES[[#This Row],[Descuento sobre subtotal $]]-PROVEEDORES[[#This Row],[Rete Fuente $]]</f>
        <v>365000</v>
      </c>
      <c r="S53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5" s="40"/>
      <c r="U535" s="97"/>
      <c r="V535" s="36"/>
      <c r="W535" s="36"/>
      <c r="X535" s="36"/>
      <c r="Y535" s="36"/>
      <c r="Z535" s="41"/>
      <c r="AA535" s="42"/>
      <c r="AF535" s="36"/>
      <c r="AG535" s="36"/>
    </row>
    <row r="536" spans="1:33" ht="21.95" hidden="1" customHeight="1" x14ac:dyDescent="0.25">
      <c r="A536" s="39" t="str">
        <f>+IF(PROVEEDORES[[#This Row],[FECHA DE PAGO]]=PROVEEDORES[[#This Row],[FECHA DE FACTURACIÓN]],"DE CONTADO","CRÉDITO")</f>
        <v>DE CONTADO</v>
      </c>
      <c r="B536" s="69" t="b">
        <f>+IF((PROVEEDORES[[#This Row],[FECHA DE PAGO]]-PROVEEDORES[[#This Row],[FECHA DE FACTURACIÓN]])&gt;PROVEEDORES[[#This Row],[PLAZO Días]],"PAGO VENCIDO")</f>
        <v>0</v>
      </c>
      <c r="C536" s="27">
        <f>+VLOOKUP(PROVEEDORES[[#This Row],[PROVEEDOR]],TERCEROS_INFO[#All],2,FALSE)</f>
        <v>30</v>
      </c>
      <c r="D536" s="37">
        <f>+SUMIFS(PROVEEDORES[Total],PROVEEDORES[PROVEEDOR],PROVEEDORES[[#This Row],[PROVEEDOR]],PROVEEDORES[FECHA DE PAGO],"")</f>
        <v>165300</v>
      </c>
      <c r="E536" s="37"/>
      <c r="F536" s="108" t="str">
        <f>+VLOOKUP(PROVEEDORES[[#This Row],[PROVEEDOR]],TERCEROS_INFO[[PROVEEDOR]:[CORREO]],5,FALSE)</f>
        <v>swizzeraux2@gmail.com;girlesa.ruiz@servipilas.com;joriescobar64@gmail.com</v>
      </c>
      <c r="G536" s="143">
        <v>44020</v>
      </c>
      <c r="H536" s="38" t="s">
        <v>296</v>
      </c>
      <c r="I536" s="30">
        <v>44020</v>
      </c>
      <c r="J536" s="58">
        <v>2201</v>
      </c>
      <c r="K536" s="32">
        <v>230000</v>
      </c>
      <c r="L536" s="32"/>
      <c r="M536" s="33">
        <f>(PROVEEDORES[[#This Row],[SUBTOTAL]]-PROVEEDORES[[#This Row],[descuento antes de IVA]])*VLOOKUP(PROVEEDORES[[#This Row],[PROVEEDOR]],TERCEROS_INFO[#All],3,FALSE)</f>
        <v>0</v>
      </c>
      <c r="N536" s="34"/>
      <c r="O536" s="33">
        <f>+PROVEEDORES[[#This Row],[Descuento sobre subtotal %]]*(PROVEEDORES[[#This Row],[SUBTOTAL]]-PROVEEDORES[[#This Row],[descuento antes de IVA]])</f>
        <v>0</v>
      </c>
      <c r="P5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6" s="33">
        <f>+(PROVEEDORES[[#This Row],[SUBTOTAL]]-PROVEEDORES[[#This Row],[descuento antes de IVA]])*PROVEEDORES[[#This Row],[Rete Fuente %]]</f>
        <v>0</v>
      </c>
      <c r="R536" s="32">
        <f>+PROVEEDORES[[#This Row],[SUBTOTAL]]+PROVEEDORES[[#This Row],[IVA 19%]]-PROVEEDORES[[#This Row],[descuento antes de IVA]]-PROVEEDORES[[#This Row],[Descuento sobre subtotal $]]-PROVEEDORES[[#This Row],[Rete Fuente $]]</f>
        <v>230000</v>
      </c>
      <c r="S53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6" s="40"/>
      <c r="U536" s="97"/>
      <c r="V536" s="36"/>
      <c r="W536" s="36"/>
      <c r="X536" s="36"/>
      <c r="Y536" s="36"/>
      <c r="Z536" s="41"/>
      <c r="AA536" s="42"/>
      <c r="AF536" s="36"/>
      <c r="AG536" s="36"/>
    </row>
    <row r="537" spans="1:33" ht="21.95" hidden="1" customHeight="1" x14ac:dyDescent="0.25">
      <c r="A537" s="39" t="str">
        <f>+IF(PROVEEDORES[[#This Row],[FECHA DE PAGO]]=PROVEEDORES[[#This Row],[FECHA DE FACTURACIÓN]],"DE CONTADO","CRÉDITO")</f>
        <v>CRÉDITO</v>
      </c>
      <c r="B537" s="69" t="b">
        <f>+IF((PROVEEDORES[[#This Row],[FECHA DE PAGO]]-PROVEEDORES[[#This Row],[FECHA DE FACTURACIÓN]])&gt;PROVEEDORES[[#This Row],[PLAZO Días]],"PAGO VENCIDO")</f>
        <v>0</v>
      </c>
      <c r="C537" s="27">
        <f>+VLOOKUP(PROVEEDORES[[#This Row],[PROVEEDOR]],TERCEROS_INFO[#All],2,FALSE)</f>
        <v>30</v>
      </c>
      <c r="D537" s="37">
        <f>+SUMIFS(PROVEEDORES[Total],PROVEEDORES[PROVEEDOR],PROVEEDORES[[#This Row],[PROVEEDOR]],PROVEEDORES[FECHA DE PAGO],"")</f>
        <v>165300</v>
      </c>
      <c r="E537" s="37"/>
      <c r="F537" s="108" t="str">
        <f>+VLOOKUP(PROVEEDORES[[#This Row],[PROVEEDOR]],TERCEROS_INFO[[PROVEEDOR]:[CORREO]],5,FALSE)</f>
        <v>swizzeraux2@gmail.com;girlesa.ruiz@servipilas.com;joriescobar64@gmail.com</v>
      </c>
      <c r="G537" s="143">
        <v>44091</v>
      </c>
      <c r="H537" s="38" t="s">
        <v>296</v>
      </c>
      <c r="I537" s="30">
        <v>44078</v>
      </c>
      <c r="J537" s="58"/>
      <c r="K537" s="32">
        <v>6098000</v>
      </c>
      <c r="L537" s="32"/>
      <c r="M537" s="33">
        <f>(PROVEEDORES[[#This Row],[SUBTOTAL]]-PROVEEDORES[[#This Row],[descuento antes de IVA]])*VLOOKUP(PROVEEDORES[[#This Row],[PROVEEDOR]],TERCEROS_INFO[#All],3,FALSE)</f>
        <v>0</v>
      </c>
      <c r="N537" s="34"/>
      <c r="O537" s="33">
        <f>+PROVEEDORES[[#This Row],[Descuento sobre subtotal %]]*(PROVEEDORES[[#This Row],[SUBTOTAL]]-PROVEEDORES[[#This Row],[descuento antes de IVA]])</f>
        <v>0</v>
      </c>
      <c r="P5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7" s="33">
        <f>+(PROVEEDORES[[#This Row],[SUBTOTAL]]-PROVEEDORES[[#This Row],[descuento antes de IVA]])*PROVEEDORES[[#This Row],[Rete Fuente %]]</f>
        <v>0</v>
      </c>
      <c r="R537" s="32">
        <f>+PROVEEDORES[[#This Row],[SUBTOTAL]]+PROVEEDORES[[#This Row],[IVA 19%]]-PROVEEDORES[[#This Row],[descuento antes de IVA]]-PROVEEDORES[[#This Row],[Descuento sobre subtotal $]]-PROVEEDORES[[#This Row],[Rete Fuente $]]</f>
        <v>6098000</v>
      </c>
      <c r="S53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7" s="40"/>
      <c r="U537" s="97"/>
      <c r="V537" s="36"/>
      <c r="W537" s="36"/>
      <c r="X537" s="36"/>
      <c r="Y537" s="36"/>
      <c r="Z537" s="41"/>
      <c r="AA537" s="42"/>
      <c r="AF537" s="36"/>
      <c r="AG537" s="36"/>
    </row>
    <row r="538" spans="1:33" ht="21.95" hidden="1" customHeight="1" x14ac:dyDescent="0.25">
      <c r="A538" s="39" t="str">
        <f>+IF(PROVEEDORES[[#This Row],[FECHA DE PAGO]]=PROVEEDORES[[#This Row],[FECHA DE FACTURACIÓN]],"DE CONTADO","CRÉDITO")</f>
        <v>CRÉDITO</v>
      </c>
      <c r="B538" s="69" t="b">
        <f>+IF((PROVEEDORES[[#This Row],[FECHA DE PAGO]]-PROVEEDORES[[#This Row],[FECHA DE FACTURACIÓN]])&gt;PROVEEDORES[[#This Row],[PLAZO Días]],"PAGO VENCIDO")</f>
        <v>0</v>
      </c>
      <c r="C538" s="27">
        <f>+VLOOKUP(PROVEEDORES[[#This Row],[PROVEEDOR]],TERCEROS_INFO[#All],2,FALSE)</f>
        <v>30</v>
      </c>
      <c r="D538" s="37">
        <f>+SUMIFS(PROVEEDORES[Total],PROVEEDORES[PROVEEDOR],PROVEEDORES[[#This Row],[PROVEEDOR]],PROVEEDORES[FECHA DE PAGO],"")</f>
        <v>165300</v>
      </c>
      <c r="E538" s="37"/>
      <c r="F538" s="108" t="str">
        <f>+VLOOKUP(PROVEEDORES[[#This Row],[PROVEEDOR]],TERCEROS_INFO[[PROVEEDOR]:[CORREO]],5,FALSE)</f>
        <v>swizzeraux2@gmail.com;girlesa.ruiz@servipilas.com;joriescobar64@gmail.com</v>
      </c>
      <c r="G538" s="143">
        <v>44091</v>
      </c>
      <c r="H538" s="38" t="s">
        <v>296</v>
      </c>
      <c r="I538" s="30">
        <v>44078</v>
      </c>
      <c r="J538" s="58"/>
      <c r="K538" s="32">
        <v>4194000</v>
      </c>
      <c r="L538" s="32"/>
      <c r="M538" s="33">
        <f>(PROVEEDORES[[#This Row],[SUBTOTAL]]-PROVEEDORES[[#This Row],[descuento antes de IVA]])*VLOOKUP(PROVEEDORES[[#This Row],[PROVEEDOR]],TERCEROS_INFO[#All],3,FALSE)</f>
        <v>0</v>
      </c>
      <c r="N538" s="34">
        <v>0.24539818788745826</v>
      </c>
      <c r="O538" s="33">
        <f>+PROVEEDORES[[#This Row],[Descuento sobre subtotal %]]*(PROVEEDORES[[#This Row],[SUBTOTAL]]-PROVEEDORES[[#This Row],[descuento antes de IVA]])</f>
        <v>1029200</v>
      </c>
      <c r="P5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8" s="33">
        <f>+(PROVEEDORES[[#This Row],[SUBTOTAL]]-PROVEEDORES[[#This Row],[descuento antes de IVA]])*PROVEEDORES[[#This Row],[Rete Fuente %]]</f>
        <v>0</v>
      </c>
      <c r="R538" s="32">
        <f>+PROVEEDORES[[#This Row],[SUBTOTAL]]+PROVEEDORES[[#This Row],[IVA 19%]]-PROVEEDORES[[#This Row],[descuento antes de IVA]]-PROVEEDORES[[#This Row],[Descuento sobre subtotal $]]-PROVEEDORES[[#This Row],[Rete Fuente $]]</f>
        <v>3164800</v>
      </c>
      <c r="S53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8" s="40"/>
      <c r="U538" s="97"/>
      <c r="V538" s="36"/>
      <c r="W538" s="36"/>
      <c r="X538" s="36"/>
      <c r="Y538" s="36"/>
      <c r="Z538" s="41"/>
      <c r="AA538" s="42"/>
      <c r="AF538" s="36"/>
      <c r="AG538" s="36"/>
    </row>
    <row r="539" spans="1:33" ht="21.95" hidden="1" customHeight="1" x14ac:dyDescent="0.25">
      <c r="A539" s="39" t="str">
        <f>+IF(PROVEEDORES[[#This Row],[FECHA DE PAGO]]=PROVEEDORES[[#This Row],[FECHA DE FACTURACIÓN]],"DE CONTADO","CRÉDITO")</f>
        <v>CRÉDITO</v>
      </c>
      <c r="B539" s="69" t="b">
        <f>+IF((PROVEEDORES[[#This Row],[FECHA DE PAGO]]-PROVEEDORES[[#This Row],[FECHA DE FACTURACIÓN]])&gt;PROVEEDORES[[#This Row],[PLAZO Días]],"PAGO VENCIDO")</f>
        <v>0</v>
      </c>
      <c r="C539" s="27">
        <f>+VLOOKUP(PROVEEDORES[[#This Row],[PROVEEDOR]],TERCEROS_INFO[#All],2,FALSE)</f>
        <v>30</v>
      </c>
      <c r="D539" s="37">
        <f>+SUMIFS(PROVEEDORES[Total],PROVEEDORES[PROVEEDOR],PROVEEDORES[[#This Row],[PROVEEDOR]],PROVEEDORES[FECHA DE PAGO],"")</f>
        <v>165300</v>
      </c>
      <c r="E539" s="37"/>
      <c r="F539" s="108" t="str">
        <f>+VLOOKUP(PROVEEDORES[[#This Row],[PROVEEDOR]],TERCEROS_INFO[[PROVEEDOR]:[CORREO]],5,FALSE)</f>
        <v>swizzeraux2@gmail.com;girlesa.ruiz@servipilas.com;joriescobar64@gmail.com</v>
      </c>
      <c r="G539" s="143">
        <v>44131</v>
      </c>
      <c r="H539" s="38" t="s">
        <v>296</v>
      </c>
      <c r="I539" s="30">
        <v>44119</v>
      </c>
      <c r="J539" s="58">
        <v>2410</v>
      </c>
      <c r="K539" s="32">
        <v>328500</v>
      </c>
      <c r="L539" s="32"/>
      <c r="M539" s="33">
        <f>(PROVEEDORES[[#This Row],[SUBTOTAL]]-PROVEEDORES[[#This Row],[descuento antes de IVA]])*VLOOKUP(PROVEEDORES[[#This Row],[PROVEEDOR]],TERCEROS_INFO[#All],3,FALSE)</f>
        <v>0</v>
      </c>
      <c r="N539" s="34"/>
      <c r="O539" s="33">
        <f>+PROVEEDORES[[#This Row],[Descuento sobre subtotal %]]*(PROVEEDORES[[#This Row],[SUBTOTAL]]-PROVEEDORES[[#This Row],[descuento antes de IVA]])</f>
        <v>0</v>
      </c>
      <c r="P5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39" s="33">
        <f>+(PROVEEDORES[[#This Row],[SUBTOTAL]]-PROVEEDORES[[#This Row],[descuento antes de IVA]])*PROVEEDORES[[#This Row],[Rete Fuente %]]</f>
        <v>0</v>
      </c>
      <c r="R539" s="32">
        <f>+PROVEEDORES[[#This Row],[SUBTOTAL]]+PROVEEDORES[[#This Row],[IVA 19%]]-PROVEEDORES[[#This Row],[descuento antes de IVA]]-PROVEEDORES[[#This Row],[Descuento sobre subtotal $]]-PROVEEDORES[[#This Row],[Rete Fuente $]]</f>
        <v>328500</v>
      </c>
      <c r="S53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9" s="40"/>
      <c r="U539" s="97"/>
      <c r="V539" s="36"/>
      <c r="W539" s="36"/>
      <c r="X539" s="36"/>
      <c r="Y539" s="36"/>
      <c r="Z539" s="41"/>
      <c r="AA539" s="42"/>
      <c r="AF539" s="36"/>
      <c r="AG539" s="36"/>
    </row>
    <row r="540" spans="1:33" ht="21.95" hidden="1" customHeight="1" x14ac:dyDescent="0.25">
      <c r="A540" s="39" t="str">
        <f>+IF(PROVEEDORES[[#This Row],[FECHA DE PAGO]]=PROVEEDORES[[#This Row],[FECHA DE FACTURACIÓN]],"DE CONTADO","CRÉDITO")</f>
        <v>CRÉDITO</v>
      </c>
      <c r="B540" s="69" t="b">
        <f>+IF((PROVEEDORES[[#This Row],[FECHA DE PAGO]]-PROVEEDORES[[#This Row],[FECHA DE FACTURACIÓN]])&gt;PROVEEDORES[[#This Row],[PLAZO Días]],"PAGO VENCIDO")</f>
        <v>0</v>
      </c>
      <c r="C540" s="27">
        <f>+VLOOKUP(PROVEEDORES[[#This Row],[PROVEEDOR]],TERCEROS_INFO[#All],2,FALSE)</f>
        <v>30</v>
      </c>
      <c r="D540" s="37">
        <f>+SUMIFS(PROVEEDORES[Total],PROVEEDORES[PROVEEDOR],PROVEEDORES[[#This Row],[PROVEEDOR]],PROVEEDORES[FECHA DE PAGO],"")</f>
        <v>165300</v>
      </c>
      <c r="E540" s="37"/>
      <c r="F540" s="108" t="str">
        <f>+VLOOKUP(PROVEEDORES[[#This Row],[PROVEEDOR]],TERCEROS_INFO[[PROVEEDOR]:[CORREO]],5,FALSE)</f>
        <v>swizzeraux2@gmail.com;girlesa.ruiz@servipilas.com;joriescobar64@gmail.com</v>
      </c>
      <c r="G540" s="143">
        <v>44131</v>
      </c>
      <c r="H540" s="38" t="s">
        <v>296</v>
      </c>
      <c r="I540" s="30">
        <v>44119</v>
      </c>
      <c r="J540" s="58">
        <v>2410</v>
      </c>
      <c r="K540" s="32">
        <v>35000</v>
      </c>
      <c r="L540" s="32"/>
      <c r="M540" s="33">
        <f>(PROVEEDORES[[#This Row],[SUBTOTAL]]-PROVEEDORES[[#This Row],[descuento antes de IVA]])*VLOOKUP(PROVEEDORES[[#This Row],[PROVEEDOR]],TERCEROS_INFO[#All],3,FALSE)</f>
        <v>0</v>
      </c>
      <c r="N540" s="34"/>
      <c r="O540" s="33">
        <f>+PROVEEDORES[[#This Row],[Descuento sobre subtotal %]]*(PROVEEDORES[[#This Row],[SUBTOTAL]]-PROVEEDORES[[#This Row],[descuento antes de IVA]])</f>
        <v>0</v>
      </c>
      <c r="P5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0" s="33">
        <f>+(PROVEEDORES[[#This Row],[SUBTOTAL]]-PROVEEDORES[[#This Row],[descuento antes de IVA]])*PROVEEDORES[[#This Row],[Rete Fuente %]]</f>
        <v>0</v>
      </c>
      <c r="R540" s="32">
        <f>+PROVEEDORES[[#This Row],[SUBTOTAL]]+PROVEEDORES[[#This Row],[IVA 19%]]-PROVEEDORES[[#This Row],[descuento antes de IVA]]-PROVEEDORES[[#This Row],[Descuento sobre subtotal $]]-PROVEEDORES[[#This Row],[Rete Fuente $]]</f>
        <v>35000</v>
      </c>
      <c r="S5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0" s="40"/>
      <c r="U540" s="97"/>
      <c r="V540" s="36"/>
      <c r="W540" s="36"/>
      <c r="X540" s="36"/>
      <c r="Y540" s="36"/>
      <c r="Z540" s="41"/>
      <c r="AA540" s="42"/>
      <c r="AF540" s="36"/>
      <c r="AG540" s="36"/>
    </row>
    <row r="541" spans="1:33" ht="21.95" hidden="1" customHeight="1" x14ac:dyDescent="0.25">
      <c r="A541" s="39" t="str">
        <f>+IF(PROVEEDORES[[#This Row],[FECHA DE PAGO]]=PROVEEDORES[[#This Row],[FECHA DE FACTURACIÓN]],"DE CONTADO","CRÉDITO")</f>
        <v>CRÉDITO</v>
      </c>
      <c r="B541" s="69" t="b">
        <f>+IF((PROVEEDORES[[#This Row],[FECHA DE PAGO]]-PROVEEDORES[[#This Row],[FECHA DE FACTURACIÓN]])&gt;PROVEEDORES[[#This Row],[PLAZO Días]],"PAGO VENCIDO")</f>
        <v>0</v>
      </c>
      <c r="C541" s="27">
        <f>+VLOOKUP(PROVEEDORES[[#This Row],[PROVEEDOR]],TERCEROS_INFO[#All],2,FALSE)</f>
        <v>30</v>
      </c>
      <c r="D541" s="37">
        <f>+SUMIFS(PROVEEDORES[Total],PROVEEDORES[PROVEEDOR],PROVEEDORES[[#This Row],[PROVEEDOR]],PROVEEDORES[FECHA DE PAGO],"")</f>
        <v>165300</v>
      </c>
      <c r="E541" s="37"/>
      <c r="F541" s="108" t="str">
        <f>+VLOOKUP(PROVEEDORES[[#This Row],[PROVEEDOR]],TERCEROS_INFO[[PROVEEDOR]:[CORREO]],5,FALSE)</f>
        <v>swizzeraux2@gmail.com;girlesa.ruiz@servipilas.com;joriescobar64@gmail.com</v>
      </c>
      <c r="G541" s="143">
        <v>44133</v>
      </c>
      <c r="H541" s="38" t="s">
        <v>296</v>
      </c>
      <c r="I541" s="30">
        <v>44131</v>
      </c>
      <c r="J541" s="58" t="s">
        <v>1085</v>
      </c>
      <c r="K541" s="32">
        <v>439550</v>
      </c>
      <c r="L541" s="32"/>
      <c r="M541" s="33">
        <f>(PROVEEDORES[[#This Row],[SUBTOTAL]]-PROVEEDORES[[#This Row],[descuento antes de IVA]])*VLOOKUP(PROVEEDORES[[#This Row],[PROVEEDOR]],TERCEROS_INFO[#All],3,FALSE)</f>
        <v>0</v>
      </c>
      <c r="N541" s="34"/>
      <c r="O541" s="33">
        <f>+PROVEEDORES[[#This Row],[Descuento sobre subtotal %]]*(PROVEEDORES[[#This Row],[SUBTOTAL]]-PROVEEDORES[[#This Row],[descuento antes de IVA]])</f>
        <v>0</v>
      </c>
      <c r="P5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1" s="33">
        <f>+(PROVEEDORES[[#This Row],[SUBTOTAL]]-PROVEEDORES[[#This Row],[descuento antes de IVA]])*PROVEEDORES[[#This Row],[Rete Fuente %]]</f>
        <v>0</v>
      </c>
      <c r="R541" s="32">
        <f>+PROVEEDORES[[#This Row],[SUBTOTAL]]+PROVEEDORES[[#This Row],[IVA 19%]]-PROVEEDORES[[#This Row],[descuento antes de IVA]]-PROVEEDORES[[#This Row],[Descuento sobre subtotal $]]-PROVEEDORES[[#This Row],[Rete Fuente $]]</f>
        <v>439550</v>
      </c>
      <c r="S5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1" s="40"/>
      <c r="U541" s="97"/>
      <c r="V541" s="36"/>
      <c r="W541" s="36"/>
      <c r="X541" s="36"/>
      <c r="Y541" s="36"/>
      <c r="Z541" s="41"/>
      <c r="AA541" s="42"/>
      <c r="AF541" s="36"/>
      <c r="AG541" s="36"/>
    </row>
    <row r="542" spans="1:33" ht="21.95" hidden="1" customHeight="1" x14ac:dyDescent="0.25">
      <c r="A542" s="39" t="str">
        <f>+IF(PROVEEDORES[[#This Row],[FECHA DE PAGO]]=PROVEEDORES[[#This Row],[FECHA DE FACTURACIÓN]],"DE CONTADO","CRÉDITO")</f>
        <v>CRÉDITO</v>
      </c>
      <c r="B542" s="69" t="str">
        <f>+IF((PROVEEDORES[[#This Row],[FECHA DE PAGO]]-PROVEEDORES[[#This Row],[FECHA DE FACTURACIÓN]])&gt;PROVEEDORES[[#This Row],[PLAZO Días]],"PAGO VENCIDO")</f>
        <v>PAGO VENCIDO</v>
      </c>
      <c r="C542" s="27">
        <f>+VLOOKUP(PROVEEDORES[[#This Row],[PROVEEDOR]],TERCEROS_INFO[#All],2,FALSE)</f>
        <v>30</v>
      </c>
      <c r="D542" s="37">
        <f>+SUMIFS(PROVEEDORES[Total],PROVEEDORES[PROVEEDOR],PROVEEDORES[[#This Row],[PROVEEDOR]],PROVEEDORES[FECHA DE PAGO],"")</f>
        <v>165300</v>
      </c>
      <c r="E542" s="37"/>
      <c r="F542" s="108" t="str">
        <f>+VLOOKUP(PROVEEDORES[[#This Row],[PROVEEDOR]],TERCEROS_INFO[[PROVEEDOR]:[CORREO]],5,FALSE)</f>
        <v>swizzeraux2@gmail.com;girlesa.ruiz@servipilas.com;joriescobar64@gmail.com</v>
      </c>
      <c r="G542" s="143">
        <v>44210</v>
      </c>
      <c r="H542" s="38" t="s">
        <v>296</v>
      </c>
      <c r="I542" s="30">
        <v>44138</v>
      </c>
      <c r="J542" s="58">
        <v>2458</v>
      </c>
      <c r="K542" s="32">
        <v>119000</v>
      </c>
      <c r="L542" s="32"/>
      <c r="M542" s="33">
        <f>(PROVEEDORES[[#This Row],[SUBTOTAL]]-PROVEEDORES[[#This Row],[descuento antes de IVA]])*VLOOKUP(PROVEEDORES[[#This Row],[PROVEEDOR]],TERCEROS_INFO[#All],3,FALSE)</f>
        <v>0</v>
      </c>
      <c r="N542" s="34"/>
      <c r="O542" s="33">
        <f>+PROVEEDORES[[#This Row],[Descuento sobre subtotal %]]*(PROVEEDORES[[#This Row],[SUBTOTAL]]-PROVEEDORES[[#This Row],[descuento antes de IVA]])</f>
        <v>0</v>
      </c>
      <c r="P5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2" s="33">
        <f>+(PROVEEDORES[[#This Row],[SUBTOTAL]]-PROVEEDORES[[#This Row],[descuento antes de IVA]])*PROVEEDORES[[#This Row],[Rete Fuente %]]</f>
        <v>0</v>
      </c>
      <c r="R542" s="32">
        <f>+PROVEEDORES[[#This Row],[SUBTOTAL]]+PROVEEDORES[[#This Row],[IVA 19%]]-PROVEEDORES[[#This Row],[descuento antes de IVA]]-PROVEEDORES[[#This Row],[Descuento sobre subtotal $]]-PROVEEDORES[[#This Row],[Rete Fuente $]]</f>
        <v>119000</v>
      </c>
      <c r="S5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2" s="40"/>
      <c r="U542" s="97"/>
      <c r="V542" s="36"/>
      <c r="W542" s="36"/>
      <c r="X542" s="36"/>
      <c r="Y542" s="36"/>
      <c r="Z542" s="41"/>
      <c r="AA542" s="42"/>
      <c r="AF542" s="36"/>
      <c r="AG542" s="36"/>
    </row>
    <row r="543" spans="1:33" ht="21.95" hidden="1" customHeight="1" x14ac:dyDescent="0.25">
      <c r="A543" s="39" t="str">
        <f>+IF(PROVEEDORES[[#This Row],[FECHA DE PAGO]]=PROVEEDORES[[#This Row],[FECHA DE FACTURACIÓN]],"DE CONTADO","CRÉDITO")</f>
        <v>CRÉDITO</v>
      </c>
      <c r="B543" s="69" t="b">
        <f>+IF((PROVEEDORES[[#This Row],[FECHA DE PAGO]]-PROVEEDORES[[#This Row],[FECHA DE FACTURACIÓN]])&gt;PROVEEDORES[[#This Row],[PLAZO Días]],"PAGO VENCIDO")</f>
        <v>0</v>
      </c>
      <c r="C543" s="27">
        <f>+VLOOKUP(PROVEEDORES[[#This Row],[PROVEEDOR]],TERCEROS_INFO[#All],2,FALSE)</f>
        <v>30</v>
      </c>
      <c r="D543" s="37">
        <f>+SUMIFS(PROVEEDORES[Total],PROVEEDORES[PROVEEDOR],PROVEEDORES[[#This Row],[PROVEEDOR]],PROVEEDORES[FECHA DE PAGO],"")</f>
        <v>165300</v>
      </c>
      <c r="E543" s="37"/>
      <c r="F543" s="108" t="str">
        <f>+VLOOKUP(PROVEEDORES[[#This Row],[PROVEEDOR]],TERCEROS_INFO[[PROVEEDOR]:[CORREO]],5,FALSE)</f>
        <v>swizzeraux2@gmail.com;girlesa.ruiz@servipilas.com;joriescobar64@gmail.com</v>
      </c>
      <c r="G543" s="143">
        <v>44155</v>
      </c>
      <c r="H543" s="38" t="s">
        <v>296</v>
      </c>
      <c r="I543" s="30">
        <v>44138</v>
      </c>
      <c r="J543" s="58" t="s">
        <v>1086</v>
      </c>
      <c r="K543" s="32">
        <v>2697900</v>
      </c>
      <c r="L543" s="32"/>
      <c r="M543" s="33">
        <f>(PROVEEDORES[[#This Row],[SUBTOTAL]]-PROVEEDORES[[#This Row],[descuento antes de IVA]])*VLOOKUP(PROVEEDORES[[#This Row],[PROVEEDOR]],TERCEROS_INFO[#All],3,FALSE)</f>
        <v>0</v>
      </c>
      <c r="N543" s="34">
        <v>0.17647058823529413</v>
      </c>
      <c r="O543" s="33">
        <f>+PROVEEDORES[[#This Row],[Descuento sobre subtotal %]]*(PROVEEDORES[[#This Row],[SUBTOTAL]]-PROVEEDORES[[#This Row],[descuento antes de IVA]])</f>
        <v>476100.00000000006</v>
      </c>
      <c r="P5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3" s="33">
        <f>+(PROVEEDORES[[#This Row],[SUBTOTAL]]-PROVEEDORES[[#This Row],[descuento antes de IVA]])*PROVEEDORES[[#This Row],[Rete Fuente %]]</f>
        <v>0</v>
      </c>
      <c r="R543" s="32">
        <f>+PROVEEDORES[[#This Row],[SUBTOTAL]]+PROVEEDORES[[#This Row],[IVA 19%]]-PROVEEDORES[[#This Row],[descuento antes de IVA]]-PROVEEDORES[[#This Row],[Descuento sobre subtotal $]]-PROVEEDORES[[#This Row],[Rete Fuente $]]</f>
        <v>2221800</v>
      </c>
      <c r="S5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3" s="40"/>
      <c r="U543" s="97"/>
      <c r="V543" s="36"/>
      <c r="W543" s="36"/>
      <c r="X543" s="36"/>
      <c r="Y543" s="36"/>
      <c r="Z543" s="41"/>
      <c r="AA543" s="42"/>
      <c r="AF543" s="36"/>
      <c r="AG543" s="36"/>
    </row>
    <row r="544" spans="1:33" ht="21.95" hidden="1" customHeight="1" x14ac:dyDescent="0.25">
      <c r="A544" s="39" t="str">
        <f>+IF(PROVEEDORES[[#This Row],[FECHA DE PAGO]]=PROVEEDORES[[#This Row],[FECHA DE FACTURACIÓN]],"DE CONTADO","CRÉDITO")</f>
        <v>CRÉDITO</v>
      </c>
      <c r="B544" s="69" t="str">
        <f>+IF((PROVEEDORES[[#This Row],[FECHA DE PAGO]]-PROVEEDORES[[#This Row],[FECHA DE FACTURACIÓN]])&gt;PROVEEDORES[[#This Row],[PLAZO Días]],"PAGO VENCIDO")</f>
        <v>PAGO VENCIDO</v>
      </c>
      <c r="C544" s="27">
        <f>+VLOOKUP(PROVEEDORES[[#This Row],[PROVEEDOR]],TERCEROS_INFO[#All],2,FALSE)</f>
        <v>30</v>
      </c>
      <c r="D544" s="37">
        <f>+SUMIFS(PROVEEDORES[Total],PROVEEDORES[PROVEEDOR],PROVEEDORES[[#This Row],[PROVEEDOR]],PROVEEDORES[FECHA DE PAGO],"")</f>
        <v>165300</v>
      </c>
      <c r="E544" s="37"/>
      <c r="F544" s="108" t="str">
        <f>+VLOOKUP(PROVEEDORES[[#This Row],[PROVEEDOR]],TERCEROS_INFO[[PROVEEDOR]:[CORREO]],5,FALSE)</f>
        <v>swizzeraux2@gmail.com;girlesa.ruiz@servipilas.com;joriescobar64@gmail.com</v>
      </c>
      <c r="G544" s="143">
        <v>44195</v>
      </c>
      <c r="H544" s="38" t="s">
        <v>296</v>
      </c>
      <c r="I544" s="30">
        <v>44153</v>
      </c>
      <c r="J544" s="58">
        <v>2483</v>
      </c>
      <c r="K544" s="32">
        <v>310250</v>
      </c>
      <c r="L544" s="32"/>
      <c r="M544" s="33">
        <f>(PROVEEDORES[[#This Row],[SUBTOTAL]]-PROVEEDORES[[#This Row],[descuento antes de IVA]])*VLOOKUP(PROVEEDORES[[#This Row],[PROVEEDOR]],TERCEROS_INFO[#All],3,FALSE)</f>
        <v>0</v>
      </c>
      <c r="N544" s="34"/>
      <c r="O544" s="33">
        <f>+PROVEEDORES[[#This Row],[Descuento sobre subtotal %]]*(PROVEEDORES[[#This Row],[SUBTOTAL]]-PROVEEDORES[[#This Row],[descuento antes de IVA]])</f>
        <v>0</v>
      </c>
      <c r="P5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4" s="33">
        <f>+(PROVEEDORES[[#This Row],[SUBTOTAL]]-PROVEEDORES[[#This Row],[descuento antes de IVA]])*PROVEEDORES[[#This Row],[Rete Fuente %]]</f>
        <v>0</v>
      </c>
      <c r="R544" s="32">
        <f>+PROVEEDORES[[#This Row],[SUBTOTAL]]+PROVEEDORES[[#This Row],[IVA 19%]]-PROVEEDORES[[#This Row],[descuento antes de IVA]]-PROVEEDORES[[#This Row],[Descuento sobre subtotal $]]-PROVEEDORES[[#This Row],[Rete Fuente $]]</f>
        <v>310250</v>
      </c>
      <c r="S5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4" s="40"/>
      <c r="U544" s="97"/>
      <c r="V544" s="36"/>
      <c r="W544" s="36"/>
      <c r="X544" s="36"/>
      <c r="Y544" s="36"/>
      <c r="Z544" s="41"/>
      <c r="AA544" s="42"/>
      <c r="AF544" s="36"/>
      <c r="AG544" s="36"/>
    </row>
    <row r="545" spans="1:33" ht="21.95" hidden="1" customHeight="1" x14ac:dyDescent="0.25">
      <c r="A545" s="39" t="str">
        <f>+IF(PROVEEDORES[[#This Row],[FECHA DE PAGO]]=PROVEEDORES[[#This Row],[FECHA DE FACTURACIÓN]],"DE CONTADO","CRÉDITO")</f>
        <v>CRÉDITO</v>
      </c>
      <c r="B545" s="69" t="str">
        <f>+IF((PROVEEDORES[[#This Row],[FECHA DE PAGO]]-PROVEEDORES[[#This Row],[FECHA DE FACTURACIÓN]])&gt;PROVEEDORES[[#This Row],[PLAZO Días]],"PAGO VENCIDO")</f>
        <v>PAGO VENCIDO</v>
      </c>
      <c r="C545" s="27">
        <f>+VLOOKUP(PROVEEDORES[[#This Row],[PROVEEDOR]],TERCEROS_INFO[#All],2,FALSE)</f>
        <v>30</v>
      </c>
      <c r="D545" s="37">
        <f>+SUMIFS(PROVEEDORES[Total],PROVEEDORES[PROVEEDOR],PROVEEDORES[[#This Row],[PROVEEDOR]],PROVEEDORES[FECHA DE PAGO],"")</f>
        <v>165300</v>
      </c>
      <c r="E545" s="37"/>
      <c r="F545" s="108" t="str">
        <f>+VLOOKUP(PROVEEDORES[[#This Row],[PROVEEDOR]],TERCEROS_INFO[[PROVEEDOR]:[CORREO]],5,FALSE)</f>
        <v>swizzeraux2@gmail.com;girlesa.ruiz@servipilas.com;joriescobar64@gmail.com</v>
      </c>
      <c r="G545" s="143">
        <v>44195</v>
      </c>
      <c r="H545" s="38" t="s">
        <v>296</v>
      </c>
      <c r="I545" s="30">
        <v>44158</v>
      </c>
      <c r="J545" s="58">
        <v>2506</v>
      </c>
      <c r="K545" s="32">
        <v>83000</v>
      </c>
      <c r="L545" s="32"/>
      <c r="M545" s="33">
        <f>(PROVEEDORES[[#This Row],[SUBTOTAL]]-PROVEEDORES[[#This Row],[descuento antes de IVA]])*VLOOKUP(PROVEEDORES[[#This Row],[PROVEEDOR]],TERCEROS_INFO[#All],3,FALSE)</f>
        <v>0</v>
      </c>
      <c r="N545" s="34"/>
      <c r="O545" s="33">
        <f>+PROVEEDORES[[#This Row],[Descuento sobre subtotal %]]*(PROVEEDORES[[#This Row],[SUBTOTAL]]-PROVEEDORES[[#This Row],[descuento antes de IVA]])</f>
        <v>0</v>
      </c>
      <c r="P5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5" s="33">
        <f>+(PROVEEDORES[[#This Row],[SUBTOTAL]]-PROVEEDORES[[#This Row],[descuento antes de IVA]])*PROVEEDORES[[#This Row],[Rete Fuente %]]</f>
        <v>0</v>
      </c>
      <c r="R545" s="32">
        <f>+PROVEEDORES[[#This Row],[SUBTOTAL]]+PROVEEDORES[[#This Row],[IVA 19%]]-PROVEEDORES[[#This Row],[descuento antes de IVA]]-PROVEEDORES[[#This Row],[Descuento sobre subtotal $]]-PROVEEDORES[[#This Row],[Rete Fuente $]]</f>
        <v>83000</v>
      </c>
      <c r="S5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5" s="40"/>
      <c r="U545" s="97"/>
      <c r="V545" s="36"/>
      <c r="W545" s="36"/>
      <c r="X545" s="36"/>
      <c r="Y545" s="36"/>
      <c r="Z545" s="41"/>
      <c r="AA545" s="42"/>
      <c r="AF545" s="36"/>
      <c r="AG545" s="36"/>
    </row>
    <row r="546" spans="1:33" ht="21.95" hidden="1" customHeight="1" x14ac:dyDescent="0.25">
      <c r="A546" s="39" t="str">
        <f>+IF(PROVEEDORES[[#This Row],[FECHA DE PAGO]]=PROVEEDORES[[#This Row],[FECHA DE FACTURACIÓN]],"DE CONTADO","CRÉDITO")</f>
        <v>CRÉDITO</v>
      </c>
      <c r="B546" s="69" t="b">
        <f>+IF((PROVEEDORES[[#This Row],[FECHA DE PAGO]]-PROVEEDORES[[#This Row],[FECHA DE FACTURACIÓN]])&gt;PROVEEDORES[[#This Row],[PLAZO Días]],"PAGO VENCIDO")</f>
        <v>0</v>
      </c>
      <c r="C546" s="27">
        <f>+VLOOKUP(PROVEEDORES[[#This Row],[PROVEEDOR]],TERCEROS_INFO[#All],2,FALSE)</f>
        <v>30</v>
      </c>
      <c r="D546" s="37">
        <f>+SUMIFS(PROVEEDORES[Total],PROVEEDORES[PROVEEDOR],PROVEEDORES[[#This Row],[PROVEEDOR]],PROVEEDORES[FECHA DE PAGO],"")</f>
        <v>165300</v>
      </c>
      <c r="E546" s="37"/>
      <c r="F546" s="108" t="str">
        <f>+VLOOKUP(PROVEEDORES[[#This Row],[PROVEEDOR]],TERCEROS_INFO[[PROVEEDOR]:[CORREO]],5,FALSE)</f>
        <v>swizzeraux2@gmail.com;girlesa.ruiz@servipilas.com;joriescobar64@gmail.com</v>
      </c>
      <c r="G546" s="143">
        <v>44195</v>
      </c>
      <c r="H546" s="38" t="s">
        <v>296</v>
      </c>
      <c r="I546" s="30">
        <v>44172</v>
      </c>
      <c r="J546" s="58">
        <v>2525</v>
      </c>
      <c r="K546" s="32">
        <v>157250</v>
      </c>
      <c r="L546" s="32"/>
      <c r="M546" s="33">
        <f>(PROVEEDORES[[#This Row],[SUBTOTAL]]-PROVEEDORES[[#This Row],[descuento antes de IVA]])*VLOOKUP(PROVEEDORES[[#This Row],[PROVEEDOR]],TERCEROS_INFO[#All],3,FALSE)</f>
        <v>0</v>
      </c>
      <c r="N546" s="34"/>
      <c r="O546" s="33">
        <f>+PROVEEDORES[[#This Row],[Descuento sobre subtotal %]]*(PROVEEDORES[[#This Row],[SUBTOTAL]]-PROVEEDORES[[#This Row],[descuento antes de IVA]])</f>
        <v>0</v>
      </c>
      <c r="P5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6" s="33">
        <f>+(PROVEEDORES[[#This Row],[SUBTOTAL]]-PROVEEDORES[[#This Row],[descuento antes de IVA]])*PROVEEDORES[[#This Row],[Rete Fuente %]]</f>
        <v>0</v>
      </c>
      <c r="R546" s="32">
        <f>+PROVEEDORES[[#This Row],[SUBTOTAL]]+PROVEEDORES[[#This Row],[IVA 19%]]-PROVEEDORES[[#This Row],[descuento antes de IVA]]-PROVEEDORES[[#This Row],[Descuento sobre subtotal $]]-PROVEEDORES[[#This Row],[Rete Fuente $]]</f>
        <v>157250</v>
      </c>
      <c r="S5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6" s="40"/>
      <c r="U546" s="97"/>
      <c r="V546" s="36"/>
      <c r="W546" s="36"/>
      <c r="X546" s="36"/>
      <c r="Y546" s="36"/>
      <c r="Z546" s="41"/>
      <c r="AA546" s="42"/>
      <c r="AF546" s="36"/>
      <c r="AG546" s="36"/>
    </row>
    <row r="547" spans="1:33" ht="21.95" hidden="1" customHeight="1" x14ac:dyDescent="0.25">
      <c r="A547" s="39" t="str">
        <f>+IF(PROVEEDORES[[#This Row],[FECHA DE PAGO]]=PROVEEDORES[[#This Row],[FECHA DE FACTURACIÓN]],"DE CONTADO","CRÉDITO")</f>
        <v>CRÉDITO</v>
      </c>
      <c r="B547" s="69" t="b">
        <f>+IF((PROVEEDORES[[#This Row],[FECHA DE PAGO]]-PROVEEDORES[[#This Row],[FECHA DE FACTURACIÓN]])&gt;PROVEEDORES[[#This Row],[PLAZO Días]],"PAGO VENCIDO")</f>
        <v>0</v>
      </c>
      <c r="C547" s="27">
        <f>+VLOOKUP(PROVEEDORES[[#This Row],[PROVEEDOR]],TERCEROS_INFO[#All],2,FALSE)</f>
        <v>30</v>
      </c>
      <c r="D547" s="37">
        <f>+SUMIFS(PROVEEDORES[Total],PROVEEDORES[PROVEEDOR],PROVEEDORES[[#This Row],[PROVEEDOR]],PROVEEDORES[FECHA DE PAGO],"")</f>
        <v>165300</v>
      </c>
      <c r="E547" s="37" t="s">
        <v>345</v>
      </c>
      <c r="F547" s="108" t="str">
        <f>+VLOOKUP(PROVEEDORES[[#This Row],[PROVEEDOR]],TERCEROS_INFO[[PROVEEDOR]:[CORREO]],5,FALSE)</f>
        <v>swizzeraux2@gmail.com;girlesa.ruiz@servipilas.com;joriescobar64@gmail.com</v>
      </c>
      <c r="G547" s="143">
        <v>44211</v>
      </c>
      <c r="H547" s="38" t="s">
        <v>296</v>
      </c>
      <c r="I547" s="30">
        <v>44194</v>
      </c>
      <c r="J547" s="58">
        <v>2664</v>
      </c>
      <c r="K547" s="32">
        <v>121550</v>
      </c>
      <c r="L547" s="32"/>
      <c r="M547" s="33">
        <f>(PROVEEDORES[[#This Row],[SUBTOTAL]]-PROVEEDORES[[#This Row],[descuento antes de IVA]])*VLOOKUP(PROVEEDORES[[#This Row],[PROVEEDOR]],TERCEROS_INFO[#All],3,FALSE)</f>
        <v>0</v>
      </c>
      <c r="N547" s="34"/>
      <c r="O547" s="33">
        <f>+PROVEEDORES[[#This Row],[Descuento sobre subtotal %]]*(PROVEEDORES[[#This Row],[SUBTOTAL]]-PROVEEDORES[[#This Row],[descuento antes de IVA]])</f>
        <v>0</v>
      </c>
      <c r="P5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7" s="33">
        <f>+(PROVEEDORES[[#This Row],[SUBTOTAL]]-PROVEEDORES[[#This Row],[descuento antes de IVA]])*PROVEEDORES[[#This Row],[Rete Fuente %]]</f>
        <v>0</v>
      </c>
      <c r="R547" s="32">
        <f>+PROVEEDORES[[#This Row],[SUBTOTAL]]+PROVEEDORES[[#This Row],[IVA 19%]]-PROVEEDORES[[#This Row],[descuento antes de IVA]]-PROVEEDORES[[#This Row],[Descuento sobre subtotal $]]-PROVEEDORES[[#This Row],[Rete Fuente $]]</f>
        <v>121550</v>
      </c>
      <c r="S5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7" s="40"/>
      <c r="U547" s="97"/>
      <c r="V547" s="36"/>
      <c r="W547" s="36"/>
      <c r="X547" s="36"/>
      <c r="Y547" s="36"/>
      <c r="Z547" s="41"/>
      <c r="AA547" s="42"/>
      <c r="AF547" s="36"/>
      <c r="AG547" s="36"/>
    </row>
    <row r="548" spans="1:33" ht="21.95" hidden="1" customHeight="1" x14ac:dyDescent="0.25">
      <c r="A548" s="39" t="str">
        <f>+IF(PROVEEDORES[[#This Row],[FECHA DE PAGO]]=PROVEEDORES[[#This Row],[FECHA DE FACTURACIÓN]],"DE CONTADO","CRÉDITO")</f>
        <v>CRÉDITO</v>
      </c>
      <c r="B548" s="69" t="b">
        <f>+IF((PROVEEDORES[[#This Row],[FECHA DE PAGO]]-PROVEEDORES[[#This Row],[FECHA DE FACTURACIÓN]])&gt;PROVEEDORES[[#This Row],[PLAZO Días]],"PAGO VENCIDO")</f>
        <v>0</v>
      </c>
      <c r="C548" s="27">
        <f>+VLOOKUP(PROVEEDORES[[#This Row],[PROVEEDOR]],TERCEROS_INFO[#All],2,FALSE)</f>
        <v>30</v>
      </c>
      <c r="D548" s="37">
        <f>+SUMIFS(PROVEEDORES[Total],PROVEEDORES[PROVEEDOR],PROVEEDORES[[#This Row],[PROVEEDOR]],PROVEEDORES[FECHA DE PAGO],"")</f>
        <v>165300</v>
      </c>
      <c r="E548" s="37"/>
      <c r="F548" s="108" t="str">
        <f>+VLOOKUP(PROVEEDORES[[#This Row],[PROVEEDOR]],TERCEROS_INFO[[PROVEEDOR]:[CORREO]],5,FALSE)</f>
        <v>swizzeraux2@gmail.com;girlesa.ruiz@servipilas.com;joriescobar64@gmail.com</v>
      </c>
      <c r="G548" s="143">
        <v>44235</v>
      </c>
      <c r="H548" s="38" t="s">
        <v>296</v>
      </c>
      <c r="I548" s="30">
        <v>44215</v>
      </c>
      <c r="J548" s="58">
        <v>2576</v>
      </c>
      <c r="K548" s="32">
        <v>2422500</v>
      </c>
      <c r="L548" s="32"/>
      <c r="M548" s="33">
        <f>(PROVEEDORES[[#This Row],[SUBTOTAL]]-PROVEEDORES[[#This Row],[descuento antes de IVA]])*VLOOKUP(PROVEEDORES[[#This Row],[PROVEEDOR]],TERCEROS_INFO[#All],3,FALSE)</f>
        <v>0</v>
      </c>
      <c r="N548" s="34"/>
      <c r="O548" s="33">
        <f>+PROVEEDORES[[#This Row],[Descuento sobre subtotal %]]*(PROVEEDORES[[#This Row],[SUBTOTAL]]-PROVEEDORES[[#This Row],[descuento antes de IVA]])</f>
        <v>0</v>
      </c>
      <c r="P5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8" s="33">
        <f>+(PROVEEDORES[[#This Row],[SUBTOTAL]]-PROVEEDORES[[#This Row],[descuento antes de IVA]])*PROVEEDORES[[#This Row],[Rete Fuente %]]</f>
        <v>0</v>
      </c>
      <c r="R548" s="32">
        <f>+PROVEEDORES[[#This Row],[SUBTOTAL]]+PROVEEDORES[[#This Row],[IVA 19%]]-PROVEEDORES[[#This Row],[descuento antes de IVA]]-PROVEEDORES[[#This Row],[Descuento sobre subtotal $]]-PROVEEDORES[[#This Row],[Rete Fuente $]]</f>
        <v>2422500</v>
      </c>
      <c r="S5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8" s="40"/>
      <c r="U548" s="97"/>
      <c r="V548" s="36"/>
      <c r="W548" s="36"/>
      <c r="X548" s="36"/>
      <c r="Y548" s="36"/>
      <c r="Z548" s="41"/>
      <c r="AA548" s="42"/>
      <c r="AF548" s="36"/>
      <c r="AG548" s="36"/>
    </row>
    <row r="549" spans="1:33" ht="21.95" hidden="1" customHeight="1" x14ac:dyDescent="0.25">
      <c r="A549" s="66" t="str">
        <f>+IF(PROVEEDORES[[#This Row],[FECHA DE PAGO]]=PROVEEDORES[[#This Row],[FECHA DE FACTURACIÓN]],"DE CONTADO","CRÉDITO")</f>
        <v>CRÉDITO</v>
      </c>
      <c r="B549" s="70" t="str">
        <f>+IF((PROVEEDORES[[#This Row],[FECHA DE PAGO]]-PROVEEDORES[[#This Row],[FECHA DE FACTURACIÓN]])&gt;PROVEEDORES[[#This Row],[PLAZO Días]],"PAGO VENCIDO")</f>
        <v>PAGO VENCIDO</v>
      </c>
      <c r="C549" s="27">
        <f>+VLOOKUP(PROVEEDORES[[#This Row],[PROVEEDOR]],TERCEROS_INFO[#All],2,FALSE)</f>
        <v>30</v>
      </c>
      <c r="D549" s="37">
        <f>+SUMIFS(PROVEEDORES[Total],PROVEEDORES[PROVEEDOR],PROVEEDORES[[#This Row],[PROVEEDOR]],PROVEEDORES[FECHA DE PAGO],"")</f>
        <v>165300</v>
      </c>
      <c r="E549" s="37"/>
      <c r="F549" s="108" t="str">
        <f>+VLOOKUP(PROVEEDORES[[#This Row],[PROVEEDOR]],TERCEROS_INFO[[PROVEEDOR]:[CORREO]],5,FALSE)</f>
        <v>swizzeraux2@gmail.com;girlesa.ruiz@servipilas.com;joriescobar64@gmail.com</v>
      </c>
      <c r="G549" s="143">
        <v>44264</v>
      </c>
      <c r="H549" s="38" t="s">
        <v>296</v>
      </c>
      <c r="I549" s="30">
        <v>44230</v>
      </c>
      <c r="J549" s="58">
        <v>2609</v>
      </c>
      <c r="K549" s="32">
        <v>849850</v>
      </c>
      <c r="L549" s="32"/>
      <c r="M549" s="33">
        <f>(PROVEEDORES[[#This Row],[SUBTOTAL]]-PROVEEDORES[[#This Row],[descuento antes de IVA]])*VLOOKUP(PROVEEDORES[[#This Row],[PROVEEDOR]],TERCEROS_INFO[#All],3,FALSE)</f>
        <v>0</v>
      </c>
      <c r="N549" s="34"/>
      <c r="O549" s="33">
        <f>+PROVEEDORES[[#This Row],[Descuento sobre subtotal %]]*(PROVEEDORES[[#This Row],[SUBTOTAL]]-PROVEEDORES[[#This Row],[descuento antes de IVA]])</f>
        <v>0</v>
      </c>
      <c r="P5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49" s="33">
        <f>+(PROVEEDORES[[#This Row],[SUBTOTAL]]-PROVEEDORES[[#This Row],[descuento antes de IVA]])*PROVEEDORES[[#This Row],[Rete Fuente %]]</f>
        <v>0</v>
      </c>
      <c r="R549" s="32">
        <f>+PROVEEDORES[[#This Row],[SUBTOTAL]]+PROVEEDORES[[#This Row],[IVA 19%]]-PROVEEDORES[[#This Row],[descuento antes de IVA]]-PROVEEDORES[[#This Row],[Descuento sobre subtotal $]]-PROVEEDORES[[#This Row],[Rete Fuente $]]</f>
        <v>849850</v>
      </c>
      <c r="S549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9" s="40"/>
      <c r="U549" s="97"/>
      <c r="V549" s="36"/>
      <c r="W549" s="36"/>
      <c r="X549" s="36"/>
      <c r="Y549" s="36"/>
      <c r="Z549" s="41"/>
      <c r="AA549" s="42"/>
      <c r="AF549" s="36"/>
      <c r="AG549" s="36"/>
    </row>
    <row r="550" spans="1:33" ht="21.95" hidden="1" customHeight="1" x14ac:dyDescent="0.25">
      <c r="A550" s="66" t="str">
        <f>+IF(PROVEEDORES[[#This Row],[FECHA DE PAGO]]=PROVEEDORES[[#This Row],[FECHA DE FACTURACIÓN]],"DE CONTADO","CRÉDITO")</f>
        <v>CRÉDITO</v>
      </c>
      <c r="B550" s="70" t="str">
        <f>+IF((PROVEEDORES[[#This Row],[FECHA DE PAGO]]-PROVEEDORES[[#This Row],[FECHA DE FACTURACIÓN]])&gt;PROVEEDORES[[#This Row],[PLAZO Días]],"PAGO VENCIDO")</f>
        <v>PAGO VENCIDO</v>
      </c>
      <c r="C550" s="27">
        <f>+VLOOKUP(PROVEEDORES[[#This Row],[PROVEEDOR]],TERCEROS_INFO[#All],2,FALSE)</f>
        <v>30</v>
      </c>
      <c r="D550" s="37">
        <f>+SUMIFS(PROVEEDORES[Total],PROVEEDORES[PROVEEDOR],PROVEEDORES[[#This Row],[PROVEEDOR]],PROVEEDORES[FECHA DE PAGO],"")</f>
        <v>165300</v>
      </c>
      <c r="E550" s="37"/>
      <c r="F550" s="108" t="str">
        <f>+VLOOKUP(PROVEEDORES[[#This Row],[PROVEEDOR]],TERCEROS_INFO[[PROVEEDOR]:[CORREO]],5,FALSE)</f>
        <v>swizzeraux2@gmail.com;girlesa.ruiz@servipilas.com;joriescobar64@gmail.com</v>
      </c>
      <c r="G550" s="143">
        <v>44264</v>
      </c>
      <c r="H550" s="38" t="s">
        <v>296</v>
      </c>
      <c r="I550" s="30">
        <v>44230</v>
      </c>
      <c r="J550" s="58">
        <v>2610</v>
      </c>
      <c r="K550" s="32">
        <v>483550</v>
      </c>
      <c r="L550" s="32"/>
      <c r="M550" s="33">
        <f>(PROVEEDORES[[#This Row],[SUBTOTAL]]-PROVEEDORES[[#This Row],[descuento antes de IVA]])*VLOOKUP(PROVEEDORES[[#This Row],[PROVEEDOR]],TERCEROS_INFO[#All],3,FALSE)</f>
        <v>0</v>
      </c>
      <c r="N550" s="34"/>
      <c r="O550" s="33">
        <f>+PROVEEDORES[[#This Row],[Descuento sobre subtotal %]]*(PROVEEDORES[[#This Row],[SUBTOTAL]]-PROVEEDORES[[#This Row],[descuento antes de IVA]])</f>
        <v>0</v>
      </c>
      <c r="P5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0" s="33">
        <f>+(PROVEEDORES[[#This Row],[SUBTOTAL]]-PROVEEDORES[[#This Row],[descuento antes de IVA]])*PROVEEDORES[[#This Row],[Rete Fuente %]]</f>
        <v>0</v>
      </c>
      <c r="R550" s="32">
        <f>+PROVEEDORES[[#This Row],[SUBTOTAL]]+PROVEEDORES[[#This Row],[IVA 19%]]-PROVEEDORES[[#This Row],[descuento antes de IVA]]-PROVEEDORES[[#This Row],[Descuento sobre subtotal $]]-PROVEEDORES[[#This Row],[Rete Fuente $]]</f>
        <v>483550</v>
      </c>
      <c r="S550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0" s="40"/>
      <c r="U550" s="97"/>
      <c r="V550" s="36"/>
      <c r="W550" s="36"/>
      <c r="X550" s="36"/>
      <c r="Y550" s="36"/>
      <c r="Z550" s="41"/>
      <c r="AA550" s="42"/>
      <c r="AF550" s="36"/>
      <c r="AG550" s="36"/>
    </row>
    <row r="551" spans="1:33" ht="21.95" hidden="1" customHeight="1" x14ac:dyDescent="0.25">
      <c r="A551" s="39" t="str">
        <f>+IF(PROVEEDORES[[#This Row],[FECHA DE PAGO]]=PROVEEDORES[[#This Row],[FECHA DE FACTURACIÓN]],"DE CONTADO","CRÉDITO")</f>
        <v>CRÉDITO</v>
      </c>
      <c r="B551" s="69" t="str">
        <f>+IF((PROVEEDORES[[#This Row],[FECHA DE PAGO]]-PROVEEDORES[[#This Row],[FECHA DE FACTURACIÓN]])&gt;PROVEEDORES[[#This Row],[PLAZO Días]],"PAGO VENCIDO")</f>
        <v>PAGO VENCIDO</v>
      </c>
      <c r="C551" s="27">
        <f>+VLOOKUP(PROVEEDORES[[#This Row],[PROVEEDOR]],TERCEROS_INFO[#All],2,FALSE)</f>
        <v>30</v>
      </c>
      <c r="D551" s="37">
        <f>+SUMIFS(PROVEEDORES[Total],PROVEEDORES[PROVEEDOR],PROVEEDORES[[#This Row],[PROVEEDOR]],PROVEEDORES[FECHA DE PAGO],"")</f>
        <v>165300</v>
      </c>
      <c r="E551" s="37"/>
      <c r="F551" s="108" t="str">
        <f>+VLOOKUP(PROVEEDORES[[#This Row],[PROVEEDOR]],TERCEROS_INFO[[PROVEEDOR]:[CORREO]],5,FALSE)</f>
        <v>swizzeraux2@gmail.com;girlesa.ruiz@servipilas.com;joriescobar64@gmail.com</v>
      </c>
      <c r="G551" s="143">
        <v>44264</v>
      </c>
      <c r="H551" s="38" t="s">
        <v>296</v>
      </c>
      <c r="I551" s="30">
        <v>44230</v>
      </c>
      <c r="J551" s="58" t="s">
        <v>434</v>
      </c>
      <c r="K551" s="32">
        <v>-68000</v>
      </c>
      <c r="L551" s="32"/>
      <c r="M551" s="33">
        <f>(PROVEEDORES[[#This Row],[SUBTOTAL]]-PROVEEDORES[[#This Row],[descuento antes de IVA]])*VLOOKUP(PROVEEDORES[[#This Row],[PROVEEDOR]],TERCEROS_INFO[#All],3,FALSE)</f>
        <v>0</v>
      </c>
      <c r="N551" s="34"/>
      <c r="O551" s="33">
        <f>+PROVEEDORES[[#This Row],[Descuento sobre subtotal %]]*(PROVEEDORES[[#This Row],[SUBTOTAL]]-PROVEEDORES[[#This Row],[descuento antes de IVA]])</f>
        <v>0</v>
      </c>
      <c r="P5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1" s="33">
        <f>+(PROVEEDORES[[#This Row],[SUBTOTAL]]-PROVEEDORES[[#This Row],[descuento antes de IVA]])*PROVEEDORES[[#This Row],[Rete Fuente %]]</f>
        <v>0</v>
      </c>
      <c r="R551" s="32">
        <f>+PROVEEDORES[[#This Row],[SUBTOTAL]]+PROVEEDORES[[#This Row],[IVA 19%]]-PROVEEDORES[[#This Row],[descuento antes de IVA]]-PROVEEDORES[[#This Row],[Descuento sobre subtotal $]]-PROVEEDORES[[#This Row],[Rete Fuente $]]</f>
        <v>-68000</v>
      </c>
      <c r="S5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1" s="40"/>
      <c r="U551" s="97"/>
      <c r="V551" s="36"/>
      <c r="W551" s="36"/>
      <c r="X551" s="36"/>
      <c r="Y551" s="36"/>
      <c r="Z551" s="41"/>
      <c r="AA551" s="42"/>
      <c r="AF551" s="36"/>
      <c r="AG551" s="36"/>
    </row>
    <row r="552" spans="1:33" ht="21.95" hidden="1" customHeight="1" x14ac:dyDescent="0.25">
      <c r="A552" s="66" t="str">
        <f>+IF(PROVEEDORES[[#This Row],[FECHA DE PAGO]]=PROVEEDORES[[#This Row],[FECHA DE FACTURACIÓN]],"DE CONTADO","CRÉDITO")</f>
        <v>CRÉDITO</v>
      </c>
      <c r="B552" s="70" t="str">
        <f>+IF((PROVEEDORES[[#This Row],[FECHA DE PAGO]]-PROVEEDORES[[#This Row],[FECHA DE FACTURACIÓN]])&gt;PROVEEDORES[[#This Row],[PLAZO Días]],"PAGO VENCIDO")</f>
        <v>PAGO VENCIDO</v>
      </c>
      <c r="C552" s="27">
        <f>+VLOOKUP(PROVEEDORES[[#This Row],[PROVEEDOR]],TERCEROS_INFO[#All],2,FALSE)</f>
        <v>30</v>
      </c>
      <c r="D552" s="37">
        <f>+SUMIFS(PROVEEDORES[Total],PROVEEDORES[PROVEEDOR],PROVEEDORES[[#This Row],[PROVEEDOR]],PROVEEDORES[FECHA DE PAGO],"")</f>
        <v>165300</v>
      </c>
      <c r="E552" s="37"/>
      <c r="F552" s="108" t="str">
        <f>+VLOOKUP(PROVEEDORES[[#This Row],[PROVEEDOR]],TERCEROS_INFO[[PROVEEDOR]:[CORREO]],5,FALSE)</f>
        <v>swizzeraux2@gmail.com;girlesa.ruiz@servipilas.com;joriescobar64@gmail.com</v>
      </c>
      <c r="G552" s="143">
        <v>44264</v>
      </c>
      <c r="H552" s="38" t="s">
        <v>296</v>
      </c>
      <c r="I552" s="30">
        <v>44233</v>
      </c>
      <c r="J552" s="58">
        <v>2617</v>
      </c>
      <c r="K552" s="32">
        <v>2217650</v>
      </c>
      <c r="L552" s="32"/>
      <c r="M552" s="33">
        <f>(PROVEEDORES[[#This Row],[SUBTOTAL]]-PROVEEDORES[[#This Row],[descuento antes de IVA]])*VLOOKUP(PROVEEDORES[[#This Row],[PROVEEDOR]],TERCEROS_INFO[#All],3,FALSE)</f>
        <v>0</v>
      </c>
      <c r="N552" s="34"/>
      <c r="O552" s="33">
        <f>+PROVEEDORES[[#This Row],[Descuento sobre subtotal %]]*(PROVEEDORES[[#This Row],[SUBTOTAL]]-PROVEEDORES[[#This Row],[descuento antes de IVA]])</f>
        <v>0</v>
      </c>
      <c r="P5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2" s="33">
        <f>+(PROVEEDORES[[#This Row],[SUBTOTAL]]-PROVEEDORES[[#This Row],[descuento antes de IVA]])*PROVEEDORES[[#This Row],[Rete Fuente %]]</f>
        <v>0</v>
      </c>
      <c r="R552" s="32">
        <f>+PROVEEDORES[[#This Row],[SUBTOTAL]]+PROVEEDORES[[#This Row],[IVA 19%]]-PROVEEDORES[[#This Row],[descuento antes de IVA]]-PROVEEDORES[[#This Row],[Descuento sobre subtotal $]]-PROVEEDORES[[#This Row],[Rete Fuente $]]</f>
        <v>2217650</v>
      </c>
      <c r="S552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2" s="40"/>
      <c r="U552" s="97"/>
      <c r="V552" s="36"/>
      <c r="W552" s="36"/>
      <c r="X552" s="36"/>
      <c r="Y552" s="36"/>
      <c r="Z552" s="41"/>
      <c r="AA552" s="42"/>
      <c r="AF552" s="36"/>
      <c r="AG552" s="36"/>
    </row>
    <row r="553" spans="1:33" ht="21.95" hidden="1" customHeight="1" x14ac:dyDescent="0.25">
      <c r="A553" s="66" t="str">
        <f>+IF(PROVEEDORES[[#This Row],[FECHA DE PAGO]]=PROVEEDORES[[#This Row],[FECHA DE FACTURACIÓN]],"DE CONTADO","CRÉDITO")</f>
        <v>CRÉDITO</v>
      </c>
      <c r="B553" s="70" t="str">
        <f>+IF((PROVEEDORES[[#This Row],[FECHA DE PAGO]]-PROVEEDORES[[#This Row],[FECHA DE FACTURACIÓN]])&gt;PROVEEDORES[[#This Row],[PLAZO Días]],"PAGO VENCIDO")</f>
        <v>PAGO VENCIDO</v>
      </c>
      <c r="C553" s="27">
        <f>+VLOOKUP(PROVEEDORES[[#This Row],[PROVEEDOR]],TERCEROS_INFO[#All],2,FALSE)</f>
        <v>30</v>
      </c>
      <c r="D553" s="37">
        <f>+SUMIFS(PROVEEDORES[Total],PROVEEDORES[PROVEEDOR],PROVEEDORES[[#This Row],[PROVEEDOR]],PROVEEDORES[FECHA DE PAGO],"")</f>
        <v>165300</v>
      </c>
      <c r="E553" s="37"/>
      <c r="F553" s="108" t="str">
        <f>+VLOOKUP(PROVEEDORES[[#This Row],[PROVEEDOR]],TERCEROS_INFO[[PROVEEDOR]:[CORREO]],5,FALSE)</f>
        <v>swizzeraux2@gmail.com;girlesa.ruiz@servipilas.com;joriescobar64@gmail.com</v>
      </c>
      <c r="G553" s="143">
        <v>44341</v>
      </c>
      <c r="H553" s="38" t="s">
        <v>296</v>
      </c>
      <c r="I553" s="30">
        <v>44235</v>
      </c>
      <c r="J553" s="58">
        <v>2618</v>
      </c>
      <c r="K553" s="32">
        <v>418000</v>
      </c>
      <c r="L553" s="32"/>
      <c r="M553" s="33">
        <f>(PROVEEDORES[[#This Row],[SUBTOTAL]]-PROVEEDORES[[#This Row],[descuento antes de IVA]])*VLOOKUP(PROVEEDORES[[#This Row],[PROVEEDOR]],TERCEROS_INFO[#All],3,FALSE)</f>
        <v>0</v>
      </c>
      <c r="N553" s="34"/>
      <c r="O553" s="33">
        <f>+PROVEEDORES[[#This Row],[Descuento sobre subtotal %]]*(PROVEEDORES[[#This Row],[SUBTOTAL]]-PROVEEDORES[[#This Row],[descuento antes de IVA]])</f>
        <v>0</v>
      </c>
      <c r="P5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3" s="33">
        <f>+(PROVEEDORES[[#This Row],[SUBTOTAL]]-PROVEEDORES[[#This Row],[descuento antes de IVA]])*PROVEEDORES[[#This Row],[Rete Fuente %]]</f>
        <v>0</v>
      </c>
      <c r="R553" s="32">
        <f>+PROVEEDORES[[#This Row],[SUBTOTAL]]+PROVEEDORES[[#This Row],[IVA 19%]]-PROVEEDORES[[#This Row],[descuento antes de IVA]]-PROVEEDORES[[#This Row],[Descuento sobre subtotal $]]-PROVEEDORES[[#This Row],[Rete Fuente $]]</f>
        <v>418000</v>
      </c>
      <c r="S553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3" s="40"/>
      <c r="U553" s="97"/>
      <c r="V553" s="36"/>
      <c r="W553" s="36"/>
      <c r="X553" s="36"/>
      <c r="Y553" s="36"/>
      <c r="Z553" s="41"/>
      <c r="AA553" s="42"/>
      <c r="AF553" s="36"/>
      <c r="AG553" s="36"/>
    </row>
    <row r="554" spans="1:33" ht="21.95" hidden="1" customHeight="1" x14ac:dyDescent="0.25">
      <c r="A554" s="35" t="str">
        <f>+IF(PROVEEDORES[[#This Row],[FECHA DE PAGO]]=PROVEEDORES[[#This Row],[FECHA DE FACTURACIÓN]],"DE CONTADO","CRÉDITO")</f>
        <v>CRÉDITO</v>
      </c>
      <c r="B554" s="70" t="str">
        <f>+IF((PROVEEDORES[[#This Row],[FECHA DE PAGO]]-PROVEEDORES[[#This Row],[FECHA DE FACTURACIÓN]])&gt;PROVEEDORES[[#This Row],[PLAZO Días]],"PAGO VENCIDO")</f>
        <v>PAGO VENCIDO</v>
      </c>
      <c r="C554" s="27">
        <f>+VLOOKUP(PROVEEDORES[[#This Row],[PROVEEDOR]],TERCEROS_INFO[#All],2,FALSE)</f>
        <v>30</v>
      </c>
      <c r="D554" s="37">
        <f>+SUMIFS(PROVEEDORES[Total],PROVEEDORES[PROVEEDOR],PROVEEDORES[[#This Row],[PROVEEDOR]],PROVEEDORES[FECHA DE PAGO],"")</f>
        <v>165300</v>
      </c>
      <c r="E554" s="37"/>
      <c r="F554" s="108" t="str">
        <f>+VLOOKUP(PROVEEDORES[[#This Row],[PROVEEDOR]],TERCEROS_INFO[[PROVEEDOR]:[CORREO]],5,FALSE)</f>
        <v>swizzeraux2@gmail.com;girlesa.ruiz@servipilas.com;joriescobar64@gmail.com</v>
      </c>
      <c r="G554" s="143">
        <v>44408</v>
      </c>
      <c r="H554" s="38" t="s">
        <v>296</v>
      </c>
      <c r="I554" s="30">
        <v>44336</v>
      </c>
      <c r="J554" s="58" t="s">
        <v>1135</v>
      </c>
      <c r="K554" s="32">
        <v>773500</v>
      </c>
      <c r="L554" s="32"/>
      <c r="M554" s="33">
        <f>(PROVEEDORES[[#This Row],[SUBTOTAL]]-PROVEEDORES[[#This Row],[descuento antes de IVA]])*VLOOKUP(PROVEEDORES[[#This Row],[PROVEEDOR]],TERCEROS_INFO[#All],3,FALSE)</f>
        <v>0</v>
      </c>
      <c r="N554" s="34"/>
      <c r="O554" s="33">
        <f>+PROVEEDORES[[#This Row],[Descuento sobre subtotal %]]*(PROVEEDORES[[#This Row],[SUBTOTAL]]-PROVEEDORES[[#This Row],[descuento antes de IVA]])</f>
        <v>0</v>
      </c>
      <c r="P5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4" s="33">
        <f>+(PROVEEDORES[[#This Row],[SUBTOTAL]]-PROVEEDORES[[#This Row],[descuento antes de IVA]])*PROVEEDORES[[#This Row],[Rete Fuente %]]</f>
        <v>0</v>
      </c>
      <c r="R554" s="32">
        <f>+PROVEEDORES[[#This Row],[SUBTOTAL]]+PROVEEDORES[[#This Row],[IVA 19%]]-PROVEEDORES[[#This Row],[descuento antes de IVA]]-PROVEEDORES[[#This Row],[Descuento sobre subtotal $]]-PROVEEDORES[[#This Row],[Rete Fuente $]]</f>
        <v>773500</v>
      </c>
      <c r="S55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4" s="40"/>
      <c r="U554" s="97"/>
      <c r="V554" s="36"/>
      <c r="W554" s="36"/>
      <c r="X554" s="36"/>
      <c r="Y554" s="36"/>
      <c r="Z554" s="41"/>
      <c r="AA554" s="42"/>
      <c r="AF554" s="36"/>
      <c r="AG554" s="36"/>
    </row>
    <row r="555" spans="1:33" ht="21.95" hidden="1" customHeight="1" x14ac:dyDescent="0.25">
      <c r="A555" s="124" t="str">
        <f>+IF(PROVEEDORES[[#This Row],[FECHA DE PAGO]]=PROVEEDORES[[#This Row],[FECHA DE FACTURACIÓN]],"DE CONTADO","CRÉDITO")</f>
        <v>CRÉDITO</v>
      </c>
      <c r="B555" s="70" t="b">
        <f>+IF((PROVEEDORES[[#This Row],[FECHA DE PAGO]]-PROVEEDORES[[#This Row],[FECHA DE FACTURACIÓN]])&gt;PROVEEDORES[[#This Row],[PLAZO Días]],"PAGO VENCIDO")</f>
        <v>0</v>
      </c>
      <c r="C555" s="27">
        <f>+VLOOKUP(PROVEEDORES[[#This Row],[PROVEEDOR]],TERCEROS_INFO[#All],2,FALSE)</f>
        <v>30</v>
      </c>
      <c r="D555" s="37">
        <f>+SUMIFS(PROVEEDORES[Total],PROVEEDORES[PROVEEDOR],PROVEEDORES[[#This Row],[PROVEEDOR]],PROVEEDORES[FECHA DE PAGO],"")</f>
        <v>165300</v>
      </c>
      <c r="E555" s="37"/>
      <c r="F555" s="108" t="str">
        <f>+VLOOKUP(PROVEEDORES[[#This Row],[PROVEEDOR]],TERCEROS_INFO[[PROVEEDOR]:[CORREO]],5,FALSE)</f>
        <v>swizzeraux2@gmail.com;girlesa.ruiz@servipilas.com;joriescobar64@gmail.com</v>
      </c>
      <c r="G555" s="143">
        <v>44385</v>
      </c>
      <c r="H555" s="38" t="s">
        <v>296</v>
      </c>
      <c r="I555" s="30">
        <v>44356</v>
      </c>
      <c r="J555" s="58">
        <v>2811</v>
      </c>
      <c r="K555" s="32">
        <v>1574200</v>
      </c>
      <c r="L555" s="32"/>
      <c r="M555" s="33">
        <f>(PROVEEDORES[[#This Row],[SUBTOTAL]]-PROVEEDORES[[#This Row],[descuento antes de IVA]])*VLOOKUP(PROVEEDORES[[#This Row],[PROVEEDOR]],TERCEROS_INFO[#All],3,FALSE)</f>
        <v>0</v>
      </c>
      <c r="N555" s="34"/>
      <c r="O555" s="33">
        <f>+PROVEEDORES[[#This Row],[Descuento sobre subtotal %]]*(PROVEEDORES[[#This Row],[SUBTOTAL]]-PROVEEDORES[[#This Row],[descuento antes de IVA]])</f>
        <v>0</v>
      </c>
      <c r="P5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5" s="33">
        <f>+(PROVEEDORES[[#This Row],[SUBTOTAL]]-PROVEEDORES[[#This Row],[descuento antes de IVA]])*PROVEEDORES[[#This Row],[Rete Fuente %]]</f>
        <v>0</v>
      </c>
      <c r="R555" s="32">
        <f>+PROVEEDORES[[#This Row],[SUBTOTAL]]+PROVEEDORES[[#This Row],[IVA 19%]]-PROVEEDORES[[#This Row],[descuento antes de IVA]]-PROVEEDORES[[#This Row],[Descuento sobre subtotal $]]-PROVEEDORES[[#This Row],[Rete Fuente $]]</f>
        <v>1574200</v>
      </c>
      <c r="S555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5" s="40"/>
      <c r="U555" s="97"/>
      <c r="V555" s="36"/>
      <c r="W555" s="36"/>
      <c r="X555" s="36"/>
      <c r="Y555" s="36"/>
      <c r="Z555" s="41"/>
      <c r="AA555" s="42"/>
      <c r="AF555" s="36"/>
      <c r="AG555" s="36"/>
    </row>
    <row r="556" spans="1:33" ht="21.95" hidden="1" customHeight="1" x14ac:dyDescent="0.25">
      <c r="A556" s="124" t="str">
        <f>+IF(PROVEEDORES[[#This Row],[FECHA DE PAGO]]=PROVEEDORES[[#This Row],[FECHA DE FACTURACIÓN]],"DE CONTADO","CRÉDITO")</f>
        <v>CRÉDITO</v>
      </c>
      <c r="B556" s="70" t="str">
        <f>+IF((PROVEEDORES[[#This Row],[FECHA DE PAGO]]-PROVEEDORES[[#This Row],[FECHA DE FACTURACIÓN]])&gt;PROVEEDORES[[#This Row],[PLAZO Días]],"PAGO VENCIDO")</f>
        <v>PAGO VENCIDO</v>
      </c>
      <c r="C556" s="27">
        <f>+VLOOKUP(PROVEEDORES[[#This Row],[PROVEEDOR]],TERCEROS_INFO[#All],2,FALSE)</f>
        <v>30</v>
      </c>
      <c r="D556" s="37">
        <f>+SUMIFS(PROVEEDORES[Total],PROVEEDORES[PROVEEDOR],PROVEEDORES[[#This Row],[PROVEEDOR]],PROVEEDORES[FECHA DE PAGO],"")</f>
        <v>165300</v>
      </c>
      <c r="E556" s="37"/>
      <c r="F556" s="108" t="str">
        <f>+VLOOKUP(PROVEEDORES[[#This Row],[PROVEEDOR]],TERCEROS_INFO[[PROVEEDOR]:[CORREO]],5,FALSE)</f>
        <v>swizzeraux2@gmail.com;girlesa.ruiz@servipilas.com;joriescobar64@gmail.com</v>
      </c>
      <c r="G556" s="143">
        <v>44418</v>
      </c>
      <c r="H556" s="38" t="s">
        <v>296</v>
      </c>
      <c r="I556" s="30">
        <v>44356</v>
      </c>
      <c r="J556" s="58" t="s">
        <v>1149</v>
      </c>
      <c r="K556" s="32">
        <v>157700</v>
      </c>
      <c r="L556" s="32"/>
      <c r="M556" s="33">
        <f>(PROVEEDORES[[#This Row],[SUBTOTAL]]-PROVEEDORES[[#This Row],[descuento antes de IVA]])*VLOOKUP(PROVEEDORES[[#This Row],[PROVEEDOR]],TERCEROS_INFO[#All],3,FALSE)</f>
        <v>0</v>
      </c>
      <c r="N556" s="34"/>
      <c r="O556" s="33">
        <f>+PROVEEDORES[[#This Row],[Descuento sobre subtotal %]]*(PROVEEDORES[[#This Row],[SUBTOTAL]]-PROVEEDORES[[#This Row],[descuento antes de IVA]])</f>
        <v>0</v>
      </c>
      <c r="P5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6" s="33">
        <f>+(PROVEEDORES[[#This Row],[SUBTOTAL]]-PROVEEDORES[[#This Row],[descuento antes de IVA]])*PROVEEDORES[[#This Row],[Rete Fuente %]]</f>
        <v>0</v>
      </c>
      <c r="R556" s="32">
        <f>+PROVEEDORES[[#This Row],[SUBTOTAL]]+PROVEEDORES[[#This Row],[IVA 19%]]-PROVEEDORES[[#This Row],[descuento antes de IVA]]-PROVEEDORES[[#This Row],[Descuento sobre subtotal $]]-PROVEEDORES[[#This Row],[Rete Fuente $]]</f>
        <v>157700</v>
      </c>
      <c r="S556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6" s="40"/>
      <c r="U556" s="97"/>
      <c r="V556" s="36"/>
      <c r="W556" s="36"/>
      <c r="X556" s="36"/>
      <c r="Y556" s="36"/>
      <c r="Z556" s="41"/>
      <c r="AA556" s="42"/>
      <c r="AF556" s="36"/>
      <c r="AG556" s="36"/>
    </row>
    <row r="557" spans="1:33" ht="21.95" hidden="1" customHeight="1" x14ac:dyDescent="0.25">
      <c r="A557" s="135" t="str">
        <f>+IF(PROVEEDORES[[#This Row],[FECHA DE PAGO]]=PROVEEDORES[[#This Row],[FECHA DE FACTURACIÓN]],"DE CONTADO","CRÉDITO")</f>
        <v>CRÉDITO</v>
      </c>
      <c r="B557" s="70" t="str">
        <f>+IF((PROVEEDORES[[#This Row],[FECHA DE PAGO]]-PROVEEDORES[[#This Row],[FECHA DE FACTURACIÓN]])&gt;PROVEEDORES[[#This Row],[PLAZO Días]],"PAGO VENCIDO")</f>
        <v>PAGO VENCIDO</v>
      </c>
      <c r="C557" s="27">
        <f>+VLOOKUP(PROVEEDORES[[#This Row],[PROVEEDOR]],TERCEROS_INFO[#All],2,FALSE)</f>
        <v>30</v>
      </c>
      <c r="D557" s="37">
        <f>+SUMIFS(PROVEEDORES[Total],PROVEEDORES[PROVEEDOR],PROVEEDORES[[#This Row],[PROVEEDOR]],PROVEEDORES[FECHA DE PAGO],"")</f>
        <v>165300</v>
      </c>
      <c r="E557" s="37"/>
      <c r="F557" s="108" t="str">
        <f>+VLOOKUP(PROVEEDORES[[#This Row],[PROVEEDOR]],TERCEROS_INFO[[PROVEEDOR]:[CORREO]],5,FALSE)</f>
        <v>swizzeraux2@gmail.com;girlesa.ruiz@servipilas.com;joriescobar64@gmail.com</v>
      </c>
      <c r="G557" s="143">
        <v>44442</v>
      </c>
      <c r="H557" s="38" t="s">
        <v>296</v>
      </c>
      <c r="I557" s="30">
        <v>44404</v>
      </c>
      <c r="J557" s="58" t="s">
        <v>1190</v>
      </c>
      <c r="K557" s="32">
        <v>803250</v>
      </c>
      <c r="L557" s="32"/>
      <c r="M557" s="33">
        <f>(PROVEEDORES[[#This Row],[SUBTOTAL]]-PROVEEDORES[[#This Row],[descuento antes de IVA]])*VLOOKUP(PROVEEDORES[[#This Row],[PROVEEDOR]],TERCEROS_INFO[#All],3,FALSE)</f>
        <v>0</v>
      </c>
      <c r="N557" s="34"/>
      <c r="O557" s="33">
        <f>+PROVEEDORES[[#This Row],[Descuento sobre subtotal %]]*(PROVEEDORES[[#This Row],[SUBTOTAL]]-PROVEEDORES[[#This Row],[descuento antes de IVA]])</f>
        <v>0</v>
      </c>
      <c r="P5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7" s="33">
        <f>+(PROVEEDORES[[#This Row],[SUBTOTAL]]-PROVEEDORES[[#This Row],[descuento antes de IVA]])*PROVEEDORES[[#This Row],[Rete Fuente %]]</f>
        <v>0</v>
      </c>
      <c r="R557" s="32">
        <f>+PROVEEDORES[[#This Row],[SUBTOTAL]]+PROVEEDORES[[#This Row],[IVA 19%]]-PROVEEDORES[[#This Row],[descuento antes de IVA]]-PROVEEDORES[[#This Row],[Descuento sobre subtotal $]]-PROVEEDORES[[#This Row],[Rete Fuente $]]</f>
        <v>803250</v>
      </c>
      <c r="S557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7" s="40"/>
      <c r="U557" s="97"/>
      <c r="V557" s="36"/>
      <c r="W557" s="36"/>
      <c r="X557" s="36"/>
      <c r="Y557" s="36"/>
      <c r="Z557" s="41"/>
      <c r="AA557" s="42"/>
      <c r="AF557" s="36"/>
      <c r="AG557" s="36"/>
    </row>
    <row r="558" spans="1:33" ht="21.95" hidden="1" customHeight="1" x14ac:dyDescent="0.25">
      <c r="A558" s="144" t="str">
        <f>+IF(PROVEEDORES[[#This Row],[FECHA DE PAGO]]=PROVEEDORES[[#This Row],[FECHA DE FACTURACIÓN]],"DE CONTADO","CRÉDITO")</f>
        <v>CRÉDITO</v>
      </c>
      <c r="B558" s="70" t="str">
        <f>+IF((PROVEEDORES[[#This Row],[FECHA DE PAGO]]-PROVEEDORES[[#This Row],[FECHA DE FACTURACIÓN]])&gt;PROVEEDORES[[#This Row],[PLAZO Días]],"PAGO VENCIDO")</f>
        <v>PAGO VENCIDO</v>
      </c>
      <c r="C558" s="27">
        <f>+VLOOKUP(PROVEEDORES[[#This Row],[PROVEEDOR]],TERCEROS_INFO[#All],2,FALSE)</f>
        <v>30</v>
      </c>
      <c r="D558" s="37">
        <f>+SUMIFS(PROVEEDORES[Total],PROVEEDORES[PROVEEDOR],PROVEEDORES[[#This Row],[PROVEEDOR]],PROVEEDORES[FECHA DE PAGO],"")</f>
        <v>165300</v>
      </c>
      <c r="E558" s="37"/>
      <c r="F558" s="108" t="str">
        <f>+VLOOKUP(PROVEEDORES[[#This Row],[PROVEEDOR]],TERCEROS_INFO[[PROVEEDOR]:[CORREO]],5,FALSE)</f>
        <v>swizzeraux2@gmail.com;girlesa.ruiz@servipilas.com;joriescobar64@gmail.com</v>
      </c>
      <c r="G558" s="143">
        <v>44466</v>
      </c>
      <c r="H558" s="38" t="s">
        <v>296</v>
      </c>
      <c r="I558" s="30">
        <v>44432</v>
      </c>
      <c r="J558" s="58" t="s">
        <v>1225</v>
      </c>
      <c r="K558" s="32">
        <v>811750</v>
      </c>
      <c r="L558" s="32"/>
      <c r="M558" s="33">
        <f>(PROVEEDORES[[#This Row],[SUBTOTAL]]-PROVEEDORES[[#This Row],[descuento antes de IVA]])*VLOOKUP(PROVEEDORES[[#This Row],[PROVEEDOR]],TERCEROS_INFO[#All],3,FALSE)</f>
        <v>0</v>
      </c>
      <c r="N558" s="34"/>
      <c r="O558" s="33">
        <f>+PROVEEDORES[[#This Row],[Descuento sobre subtotal %]]*(PROVEEDORES[[#This Row],[SUBTOTAL]]-PROVEEDORES[[#This Row],[descuento antes de IVA]])</f>
        <v>0</v>
      </c>
      <c r="P5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8" s="33">
        <f>+(PROVEEDORES[[#This Row],[SUBTOTAL]]-PROVEEDORES[[#This Row],[descuento antes de IVA]])*PROVEEDORES[[#This Row],[Rete Fuente %]]</f>
        <v>0</v>
      </c>
      <c r="R558" s="32">
        <f>+PROVEEDORES[[#This Row],[SUBTOTAL]]+PROVEEDORES[[#This Row],[IVA 19%]]-PROVEEDORES[[#This Row],[descuento antes de IVA]]-PROVEEDORES[[#This Row],[Descuento sobre subtotal $]]-PROVEEDORES[[#This Row],[Rete Fuente $]]</f>
        <v>811750</v>
      </c>
      <c r="S558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8" s="40"/>
      <c r="U558" s="97"/>
      <c r="V558" s="36"/>
      <c r="W558" s="36"/>
      <c r="X558" s="36"/>
      <c r="Y558" s="36"/>
      <c r="Z558" s="41"/>
      <c r="AA558" s="42"/>
      <c r="AF558" s="36"/>
      <c r="AG558" s="36"/>
    </row>
    <row r="559" spans="1:33" ht="21.95" hidden="1" customHeight="1" x14ac:dyDescent="0.25">
      <c r="A559" s="153" t="str">
        <f>+IF(PROVEEDORES[[#This Row],[FECHA DE PAGO]]=PROVEEDORES[[#This Row],[FECHA DE FACTURACIÓN]],"DE CONTADO","CRÉDITO")</f>
        <v>CRÉDITO</v>
      </c>
      <c r="B559" s="70" t="str">
        <f>+IF((PROVEEDORES[[#This Row],[FECHA DE PAGO]]-PROVEEDORES[[#This Row],[FECHA DE FACTURACIÓN]])&gt;PROVEEDORES[[#This Row],[PLAZO Días]],"PAGO VENCIDO")</f>
        <v>PAGO VENCIDO</v>
      </c>
      <c r="C559" s="27">
        <f>+VLOOKUP(PROVEEDORES[[#This Row],[PROVEEDOR]],TERCEROS_INFO[#All],2,FALSE)</f>
        <v>30</v>
      </c>
      <c r="D559" s="37">
        <f>+SUMIFS(PROVEEDORES[Total],PROVEEDORES[PROVEEDOR],PROVEEDORES[[#This Row],[PROVEEDOR]],PROVEEDORES[FECHA DE PAGO],"")</f>
        <v>165300</v>
      </c>
      <c r="E559" s="37"/>
      <c r="F559" s="108" t="str">
        <f>+VLOOKUP(PROVEEDORES[[#This Row],[PROVEEDOR]],TERCEROS_INFO[[PROVEEDOR]:[CORREO]],5,FALSE)</f>
        <v>swizzeraux2@gmail.com;girlesa.ruiz@servipilas.com;joriescobar64@gmail.com</v>
      </c>
      <c r="G559" s="143">
        <v>44488</v>
      </c>
      <c r="H559" s="38" t="s">
        <v>296</v>
      </c>
      <c r="I559" s="30">
        <v>44456</v>
      </c>
      <c r="J559" s="58" t="s">
        <v>1250</v>
      </c>
      <c r="K559" s="32">
        <v>1192550</v>
      </c>
      <c r="L559" s="32"/>
      <c r="M559" s="33">
        <f>(PROVEEDORES[[#This Row],[SUBTOTAL]]-PROVEEDORES[[#This Row],[descuento antes de IVA]])*VLOOKUP(PROVEEDORES[[#This Row],[PROVEEDOR]],TERCEROS_INFO[#All],3,FALSE)</f>
        <v>0</v>
      </c>
      <c r="N559" s="34"/>
      <c r="O559" s="33">
        <f>+PROVEEDORES[[#This Row],[Descuento sobre subtotal %]]*(PROVEEDORES[[#This Row],[SUBTOTAL]]-PROVEEDORES[[#This Row],[descuento antes de IVA]])</f>
        <v>0</v>
      </c>
      <c r="P5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59" s="33">
        <f>+(PROVEEDORES[[#This Row],[SUBTOTAL]]-PROVEEDORES[[#This Row],[descuento antes de IVA]])*PROVEEDORES[[#This Row],[Rete Fuente %]]</f>
        <v>0</v>
      </c>
      <c r="R559" s="32">
        <f>+PROVEEDORES[[#This Row],[SUBTOTAL]]+PROVEEDORES[[#This Row],[IVA 19%]]-PROVEEDORES[[#This Row],[descuento antes de IVA]]-PROVEEDORES[[#This Row],[Descuento sobre subtotal $]]-PROVEEDORES[[#This Row],[Rete Fuente $]]</f>
        <v>1192550</v>
      </c>
      <c r="S559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9" s="40"/>
      <c r="U559" s="97"/>
      <c r="V559" s="36"/>
      <c r="W559" s="36"/>
      <c r="X559" s="36"/>
      <c r="Y559" s="36"/>
      <c r="Z559" s="41"/>
      <c r="AA559" s="42"/>
      <c r="AF559" s="36"/>
      <c r="AG559" s="36"/>
    </row>
    <row r="560" spans="1:33" ht="21.95" hidden="1" customHeight="1" x14ac:dyDescent="0.25">
      <c r="A560" s="161" t="str">
        <f>+IF(PROVEEDORES[[#This Row],[FECHA DE PAGO]]=PROVEEDORES[[#This Row],[FECHA DE FACTURACIÓN]],"DE CONTADO","CRÉDITO")</f>
        <v>CRÉDITO</v>
      </c>
      <c r="B560" s="70" t="str">
        <f>+IF((PROVEEDORES[[#This Row],[FECHA DE PAGO]]-PROVEEDORES[[#This Row],[FECHA DE FACTURACIÓN]])&gt;PROVEEDORES[[#This Row],[PLAZO Días]],"PAGO VENCIDO")</f>
        <v>PAGO VENCIDO</v>
      </c>
      <c r="C560" s="27">
        <f>+VLOOKUP(PROVEEDORES[[#This Row],[PROVEEDOR]],TERCEROS_INFO[#All],2,FALSE)</f>
        <v>30</v>
      </c>
      <c r="D560" s="37">
        <f>+SUMIFS(PROVEEDORES[Total],PROVEEDORES[PROVEEDOR],PROVEEDORES[[#This Row],[PROVEEDOR]],PROVEEDORES[FECHA DE PAGO],"")</f>
        <v>165300</v>
      </c>
      <c r="E560" s="37"/>
      <c r="F560" s="108" t="str">
        <f>+VLOOKUP(PROVEEDORES[[#This Row],[PROVEEDOR]],TERCEROS_INFO[[PROVEEDOR]:[CORREO]],5,FALSE)</f>
        <v>swizzeraux2@gmail.com;girlesa.ruiz@servipilas.com;joriescobar64@gmail.com</v>
      </c>
      <c r="G560" s="143">
        <v>44536</v>
      </c>
      <c r="H560" s="38" t="s">
        <v>296</v>
      </c>
      <c r="I560" s="30">
        <v>44490</v>
      </c>
      <c r="J560" s="58" t="s">
        <v>1278</v>
      </c>
      <c r="K560" s="32">
        <v>712300</v>
      </c>
      <c r="L560" s="32"/>
      <c r="M560" s="33">
        <f>(PROVEEDORES[[#This Row],[SUBTOTAL]]-PROVEEDORES[[#This Row],[descuento antes de IVA]])*VLOOKUP(PROVEEDORES[[#This Row],[PROVEEDOR]],TERCEROS_INFO[#All],3,FALSE)</f>
        <v>0</v>
      </c>
      <c r="N560" s="34"/>
      <c r="O560" s="33">
        <f>+PROVEEDORES[[#This Row],[Descuento sobre subtotal %]]*(PROVEEDORES[[#This Row],[SUBTOTAL]]-PROVEEDORES[[#This Row],[descuento antes de IVA]])</f>
        <v>0</v>
      </c>
      <c r="P5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0" s="33">
        <f>+(PROVEEDORES[[#This Row],[SUBTOTAL]]-PROVEEDORES[[#This Row],[descuento antes de IVA]])*PROVEEDORES[[#This Row],[Rete Fuente %]]</f>
        <v>0</v>
      </c>
      <c r="R560" s="32">
        <f>+PROVEEDORES[[#This Row],[SUBTOTAL]]+PROVEEDORES[[#This Row],[IVA 19%]]-PROVEEDORES[[#This Row],[descuento antes de IVA]]-PROVEEDORES[[#This Row],[Descuento sobre subtotal $]]-PROVEEDORES[[#This Row],[Rete Fuente $]]</f>
        <v>712300</v>
      </c>
      <c r="S560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0" s="40"/>
      <c r="U560" s="97"/>
      <c r="V560" s="36"/>
      <c r="W560" s="36"/>
      <c r="X560" s="36"/>
      <c r="Y560" s="36"/>
      <c r="Z560" s="41"/>
      <c r="AA560" s="42"/>
      <c r="AF560" s="36"/>
      <c r="AG560" s="36"/>
    </row>
    <row r="561" spans="1:33" ht="21.95" hidden="1" customHeight="1" x14ac:dyDescent="0.25">
      <c r="A561" s="161" t="str">
        <f>+IF(PROVEEDORES[[#This Row],[FECHA DE PAGO]]=PROVEEDORES[[#This Row],[FECHA DE FACTURACIÓN]],"DE CONTADO","CRÉDITO")</f>
        <v>CRÉDITO</v>
      </c>
      <c r="B561" s="70" t="str">
        <f>+IF((PROVEEDORES[[#This Row],[FECHA DE PAGO]]-PROVEEDORES[[#This Row],[FECHA DE FACTURACIÓN]])&gt;PROVEEDORES[[#This Row],[PLAZO Días]],"PAGO VENCIDO")</f>
        <v>PAGO VENCIDO</v>
      </c>
      <c r="C561" s="27">
        <f>+VLOOKUP(PROVEEDORES[[#This Row],[PROVEEDOR]],TERCEROS_INFO[#All],2,FALSE)</f>
        <v>30</v>
      </c>
      <c r="D561" s="37">
        <f>+SUMIFS(PROVEEDORES[Total],PROVEEDORES[PROVEEDOR],PROVEEDORES[[#This Row],[PROVEEDOR]],PROVEEDORES[FECHA DE PAGO],"")</f>
        <v>165300</v>
      </c>
      <c r="E561" s="37"/>
      <c r="F561" s="108" t="str">
        <f>+VLOOKUP(PROVEEDORES[[#This Row],[PROVEEDOR]],TERCEROS_INFO[[PROVEEDOR]:[CORREO]],5,FALSE)</f>
        <v>swizzeraux2@gmail.com;girlesa.ruiz@servipilas.com;joriescobar64@gmail.com</v>
      </c>
      <c r="G561" s="143">
        <v>44536</v>
      </c>
      <c r="H561" s="38" t="s">
        <v>296</v>
      </c>
      <c r="I561" s="30">
        <v>44490</v>
      </c>
      <c r="J561" s="58" t="s">
        <v>1279</v>
      </c>
      <c r="K561" s="32">
        <v>133000</v>
      </c>
      <c r="L561" s="32"/>
      <c r="M561" s="33">
        <f>(PROVEEDORES[[#This Row],[SUBTOTAL]]-PROVEEDORES[[#This Row],[descuento antes de IVA]])*VLOOKUP(PROVEEDORES[[#This Row],[PROVEEDOR]],TERCEROS_INFO[#All],3,FALSE)</f>
        <v>0</v>
      </c>
      <c r="N561" s="34"/>
      <c r="O561" s="33">
        <f>+PROVEEDORES[[#This Row],[Descuento sobre subtotal %]]*(PROVEEDORES[[#This Row],[SUBTOTAL]]-PROVEEDORES[[#This Row],[descuento antes de IVA]])</f>
        <v>0</v>
      </c>
      <c r="P5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1" s="33">
        <f>+(PROVEEDORES[[#This Row],[SUBTOTAL]]-PROVEEDORES[[#This Row],[descuento antes de IVA]])*PROVEEDORES[[#This Row],[Rete Fuente %]]</f>
        <v>0</v>
      </c>
      <c r="R561" s="32">
        <f>+PROVEEDORES[[#This Row],[SUBTOTAL]]+PROVEEDORES[[#This Row],[IVA 19%]]-PROVEEDORES[[#This Row],[descuento antes de IVA]]-PROVEEDORES[[#This Row],[Descuento sobre subtotal $]]-PROVEEDORES[[#This Row],[Rete Fuente $]]</f>
        <v>133000</v>
      </c>
      <c r="S561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1" s="40"/>
      <c r="U561" s="97"/>
      <c r="V561" s="36"/>
      <c r="W561" s="36"/>
      <c r="X561" s="36"/>
      <c r="Y561" s="36"/>
      <c r="Z561" s="41"/>
      <c r="AA561" s="42"/>
      <c r="AF561" s="36"/>
      <c r="AG561" s="36"/>
    </row>
    <row r="562" spans="1:33" ht="21.95" hidden="1" customHeight="1" x14ac:dyDescent="0.25">
      <c r="A562" s="169" t="str">
        <f>+IF(PROVEEDORES[[#This Row],[FECHA DE PAGO]]=PROVEEDORES[[#This Row],[FECHA DE FACTURACIÓN]],"DE CONTADO","CRÉDITO")</f>
        <v>CRÉDITO</v>
      </c>
      <c r="B562" s="70" t="b">
        <f>+IF((PROVEEDORES[[#This Row],[FECHA DE PAGO]]-PROVEEDORES[[#This Row],[FECHA DE FACTURACIÓN]])&gt;PROVEEDORES[[#This Row],[PLAZO Días]],"PAGO VENCIDO")</f>
        <v>0</v>
      </c>
      <c r="C562" s="27">
        <f>+VLOOKUP(PROVEEDORES[[#This Row],[PROVEEDOR]],TERCEROS_INFO[#All],2,FALSE)</f>
        <v>30</v>
      </c>
      <c r="D562" s="37">
        <f>+SUMIFS(PROVEEDORES[Total],PROVEEDORES[PROVEEDOR],PROVEEDORES[[#This Row],[PROVEEDOR]],PROVEEDORES[FECHA DE PAGO],"")</f>
        <v>165300</v>
      </c>
      <c r="E562" s="37"/>
      <c r="F562" s="108" t="str">
        <f>+VLOOKUP(PROVEEDORES[[#This Row],[PROVEEDOR]],TERCEROS_INFO[[PROVEEDOR]:[CORREO]],5,FALSE)</f>
        <v>swizzeraux2@gmail.com;girlesa.ruiz@servipilas.com;joriescobar64@gmail.com</v>
      </c>
      <c r="H562" s="38" t="s">
        <v>296</v>
      </c>
      <c r="I562" s="30">
        <v>44548</v>
      </c>
      <c r="J562" s="58" t="s">
        <v>1333</v>
      </c>
      <c r="K562" s="32">
        <v>165300</v>
      </c>
      <c r="L562" s="32"/>
      <c r="M562" s="33">
        <f>(PROVEEDORES[[#This Row],[SUBTOTAL]]-PROVEEDORES[[#This Row],[descuento antes de IVA]])*VLOOKUP(PROVEEDORES[[#This Row],[PROVEEDOR]],TERCEROS_INFO[#All],3,FALSE)</f>
        <v>0</v>
      </c>
      <c r="N562" s="34"/>
      <c r="O562" s="33">
        <f>+PROVEEDORES[[#This Row],[Descuento sobre subtotal %]]*(PROVEEDORES[[#This Row],[SUBTOTAL]]-PROVEEDORES[[#This Row],[descuento antes de IVA]])</f>
        <v>0</v>
      </c>
      <c r="P5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2" s="33">
        <f>+(PROVEEDORES[[#This Row],[SUBTOTAL]]-PROVEEDORES[[#This Row],[descuento antes de IVA]])*PROVEEDORES[[#This Row],[Rete Fuente %]]</f>
        <v>0</v>
      </c>
      <c r="R562" s="32">
        <f>+PROVEEDORES[[#This Row],[SUBTOTAL]]+PROVEEDORES[[#This Row],[IVA 19%]]-PROVEEDORES[[#This Row],[descuento antes de IVA]]-PROVEEDORES[[#This Row],[Descuento sobre subtotal $]]-PROVEEDORES[[#This Row],[Rete Fuente $]]</f>
        <v>165300</v>
      </c>
      <c r="S562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562" s="40"/>
      <c r="U562" s="97"/>
      <c r="V562" s="36"/>
      <c r="W562" s="36"/>
      <c r="X562" s="36"/>
      <c r="Y562" s="36"/>
      <c r="Z562" s="41"/>
      <c r="AA562" s="42"/>
      <c r="AF562" s="36"/>
      <c r="AG562" s="36"/>
    </row>
    <row r="563" spans="1:33" ht="21.95" hidden="1" customHeight="1" x14ac:dyDescent="0.25">
      <c r="A563" s="169" t="str">
        <f>+IF(PROVEEDORES[[#This Row],[FECHA DE PAGO]]=PROVEEDORES[[#This Row],[FECHA DE FACTURACIÓN]],"DE CONTADO","CRÉDITO")</f>
        <v>CRÉDITO</v>
      </c>
      <c r="B563" s="70" t="b">
        <f>+IF((PROVEEDORES[[#This Row],[FECHA DE PAGO]]-PROVEEDORES[[#This Row],[FECHA DE FACTURACIÓN]])&gt;PROVEEDORES[[#This Row],[PLAZO Días]],"PAGO VENCIDO")</f>
        <v>0</v>
      </c>
      <c r="C563" s="27">
        <f>+VLOOKUP(PROVEEDORES[[#This Row],[PROVEEDOR]],TERCEROS_INFO[#All],2,FALSE)</f>
        <v>30</v>
      </c>
      <c r="D563" s="37">
        <f>+SUMIFS(PROVEEDORES[Total],PROVEEDORES[PROVEEDOR],PROVEEDORES[[#This Row],[PROVEEDOR]],PROVEEDORES[FECHA DE PAGO],"")</f>
        <v>165300</v>
      </c>
      <c r="E563" s="37"/>
      <c r="F563" s="108" t="str">
        <f>+VLOOKUP(PROVEEDORES[[#This Row],[PROVEEDOR]],TERCEROS_INFO[[PROVEEDOR]:[CORREO]],5,FALSE)</f>
        <v>swizzeraux2@gmail.com;girlesa.ruiz@servipilas.com;joriescobar64@gmail.com</v>
      </c>
      <c r="H563" s="38" t="s">
        <v>296</v>
      </c>
      <c r="I563" s="30">
        <v>44548</v>
      </c>
      <c r="J563" s="58" t="s">
        <v>1334</v>
      </c>
      <c r="K563" s="32"/>
      <c r="L563" s="32"/>
      <c r="M563" s="33">
        <f>(PROVEEDORES[[#This Row],[SUBTOTAL]]-PROVEEDORES[[#This Row],[descuento antes de IVA]])*VLOOKUP(PROVEEDORES[[#This Row],[PROVEEDOR]],TERCEROS_INFO[#All],3,FALSE)</f>
        <v>0</v>
      </c>
      <c r="N563" s="34"/>
      <c r="O563" s="33">
        <f>+PROVEEDORES[[#This Row],[Descuento sobre subtotal %]]*(PROVEEDORES[[#This Row],[SUBTOTAL]]-PROVEEDORES[[#This Row],[descuento antes de IVA]])</f>
        <v>0</v>
      </c>
      <c r="P5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3" s="33">
        <f>+(PROVEEDORES[[#This Row],[SUBTOTAL]]-PROVEEDORES[[#This Row],[descuento antes de IVA]])*PROVEEDORES[[#This Row],[Rete Fuente %]]</f>
        <v>0</v>
      </c>
      <c r="R563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563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563" s="40"/>
      <c r="U563" s="97"/>
      <c r="V563" s="36"/>
      <c r="W563" s="36"/>
      <c r="X563" s="36"/>
      <c r="Y563" s="36"/>
      <c r="Z563" s="41"/>
      <c r="AA563" s="42"/>
      <c r="AF563" s="36"/>
      <c r="AG563" s="36"/>
    </row>
    <row r="564" spans="1:33" ht="21.95" hidden="1" customHeight="1" x14ac:dyDescent="0.25">
      <c r="A564" s="103" t="str">
        <f>+IF(PROVEEDORES[[#This Row],[FECHA DE PAGO]]=PROVEEDORES[[#This Row],[FECHA DE FACTURACIÓN]],"DE CONTADO","CRÉDITO")</f>
        <v>CRÉDITO</v>
      </c>
      <c r="B564" s="70" t="str">
        <f>+IF((PROVEEDORES[[#This Row],[FECHA DE PAGO]]-PROVEEDORES[[#This Row],[FECHA DE FACTURACIÓN]])&gt;PROVEEDORES[[#This Row],[PLAZO Días]],"PAGO VENCIDO")</f>
        <v>PAGO VENCIDO</v>
      </c>
      <c r="C564" s="27">
        <f>+VLOOKUP(PROVEEDORES[[#This Row],[PROVEEDOR]],TERCEROS_INFO[#All],2,FALSE)</f>
        <v>20</v>
      </c>
      <c r="D564" s="37">
        <f>+SUMIFS(PROVEEDORES[Total],PROVEEDORES[PROVEEDOR],PROVEEDORES[[#This Row],[PROVEEDOR]],PROVEEDORES[FECHA DE PAGO],"")</f>
        <v>0</v>
      </c>
      <c r="E564" s="37"/>
      <c r="F564" s="108">
        <f>+VLOOKUP(PROVEEDORES[[#This Row],[PROVEEDOR]],TERCEROS_INFO[[PROVEEDOR]:[CORREO]],5,FALSE)</f>
        <v>0</v>
      </c>
      <c r="G564" s="143">
        <v>44334</v>
      </c>
      <c r="H564" s="57" t="s">
        <v>606</v>
      </c>
      <c r="I564" s="30">
        <v>44281</v>
      </c>
      <c r="J564" s="58"/>
      <c r="K564" s="32">
        <v>216000</v>
      </c>
      <c r="L564" s="32"/>
      <c r="M564" s="33">
        <f>(PROVEEDORES[[#This Row],[SUBTOTAL]]-PROVEEDORES[[#This Row],[descuento antes de IVA]])*VLOOKUP(PROVEEDORES[[#This Row],[PROVEEDOR]],TERCEROS_INFO[#All],3,FALSE)</f>
        <v>0</v>
      </c>
      <c r="N564" s="34"/>
      <c r="O564" s="33">
        <f>+PROVEEDORES[[#This Row],[Descuento sobre subtotal %]]*(PROVEEDORES[[#This Row],[SUBTOTAL]]-PROVEEDORES[[#This Row],[descuento antes de IVA]])</f>
        <v>0</v>
      </c>
      <c r="P5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4" s="33">
        <f>+(PROVEEDORES[[#This Row],[SUBTOTAL]]-PROVEEDORES[[#This Row],[descuento antes de IVA]])*PROVEEDORES[[#This Row],[Rete Fuente %]]</f>
        <v>0</v>
      </c>
      <c r="R564" s="32">
        <f>+PROVEEDORES[[#This Row],[SUBTOTAL]]+PROVEEDORES[[#This Row],[IVA 19%]]-PROVEEDORES[[#This Row],[descuento antes de IVA]]-PROVEEDORES[[#This Row],[Descuento sobre subtotal $]]-PROVEEDORES[[#This Row],[Rete Fuente $]]</f>
        <v>216000</v>
      </c>
      <c r="S564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4" s="40"/>
      <c r="U564" s="97"/>
      <c r="V564" s="36"/>
      <c r="W564" s="36"/>
      <c r="X564" s="36"/>
      <c r="Y564" s="36"/>
      <c r="Z564" s="41"/>
      <c r="AA564" s="42"/>
      <c r="AF564" s="36"/>
      <c r="AG564" s="36"/>
    </row>
    <row r="565" spans="1:33" ht="21.95" hidden="1" customHeight="1" x14ac:dyDescent="0.25">
      <c r="A565" s="156" t="str">
        <f>+IF(PROVEEDORES[[#This Row],[FECHA DE PAGO]]=PROVEEDORES[[#This Row],[FECHA DE FACTURACIÓN]],"DE CONTADO","CRÉDITO")</f>
        <v>CRÉDITO</v>
      </c>
      <c r="B565" s="70" t="b">
        <f>+IF((PROVEEDORES[[#This Row],[FECHA DE PAGO]]-PROVEEDORES[[#This Row],[FECHA DE FACTURACIÓN]])&gt;PROVEEDORES[[#This Row],[PLAZO Días]],"PAGO VENCIDO")</f>
        <v>0</v>
      </c>
      <c r="C565" s="27">
        <f>+VLOOKUP(PROVEEDORES[[#This Row],[PROVEEDOR]],TERCEROS_INFO[#All],2,FALSE)</f>
        <v>20</v>
      </c>
      <c r="D565" s="37">
        <f>+SUMIFS(PROVEEDORES[Total],PROVEEDORES[PROVEEDOR],PROVEEDORES[[#This Row],[PROVEEDOR]],PROVEEDORES[FECHA DE PAGO],"")</f>
        <v>0</v>
      </c>
      <c r="E565" s="37"/>
      <c r="F565" s="108">
        <f>+VLOOKUP(PROVEEDORES[[#This Row],[PROVEEDOR]],TERCEROS_INFO[[PROVEEDOR]:[CORREO]],5,FALSE)</f>
        <v>0</v>
      </c>
      <c r="G565" s="143">
        <v>44490</v>
      </c>
      <c r="H565" s="57" t="s">
        <v>606</v>
      </c>
      <c r="I565" s="30">
        <v>44479</v>
      </c>
      <c r="J565" s="58"/>
      <c r="K565" s="32">
        <v>108000</v>
      </c>
      <c r="L565" s="32"/>
      <c r="M565" s="33">
        <f>(PROVEEDORES[[#This Row],[SUBTOTAL]]-PROVEEDORES[[#This Row],[descuento antes de IVA]])*VLOOKUP(PROVEEDORES[[#This Row],[PROVEEDOR]],TERCEROS_INFO[#All],3,FALSE)</f>
        <v>0</v>
      </c>
      <c r="N565" s="34"/>
      <c r="O565" s="33">
        <f>+PROVEEDORES[[#This Row],[Descuento sobre subtotal %]]*(PROVEEDORES[[#This Row],[SUBTOTAL]]-PROVEEDORES[[#This Row],[descuento antes de IVA]])</f>
        <v>0</v>
      </c>
      <c r="P5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5" s="33">
        <f>+(PROVEEDORES[[#This Row],[SUBTOTAL]]-PROVEEDORES[[#This Row],[descuento antes de IVA]])*PROVEEDORES[[#This Row],[Rete Fuente %]]</f>
        <v>0</v>
      </c>
      <c r="R565" s="32">
        <f>+PROVEEDORES[[#This Row],[SUBTOTAL]]+PROVEEDORES[[#This Row],[IVA 19%]]-PROVEEDORES[[#This Row],[descuento antes de IVA]]-PROVEEDORES[[#This Row],[Descuento sobre subtotal $]]-PROVEEDORES[[#This Row],[Rete Fuente $]]</f>
        <v>108000</v>
      </c>
      <c r="S565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5" s="40"/>
      <c r="U565" s="97"/>
      <c r="V565" s="36"/>
      <c r="W565" s="36"/>
      <c r="X565" s="36"/>
      <c r="Y565" s="36"/>
      <c r="Z565" s="41"/>
      <c r="AA565" s="42"/>
      <c r="AF565" s="36"/>
      <c r="AG565" s="36"/>
    </row>
    <row r="566" spans="1:33" ht="21.95" hidden="1" customHeight="1" x14ac:dyDescent="0.25">
      <c r="A566" s="39" t="str">
        <f>+IF(PROVEEDORES[[#This Row],[FECHA DE PAGO]]=PROVEEDORES[[#This Row],[FECHA DE FACTURACIÓN]],"DE CONTADO","CRÉDITO")</f>
        <v>CRÉDITO</v>
      </c>
      <c r="B566" s="67" t="b">
        <f>+IF((PROVEEDORES[[#This Row],[FECHA DE PAGO]]-PROVEEDORES[[#This Row],[FECHA DE FACTURACIÓN]])&gt;PROVEEDORES[[#This Row],[PLAZO Días]],"PAGO VENCIDO")</f>
        <v>0</v>
      </c>
      <c r="C566" s="27">
        <f>+VLOOKUP(PROVEEDORES[[#This Row],[PROVEEDOR]],TERCEROS_INFO[#All],2,FALSE)</f>
        <v>30</v>
      </c>
      <c r="D566" s="37">
        <f>+SUMIFS(PROVEEDORES[Total],PROVEEDORES[PROVEEDOR],PROVEEDORES[[#This Row],[PROVEEDOR]],PROVEEDORES[FECHA DE PAGO],"")</f>
        <v>0</v>
      </c>
      <c r="E566" s="37"/>
      <c r="F566" s="108" t="str">
        <f>+VLOOKUP(PROVEEDORES[[#This Row],[PROVEEDOR]],TERCEROS_INFO[[PROVEEDOR]:[CORREO]],5,FALSE)</f>
        <v/>
      </c>
      <c r="G566" s="143">
        <v>43986</v>
      </c>
      <c r="H566" s="38" t="s">
        <v>297</v>
      </c>
      <c r="I566" s="30">
        <v>43959</v>
      </c>
      <c r="J566" s="58" t="s">
        <v>1064</v>
      </c>
      <c r="K566" s="32">
        <v>100000</v>
      </c>
      <c r="L566" s="32"/>
      <c r="M566" s="33">
        <f>(PROVEEDORES[[#This Row],[SUBTOTAL]]-PROVEEDORES[[#This Row],[descuento antes de IVA]])*VLOOKUP(PROVEEDORES[[#This Row],[PROVEEDOR]],TERCEROS_INFO[#All],3,FALSE)</f>
        <v>0</v>
      </c>
      <c r="N566" s="34"/>
      <c r="O566" s="33">
        <f>+PROVEEDORES[[#This Row],[Descuento sobre subtotal %]]*(PROVEEDORES[[#This Row],[SUBTOTAL]]-PROVEEDORES[[#This Row],[descuento antes de IVA]])</f>
        <v>0</v>
      </c>
      <c r="P5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6" s="33">
        <f>+(PROVEEDORES[[#This Row],[SUBTOTAL]]-PROVEEDORES[[#This Row],[descuento antes de IVA]])*PROVEEDORES[[#This Row],[Rete Fuente %]]</f>
        <v>0</v>
      </c>
      <c r="R566" s="32">
        <f>+PROVEEDORES[[#This Row],[SUBTOTAL]]+PROVEEDORES[[#This Row],[IVA 19%]]-PROVEEDORES[[#This Row],[descuento antes de IVA]]-PROVEEDORES[[#This Row],[Descuento sobre subtotal $]]-PROVEEDORES[[#This Row],[Rete Fuente $]]</f>
        <v>100000</v>
      </c>
      <c r="S56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6" s="40"/>
      <c r="U566" s="97"/>
      <c r="V566" s="36"/>
      <c r="W566" s="36"/>
      <c r="X566" s="36"/>
      <c r="Y566" s="36"/>
      <c r="Z566" s="41"/>
      <c r="AA566" s="42"/>
      <c r="AF566" s="36"/>
      <c r="AG566" s="36"/>
    </row>
    <row r="567" spans="1:33" ht="21.95" hidden="1" customHeight="1" x14ac:dyDescent="0.25">
      <c r="A567" s="39" t="str">
        <f>+IF(PROVEEDORES[[#This Row],[FECHA DE PAGO]]=PROVEEDORES[[#This Row],[FECHA DE FACTURACIÓN]],"DE CONTADO","CRÉDITO")</f>
        <v>DE CONTADO</v>
      </c>
      <c r="B567" s="67" t="b">
        <f>+IF((PROVEEDORES[[#This Row],[FECHA DE PAGO]]-PROVEEDORES[[#This Row],[FECHA DE FACTURACIÓN]])&gt;PROVEEDORES[[#This Row],[PLAZO Días]],"PAGO VENCIDO")</f>
        <v>0</v>
      </c>
      <c r="C567" s="27">
        <f>+VLOOKUP(PROVEEDORES[[#This Row],[PROVEEDOR]],TERCEROS_INFO[#All],2,FALSE)</f>
        <v>30</v>
      </c>
      <c r="D567" s="37">
        <f>+SUMIFS(PROVEEDORES[Total],PROVEEDORES[PROVEEDOR],PROVEEDORES[[#This Row],[PROVEEDOR]],PROVEEDORES[FECHA DE PAGO],"")</f>
        <v>0</v>
      </c>
      <c r="E567" s="37"/>
      <c r="F567" s="108" t="str">
        <f>+VLOOKUP(PROVEEDORES[[#This Row],[PROVEEDOR]],TERCEROS_INFO[[PROVEEDOR]:[CORREO]],5,FALSE)</f>
        <v/>
      </c>
      <c r="G567" s="143">
        <v>44209</v>
      </c>
      <c r="H567" s="38" t="s">
        <v>321</v>
      </c>
      <c r="I567" s="30">
        <v>44209</v>
      </c>
      <c r="J567" s="58">
        <v>2365</v>
      </c>
      <c r="K567" s="32">
        <v>65000</v>
      </c>
      <c r="L567" s="32"/>
      <c r="M567" s="33">
        <f>(PROVEEDORES[[#This Row],[SUBTOTAL]]-PROVEEDORES[[#This Row],[descuento antes de IVA]])*VLOOKUP(PROVEEDORES[[#This Row],[PROVEEDOR]],TERCEROS_INFO[#All],3,FALSE)</f>
        <v>0</v>
      </c>
      <c r="N567" s="34"/>
      <c r="O567" s="33">
        <f>+PROVEEDORES[[#This Row],[Descuento sobre subtotal %]]*(PROVEEDORES[[#This Row],[SUBTOTAL]]-PROVEEDORES[[#This Row],[descuento antes de IVA]])</f>
        <v>0</v>
      </c>
      <c r="P5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7" s="33">
        <f>+(PROVEEDORES[[#This Row],[SUBTOTAL]]-PROVEEDORES[[#This Row],[descuento antes de IVA]])*PROVEEDORES[[#This Row],[Rete Fuente %]]</f>
        <v>0</v>
      </c>
      <c r="R567" s="32">
        <f>+PROVEEDORES[[#This Row],[SUBTOTAL]]+PROVEEDORES[[#This Row],[IVA 19%]]-PROVEEDORES[[#This Row],[descuento antes de IVA]]-PROVEEDORES[[#This Row],[Descuento sobre subtotal $]]-PROVEEDORES[[#This Row],[Rete Fuente $]]</f>
        <v>65000</v>
      </c>
      <c r="S56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7" s="40"/>
      <c r="U567" s="97"/>
      <c r="V567" s="36"/>
      <c r="W567" s="36"/>
      <c r="X567" s="36"/>
      <c r="Y567" s="36"/>
      <c r="Z567" s="41"/>
      <c r="AA567" s="42"/>
      <c r="AF567" s="36"/>
      <c r="AG567" s="36"/>
    </row>
    <row r="568" spans="1:33" ht="21.95" hidden="1" customHeight="1" x14ac:dyDescent="0.25">
      <c r="A568" s="148" t="str">
        <f>+IF(PROVEEDORES[[#This Row],[FECHA DE PAGO]]=PROVEEDORES[[#This Row],[FECHA DE FACTURACIÓN]],"DE CONTADO","CRÉDITO")</f>
        <v>DE CONTADO</v>
      </c>
      <c r="B568" s="70" t="b">
        <f>+IF((PROVEEDORES[[#This Row],[FECHA DE PAGO]]-PROVEEDORES[[#This Row],[FECHA DE FACTURACIÓN]])&gt;PROVEEDORES[[#This Row],[PLAZO Días]],"PAGO VENCIDO")</f>
        <v>0</v>
      </c>
      <c r="C568" s="27">
        <f>+VLOOKUP(PROVEEDORES[[#This Row],[PROVEEDOR]],TERCEROS_INFO[#All],2,FALSE)</f>
        <v>30</v>
      </c>
      <c r="D568" s="37">
        <f>+SUMIFS(PROVEEDORES[Total],PROVEEDORES[PROVEEDOR],PROVEEDORES[[#This Row],[PROVEEDOR]],PROVEEDORES[FECHA DE PAGO],"")</f>
        <v>0</v>
      </c>
      <c r="E568" s="37"/>
      <c r="F568" s="108" t="str">
        <f>+VLOOKUP(PROVEEDORES[[#This Row],[PROVEEDOR]],TERCEROS_INFO[[PROVEEDOR]:[CORREO]],5,FALSE)</f>
        <v/>
      </c>
      <c r="G568" s="143">
        <v>44447</v>
      </c>
      <c r="H568" s="38" t="s">
        <v>321</v>
      </c>
      <c r="I568" s="143">
        <v>44447</v>
      </c>
      <c r="J568" s="58" t="s">
        <v>1240</v>
      </c>
      <c r="K568" s="32">
        <v>182000</v>
      </c>
      <c r="L568" s="32"/>
      <c r="M568" s="33">
        <f>(PROVEEDORES[[#This Row],[SUBTOTAL]]-PROVEEDORES[[#This Row],[descuento antes de IVA]])*VLOOKUP(PROVEEDORES[[#This Row],[PROVEEDOR]],TERCEROS_INFO[#All],3,FALSE)</f>
        <v>0</v>
      </c>
      <c r="N568" s="34"/>
      <c r="O568" s="33">
        <f>+PROVEEDORES[[#This Row],[Descuento sobre subtotal %]]*(PROVEEDORES[[#This Row],[SUBTOTAL]]-PROVEEDORES[[#This Row],[descuento antes de IVA]])</f>
        <v>0</v>
      </c>
      <c r="P5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8" s="33">
        <f>+(PROVEEDORES[[#This Row],[SUBTOTAL]]-PROVEEDORES[[#This Row],[descuento antes de IVA]])*PROVEEDORES[[#This Row],[Rete Fuente %]]</f>
        <v>0</v>
      </c>
      <c r="R568" s="32">
        <f>+PROVEEDORES[[#This Row],[SUBTOTAL]]+PROVEEDORES[[#This Row],[IVA 19%]]-PROVEEDORES[[#This Row],[descuento antes de IVA]]-PROVEEDORES[[#This Row],[Descuento sobre subtotal $]]-PROVEEDORES[[#This Row],[Rete Fuente $]]</f>
        <v>182000</v>
      </c>
      <c r="S568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8" s="40"/>
      <c r="U568" s="97"/>
      <c r="V568" s="36"/>
      <c r="W568" s="36"/>
      <c r="X568" s="36"/>
      <c r="Y568" s="36"/>
      <c r="Z568" s="41"/>
      <c r="AA568" s="42"/>
      <c r="AF568" s="36"/>
      <c r="AG568" s="36"/>
    </row>
    <row r="569" spans="1:33" ht="21.95" hidden="1" customHeight="1" x14ac:dyDescent="0.25">
      <c r="A569" s="129" t="str">
        <f>+IF(PROVEEDORES[[#This Row],[FECHA DE PAGO]]=PROVEEDORES[[#This Row],[FECHA DE FACTURACIÓN]],"DE CONTADO","CRÉDITO")</f>
        <v>DE CONTADO</v>
      </c>
      <c r="B569" s="70" t="b">
        <f>+IF((PROVEEDORES[[#This Row],[FECHA DE PAGO]]-PROVEEDORES[[#This Row],[FECHA DE FACTURACIÓN]])&gt;PROVEEDORES[[#This Row],[PLAZO Días]],"PAGO VENCIDO")</f>
        <v>0</v>
      </c>
      <c r="C569" s="27">
        <f>+VLOOKUP(PROVEEDORES[[#This Row],[PROVEEDOR]],TERCEROS_INFO[#All],2,FALSE)</f>
        <v>30</v>
      </c>
      <c r="D569" s="37">
        <f>+SUMIFS(PROVEEDORES[Total],PROVEEDORES[PROVEEDOR],PROVEEDORES[[#This Row],[PROVEEDOR]],PROVEEDORES[FECHA DE PAGO],"")</f>
        <v>0</v>
      </c>
      <c r="E569" s="37"/>
      <c r="F569" s="108">
        <f>+VLOOKUP(PROVEEDORES[[#This Row],[PROVEEDOR]],TERCEROS_INFO[[PROVEEDOR]:[CORREO]],5,FALSE)</f>
        <v>0</v>
      </c>
      <c r="G569" s="143">
        <v>44367</v>
      </c>
      <c r="H569" s="57" t="s">
        <v>741</v>
      </c>
      <c r="I569" s="30">
        <v>44367</v>
      </c>
      <c r="J569" s="58" t="s">
        <v>1096</v>
      </c>
      <c r="K569" s="32">
        <v>464515</v>
      </c>
      <c r="L569" s="32"/>
      <c r="M569" s="33">
        <f>(PROVEEDORES[[#This Row],[SUBTOTAL]]-PROVEEDORES[[#This Row],[descuento antes de IVA]])*VLOOKUP(PROVEEDORES[[#This Row],[PROVEEDOR]],TERCEROS_INFO[#All],3,FALSE)</f>
        <v>0</v>
      </c>
      <c r="N569" s="34"/>
      <c r="O569" s="33">
        <f>+PROVEEDORES[[#This Row],[Descuento sobre subtotal %]]*(PROVEEDORES[[#This Row],[SUBTOTAL]]-PROVEEDORES[[#This Row],[descuento antes de IVA]])</f>
        <v>0</v>
      </c>
      <c r="P5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69" s="33">
        <f>+(PROVEEDORES[[#This Row],[SUBTOTAL]]-PROVEEDORES[[#This Row],[descuento antes de IVA]])*PROVEEDORES[[#This Row],[Rete Fuente %]]</f>
        <v>0</v>
      </c>
      <c r="R569" s="32">
        <f>+PROVEEDORES[[#This Row],[SUBTOTAL]]+PROVEEDORES[[#This Row],[IVA 19%]]-PROVEEDORES[[#This Row],[descuento antes de IVA]]-PROVEEDORES[[#This Row],[Descuento sobre subtotal $]]-PROVEEDORES[[#This Row],[Rete Fuente $]]</f>
        <v>464515</v>
      </c>
      <c r="S569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9" s="40"/>
      <c r="U569" s="97"/>
      <c r="V569" s="36"/>
      <c r="W569" s="36"/>
      <c r="X569" s="36"/>
      <c r="Y569" s="36"/>
      <c r="Z569" s="41"/>
      <c r="AA569" s="42"/>
      <c r="AF569" s="36"/>
      <c r="AG569" s="36"/>
    </row>
    <row r="570" spans="1:33" ht="21.95" hidden="1" customHeight="1" x14ac:dyDescent="0.25">
      <c r="A570" s="39" t="str">
        <f>+IF(PROVEEDORES[[#This Row],[FECHA DE PAGO]]=PROVEEDORES[[#This Row],[FECHA DE FACTURACIÓN]],"DE CONTADO","CRÉDITO")</f>
        <v>CRÉDITO</v>
      </c>
      <c r="B570" s="67" t="str">
        <f>+IF((PROVEEDORES[[#This Row],[FECHA DE PAGO]]-PROVEEDORES[[#This Row],[FECHA DE FACTURACIÓN]])&gt;PROVEEDORES[[#This Row],[PLAZO Días]],"PAGO VENCIDO")</f>
        <v>PAGO VENCIDO</v>
      </c>
      <c r="C570" s="27">
        <f>+VLOOKUP(PROVEEDORES[[#This Row],[PROVEEDOR]],TERCEROS_INFO[#All],2,FALSE)</f>
        <v>30</v>
      </c>
      <c r="D570" s="37">
        <f>+SUMIFS(PROVEEDORES[Total],PROVEEDORES[PROVEEDOR],PROVEEDORES[[#This Row],[PROVEEDOR]],PROVEEDORES[FECHA DE PAGO],"")</f>
        <v>0</v>
      </c>
      <c r="E570" s="37"/>
      <c r="F570" s="108" t="str">
        <f>+VLOOKUP(PROVEEDORES[[#This Row],[PROVEEDOR]],TERCEROS_INFO[[PROVEEDOR]:[CORREO]],5,FALSE)</f>
        <v/>
      </c>
      <c r="G570" s="143">
        <v>43899</v>
      </c>
      <c r="H570" s="38" t="s">
        <v>299</v>
      </c>
      <c r="I570" s="30">
        <v>43833</v>
      </c>
      <c r="J570" s="58">
        <v>666</v>
      </c>
      <c r="K570" s="32">
        <v>124000</v>
      </c>
      <c r="L570" s="32"/>
      <c r="M570" s="33">
        <f>(PROVEEDORES[[#This Row],[SUBTOTAL]]-PROVEEDORES[[#This Row],[descuento antes de IVA]])*VLOOKUP(PROVEEDORES[[#This Row],[PROVEEDOR]],TERCEROS_INFO[#All],3,FALSE)</f>
        <v>0</v>
      </c>
      <c r="N570" s="34"/>
      <c r="O570" s="33">
        <f>+PROVEEDORES[[#This Row],[Descuento sobre subtotal %]]*(PROVEEDORES[[#This Row],[SUBTOTAL]]-PROVEEDORES[[#This Row],[descuento antes de IVA]])</f>
        <v>0</v>
      </c>
      <c r="P5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0" s="33">
        <f>+(PROVEEDORES[[#This Row],[SUBTOTAL]]-PROVEEDORES[[#This Row],[descuento antes de IVA]])*PROVEEDORES[[#This Row],[Rete Fuente %]]</f>
        <v>0</v>
      </c>
      <c r="R570" s="32">
        <f>+PROVEEDORES[[#This Row],[SUBTOTAL]]+PROVEEDORES[[#This Row],[IVA 19%]]-PROVEEDORES[[#This Row],[descuento antes de IVA]]-PROVEEDORES[[#This Row],[Descuento sobre subtotal $]]-PROVEEDORES[[#This Row],[Rete Fuente $]]</f>
        <v>124000</v>
      </c>
      <c r="S57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0" s="40"/>
      <c r="U570" s="97"/>
      <c r="V570" s="36"/>
      <c r="W570" s="36"/>
      <c r="X570" s="36"/>
      <c r="Y570" s="36"/>
      <c r="Z570" s="41"/>
      <c r="AA570" s="42"/>
      <c r="AF570" s="36"/>
      <c r="AG570" s="36"/>
    </row>
    <row r="571" spans="1:33" ht="21.95" hidden="1" customHeight="1" x14ac:dyDescent="0.25">
      <c r="A571" s="39" t="str">
        <f>+IF(PROVEEDORES[[#This Row],[FECHA DE PAGO]]=PROVEEDORES[[#This Row],[FECHA DE FACTURACIÓN]],"DE CONTADO","CRÉDITO")</f>
        <v>CRÉDITO</v>
      </c>
      <c r="B571" s="67" t="str">
        <f>+IF((PROVEEDORES[[#This Row],[FECHA DE PAGO]]-PROVEEDORES[[#This Row],[FECHA DE FACTURACIÓN]])&gt;PROVEEDORES[[#This Row],[PLAZO Días]],"PAGO VENCIDO")</f>
        <v>PAGO VENCIDO</v>
      </c>
      <c r="C571" s="27">
        <f>+VLOOKUP(PROVEEDORES[[#This Row],[PROVEEDOR]],TERCEROS_INFO[#All],2,FALSE)</f>
        <v>30</v>
      </c>
      <c r="D571" s="37">
        <f>+SUMIFS(PROVEEDORES[Total],PROVEEDORES[PROVEEDOR],PROVEEDORES[[#This Row],[PROVEEDOR]],PROVEEDORES[FECHA DE PAGO],"")</f>
        <v>0</v>
      </c>
      <c r="E571" s="37"/>
      <c r="F571" s="108" t="str">
        <f>+VLOOKUP(PROVEEDORES[[#This Row],[PROVEEDOR]],TERCEROS_INFO[[PROVEEDOR]:[CORREO]],5,FALSE)</f>
        <v/>
      </c>
      <c r="G571" s="143">
        <v>43899</v>
      </c>
      <c r="H571" s="38" t="s">
        <v>299</v>
      </c>
      <c r="I571" s="30">
        <v>43837</v>
      </c>
      <c r="J571" s="58">
        <v>667</v>
      </c>
      <c r="K571" s="32">
        <v>161500</v>
      </c>
      <c r="L571" s="32"/>
      <c r="M571" s="33">
        <f>(PROVEEDORES[[#This Row],[SUBTOTAL]]-PROVEEDORES[[#This Row],[descuento antes de IVA]])*VLOOKUP(PROVEEDORES[[#This Row],[PROVEEDOR]],TERCEROS_INFO[#All],3,FALSE)</f>
        <v>0</v>
      </c>
      <c r="N571" s="34"/>
      <c r="O571" s="33">
        <f>+PROVEEDORES[[#This Row],[Descuento sobre subtotal %]]*(PROVEEDORES[[#This Row],[SUBTOTAL]]-PROVEEDORES[[#This Row],[descuento antes de IVA]])</f>
        <v>0</v>
      </c>
      <c r="P5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1" s="33">
        <f>+(PROVEEDORES[[#This Row],[SUBTOTAL]]-PROVEEDORES[[#This Row],[descuento antes de IVA]])*PROVEEDORES[[#This Row],[Rete Fuente %]]</f>
        <v>0</v>
      </c>
      <c r="R571" s="32">
        <f>+PROVEEDORES[[#This Row],[SUBTOTAL]]+PROVEEDORES[[#This Row],[IVA 19%]]-PROVEEDORES[[#This Row],[descuento antes de IVA]]-PROVEEDORES[[#This Row],[Descuento sobre subtotal $]]-PROVEEDORES[[#This Row],[Rete Fuente $]]</f>
        <v>161500</v>
      </c>
      <c r="S57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1" s="40"/>
      <c r="U571" s="97"/>
      <c r="V571" s="36"/>
      <c r="W571" s="36"/>
      <c r="X571" s="36"/>
      <c r="Y571" s="36"/>
      <c r="Z571" s="41"/>
      <c r="AA571" s="42"/>
      <c r="AF571" s="36"/>
      <c r="AG571" s="36"/>
    </row>
    <row r="572" spans="1:33" ht="21.95" hidden="1" customHeight="1" x14ac:dyDescent="0.25">
      <c r="A572" s="39" t="str">
        <f>+IF(PROVEEDORES[[#This Row],[FECHA DE PAGO]]=PROVEEDORES[[#This Row],[FECHA DE FACTURACIÓN]],"DE CONTADO","CRÉDITO")</f>
        <v>CRÉDITO</v>
      </c>
      <c r="B572" s="67" t="str">
        <f>+IF((PROVEEDORES[[#This Row],[FECHA DE PAGO]]-PROVEEDORES[[#This Row],[FECHA DE FACTURACIÓN]])&gt;PROVEEDORES[[#This Row],[PLAZO Días]],"PAGO VENCIDO")</f>
        <v>PAGO VENCIDO</v>
      </c>
      <c r="C572" s="27">
        <f>+VLOOKUP(PROVEEDORES[[#This Row],[PROVEEDOR]],TERCEROS_INFO[#All],2,FALSE)</f>
        <v>30</v>
      </c>
      <c r="D572" s="37">
        <f>+SUMIFS(PROVEEDORES[Total],PROVEEDORES[PROVEEDOR],PROVEEDORES[[#This Row],[PROVEEDOR]],PROVEEDORES[FECHA DE PAGO],"")</f>
        <v>0</v>
      </c>
      <c r="E572" s="37"/>
      <c r="F572" s="108" t="str">
        <f>+VLOOKUP(PROVEEDORES[[#This Row],[PROVEEDOR]],TERCEROS_INFO[[PROVEEDOR]:[CORREO]],5,FALSE)</f>
        <v/>
      </c>
      <c r="G572" s="143">
        <v>43899</v>
      </c>
      <c r="H572" s="38" t="s">
        <v>299</v>
      </c>
      <c r="I572" s="30">
        <v>43839</v>
      </c>
      <c r="J572" s="58">
        <v>668</v>
      </c>
      <c r="K572" s="32">
        <v>245000</v>
      </c>
      <c r="L572" s="32"/>
      <c r="M572" s="33">
        <f>(PROVEEDORES[[#This Row],[SUBTOTAL]]-PROVEEDORES[[#This Row],[descuento antes de IVA]])*VLOOKUP(PROVEEDORES[[#This Row],[PROVEEDOR]],TERCEROS_INFO[#All],3,FALSE)</f>
        <v>0</v>
      </c>
      <c r="N572" s="34"/>
      <c r="O572" s="33">
        <f>+PROVEEDORES[[#This Row],[Descuento sobre subtotal %]]*(PROVEEDORES[[#This Row],[SUBTOTAL]]-PROVEEDORES[[#This Row],[descuento antes de IVA]])</f>
        <v>0</v>
      </c>
      <c r="P5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2" s="33">
        <f>+(PROVEEDORES[[#This Row],[SUBTOTAL]]-PROVEEDORES[[#This Row],[descuento antes de IVA]])*PROVEEDORES[[#This Row],[Rete Fuente %]]</f>
        <v>0</v>
      </c>
      <c r="R572" s="32">
        <f>+PROVEEDORES[[#This Row],[SUBTOTAL]]+PROVEEDORES[[#This Row],[IVA 19%]]-PROVEEDORES[[#This Row],[descuento antes de IVA]]-PROVEEDORES[[#This Row],[Descuento sobre subtotal $]]-PROVEEDORES[[#This Row],[Rete Fuente $]]</f>
        <v>245000</v>
      </c>
      <c r="S57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2" s="40"/>
      <c r="U572" s="97"/>
      <c r="V572" s="36"/>
      <c r="W572" s="36"/>
      <c r="X572" s="36"/>
      <c r="Y572" s="36"/>
      <c r="Z572" s="41"/>
      <c r="AA572" s="42"/>
      <c r="AF572" s="36"/>
      <c r="AG572" s="36"/>
    </row>
    <row r="573" spans="1:33" ht="21.95" hidden="1" customHeight="1" x14ac:dyDescent="0.25">
      <c r="A573" s="39" t="str">
        <f>+IF(PROVEEDORES[[#This Row],[FECHA DE PAGO]]=PROVEEDORES[[#This Row],[FECHA DE FACTURACIÓN]],"DE CONTADO","CRÉDITO")</f>
        <v>CRÉDITO</v>
      </c>
      <c r="B573" s="67" t="str">
        <f>+IF((PROVEEDORES[[#This Row],[FECHA DE PAGO]]-PROVEEDORES[[#This Row],[FECHA DE FACTURACIÓN]])&gt;PROVEEDORES[[#This Row],[PLAZO Días]],"PAGO VENCIDO")</f>
        <v>PAGO VENCIDO</v>
      </c>
      <c r="C573" s="27">
        <f>+VLOOKUP(PROVEEDORES[[#This Row],[PROVEEDOR]],TERCEROS_INFO[#All],2,FALSE)</f>
        <v>30</v>
      </c>
      <c r="D573" s="37">
        <f>+SUMIFS(PROVEEDORES[Total],PROVEEDORES[PROVEEDOR],PROVEEDORES[[#This Row],[PROVEEDOR]],PROVEEDORES[FECHA DE PAGO],"")</f>
        <v>0</v>
      </c>
      <c r="E573" s="37"/>
      <c r="F573" s="108" t="str">
        <f>+VLOOKUP(PROVEEDORES[[#This Row],[PROVEEDOR]],TERCEROS_INFO[[PROVEEDOR]:[CORREO]],5,FALSE)</f>
        <v/>
      </c>
      <c r="G573" s="143">
        <v>43899</v>
      </c>
      <c r="H573" s="38" t="s">
        <v>299</v>
      </c>
      <c r="I573" s="30">
        <v>43840</v>
      </c>
      <c r="J573" s="58">
        <v>669</v>
      </c>
      <c r="K573" s="32">
        <v>25000</v>
      </c>
      <c r="L573" s="32"/>
      <c r="M573" s="33">
        <f>(PROVEEDORES[[#This Row],[SUBTOTAL]]-PROVEEDORES[[#This Row],[descuento antes de IVA]])*VLOOKUP(PROVEEDORES[[#This Row],[PROVEEDOR]],TERCEROS_INFO[#All],3,FALSE)</f>
        <v>0</v>
      </c>
      <c r="N573" s="34"/>
      <c r="O573" s="33">
        <f>+PROVEEDORES[[#This Row],[Descuento sobre subtotal %]]*(PROVEEDORES[[#This Row],[SUBTOTAL]]-PROVEEDORES[[#This Row],[descuento antes de IVA]])</f>
        <v>0</v>
      </c>
      <c r="P5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3" s="33">
        <f>+(PROVEEDORES[[#This Row],[SUBTOTAL]]-PROVEEDORES[[#This Row],[descuento antes de IVA]])*PROVEEDORES[[#This Row],[Rete Fuente %]]</f>
        <v>0</v>
      </c>
      <c r="R573" s="32">
        <f>+PROVEEDORES[[#This Row],[SUBTOTAL]]+PROVEEDORES[[#This Row],[IVA 19%]]-PROVEEDORES[[#This Row],[descuento antes de IVA]]-PROVEEDORES[[#This Row],[Descuento sobre subtotal $]]-PROVEEDORES[[#This Row],[Rete Fuente $]]</f>
        <v>25000</v>
      </c>
      <c r="S57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3" s="40"/>
      <c r="U573" s="97"/>
      <c r="V573" s="36"/>
      <c r="W573" s="36"/>
      <c r="X573" s="36"/>
      <c r="Y573" s="36"/>
      <c r="Z573" s="41"/>
      <c r="AA573" s="42"/>
      <c r="AF573" s="36"/>
      <c r="AG573" s="36"/>
    </row>
    <row r="574" spans="1:33" ht="21.95" hidden="1" customHeight="1" x14ac:dyDescent="0.25">
      <c r="A574" s="39" t="str">
        <f>+IF(PROVEEDORES[[#This Row],[FECHA DE PAGO]]=PROVEEDORES[[#This Row],[FECHA DE FACTURACIÓN]],"DE CONTADO","CRÉDITO")</f>
        <v>CRÉDITO</v>
      </c>
      <c r="B574" s="67" t="str">
        <f>+IF((PROVEEDORES[[#This Row],[FECHA DE PAGO]]-PROVEEDORES[[#This Row],[FECHA DE FACTURACIÓN]])&gt;PROVEEDORES[[#This Row],[PLAZO Días]],"PAGO VENCIDO")</f>
        <v>PAGO VENCIDO</v>
      </c>
      <c r="C574" s="27">
        <f>+VLOOKUP(PROVEEDORES[[#This Row],[PROVEEDOR]],TERCEROS_INFO[#All],2,FALSE)</f>
        <v>30</v>
      </c>
      <c r="D574" s="37">
        <f>+SUMIFS(PROVEEDORES[Total],PROVEEDORES[PROVEEDOR],PROVEEDORES[[#This Row],[PROVEEDOR]],PROVEEDORES[FECHA DE PAGO],"")</f>
        <v>0</v>
      </c>
      <c r="E574" s="37"/>
      <c r="F574" s="108" t="str">
        <f>+VLOOKUP(PROVEEDORES[[#This Row],[PROVEEDOR]],TERCEROS_INFO[[PROVEEDOR]:[CORREO]],5,FALSE)</f>
        <v/>
      </c>
      <c r="G574" s="143">
        <v>43899</v>
      </c>
      <c r="H574" s="38" t="s">
        <v>299</v>
      </c>
      <c r="I574" s="30">
        <v>43841</v>
      </c>
      <c r="J574" s="58" t="s">
        <v>1027</v>
      </c>
      <c r="K574" s="32">
        <v>227300</v>
      </c>
      <c r="L574" s="32"/>
      <c r="M574" s="33">
        <f>(PROVEEDORES[[#This Row],[SUBTOTAL]]-PROVEEDORES[[#This Row],[descuento antes de IVA]])*VLOOKUP(PROVEEDORES[[#This Row],[PROVEEDOR]],TERCEROS_INFO[#All],3,FALSE)</f>
        <v>0</v>
      </c>
      <c r="N574" s="34"/>
      <c r="O574" s="33">
        <f>+PROVEEDORES[[#This Row],[Descuento sobre subtotal %]]*(PROVEEDORES[[#This Row],[SUBTOTAL]]-PROVEEDORES[[#This Row],[descuento antes de IVA]])</f>
        <v>0</v>
      </c>
      <c r="P5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4" s="33">
        <f>+(PROVEEDORES[[#This Row],[SUBTOTAL]]-PROVEEDORES[[#This Row],[descuento antes de IVA]])*PROVEEDORES[[#This Row],[Rete Fuente %]]</f>
        <v>0</v>
      </c>
      <c r="R574" s="32">
        <f>+PROVEEDORES[[#This Row],[SUBTOTAL]]+PROVEEDORES[[#This Row],[IVA 19%]]-PROVEEDORES[[#This Row],[descuento antes de IVA]]-PROVEEDORES[[#This Row],[Descuento sobre subtotal $]]-PROVEEDORES[[#This Row],[Rete Fuente $]]</f>
        <v>227300</v>
      </c>
      <c r="S57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4" s="40"/>
      <c r="U574" s="97"/>
      <c r="V574" s="36"/>
      <c r="W574" s="36"/>
      <c r="X574" s="36"/>
      <c r="Y574" s="36"/>
      <c r="Z574" s="41"/>
      <c r="AA574" s="42"/>
      <c r="AF574" s="36"/>
      <c r="AG574" s="36"/>
    </row>
    <row r="575" spans="1:33" ht="21.95" hidden="1" customHeight="1" x14ac:dyDescent="0.25">
      <c r="A575" s="39" t="str">
        <f>+IF(PROVEEDORES[[#This Row],[FECHA DE PAGO]]=PROVEEDORES[[#This Row],[FECHA DE FACTURACIÓN]],"DE CONTADO","CRÉDITO")</f>
        <v>CRÉDITO</v>
      </c>
      <c r="B575" s="67" t="str">
        <f>+IF((PROVEEDORES[[#This Row],[FECHA DE PAGO]]-PROVEEDORES[[#This Row],[FECHA DE FACTURACIÓN]])&gt;PROVEEDORES[[#This Row],[PLAZO Días]],"PAGO VENCIDO")</f>
        <v>PAGO VENCIDO</v>
      </c>
      <c r="C575" s="27">
        <f>+VLOOKUP(PROVEEDORES[[#This Row],[PROVEEDOR]],TERCEROS_INFO[#All],2,FALSE)</f>
        <v>30</v>
      </c>
      <c r="D575" s="37">
        <f>+SUMIFS(PROVEEDORES[Total],PROVEEDORES[PROVEEDOR],PROVEEDORES[[#This Row],[PROVEEDOR]],PROVEEDORES[FECHA DE PAGO],"")</f>
        <v>0</v>
      </c>
      <c r="E575" s="37"/>
      <c r="F575" s="108" t="str">
        <f>+VLOOKUP(PROVEEDORES[[#This Row],[PROVEEDOR]],TERCEROS_INFO[[PROVEEDOR]:[CORREO]],5,FALSE)</f>
        <v/>
      </c>
      <c r="G575" s="143">
        <v>43899</v>
      </c>
      <c r="H575" s="38" t="s">
        <v>299</v>
      </c>
      <c r="I575" s="30">
        <v>43845</v>
      </c>
      <c r="J575" s="58">
        <v>671</v>
      </c>
      <c r="K575" s="32">
        <v>123400</v>
      </c>
      <c r="L575" s="32"/>
      <c r="M575" s="33">
        <f>(PROVEEDORES[[#This Row],[SUBTOTAL]]-PROVEEDORES[[#This Row],[descuento antes de IVA]])*VLOOKUP(PROVEEDORES[[#This Row],[PROVEEDOR]],TERCEROS_INFO[#All],3,FALSE)</f>
        <v>0</v>
      </c>
      <c r="N575" s="34"/>
      <c r="O575" s="33">
        <f>+PROVEEDORES[[#This Row],[Descuento sobre subtotal %]]*(PROVEEDORES[[#This Row],[SUBTOTAL]]-PROVEEDORES[[#This Row],[descuento antes de IVA]])</f>
        <v>0</v>
      </c>
      <c r="P5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5" s="33">
        <f>+(PROVEEDORES[[#This Row],[SUBTOTAL]]-PROVEEDORES[[#This Row],[descuento antes de IVA]])*PROVEEDORES[[#This Row],[Rete Fuente %]]</f>
        <v>0</v>
      </c>
      <c r="R575" s="32">
        <f>+PROVEEDORES[[#This Row],[SUBTOTAL]]+PROVEEDORES[[#This Row],[IVA 19%]]-PROVEEDORES[[#This Row],[descuento antes de IVA]]-PROVEEDORES[[#This Row],[Descuento sobre subtotal $]]-PROVEEDORES[[#This Row],[Rete Fuente $]]</f>
        <v>123400</v>
      </c>
      <c r="S57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5" s="40"/>
      <c r="U575" s="97"/>
      <c r="V575" s="36"/>
      <c r="W575" s="36"/>
      <c r="X575" s="36"/>
      <c r="Y575" s="36"/>
      <c r="Z575" s="41"/>
      <c r="AA575" s="42"/>
      <c r="AF575" s="36"/>
      <c r="AG575" s="36"/>
    </row>
    <row r="576" spans="1:33" ht="21.95" hidden="1" customHeight="1" x14ac:dyDescent="0.25">
      <c r="A576" s="39" t="str">
        <f>+IF(PROVEEDORES[[#This Row],[FECHA DE PAGO]]=PROVEEDORES[[#This Row],[FECHA DE FACTURACIÓN]],"DE CONTADO","CRÉDITO")</f>
        <v>CRÉDITO</v>
      </c>
      <c r="B576" s="67" t="str">
        <f>+IF((PROVEEDORES[[#This Row],[FECHA DE PAGO]]-PROVEEDORES[[#This Row],[FECHA DE FACTURACIÓN]])&gt;PROVEEDORES[[#This Row],[PLAZO Días]],"PAGO VENCIDO")</f>
        <v>PAGO VENCIDO</v>
      </c>
      <c r="C576" s="27">
        <f>+VLOOKUP(PROVEEDORES[[#This Row],[PROVEEDOR]],TERCEROS_INFO[#All],2,FALSE)</f>
        <v>30</v>
      </c>
      <c r="D576" s="37">
        <f>+SUMIFS(PROVEEDORES[Total],PROVEEDORES[PROVEEDOR],PROVEEDORES[[#This Row],[PROVEEDOR]],PROVEEDORES[FECHA DE PAGO],"")</f>
        <v>0</v>
      </c>
      <c r="E576" s="37"/>
      <c r="F576" s="108" t="str">
        <f>+VLOOKUP(PROVEEDORES[[#This Row],[PROVEEDOR]],TERCEROS_INFO[[PROVEEDOR]:[CORREO]],5,FALSE)</f>
        <v/>
      </c>
      <c r="G576" s="143">
        <v>43899</v>
      </c>
      <c r="H576" s="38" t="s">
        <v>299</v>
      </c>
      <c r="I576" s="30">
        <v>43848</v>
      </c>
      <c r="J576" s="58">
        <v>673</v>
      </c>
      <c r="K576" s="32">
        <v>47000</v>
      </c>
      <c r="L576" s="32"/>
      <c r="M576" s="33">
        <f>(PROVEEDORES[[#This Row],[SUBTOTAL]]-PROVEEDORES[[#This Row],[descuento antes de IVA]])*VLOOKUP(PROVEEDORES[[#This Row],[PROVEEDOR]],TERCEROS_INFO[#All],3,FALSE)</f>
        <v>0</v>
      </c>
      <c r="N576" s="34"/>
      <c r="O576" s="33">
        <f>+PROVEEDORES[[#This Row],[Descuento sobre subtotal %]]*(PROVEEDORES[[#This Row],[SUBTOTAL]]-PROVEEDORES[[#This Row],[descuento antes de IVA]])</f>
        <v>0</v>
      </c>
      <c r="P5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6" s="33">
        <f>+(PROVEEDORES[[#This Row],[SUBTOTAL]]-PROVEEDORES[[#This Row],[descuento antes de IVA]])*PROVEEDORES[[#This Row],[Rete Fuente %]]</f>
        <v>0</v>
      </c>
      <c r="R576" s="32">
        <f>+PROVEEDORES[[#This Row],[SUBTOTAL]]+PROVEEDORES[[#This Row],[IVA 19%]]-PROVEEDORES[[#This Row],[descuento antes de IVA]]-PROVEEDORES[[#This Row],[Descuento sobre subtotal $]]-PROVEEDORES[[#This Row],[Rete Fuente $]]</f>
        <v>47000</v>
      </c>
      <c r="S57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6" s="40"/>
      <c r="U576" s="97"/>
      <c r="V576" s="36"/>
      <c r="W576" s="36"/>
      <c r="X576" s="36"/>
      <c r="Y576" s="36"/>
      <c r="Z576" s="41"/>
      <c r="AA576" s="42"/>
      <c r="AF576" s="36"/>
      <c r="AG576" s="36"/>
    </row>
    <row r="577" spans="1:33" ht="21.95" hidden="1" customHeight="1" x14ac:dyDescent="0.25">
      <c r="A577" s="39" t="str">
        <f>+IF(PROVEEDORES[[#This Row],[FECHA DE PAGO]]=PROVEEDORES[[#This Row],[FECHA DE FACTURACIÓN]],"DE CONTADO","CRÉDITO")</f>
        <v>CRÉDITO</v>
      </c>
      <c r="B577" s="67" t="str">
        <f>+IF((PROVEEDORES[[#This Row],[FECHA DE PAGO]]-PROVEEDORES[[#This Row],[FECHA DE FACTURACIÓN]])&gt;PROVEEDORES[[#This Row],[PLAZO Días]],"PAGO VENCIDO")</f>
        <v>PAGO VENCIDO</v>
      </c>
      <c r="C577" s="27">
        <f>+VLOOKUP(PROVEEDORES[[#This Row],[PROVEEDOR]],TERCEROS_INFO[#All],2,FALSE)</f>
        <v>30</v>
      </c>
      <c r="D577" s="37">
        <f>+SUMIFS(PROVEEDORES[Total],PROVEEDORES[PROVEEDOR],PROVEEDORES[[#This Row],[PROVEEDOR]],PROVEEDORES[FECHA DE PAGO],"")</f>
        <v>0</v>
      </c>
      <c r="E577" s="37"/>
      <c r="F577" s="108" t="str">
        <f>+VLOOKUP(PROVEEDORES[[#This Row],[PROVEEDOR]],TERCEROS_INFO[[PROVEEDOR]:[CORREO]],5,FALSE)</f>
        <v/>
      </c>
      <c r="G577" s="143">
        <v>43899</v>
      </c>
      <c r="H577" s="38" t="s">
        <v>299</v>
      </c>
      <c r="I577" s="30">
        <v>43852</v>
      </c>
      <c r="J577" s="58">
        <v>676</v>
      </c>
      <c r="K577" s="32">
        <v>292100</v>
      </c>
      <c r="L577" s="32"/>
      <c r="M577" s="33">
        <f>(PROVEEDORES[[#This Row],[SUBTOTAL]]-PROVEEDORES[[#This Row],[descuento antes de IVA]])*VLOOKUP(PROVEEDORES[[#This Row],[PROVEEDOR]],TERCEROS_INFO[#All],3,FALSE)</f>
        <v>0</v>
      </c>
      <c r="N577" s="34"/>
      <c r="O577" s="33">
        <f>+PROVEEDORES[[#This Row],[Descuento sobre subtotal %]]*(PROVEEDORES[[#This Row],[SUBTOTAL]]-PROVEEDORES[[#This Row],[descuento antes de IVA]])</f>
        <v>0</v>
      </c>
      <c r="P5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7" s="33">
        <f>+(PROVEEDORES[[#This Row],[SUBTOTAL]]-PROVEEDORES[[#This Row],[descuento antes de IVA]])*PROVEEDORES[[#This Row],[Rete Fuente %]]</f>
        <v>0</v>
      </c>
      <c r="R577" s="32">
        <f>+PROVEEDORES[[#This Row],[SUBTOTAL]]+PROVEEDORES[[#This Row],[IVA 19%]]-PROVEEDORES[[#This Row],[descuento antes de IVA]]-PROVEEDORES[[#This Row],[Descuento sobre subtotal $]]-PROVEEDORES[[#This Row],[Rete Fuente $]]</f>
        <v>292100</v>
      </c>
      <c r="S57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7" s="40"/>
      <c r="U577" s="97"/>
      <c r="V577" s="36"/>
      <c r="W577" s="36"/>
      <c r="X577" s="36"/>
      <c r="Y577" s="36"/>
      <c r="Z577" s="41"/>
      <c r="AA577" s="42"/>
      <c r="AF577" s="36"/>
      <c r="AG577" s="36"/>
    </row>
    <row r="578" spans="1:33" ht="21.95" hidden="1" customHeight="1" x14ac:dyDescent="0.25">
      <c r="A578" s="39" t="str">
        <f>+IF(PROVEEDORES[[#This Row],[FECHA DE PAGO]]=PROVEEDORES[[#This Row],[FECHA DE FACTURACIÓN]],"DE CONTADO","CRÉDITO")</f>
        <v>CRÉDITO</v>
      </c>
      <c r="B578" s="67" t="str">
        <f>+IF((PROVEEDORES[[#This Row],[FECHA DE PAGO]]-PROVEEDORES[[#This Row],[FECHA DE FACTURACIÓN]])&gt;PROVEEDORES[[#This Row],[PLAZO Días]],"PAGO VENCIDO")</f>
        <v>PAGO VENCIDO</v>
      </c>
      <c r="C578" s="27">
        <f>+VLOOKUP(PROVEEDORES[[#This Row],[PROVEEDOR]],TERCEROS_INFO[#All],2,FALSE)</f>
        <v>30</v>
      </c>
      <c r="D578" s="37">
        <f>+SUMIFS(PROVEEDORES[Total],PROVEEDORES[PROVEEDOR],PROVEEDORES[[#This Row],[PROVEEDOR]],PROVEEDORES[FECHA DE PAGO],"")</f>
        <v>0</v>
      </c>
      <c r="E578" s="37"/>
      <c r="F578" s="108" t="str">
        <f>+VLOOKUP(PROVEEDORES[[#This Row],[PROVEEDOR]],TERCEROS_INFO[[PROVEEDOR]:[CORREO]],5,FALSE)</f>
        <v/>
      </c>
      <c r="G578" s="143">
        <v>43899</v>
      </c>
      <c r="H578" s="38" t="s">
        <v>299</v>
      </c>
      <c r="I578" s="30">
        <v>43854</v>
      </c>
      <c r="J578" s="58">
        <v>678</v>
      </c>
      <c r="K578" s="32">
        <v>76000</v>
      </c>
      <c r="L578" s="32"/>
      <c r="M578" s="33">
        <f>(PROVEEDORES[[#This Row],[SUBTOTAL]]-PROVEEDORES[[#This Row],[descuento antes de IVA]])*VLOOKUP(PROVEEDORES[[#This Row],[PROVEEDOR]],TERCEROS_INFO[#All],3,FALSE)</f>
        <v>0</v>
      </c>
      <c r="N578" s="34"/>
      <c r="O578" s="33">
        <f>+PROVEEDORES[[#This Row],[Descuento sobre subtotal %]]*(PROVEEDORES[[#This Row],[SUBTOTAL]]-PROVEEDORES[[#This Row],[descuento antes de IVA]])</f>
        <v>0</v>
      </c>
      <c r="P5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8" s="33">
        <f>+(PROVEEDORES[[#This Row],[SUBTOTAL]]-PROVEEDORES[[#This Row],[descuento antes de IVA]])*PROVEEDORES[[#This Row],[Rete Fuente %]]</f>
        <v>0</v>
      </c>
      <c r="R578" s="32">
        <f>+PROVEEDORES[[#This Row],[SUBTOTAL]]+PROVEEDORES[[#This Row],[IVA 19%]]-PROVEEDORES[[#This Row],[descuento antes de IVA]]-PROVEEDORES[[#This Row],[Descuento sobre subtotal $]]-PROVEEDORES[[#This Row],[Rete Fuente $]]</f>
        <v>76000</v>
      </c>
      <c r="S57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8" s="40"/>
      <c r="U578" s="97"/>
      <c r="V578" s="36"/>
      <c r="W578" s="36"/>
      <c r="X578" s="36"/>
      <c r="Y578" s="36"/>
      <c r="Z578" s="41"/>
      <c r="AA578" s="42"/>
      <c r="AF578" s="36"/>
      <c r="AG578" s="36"/>
    </row>
    <row r="579" spans="1:33" ht="21.95" hidden="1" customHeight="1" x14ac:dyDescent="0.25">
      <c r="A579" s="39" t="str">
        <f>+IF(PROVEEDORES[[#This Row],[FECHA DE PAGO]]=PROVEEDORES[[#This Row],[FECHA DE FACTURACIÓN]],"DE CONTADO","CRÉDITO")</f>
        <v>CRÉDITO</v>
      </c>
      <c r="B579" s="67" t="str">
        <f>+IF((PROVEEDORES[[#This Row],[FECHA DE PAGO]]-PROVEEDORES[[#This Row],[FECHA DE FACTURACIÓN]])&gt;PROVEEDORES[[#This Row],[PLAZO Días]],"PAGO VENCIDO")</f>
        <v>PAGO VENCIDO</v>
      </c>
      <c r="C579" s="27">
        <f>+VLOOKUP(PROVEEDORES[[#This Row],[PROVEEDOR]],TERCEROS_INFO[#All],2,FALSE)</f>
        <v>30</v>
      </c>
      <c r="D579" s="37">
        <f>+SUMIFS(PROVEEDORES[Total],PROVEEDORES[PROVEEDOR],PROVEEDORES[[#This Row],[PROVEEDOR]],PROVEEDORES[FECHA DE PAGO],"")</f>
        <v>0</v>
      </c>
      <c r="E579" s="37"/>
      <c r="F579" s="108" t="str">
        <f>+VLOOKUP(PROVEEDORES[[#This Row],[PROVEEDOR]],TERCEROS_INFO[[PROVEEDOR]:[CORREO]],5,FALSE)</f>
        <v/>
      </c>
      <c r="G579" s="143">
        <v>43899</v>
      </c>
      <c r="H579" s="38" t="s">
        <v>299</v>
      </c>
      <c r="I579" s="30">
        <v>43854</v>
      </c>
      <c r="J579" s="58">
        <v>679</v>
      </c>
      <c r="K579" s="32">
        <v>45000</v>
      </c>
      <c r="L579" s="32"/>
      <c r="M579" s="33">
        <f>(PROVEEDORES[[#This Row],[SUBTOTAL]]-PROVEEDORES[[#This Row],[descuento antes de IVA]])*VLOOKUP(PROVEEDORES[[#This Row],[PROVEEDOR]],TERCEROS_INFO[#All],3,FALSE)</f>
        <v>0</v>
      </c>
      <c r="N579" s="34"/>
      <c r="O579" s="33">
        <f>+PROVEEDORES[[#This Row],[Descuento sobre subtotal %]]*(PROVEEDORES[[#This Row],[SUBTOTAL]]-PROVEEDORES[[#This Row],[descuento antes de IVA]])</f>
        <v>0</v>
      </c>
      <c r="P5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79" s="33">
        <f>+(PROVEEDORES[[#This Row],[SUBTOTAL]]-PROVEEDORES[[#This Row],[descuento antes de IVA]])*PROVEEDORES[[#This Row],[Rete Fuente %]]</f>
        <v>0</v>
      </c>
      <c r="R579" s="32">
        <f>+PROVEEDORES[[#This Row],[SUBTOTAL]]+PROVEEDORES[[#This Row],[IVA 19%]]-PROVEEDORES[[#This Row],[descuento antes de IVA]]-PROVEEDORES[[#This Row],[Descuento sobre subtotal $]]-PROVEEDORES[[#This Row],[Rete Fuente $]]</f>
        <v>45000</v>
      </c>
      <c r="S57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9" s="40"/>
      <c r="U579" s="97"/>
      <c r="V579" s="36"/>
      <c r="W579" s="36"/>
      <c r="X579" s="36"/>
      <c r="Y579" s="36"/>
      <c r="Z579" s="41"/>
      <c r="AA579" s="42"/>
      <c r="AF579" s="36"/>
      <c r="AG579" s="36"/>
    </row>
    <row r="580" spans="1:33" ht="21.95" hidden="1" customHeight="1" x14ac:dyDescent="0.25">
      <c r="A580" s="39" t="str">
        <f>+IF(PROVEEDORES[[#This Row],[FECHA DE PAGO]]=PROVEEDORES[[#This Row],[FECHA DE FACTURACIÓN]],"DE CONTADO","CRÉDITO")</f>
        <v>CRÉDITO</v>
      </c>
      <c r="B580" s="67" t="str">
        <f>+IF((PROVEEDORES[[#This Row],[FECHA DE PAGO]]-PROVEEDORES[[#This Row],[FECHA DE FACTURACIÓN]])&gt;PROVEEDORES[[#This Row],[PLAZO Días]],"PAGO VENCIDO")</f>
        <v>PAGO VENCIDO</v>
      </c>
      <c r="C580" s="27">
        <f>+VLOOKUP(PROVEEDORES[[#This Row],[PROVEEDOR]],TERCEROS_INFO[#All],2,FALSE)</f>
        <v>30</v>
      </c>
      <c r="D580" s="37">
        <f>+SUMIFS(PROVEEDORES[Total],PROVEEDORES[PROVEEDOR],PROVEEDORES[[#This Row],[PROVEEDOR]],PROVEEDORES[FECHA DE PAGO],"")</f>
        <v>0</v>
      </c>
      <c r="E580" s="37"/>
      <c r="F580" s="108" t="str">
        <f>+VLOOKUP(PROVEEDORES[[#This Row],[PROVEEDOR]],TERCEROS_INFO[[PROVEEDOR]:[CORREO]],5,FALSE)</f>
        <v/>
      </c>
      <c r="G580" s="143">
        <v>43899</v>
      </c>
      <c r="H580" s="38" t="s">
        <v>299</v>
      </c>
      <c r="I580" s="30">
        <v>43854</v>
      </c>
      <c r="J580" s="58">
        <v>680</v>
      </c>
      <c r="K580" s="32">
        <v>40000</v>
      </c>
      <c r="L580" s="32"/>
      <c r="M580" s="33">
        <f>(PROVEEDORES[[#This Row],[SUBTOTAL]]-PROVEEDORES[[#This Row],[descuento antes de IVA]])*VLOOKUP(PROVEEDORES[[#This Row],[PROVEEDOR]],TERCEROS_INFO[#All],3,FALSE)</f>
        <v>0</v>
      </c>
      <c r="N580" s="34"/>
      <c r="O580" s="33">
        <f>+PROVEEDORES[[#This Row],[Descuento sobre subtotal %]]*(PROVEEDORES[[#This Row],[SUBTOTAL]]-PROVEEDORES[[#This Row],[descuento antes de IVA]])</f>
        <v>0</v>
      </c>
      <c r="P5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0" s="33">
        <f>+(PROVEEDORES[[#This Row],[SUBTOTAL]]-PROVEEDORES[[#This Row],[descuento antes de IVA]])*PROVEEDORES[[#This Row],[Rete Fuente %]]</f>
        <v>0</v>
      </c>
      <c r="R580" s="32">
        <f>+PROVEEDORES[[#This Row],[SUBTOTAL]]+PROVEEDORES[[#This Row],[IVA 19%]]-PROVEEDORES[[#This Row],[descuento antes de IVA]]-PROVEEDORES[[#This Row],[Descuento sobre subtotal $]]-PROVEEDORES[[#This Row],[Rete Fuente $]]</f>
        <v>40000</v>
      </c>
      <c r="S58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0" s="40"/>
      <c r="U580" s="97"/>
      <c r="V580" s="36"/>
      <c r="W580" s="36"/>
      <c r="X580" s="36"/>
      <c r="Y580" s="36"/>
      <c r="Z580" s="41"/>
      <c r="AA580" s="42"/>
      <c r="AF580" s="36"/>
      <c r="AG580" s="36"/>
    </row>
    <row r="581" spans="1:33" ht="21.95" hidden="1" customHeight="1" x14ac:dyDescent="0.25">
      <c r="A581" s="39" t="str">
        <f>+IF(PROVEEDORES[[#This Row],[FECHA DE PAGO]]=PROVEEDORES[[#This Row],[FECHA DE FACTURACIÓN]],"DE CONTADO","CRÉDITO")</f>
        <v>CRÉDITO</v>
      </c>
      <c r="B581" s="67" t="str">
        <f>+IF((PROVEEDORES[[#This Row],[FECHA DE PAGO]]-PROVEEDORES[[#This Row],[FECHA DE FACTURACIÓN]])&gt;PROVEEDORES[[#This Row],[PLAZO Días]],"PAGO VENCIDO")</f>
        <v>PAGO VENCIDO</v>
      </c>
      <c r="C581" s="27">
        <f>+VLOOKUP(PROVEEDORES[[#This Row],[PROVEEDOR]],TERCEROS_INFO[#All],2,FALSE)</f>
        <v>30</v>
      </c>
      <c r="D581" s="37">
        <f>+SUMIFS(PROVEEDORES[Total],PROVEEDORES[PROVEEDOR],PROVEEDORES[[#This Row],[PROVEEDOR]],PROVEEDORES[FECHA DE PAGO],"")</f>
        <v>0</v>
      </c>
      <c r="E581" s="37"/>
      <c r="F581" s="108" t="str">
        <f>+VLOOKUP(PROVEEDORES[[#This Row],[PROVEEDOR]],TERCEROS_INFO[[PROVEEDOR]:[CORREO]],5,FALSE)</f>
        <v/>
      </c>
      <c r="G581" s="143">
        <v>43899</v>
      </c>
      <c r="H581" s="38" t="s">
        <v>299</v>
      </c>
      <c r="I581" s="30">
        <v>43855</v>
      </c>
      <c r="J581" s="58">
        <v>681</v>
      </c>
      <c r="K581" s="32">
        <v>78000</v>
      </c>
      <c r="L581" s="32"/>
      <c r="M581" s="33">
        <f>(PROVEEDORES[[#This Row],[SUBTOTAL]]-PROVEEDORES[[#This Row],[descuento antes de IVA]])*VLOOKUP(PROVEEDORES[[#This Row],[PROVEEDOR]],TERCEROS_INFO[#All],3,FALSE)</f>
        <v>0</v>
      </c>
      <c r="N581" s="34"/>
      <c r="O581" s="33">
        <f>+PROVEEDORES[[#This Row],[Descuento sobre subtotal %]]*(PROVEEDORES[[#This Row],[SUBTOTAL]]-PROVEEDORES[[#This Row],[descuento antes de IVA]])</f>
        <v>0</v>
      </c>
      <c r="P5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1" s="33">
        <f>+(PROVEEDORES[[#This Row],[SUBTOTAL]]-PROVEEDORES[[#This Row],[descuento antes de IVA]])*PROVEEDORES[[#This Row],[Rete Fuente %]]</f>
        <v>0</v>
      </c>
      <c r="R581" s="32">
        <f>+PROVEEDORES[[#This Row],[SUBTOTAL]]+PROVEEDORES[[#This Row],[IVA 19%]]-PROVEEDORES[[#This Row],[descuento antes de IVA]]-PROVEEDORES[[#This Row],[Descuento sobre subtotal $]]-PROVEEDORES[[#This Row],[Rete Fuente $]]</f>
        <v>78000</v>
      </c>
      <c r="S58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1" s="40"/>
      <c r="U581" s="97"/>
      <c r="V581" s="36"/>
      <c r="W581" s="36"/>
      <c r="X581" s="36"/>
      <c r="Y581" s="36"/>
      <c r="Z581" s="41"/>
      <c r="AA581" s="42"/>
      <c r="AF581" s="36"/>
      <c r="AG581" s="36"/>
    </row>
    <row r="582" spans="1:33" ht="21.95" hidden="1" customHeight="1" x14ac:dyDescent="0.25">
      <c r="A582" s="39" t="str">
        <f>+IF(PROVEEDORES[[#This Row],[FECHA DE PAGO]]=PROVEEDORES[[#This Row],[FECHA DE FACTURACIÓN]],"DE CONTADO","CRÉDITO")</f>
        <v>CRÉDITO</v>
      </c>
      <c r="B582" s="67" t="str">
        <f>+IF((PROVEEDORES[[#This Row],[FECHA DE PAGO]]-PROVEEDORES[[#This Row],[FECHA DE FACTURACIÓN]])&gt;PROVEEDORES[[#This Row],[PLAZO Días]],"PAGO VENCIDO")</f>
        <v>PAGO VENCIDO</v>
      </c>
      <c r="C582" s="27">
        <f>+VLOOKUP(PROVEEDORES[[#This Row],[PROVEEDOR]],TERCEROS_INFO[#All],2,FALSE)</f>
        <v>30</v>
      </c>
      <c r="D582" s="37">
        <f>+SUMIFS(PROVEEDORES[Total],PROVEEDORES[PROVEEDOR],PROVEEDORES[[#This Row],[PROVEEDOR]],PROVEEDORES[FECHA DE PAGO],"")</f>
        <v>0</v>
      </c>
      <c r="E582" s="37"/>
      <c r="F582" s="108" t="str">
        <f>+VLOOKUP(PROVEEDORES[[#This Row],[PROVEEDOR]],TERCEROS_INFO[[PROVEEDOR]:[CORREO]],5,FALSE)</f>
        <v/>
      </c>
      <c r="G582" s="143">
        <v>43899</v>
      </c>
      <c r="H582" s="38" t="s">
        <v>299</v>
      </c>
      <c r="I582" s="30">
        <v>43858</v>
      </c>
      <c r="J582" s="58">
        <v>682</v>
      </c>
      <c r="K582" s="32">
        <v>47400</v>
      </c>
      <c r="L582" s="32"/>
      <c r="M582" s="33">
        <f>(PROVEEDORES[[#This Row],[SUBTOTAL]]-PROVEEDORES[[#This Row],[descuento antes de IVA]])*VLOOKUP(PROVEEDORES[[#This Row],[PROVEEDOR]],TERCEROS_INFO[#All],3,FALSE)</f>
        <v>0</v>
      </c>
      <c r="N582" s="34"/>
      <c r="O582" s="33">
        <f>+PROVEEDORES[[#This Row],[Descuento sobre subtotal %]]*(PROVEEDORES[[#This Row],[SUBTOTAL]]-PROVEEDORES[[#This Row],[descuento antes de IVA]])</f>
        <v>0</v>
      </c>
      <c r="P5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2" s="33">
        <f>+(PROVEEDORES[[#This Row],[SUBTOTAL]]-PROVEEDORES[[#This Row],[descuento antes de IVA]])*PROVEEDORES[[#This Row],[Rete Fuente %]]</f>
        <v>0</v>
      </c>
      <c r="R582" s="32">
        <f>+PROVEEDORES[[#This Row],[SUBTOTAL]]+PROVEEDORES[[#This Row],[IVA 19%]]-PROVEEDORES[[#This Row],[descuento antes de IVA]]-PROVEEDORES[[#This Row],[Descuento sobre subtotal $]]-PROVEEDORES[[#This Row],[Rete Fuente $]]</f>
        <v>47400</v>
      </c>
      <c r="S58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2" s="40"/>
      <c r="U582" s="97"/>
      <c r="V582" s="36"/>
      <c r="W582" s="36"/>
      <c r="X582" s="36"/>
      <c r="Y582" s="36"/>
      <c r="Z582" s="41"/>
      <c r="AA582" s="42"/>
      <c r="AF582" s="36"/>
      <c r="AG582" s="36"/>
    </row>
    <row r="583" spans="1:33" ht="21.95" hidden="1" customHeight="1" x14ac:dyDescent="0.25">
      <c r="A583" s="39" t="str">
        <f>+IF(PROVEEDORES[[#This Row],[FECHA DE PAGO]]=PROVEEDORES[[#This Row],[FECHA DE FACTURACIÓN]],"DE CONTADO","CRÉDITO")</f>
        <v>CRÉDITO</v>
      </c>
      <c r="B583" s="67" t="str">
        <f>+IF((PROVEEDORES[[#This Row],[FECHA DE PAGO]]-PROVEEDORES[[#This Row],[FECHA DE FACTURACIÓN]])&gt;PROVEEDORES[[#This Row],[PLAZO Días]],"PAGO VENCIDO")</f>
        <v>PAGO VENCIDO</v>
      </c>
      <c r="C583" s="27">
        <f>+VLOOKUP(PROVEEDORES[[#This Row],[PROVEEDOR]],TERCEROS_INFO[#All],2,FALSE)</f>
        <v>30</v>
      </c>
      <c r="D583" s="37">
        <f>+SUMIFS(PROVEEDORES[Total],PROVEEDORES[PROVEEDOR],PROVEEDORES[[#This Row],[PROVEEDOR]],PROVEEDORES[FECHA DE PAGO],"")</f>
        <v>0</v>
      </c>
      <c r="E583" s="37"/>
      <c r="F583" s="108" t="str">
        <f>+VLOOKUP(PROVEEDORES[[#This Row],[PROVEEDOR]],TERCEROS_INFO[[PROVEEDOR]:[CORREO]],5,FALSE)</f>
        <v/>
      </c>
      <c r="G583" s="143">
        <v>43899</v>
      </c>
      <c r="H583" s="38" t="s">
        <v>299</v>
      </c>
      <c r="I583" s="30">
        <v>43859</v>
      </c>
      <c r="J583" s="58">
        <v>683</v>
      </c>
      <c r="K583" s="32">
        <v>35000</v>
      </c>
      <c r="L583" s="32"/>
      <c r="M583" s="33">
        <f>(PROVEEDORES[[#This Row],[SUBTOTAL]]-PROVEEDORES[[#This Row],[descuento antes de IVA]])*VLOOKUP(PROVEEDORES[[#This Row],[PROVEEDOR]],TERCEROS_INFO[#All],3,FALSE)</f>
        <v>0</v>
      </c>
      <c r="N583" s="34"/>
      <c r="O583" s="33">
        <f>+PROVEEDORES[[#This Row],[Descuento sobre subtotal %]]*(PROVEEDORES[[#This Row],[SUBTOTAL]]-PROVEEDORES[[#This Row],[descuento antes de IVA]])</f>
        <v>0</v>
      </c>
      <c r="P5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3" s="33">
        <f>+(PROVEEDORES[[#This Row],[SUBTOTAL]]-PROVEEDORES[[#This Row],[descuento antes de IVA]])*PROVEEDORES[[#This Row],[Rete Fuente %]]</f>
        <v>0</v>
      </c>
      <c r="R583" s="32">
        <f>+PROVEEDORES[[#This Row],[SUBTOTAL]]+PROVEEDORES[[#This Row],[IVA 19%]]-PROVEEDORES[[#This Row],[descuento antes de IVA]]-PROVEEDORES[[#This Row],[Descuento sobre subtotal $]]-PROVEEDORES[[#This Row],[Rete Fuente $]]</f>
        <v>35000</v>
      </c>
      <c r="S58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3" s="40"/>
      <c r="U583" s="97"/>
      <c r="V583" s="36"/>
      <c r="W583" s="36"/>
      <c r="X583" s="36"/>
      <c r="Y583" s="36"/>
      <c r="Z583" s="41"/>
      <c r="AA583" s="42"/>
      <c r="AF583" s="36"/>
      <c r="AG583" s="36"/>
    </row>
    <row r="584" spans="1:33" ht="21.95" hidden="1" customHeight="1" x14ac:dyDescent="0.25">
      <c r="A584" s="39" t="str">
        <f>+IF(PROVEEDORES[[#This Row],[FECHA DE PAGO]]=PROVEEDORES[[#This Row],[FECHA DE FACTURACIÓN]],"DE CONTADO","CRÉDITO")</f>
        <v>CRÉDITO</v>
      </c>
      <c r="B584" s="67" t="str">
        <f>+IF((PROVEEDORES[[#This Row],[FECHA DE PAGO]]-PROVEEDORES[[#This Row],[FECHA DE FACTURACIÓN]])&gt;PROVEEDORES[[#This Row],[PLAZO Días]],"PAGO VENCIDO")</f>
        <v>PAGO VENCIDO</v>
      </c>
      <c r="C584" s="27">
        <f>+VLOOKUP(PROVEEDORES[[#This Row],[PROVEEDOR]],TERCEROS_INFO[#All],2,FALSE)</f>
        <v>30</v>
      </c>
      <c r="D584" s="37">
        <f>+SUMIFS(PROVEEDORES[Total],PROVEEDORES[PROVEEDOR],PROVEEDORES[[#This Row],[PROVEEDOR]],PROVEEDORES[FECHA DE PAGO],"")</f>
        <v>0</v>
      </c>
      <c r="E584" s="37"/>
      <c r="F584" s="108" t="str">
        <f>+VLOOKUP(PROVEEDORES[[#This Row],[PROVEEDOR]],TERCEROS_INFO[[PROVEEDOR]:[CORREO]],5,FALSE)</f>
        <v/>
      </c>
      <c r="G584" s="143">
        <v>43899</v>
      </c>
      <c r="H584" s="38" t="s">
        <v>299</v>
      </c>
      <c r="I584" s="30">
        <v>43859</v>
      </c>
      <c r="J584" s="58">
        <v>684</v>
      </c>
      <c r="K584" s="32">
        <v>32000</v>
      </c>
      <c r="L584" s="32"/>
      <c r="M584" s="33">
        <f>(PROVEEDORES[[#This Row],[SUBTOTAL]]-PROVEEDORES[[#This Row],[descuento antes de IVA]])*VLOOKUP(PROVEEDORES[[#This Row],[PROVEEDOR]],TERCEROS_INFO[#All],3,FALSE)</f>
        <v>0</v>
      </c>
      <c r="N584" s="34"/>
      <c r="O584" s="33">
        <f>+PROVEEDORES[[#This Row],[Descuento sobre subtotal %]]*(PROVEEDORES[[#This Row],[SUBTOTAL]]-PROVEEDORES[[#This Row],[descuento antes de IVA]])</f>
        <v>0</v>
      </c>
      <c r="P5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4" s="33">
        <f>+(PROVEEDORES[[#This Row],[SUBTOTAL]]-PROVEEDORES[[#This Row],[descuento antes de IVA]])*PROVEEDORES[[#This Row],[Rete Fuente %]]</f>
        <v>0</v>
      </c>
      <c r="R584" s="32">
        <f>+PROVEEDORES[[#This Row],[SUBTOTAL]]+PROVEEDORES[[#This Row],[IVA 19%]]-PROVEEDORES[[#This Row],[descuento antes de IVA]]-PROVEEDORES[[#This Row],[Descuento sobre subtotal $]]-PROVEEDORES[[#This Row],[Rete Fuente $]]</f>
        <v>32000</v>
      </c>
      <c r="S58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4" s="40"/>
      <c r="U584" s="97"/>
      <c r="V584" s="36"/>
      <c r="W584" s="36"/>
      <c r="X584" s="36"/>
      <c r="Y584" s="36"/>
      <c r="Z584" s="41"/>
      <c r="AA584" s="42"/>
      <c r="AF584" s="36"/>
      <c r="AG584" s="36"/>
    </row>
    <row r="585" spans="1:33" ht="21.95" hidden="1" customHeight="1" x14ac:dyDescent="0.25">
      <c r="A585" s="39" t="str">
        <f>+IF(PROVEEDORES[[#This Row],[FECHA DE PAGO]]=PROVEEDORES[[#This Row],[FECHA DE FACTURACIÓN]],"DE CONTADO","CRÉDITO")</f>
        <v>CRÉDITO</v>
      </c>
      <c r="B585" s="67" t="str">
        <f>+IF((PROVEEDORES[[#This Row],[FECHA DE PAGO]]-PROVEEDORES[[#This Row],[FECHA DE FACTURACIÓN]])&gt;PROVEEDORES[[#This Row],[PLAZO Días]],"PAGO VENCIDO")</f>
        <v>PAGO VENCIDO</v>
      </c>
      <c r="C585" s="27">
        <f>+VLOOKUP(PROVEEDORES[[#This Row],[PROVEEDOR]],TERCEROS_INFO[#All],2,FALSE)</f>
        <v>30</v>
      </c>
      <c r="D585" s="37">
        <f>+SUMIFS(PROVEEDORES[Total],PROVEEDORES[PROVEEDOR],PROVEEDORES[[#This Row],[PROVEEDOR]],PROVEEDORES[FECHA DE PAGO],"")</f>
        <v>0</v>
      </c>
      <c r="E585" s="37"/>
      <c r="F585" s="108" t="str">
        <f>+VLOOKUP(PROVEEDORES[[#This Row],[PROVEEDOR]],TERCEROS_INFO[[PROVEEDOR]:[CORREO]],5,FALSE)</f>
        <v/>
      </c>
      <c r="G585" s="143">
        <v>43899</v>
      </c>
      <c r="H585" s="38" t="s">
        <v>299</v>
      </c>
      <c r="I585" s="30">
        <v>43861</v>
      </c>
      <c r="J585" s="58" t="s">
        <v>1035</v>
      </c>
      <c r="K585" s="32">
        <v>251500</v>
      </c>
      <c r="L585" s="32"/>
      <c r="M585" s="33">
        <f>(PROVEEDORES[[#This Row],[SUBTOTAL]]-PROVEEDORES[[#This Row],[descuento antes de IVA]])*VLOOKUP(PROVEEDORES[[#This Row],[PROVEEDOR]],TERCEROS_INFO[#All],3,FALSE)</f>
        <v>0</v>
      </c>
      <c r="N585" s="34"/>
      <c r="O585" s="33">
        <f>+PROVEEDORES[[#This Row],[Descuento sobre subtotal %]]*(PROVEEDORES[[#This Row],[SUBTOTAL]]-PROVEEDORES[[#This Row],[descuento antes de IVA]])</f>
        <v>0</v>
      </c>
      <c r="P5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5" s="33">
        <f>+(PROVEEDORES[[#This Row],[SUBTOTAL]]-PROVEEDORES[[#This Row],[descuento antes de IVA]])*PROVEEDORES[[#This Row],[Rete Fuente %]]</f>
        <v>0</v>
      </c>
      <c r="R585" s="32">
        <f>+PROVEEDORES[[#This Row],[SUBTOTAL]]+PROVEEDORES[[#This Row],[IVA 19%]]-PROVEEDORES[[#This Row],[descuento antes de IVA]]-PROVEEDORES[[#This Row],[Descuento sobre subtotal $]]-PROVEEDORES[[#This Row],[Rete Fuente $]]</f>
        <v>251500</v>
      </c>
      <c r="S58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5" s="40"/>
      <c r="U585" s="97"/>
      <c r="V585" s="36"/>
      <c r="W585" s="36"/>
      <c r="X585" s="36"/>
      <c r="Y585" s="36"/>
      <c r="Z585" s="41"/>
      <c r="AA585" s="42"/>
      <c r="AF585" s="36"/>
      <c r="AG585" s="36"/>
    </row>
    <row r="586" spans="1:33" ht="21.95" hidden="1" customHeight="1" x14ac:dyDescent="0.25">
      <c r="A586" s="39" t="str">
        <f>+IF(PROVEEDORES[[#This Row],[FECHA DE PAGO]]=PROVEEDORES[[#This Row],[FECHA DE FACTURACIÓN]],"DE CONTADO","CRÉDITO")</f>
        <v>CRÉDITO</v>
      </c>
      <c r="B586" s="67" t="str">
        <f>+IF((PROVEEDORES[[#This Row],[FECHA DE PAGO]]-PROVEEDORES[[#This Row],[FECHA DE FACTURACIÓN]])&gt;PROVEEDORES[[#This Row],[PLAZO Días]],"PAGO VENCIDO")</f>
        <v>PAGO VENCIDO</v>
      </c>
      <c r="C586" s="27">
        <f>+VLOOKUP(PROVEEDORES[[#This Row],[PROVEEDOR]],TERCEROS_INFO[#All],2,FALSE)</f>
        <v>30</v>
      </c>
      <c r="D586" s="37">
        <f>+SUMIFS(PROVEEDORES[Total],PROVEEDORES[PROVEEDOR],PROVEEDORES[[#This Row],[PROVEEDOR]],PROVEEDORES[FECHA DE PAGO],"")</f>
        <v>0</v>
      </c>
      <c r="E586" s="37"/>
      <c r="F586" s="108" t="str">
        <f>+VLOOKUP(PROVEEDORES[[#This Row],[PROVEEDOR]],TERCEROS_INFO[[PROVEEDOR]:[CORREO]],5,FALSE)</f>
        <v/>
      </c>
      <c r="G586" s="143">
        <v>43899</v>
      </c>
      <c r="H586" s="38" t="s">
        <v>299</v>
      </c>
      <c r="I586" s="30">
        <v>43865</v>
      </c>
      <c r="J586" s="58" t="s">
        <v>1039</v>
      </c>
      <c r="K586" s="32">
        <v>63700</v>
      </c>
      <c r="L586" s="32"/>
      <c r="M586" s="33">
        <f>(PROVEEDORES[[#This Row],[SUBTOTAL]]-PROVEEDORES[[#This Row],[descuento antes de IVA]])*VLOOKUP(PROVEEDORES[[#This Row],[PROVEEDOR]],TERCEROS_INFO[#All],3,FALSE)</f>
        <v>0</v>
      </c>
      <c r="N586" s="34"/>
      <c r="O586" s="33">
        <f>+PROVEEDORES[[#This Row],[Descuento sobre subtotal %]]*(PROVEEDORES[[#This Row],[SUBTOTAL]]-PROVEEDORES[[#This Row],[descuento antes de IVA]])</f>
        <v>0</v>
      </c>
      <c r="P5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6" s="33">
        <f>+(PROVEEDORES[[#This Row],[SUBTOTAL]]-PROVEEDORES[[#This Row],[descuento antes de IVA]])*PROVEEDORES[[#This Row],[Rete Fuente %]]</f>
        <v>0</v>
      </c>
      <c r="R586" s="32">
        <f>+PROVEEDORES[[#This Row],[SUBTOTAL]]+PROVEEDORES[[#This Row],[IVA 19%]]-PROVEEDORES[[#This Row],[descuento antes de IVA]]-PROVEEDORES[[#This Row],[Descuento sobre subtotal $]]-PROVEEDORES[[#This Row],[Rete Fuente $]]</f>
        <v>63700</v>
      </c>
      <c r="S58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6" s="40"/>
      <c r="U586" s="97"/>
      <c r="V586" s="36"/>
      <c r="W586" s="36"/>
      <c r="X586" s="36"/>
      <c r="Y586" s="36"/>
      <c r="Z586" s="41"/>
      <c r="AA586" s="42"/>
      <c r="AF586" s="36"/>
      <c r="AG586" s="36"/>
    </row>
    <row r="587" spans="1:33" ht="21.95" hidden="1" customHeight="1" x14ac:dyDescent="0.25">
      <c r="A587" s="39" t="str">
        <f>+IF(PROVEEDORES[[#This Row],[FECHA DE PAGO]]=PROVEEDORES[[#This Row],[FECHA DE FACTURACIÓN]],"DE CONTADO","CRÉDITO")</f>
        <v>CRÉDITO</v>
      </c>
      <c r="B587" s="67" t="str">
        <f>+IF((PROVEEDORES[[#This Row],[FECHA DE PAGO]]-PROVEEDORES[[#This Row],[FECHA DE FACTURACIÓN]])&gt;PROVEEDORES[[#This Row],[PLAZO Días]],"PAGO VENCIDO")</f>
        <v>PAGO VENCIDO</v>
      </c>
      <c r="C587" s="27">
        <f>+VLOOKUP(PROVEEDORES[[#This Row],[PROVEEDOR]],TERCEROS_INFO[#All],2,FALSE)</f>
        <v>30</v>
      </c>
      <c r="D587" s="37">
        <f>+SUMIFS(PROVEEDORES[Total],PROVEEDORES[PROVEEDOR],PROVEEDORES[[#This Row],[PROVEEDOR]],PROVEEDORES[FECHA DE PAGO],"")</f>
        <v>0</v>
      </c>
      <c r="E587" s="37"/>
      <c r="F587" s="108" t="str">
        <f>+VLOOKUP(PROVEEDORES[[#This Row],[PROVEEDOR]],TERCEROS_INFO[[PROVEEDOR]:[CORREO]],5,FALSE)</f>
        <v/>
      </c>
      <c r="G587" s="143">
        <v>43981</v>
      </c>
      <c r="H587" s="38" t="s">
        <v>299</v>
      </c>
      <c r="I587" s="30">
        <v>43865</v>
      </c>
      <c r="J587" s="58" t="s">
        <v>1040</v>
      </c>
      <c r="K587" s="32">
        <v>64900</v>
      </c>
      <c r="L587" s="32"/>
      <c r="M587" s="33">
        <f>(PROVEEDORES[[#This Row],[SUBTOTAL]]-PROVEEDORES[[#This Row],[descuento antes de IVA]])*VLOOKUP(PROVEEDORES[[#This Row],[PROVEEDOR]],TERCEROS_INFO[#All],3,FALSE)</f>
        <v>0</v>
      </c>
      <c r="N587" s="34"/>
      <c r="O587" s="33">
        <f>+PROVEEDORES[[#This Row],[Descuento sobre subtotal %]]*(PROVEEDORES[[#This Row],[SUBTOTAL]]-PROVEEDORES[[#This Row],[descuento antes de IVA]])</f>
        <v>0</v>
      </c>
      <c r="P5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7" s="33">
        <f>+(PROVEEDORES[[#This Row],[SUBTOTAL]]-PROVEEDORES[[#This Row],[descuento antes de IVA]])*PROVEEDORES[[#This Row],[Rete Fuente %]]</f>
        <v>0</v>
      </c>
      <c r="R587" s="32">
        <f>+PROVEEDORES[[#This Row],[SUBTOTAL]]+PROVEEDORES[[#This Row],[IVA 19%]]-PROVEEDORES[[#This Row],[descuento antes de IVA]]-PROVEEDORES[[#This Row],[Descuento sobre subtotal $]]-PROVEEDORES[[#This Row],[Rete Fuente $]]</f>
        <v>64900</v>
      </c>
      <c r="S58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7" s="40"/>
      <c r="U587" s="97"/>
      <c r="V587" s="36"/>
      <c r="W587" s="36"/>
      <c r="X587" s="36"/>
      <c r="Y587" s="36"/>
      <c r="Z587" s="41"/>
      <c r="AA587" s="42"/>
      <c r="AF587" s="36"/>
      <c r="AG587" s="36"/>
    </row>
    <row r="588" spans="1:33" ht="21.95" hidden="1" customHeight="1" x14ac:dyDescent="0.25">
      <c r="A588" s="39" t="str">
        <f>+IF(PROVEEDORES[[#This Row],[FECHA DE PAGO]]=PROVEEDORES[[#This Row],[FECHA DE FACTURACIÓN]],"DE CONTADO","CRÉDITO")</f>
        <v>CRÉDITO</v>
      </c>
      <c r="B588" s="67" t="str">
        <f>+IF((PROVEEDORES[[#This Row],[FECHA DE PAGO]]-PROVEEDORES[[#This Row],[FECHA DE FACTURACIÓN]])&gt;PROVEEDORES[[#This Row],[PLAZO Días]],"PAGO VENCIDO")</f>
        <v>PAGO VENCIDO</v>
      </c>
      <c r="C588" s="27">
        <f>+VLOOKUP(PROVEEDORES[[#This Row],[PROVEEDOR]],TERCEROS_INFO[#All],2,FALSE)</f>
        <v>30</v>
      </c>
      <c r="D588" s="37">
        <f>+SUMIFS(PROVEEDORES[Total],PROVEEDORES[PROVEEDOR],PROVEEDORES[[#This Row],[PROVEEDOR]],PROVEEDORES[FECHA DE PAGO],"")</f>
        <v>0</v>
      </c>
      <c r="E588" s="37"/>
      <c r="F588" s="108" t="str">
        <f>+VLOOKUP(PROVEEDORES[[#This Row],[PROVEEDOR]],TERCEROS_INFO[[PROVEEDOR]:[CORREO]],5,FALSE)</f>
        <v/>
      </c>
      <c r="G588" s="143">
        <v>43899</v>
      </c>
      <c r="H588" s="38" t="s">
        <v>299</v>
      </c>
      <c r="I588" s="30">
        <v>43868</v>
      </c>
      <c r="J588" s="58" t="s">
        <v>1041</v>
      </c>
      <c r="K588" s="32">
        <v>60000</v>
      </c>
      <c r="L588" s="32"/>
      <c r="M588" s="33">
        <f>(PROVEEDORES[[#This Row],[SUBTOTAL]]-PROVEEDORES[[#This Row],[descuento antes de IVA]])*VLOOKUP(PROVEEDORES[[#This Row],[PROVEEDOR]],TERCEROS_INFO[#All],3,FALSE)</f>
        <v>0</v>
      </c>
      <c r="N588" s="34"/>
      <c r="O588" s="33">
        <f>+PROVEEDORES[[#This Row],[Descuento sobre subtotal %]]*(PROVEEDORES[[#This Row],[SUBTOTAL]]-PROVEEDORES[[#This Row],[descuento antes de IVA]])</f>
        <v>0</v>
      </c>
      <c r="P5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8" s="33">
        <f>+(PROVEEDORES[[#This Row],[SUBTOTAL]]-PROVEEDORES[[#This Row],[descuento antes de IVA]])*PROVEEDORES[[#This Row],[Rete Fuente %]]</f>
        <v>0</v>
      </c>
      <c r="R588" s="32">
        <f>+PROVEEDORES[[#This Row],[SUBTOTAL]]+PROVEEDORES[[#This Row],[IVA 19%]]-PROVEEDORES[[#This Row],[descuento antes de IVA]]-PROVEEDORES[[#This Row],[Descuento sobre subtotal $]]-PROVEEDORES[[#This Row],[Rete Fuente $]]</f>
        <v>60000</v>
      </c>
      <c r="S58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8" s="40"/>
      <c r="U588" s="97"/>
      <c r="V588" s="36"/>
      <c r="W588" s="36"/>
      <c r="X588" s="36"/>
      <c r="Y588" s="36"/>
      <c r="Z588" s="41"/>
      <c r="AA588" s="42"/>
      <c r="AF588" s="36"/>
      <c r="AG588" s="36"/>
    </row>
    <row r="589" spans="1:33" ht="21.95" hidden="1" customHeight="1" x14ac:dyDescent="0.25">
      <c r="A589" s="39" t="str">
        <f>+IF(PROVEEDORES[[#This Row],[FECHA DE PAGO]]=PROVEEDORES[[#This Row],[FECHA DE FACTURACIÓN]],"DE CONTADO","CRÉDITO")</f>
        <v>CRÉDITO</v>
      </c>
      <c r="B589" s="67" t="b">
        <f>+IF((PROVEEDORES[[#This Row],[FECHA DE PAGO]]-PROVEEDORES[[#This Row],[FECHA DE FACTURACIÓN]])&gt;PROVEEDORES[[#This Row],[PLAZO Días]],"PAGO VENCIDO")</f>
        <v>0</v>
      </c>
      <c r="C589" s="27">
        <f>+VLOOKUP(PROVEEDORES[[#This Row],[PROVEEDOR]],TERCEROS_INFO[#All],2,FALSE)</f>
        <v>30</v>
      </c>
      <c r="D589" s="37">
        <f>+SUMIFS(PROVEEDORES[Total],PROVEEDORES[PROVEEDOR],PROVEEDORES[[#This Row],[PROVEEDOR]],PROVEEDORES[FECHA DE PAGO],"")</f>
        <v>0</v>
      </c>
      <c r="E589" s="37"/>
      <c r="F589" s="108" t="str">
        <f>+VLOOKUP(PROVEEDORES[[#This Row],[PROVEEDOR]],TERCEROS_INFO[[PROVEEDOR]:[CORREO]],5,FALSE)</f>
        <v/>
      </c>
      <c r="G589" s="143">
        <v>43899</v>
      </c>
      <c r="H589" s="38" t="s">
        <v>299</v>
      </c>
      <c r="I589" s="30">
        <v>43872</v>
      </c>
      <c r="J589" s="58" t="s">
        <v>1043</v>
      </c>
      <c r="K589" s="32">
        <v>16000</v>
      </c>
      <c r="L589" s="32"/>
      <c r="M589" s="33">
        <f>(PROVEEDORES[[#This Row],[SUBTOTAL]]-PROVEEDORES[[#This Row],[descuento antes de IVA]])*VLOOKUP(PROVEEDORES[[#This Row],[PROVEEDOR]],TERCEROS_INFO[#All],3,FALSE)</f>
        <v>0</v>
      </c>
      <c r="N589" s="34"/>
      <c r="O589" s="33">
        <f>+PROVEEDORES[[#This Row],[Descuento sobre subtotal %]]*(PROVEEDORES[[#This Row],[SUBTOTAL]]-PROVEEDORES[[#This Row],[descuento antes de IVA]])</f>
        <v>0</v>
      </c>
      <c r="P5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89" s="33">
        <f>+(PROVEEDORES[[#This Row],[SUBTOTAL]]-PROVEEDORES[[#This Row],[descuento antes de IVA]])*PROVEEDORES[[#This Row],[Rete Fuente %]]</f>
        <v>0</v>
      </c>
      <c r="R589" s="32">
        <f>+PROVEEDORES[[#This Row],[SUBTOTAL]]+PROVEEDORES[[#This Row],[IVA 19%]]-PROVEEDORES[[#This Row],[descuento antes de IVA]]-PROVEEDORES[[#This Row],[Descuento sobre subtotal $]]-PROVEEDORES[[#This Row],[Rete Fuente $]]</f>
        <v>16000</v>
      </c>
      <c r="S5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9" s="40"/>
      <c r="U589" s="97"/>
      <c r="V589" s="36"/>
      <c r="W589" s="36"/>
      <c r="X589" s="36"/>
      <c r="Y589" s="36"/>
      <c r="Z589" s="41"/>
      <c r="AA589" s="42"/>
      <c r="AF589" s="36"/>
      <c r="AG589" s="36"/>
    </row>
    <row r="590" spans="1:33" ht="21.95" hidden="1" customHeight="1" x14ac:dyDescent="0.25">
      <c r="A590" s="39" t="str">
        <f>+IF(PROVEEDORES[[#This Row],[FECHA DE PAGO]]=PROVEEDORES[[#This Row],[FECHA DE FACTURACIÓN]],"DE CONTADO","CRÉDITO")</f>
        <v>CRÉDITO</v>
      </c>
      <c r="B590" s="67" t="b">
        <f>+IF((PROVEEDORES[[#This Row],[FECHA DE PAGO]]-PROVEEDORES[[#This Row],[FECHA DE FACTURACIÓN]])&gt;PROVEEDORES[[#This Row],[PLAZO Días]],"PAGO VENCIDO")</f>
        <v>0</v>
      </c>
      <c r="C590" s="27">
        <f>+VLOOKUP(PROVEEDORES[[#This Row],[PROVEEDOR]],TERCEROS_INFO[#All],2,FALSE)</f>
        <v>30</v>
      </c>
      <c r="D590" s="37">
        <f>+SUMIFS(PROVEEDORES[Total],PROVEEDORES[PROVEEDOR],PROVEEDORES[[#This Row],[PROVEEDOR]],PROVEEDORES[FECHA DE PAGO],"")</f>
        <v>0</v>
      </c>
      <c r="E590" s="37"/>
      <c r="F590" s="108" t="str">
        <f>+VLOOKUP(PROVEEDORES[[#This Row],[PROVEEDOR]],TERCEROS_INFO[[PROVEEDOR]:[CORREO]],5,FALSE)</f>
        <v/>
      </c>
      <c r="G590" s="143">
        <v>43899</v>
      </c>
      <c r="H590" s="38" t="s">
        <v>299</v>
      </c>
      <c r="I590" s="30">
        <v>43873</v>
      </c>
      <c r="J590" s="58" t="s">
        <v>1045</v>
      </c>
      <c r="K590" s="32">
        <v>40000</v>
      </c>
      <c r="L590" s="32"/>
      <c r="M590" s="33">
        <f>(PROVEEDORES[[#This Row],[SUBTOTAL]]-PROVEEDORES[[#This Row],[descuento antes de IVA]])*VLOOKUP(PROVEEDORES[[#This Row],[PROVEEDOR]],TERCEROS_INFO[#All],3,FALSE)</f>
        <v>0</v>
      </c>
      <c r="N590" s="34"/>
      <c r="O590" s="33">
        <f>+PROVEEDORES[[#This Row],[Descuento sobre subtotal %]]*(PROVEEDORES[[#This Row],[SUBTOTAL]]-PROVEEDORES[[#This Row],[descuento antes de IVA]])</f>
        <v>0</v>
      </c>
      <c r="P5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0" s="33">
        <f>+(PROVEEDORES[[#This Row],[SUBTOTAL]]-PROVEEDORES[[#This Row],[descuento antes de IVA]])*PROVEEDORES[[#This Row],[Rete Fuente %]]</f>
        <v>0</v>
      </c>
      <c r="R590" s="32">
        <f>+PROVEEDORES[[#This Row],[SUBTOTAL]]+PROVEEDORES[[#This Row],[IVA 19%]]-PROVEEDORES[[#This Row],[descuento antes de IVA]]-PROVEEDORES[[#This Row],[Descuento sobre subtotal $]]-PROVEEDORES[[#This Row],[Rete Fuente $]]</f>
        <v>40000</v>
      </c>
      <c r="S59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0" s="40"/>
      <c r="U590" s="97"/>
      <c r="V590" s="36"/>
      <c r="W590" s="36"/>
      <c r="X590" s="36"/>
      <c r="Y590" s="36"/>
      <c r="Z590" s="41"/>
      <c r="AA590" s="42"/>
      <c r="AF590" s="36"/>
      <c r="AG590" s="36"/>
    </row>
    <row r="591" spans="1:33" ht="21.95" hidden="1" customHeight="1" x14ac:dyDescent="0.25">
      <c r="A591" s="39" t="str">
        <f>+IF(PROVEEDORES[[#This Row],[FECHA DE PAGO]]=PROVEEDORES[[#This Row],[FECHA DE FACTURACIÓN]],"DE CONTADO","CRÉDITO")</f>
        <v>CRÉDITO</v>
      </c>
      <c r="B591" s="67" t="str">
        <f>+IF((PROVEEDORES[[#This Row],[FECHA DE PAGO]]-PROVEEDORES[[#This Row],[FECHA DE FACTURACIÓN]])&gt;PROVEEDORES[[#This Row],[PLAZO Días]],"PAGO VENCIDO")</f>
        <v>PAGO VENCIDO</v>
      </c>
      <c r="C591" s="27">
        <f>+VLOOKUP(PROVEEDORES[[#This Row],[PROVEEDOR]],TERCEROS_INFO[#All],2,FALSE)</f>
        <v>30</v>
      </c>
      <c r="D591" s="37">
        <f>+SUMIFS(PROVEEDORES[Total],PROVEEDORES[PROVEEDOR],PROVEEDORES[[#This Row],[PROVEEDOR]],PROVEEDORES[FECHA DE PAGO],"")</f>
        <v>0</v>
      </c>
      <c r="E591" s="37"/>
      <c r="F591" s="108" t="str">
        <f>+VLOOKUP(PROVEEDORES[[#This Row],[PROVEEDOR]],TERCEROS_INFO[[PROVEEDOR]:[CORREO]],5,FALSE)</f>
        <v/>
      </c>
      <c r="G591" s="143">
        <v>43981</v>
      </c>
      <c r="H591" s="38" t="s">
        <v>299</v>
      </c>
      <c r="I591" s="30">
        <v>43876</v>
      </c>
      <c r="J591" s="58" t="s">
        <v>1049</v>
      </c>
      <c r="K591" s="32">
        <v>68400</v>
      </c>
      <c r="L591" s="32"/>
      <c r="M591" s="33">
        <f>(PROVEEDORES[[#This Row],[SUBTOTAL]]-PROVEEDORES[[#This Row],[descuento antes de IVA]])*VLOOKUP(PROVEEDORES[[#This Row],[PROVEEDOR]],TERCEROS_INFO[#All],3,FALSE)</f>
        <v>0</v>
      </c>
      <c r="N591" s="34"/>
      <c r="O591" s="33">
        <f>+PROVEEDORES[[#This Row],[Descuento sobre subtotal %]]*(PROVEEDORES[[#This Row],[SUBTOTAL]]-PROVEEDORES[[#This Row],[descuento antes de IVA]])</f>
        <v>0</v>
      </c>
      <c r="P5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1" s="33">
        <f>+(PROVEEDORES[[#This Row],[SUBTOTAL]]-PROVEEDORES[[#This Row],[descuento antes de IVA]])*PROVEEDORES[[#This Row],[Rete Fuente %]]</f>
        <v>0</v>
      </c>
      <c r="R591" s="32">
        <f>+PROVEEDORES[[#This Row],[SUBTOTAL]]+PROVEEDORES[[#This Row],[IVA 19%]]-PROVEEDORES[[#This Row],[descuento antes de IVA]]-PROVEEDORES[[#This Row],[Descuento sobre subtotal $]]-PROVEEDORES[[#This Row],[Rete Fuente $]]</f>
        <v>68400</v>
      </c>
      <c r="S59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1" s="40"/>
      <c r="U591" s="97"/>
      <c r="V591" s="36"/>
      <c r="W591" s="36"/>
      <c r="X591" s="36"/>
      <c r="Y591" s="36"/>
      <c r="Z591" s="41"/>
      <c r="AA591" s="42"/>
      <c r="AF591" s="36"/>
      <c r="AG591" s="36"/>
    </row>
    <row r="592" spans="1:33" ht="21.95" hidden="1" customHeight="1" x14ac:dyDescent="0.25">
      <c r="A592" s="39" t="str">
        <f>+IF(PROVEEDORES[[#This Row],[FECHA DE PAGO]]=PROVEEDORES[[#This Row],[FECHA DE FACTURACIÓN]],"DE CONTADO","CRÉDITO")</f>
        <v>CRÉDITO</v>
      </c>
      <c r="B592" s="67" t="str">
        <f>+IF((PROVEEDORES[[#This Row],[FECHA DE PAGO]]-PROVEEDORES[[#This Row],[FECHA DE FACTURACIÓN]])&gt;PROVEEDORES[[#This Row],[PLAZO Días]],"PAGO VENCIDO")</f>
        <v>PAGO VENCIDO</v>
      </c>
      <c r="C592" s="27">
        <f>+VLOOKUP(PROVEEDORES[[#This Row],[PROVEEDOR]],TERCEROS_INFO[#All],2,FALSE)</f>
        <v>30</v>
      </c>
      <c r="D592" s="37">
        <f>+SUMIFS(PROVEEDORES[Total],PROVEEDORES[PROVEEDOR],PROVEEDORES[[#This Row],[PROVEEDOR]],PROVEEDORES[FECHA DE PAGO],"")</f>
        <v>0</v>
      </c>
      <c r="E592" s="37"/>
      <c r="F592" s="108" t="str">
        <f>+VLOOKUP(PROVEEDORES[[#This Row],[PROVEEDOR]],TERCEROS_INFO[[PROVEEDOR]:[CORREO]],5,FALSE)</f>
        <v/>
      </c>
      <c r="G592" s="143">
        <v>43981</v>
      </c>
      <c r="H592" s="38" t="s">
        <v>299</v>
      </c>
      <c r="I592" s="30">
        <v>43880</v>
      </c>
      <c r="J592" s="58" t="s">
        <v>1051</v>
      </c>
      <c r="K592" s="32">
        <v>36000</v>
      </c>
      <c r="L592" s="32"/>
      <c r="M592" s="33">
        <f>(PROVEEDORES[[#This Row],[SUBTOTAL]]-PROVEEDORES[[#This Row],[descuento antes de IVA]])*VLOOKUP(PROVEEDORES[[#This Row],[PROVEEDOR]],TERCEROS_INFO[#All],3,FALSE)</f>
        <v>0</v>
      </c>
      <c r="N592" s="34"/>
      <c r="O592" s="33">
        <f>+PROVEEDORES[[#This Row],[Descuento sobre subtotal %]]*(PROVEEDORES[[#This Row],[SUBTOTAL]]-PROVEEDORES[[#This Row],[descuento antes de IVA]])</f>
        <v>0</v>
      </c>
      <c r="P5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2" s="33">
        <f>+(PROVEEDORES[[#This Row],[SUBTOTAL]]-PROVEEDORES[[#This Row],[descuento antes de IVA]])*PROVEEDORES[[#This Row],[Rete Fuente %]]</f>
        <v>0</v>
      </c>
      <c r="R592" s="32">
        <f>+PROVEEDORES[[#This Row],[SUBTOTAL]]+PROVEEDORES[[#This Row],[IVA 19%]]-PROVEEDORES[[#This Row],[descuento antes de IVA]]-PROVEEDORES[[#This Row],[Descuento sobre subtotal $]]-PROVEEDORES[[#This Row],[Rete Fuente $]]</f>
        <v>36000</v>
      </c>
      <c r="S59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2" s="40"/>
      <c r="U592" s="97"/>
      <c r="V592" s="36"/>
      <c r="W592" s="36"/>
      <c r="X592" s="36"/>
      <c r="Y592" s="36"/>
      <c r="Z592" s="41"/>
      <c r="AA592" s="42"/>
      <c r="AF592" s="36"/>
      <c r="AG592" s="36"/>
    </row>
    <row r="593" spans="1:33" ht="21.95" hidden="1" customHeight="1" x14ac:dyDescent="0.25">
      <c r="A593" s="39" t="str">
        <f>+IF(PROVEEDORES[[#This Row],[FECHA DE PAGO]]=PROVEEDORES[[#This Row],[FECHA DE FACTURACIÓN]],"DE CONTADO","CRÉDITO")</f>
        <v>CRÉDITO</v>
      </c>
      <c r="B593" s="67" t="str">
        <f>+IF((PROVEEDORES[[#This Row],[FECHA DE PAGO]]-PROVEEDORES[[#This Row],[FECHA DE FACTURACIÓN]])&gt;PROVEEDORES[[#This Row],[PLAZO Días]],"PAGO VENCIDO")</f>
        <v>PAGO VENCIDO</v>
      </c>
      <c r="C593" s="27">
        <f>+VLOOKUP(PROVEEDORES[[#This Row],[PROVEEDOR]],TERCEROS_INFO[#All],2,FALSE)</f>
        <v>30</v>
      </c>
      <c r="D593" s="37">
        <f>+SUMIFS(PROVEEDORES[Total],PROVEEDORES[PROVEEDOR],PROVEEDORES[[#This Row],[PROVEEDOR]],PROVEEDORES[FECHA DE PAGO],"")</f>
        <v>0</v>
      </c>
      <c r="E593" s="37"/>
      <c r="F593" s="108" t="str">
        <f>+VLOOKUP(PROVEEDORES[[#This Row],[PROVEEDOR]],TERCEROS_INFO[[PROVEEDOR]:[CORREO]],5,FALSE)</f>
        <v/>
      </c>
      <c r="G593" s="143">
        <v>43981</v>
      </c>
      <c r="H593" s="38" t="s">
        <v>299</v>
      </c>
      <c r="I593" s="30">
        <v>43886</v>
      </c>
      <c r="J593" s="58" t="s">
        <v>1052</v>
      </c>
      <c r="K593" s="32">
        <v>23000</v>
      </c>
      <c r="L593" s="32"/>
      <c r="M593" s="33">
        <f>(PROVEEDORES[[#This Row],[SUBTOTAL]]-PROVEEDORES[[#This Row],[descuento antes de IVA]])*VLOOKUP(PROVEEDORES[[#This Row],[PROVEEDOR]],TERCEROS_INFO[#All],3,FALSE)</f>
        <v>0</v>
      </c>
      <c r="N593" s="34"/>
      <c r="O593" s="33">
        <f>+PROVEEDORES[[#This Row],[Descuento sobre subtotal %]]*(PROVEEDORES[[#This Row],[SUBTOTAL]]-PROVEEDORES[[#This Row],[descuento antes de IVA]])</f>
        <v>0</v>
      </c>
      <c r="P5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3" s="33">
        <f>+(PROVEEDORES[[#This Row],[SUBTOTAL]]-PROVEEDORES[[#This Row],[descuento antes de IVA]])*PROVEEDORES[[#This Row],[Rete Fuente %]]</f>
        <v>0</v>
      </c>
      <c r="R593" s="32">
        <f>+PROVEEDORES[[#This Row],[SUBTOTAL]]+PROVEEDORES[[#This Row],[IVA 19%]]-PROVEEDORES[[#This Row],[descuento antes de IVA]]-PROVEEDORES[[#This Row],[Descuento sobre subtotal $]]-PROVEEDORES[[#This Row],[Rete Fuente $]]</f>
        <v>23000</v>
      </c>
      <c r="S59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3" s="40"/>
      <c r="U593" s="97"/>
      <c r="V593" s="36"/>
      <c r="W593" s="36"/>
      <c r="X593" s="36"/>
      <c r="Y593" s="36"/>
      <c r="Z593" s="41"/>
      <c r="AA593" s="42"/>
      <c r="AF593" s="36"/>
      <c r="AG593" s="36"/>
    </row>
    <row r="594" spans="1:33" ht="21.95" hidden="1" customHeight="1" x14ac:dyDescent="0.25">
      <c r="A594" s="39" t="str">
        <f>+IF(PROVEEDORES[[#This Row],[FECHA DE PAGO]]=PROVEEDORES[[#This Row],[FECHA DE FACTURACIÓN]],"DE CONTADO","CRÉDITO")</f>
        <v>CRÉDITO</v>
      </c>
      <c r="B594" s="67" t="str">
        <f>+IF((PROVEEDORES[[#This Row],[FECHA DE PAGO]]-PROVEEDORES[[#This Row],[FECHA DE FACTURACIÓN]])&gt;PROVEEDORES[[#This Row],[PLAZO Días]],"PAGO VENCIDO")</f>
        <v>PAGO VENCIDO</v>
      </c>
      <c r="C594" s="27">
        <f>+VLOOKUP(PROVEEDORES[[#This Row],[PROVEEDOR]],TERCEROS_INFO[#All],2,FALSE)</f>
        <v>30</v>
      </c>
      <c r="D594" s="37">
        <f>+SUMIFS(PROVEEDORES[Total],PROVEEDORES[PROVEEDOR],PROVEEDORES[[#This Row],[PROVEEDOR]],PROVEEDORES[FECHA DE PAGO],"")</f>
        <v>0</v>
      </c>
      <c r="E594" s="37"/>
      <c r="F594" s="108" t="str">
        <f>+VLOOKUP(PROVEEDORES[[#This Row],[PROVEEDOR]],TERCEROS_INFO[[PROVEEDOR]:[CORREO]],5,FALSE)</f>
        <v/>
      </c>
      <c r="G594" s="143">
        <v>43981</v>
      </c>
      <c r="H594" s="38" t="s">
        <v>299</v>
      </c>
      <c r="I594" s="30">
        <v>43886</v>
      </c>
      <c r="J594" s="58" t="s">
        <v>1053</v>
      </c>
      <c r="K594" s="32">
        <v>55000</v>
      </c>
      <c r="L594" s="32"/>
      <c r="M594" s="33">
        <f>(PROVEEDORES[[#This Row],[SUBTOTAL]]-PROVEEDORES[[#This Row],[descuento antes de IVA]])*VLOOKUP(PROVEEDORES[[#This Row],[PROVEEDOR]],TERCEROS_INFO[#All],3,FALSE)</f>
        <v>0</v>
      </c>
      <c r="N594" s="34"/>
      <c r="O594" s="33">
        <f>+PROVEEDORES[[#This Row],[Descuento sobre subtotal %]]*(PROVEEDORES[[#This Row],[SUBTOTAL]]-PROVEEDORES[[#This Row],[descuento antes de IVA]])</f>
        <v>0</v>
      </c>
      <c r="P5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4" s="33">
        <f>+(PROVEEDORES[[#This Row],[SUBTOTAL]]-PROVEEDORES[[#This Row],[descuento antes de IVA]])*PROVEEDORES[[#This Row],[Rete Fuente %]]</f>
        <v>0</v>
      </c>
      <c r="R594" s="32">
        <f>+PROVEEDORES[[#This Row],[SUBTOTAL]]+PROVEEDORES[[#This Row],[IVA 19%]]-PROVEEDORES[[#This Row],[descuento antes de IVA]]-PROVEEDORES[[#This Row],[Descuento sobre subtotal $]]-PROVEEDORES[[#This Row],[Rete Fuente $]]</f>
        <v>55000</v>
      </c>
      <c r="S59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4" s="40"/>
      <c r="U594" s="97"/>
      <c r="V594" s="36"/>
      <c r="W594" s="36"/>
      <c r="X594" s="36"/>
      <c r="Y594" s="36"/>
      <c r="Z594" s="41"/>
      <c r="AA594" s="42"/>
      <c r="AF594" s="36"/>
      <c r="AG594" s="36"/>
    </row>
    <row r="595" spans="1:33" ht="21.95" hidden="1" customHeight="1" x14ac:dyDescent="0.25">
      <c r="A595" s="39" t="str">
        <f>+IF(PROVEEDORES[[#This Row],[FECHA DE PAGO]]=PROVEEDORES[[#This Row],[FECHA DE FACTURACIÓN]],"DE CONTADO","CRÉDITO")</f>
        <v>CRÉDITO</v>
      </c>
      <c r="B595" s="67" t="str">
        <f>+IF((PROVEEDORES[[#This Row],[FECHA DE PAGO]]-PROVEEDORES[[#This Row],[FECHA DE FACTURACIÓN]])&gt;PROVEEDORES[[#This Row],[PLAZO Días]],"PAGO VENCIDO")</f>
        <v>PAGO VENCIDO</v>
      </c>
      <c r="C595" s="27">
        <f>+VLOOKUP(PROVEEDORES[[#This Row],[PROVEEDOR]],TERCEROS_INFO[#All],2,FALSE)</f>
        <v>30</v>
      </c>
      <c r="D595" s="37">
        <f>+SUMIFS(PROVEEDORES[Total],PROVEEDORES[PROVEEDOR],PROVEEDORES[[#This Row],[PROVEEDOR]],PROVEEDORES[FECHA DE PAGO],"")</f>
        <v>0</v>
      </c>
      <c r="E595" s="37"/>
      <c r="F595" s="108" t="str">
        <f>+VLOOKUP(PROVEEDORES[[#This Row],[PROVEEDOR]],TERCEROS_INFO[[PROVEEDOR]:[CORREO]],5,FALSE)</f>
        <v/>
      </c>
      <c r="G595" s="143">
        <v>43981</v>
      </c>
      <c r="H595" s="38" t="s">
        <v>299</v>
      </c>
      <c r="I595" s="30">
        <v>43889</v>
      </c>
      <c r="J595" s="58" t="s">
        <v>1056</v>
      </c>
      <c r="K595" s="32">
        <v>60000</v>
      </c>
      <c r="L595" s="32"/>
      <c r="M595" s="33">
        <f>(PROVEEDORES[[#This Row],[SUBTOTAL]]-PROVEEDORES[[#This Row],[descuento antes de IVA]])*VLOOKUP(PROVEEDORES[[#This Row],[PROVEEDOR]],TERCEROS_INFO[#All],3,FALSE)</f>
        <v>0</v>
      </c>
      <c r="N595" s="34"/>
      <c r="O595" s="33">
        <f>+PROVEEDORES[[#This Row],[Descuento sobre subtotal %]]*(PROVEEDORES[[#This Row],[SUBTOTAL]]-PROVEEDORES[[#This Row],[descuento antes de IVA]])</f>
        <v>0</v>
      </c>
      <c r="P5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5" s="33">
        <f>+(PROVEEDORES[[#This Row],[SUBTOTAL]]-PROVEEDORES[[#This Row],[descuento antes de IVA]])*PROVEEDORES[[#This Row],[Rete Fuente %]]</f>
        <v>0</v>
      </c>
      <c r="R595" s="32">
        <f>+PROVEEDORES[[#This Row],[SUBTOTAL]]+PROVEEDORES[[#This Row],[IVA 19%]]-PROVEEDORES[[#This Row],[descuento antes de IVA]]-PROVEEDORES[[#This Row],[Descuento sobre subtotal $]]-PROVEEDORES[[#This Row],[Rete Fuente $]]</f>
        <v>60000</v>
      </c>
      <c r="S59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5" s="40"/>
      <c r="U595" s="97"/>
      <c r="V595" s="36"/>
      <c r="W595" s="36"/>
      <c r="X595" s="36"/>
      <c r="Y595" s="36"/>
      <c r="Z595" s="41"/>
      <c r="AA595" s="42"/>
      <c r="AF595" s="36"/>
      <c r="AG595" s="36"/>
    </row>
    <row r="596" spans="1:33" ht="21.95" hidden="1" customHeight="1" x14ac:dyDescent="0.25">
      <c r="A596" s="39" t="str">
        <f>+IF(PROVEEDORES[[#This Row],[FECHA DE PAGO]]=PROVEEDORES[[#This Row],[FECHA DE FACTURACIÓN]],"DE CONTADO","CRÉDITO")</f>
        <v>CRÉDITO</v>
      </c>
      <c r="B596" s="67" t="str">
        <f>+IF((PROVEEDORES[[#This Row],[FECHA DE PAGO]]-PROVEEDORES[[#This Row],[FECHA DE FACTURACIÓN]])&gt;PROVEEDORES[[#This Row],[PLAZO Días]],"PAGO VENCIDO")</f>
        <v>PAGO VENCIDO</v>
      </c>
      <c r="C596" s="27">
        <f>+VLOOKUP(PROVEEDORES[[#This Row],[PROVEEDOR]],TERCEROS_INFO[#All],2,FALSE)</f>
        <v>30</v>
      </c>
      <c r="D596" s="37">
        <f>+SUMIFS(PROVEEDORES[Total],PROVEEDORES[PROVEEDOR],PROVEEDORES[[#This Row],[PROVEEDOR]],PROVEEDORES[FECHA DE PAGO],"")</f>
        <v>0</v>
      </c>
      <c r="E596" s="37"/>
      <c r="F596" s="108" t="str">
        <f>+VLOOKUP(PROVEEDORES[[#This Row],[PROVEEDOR]],TERCEROS_INFO[[PROVEEDOR]:[CORREO]],5,FALSE)</f>
        <v/>
      </c>
      <c r="G596" s="143">
        <v>43981</v>
      </c>
      <c r="H596" s="38" t="s">
        <v>299</v>
      </c>
      <c r="I596" s="30">
        <v>43891</v>
      </c>
      <c r="J596" s="58" t="s">
        <v>1058</v>
      </c>
      <c r="K596" s="32">
        <v>47000</v>
      </c>
      <c r="L596" s="32"/>
      <c r="M596" s="33">
        <f>(PROVEEDORES[[#This Row],[SUBTOTAL]]-PROVEEDORES[[#This Row],[descuento antes de IVA]])*VLOOKUP(PROVEEDORES[[#This Row],[PROVEEDOR]],TERCEROS_INFO[#All],3,FALSE)</f>
        <v>0</v>
      </c>
      <c r="N596" s="34"/>
      <c r="O596" s="33">
        <f>+PROVEEDORES[[#This Row],[Descuento sobre subtotal %]]*(PROVEEDORES[[#This Row],[SUBTOTAL]]-PROVEEDORES[[#This Row],[descuento antes de IVA]])</f>
        <v>0</v>
      </c>
      <c r="P5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6" s="33">
        <f>+(PROVEEDORES[[#This Row],[SUBTOTAL]]-PROVEEDORES[[#This Row],[descuento antes de IVA]])*PROVEEDORES[[#This Row],[Rete Fuente %]]</f>
        <v>0</v>
      </c>
      <c r="R596" s="32">
        <f>+PROVEEDORES[[#This Row],[SUBTOTAL]]+PROVEEDORES[[#This Row],[IVA 19%]]-PROVEEDORES[[#This Row],[descuento antes de IVA]]-PROVEEDORES[[#This Row],[Descuento sobre subtotal $]]-PROVEEDORES[[#This Row],[Rete Fuente $]]</f>
        <v>47000</v>
      </c>
      <c r="S59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6" s="40"/>
      <c r="U596" s="97"/>
      <c r="V596" s="36"/>
      <c r="W596" s="36"/>
      <c r="X596" s="36"/>
      <c r="Y596" s="36"/>
      <c r="Z596" s="41"/>
      <c r="AA596" s="42"/>
      <c r="AF596" s="36"/>
      <c r="AG596" s="36"/>
    </row>
    <row r="597" spans="1:33" ht="21.95" hidden="1" customHeight="1" x14ac:dyDescent="0.25">
      <c r="A597" s="39" t="str">
        <f>+IF(PROVEEDORES[[#This Row],[FECHA DE PAGO]]=PROVEEDORES[[#This Row],[FECHA DE FACTURACIÓN]],"DE CONTADO","CRÉDITO")</f>
        <v>CRÉDITO</v>
      </c>
      <c r="B597" s="67" t="str">
        <f>+IF((PROVEEDORES[[#This Row],[FECHA DE PAGO]]-PROVEEDORES[[#This Row],[FECHA DE FACTURACIÓN]])&gt;PROVEEDORES[[#This Row],[PLAZO Días]],"PAGO VENCIDO")</f>
        <v>PAGO VENCIDO</v>
      </c>
      <c r="C597" s="27">
        <f>+VLOOKUP(PROVEEDORES[[#This Row],[PROVEEDOR]],TERCEROS_INFO[#All],2,FALSE)</f>
        <v>30</v>
      </c>
      <c r="D597" s="37">
        <f>+SUMIFS(PROVEEDORES[Total],PROVEEDORES[PROVEEDOR],PROVEEDORES[[#This Row],[PROVEEDOR]],PROVEEDORES[FECHA DE PAGO],"")</f>
        <v>0</v>
      </c>
      <c r="E597" s="37"/>
      <c r="F597" s="108" t="str">
        <f>+VLOOKUP(PROVEEDORES[[#This Row],[PROVEEDOR]],TERCEROS_INFO[[PROVEEDOR]:[CORREO]],5,FALSE)</f>
        <v/>
      </c>
      <c r="G597" s="143">
        <v>43981</v>
      </c>
      <c r="H597" s="38" t="s">
        <v>299</v>
      </c>
      <c r="I597" s="30">
        <v>43895</v>
      </c>
      <c r="J597" s="58">
        <v>1614636</v>
      </c>
      <c r="K597" s="32">
        <v>115000</v>
      </c>
      <c r="L597" s="32"/>
      <c r="M597" s="33">
        <f>(PROVEEDORES[[#This Row],[SUBTOTAL]]-PROVEEDORES[[#This Row],[descuento antes de IVA]])*VLOOKUP(PROVEEDORES[[#This Row],[PROVEEDOR]],TERCEROS_INFO[#All],3,FALSE)</f>
        <v>0</v>
      </c>
      <c r="N597" s="34"/>
      <c r="O597" s="33">
        <f>+PROVEEDORES[[#This Row],[Descuento sobre subtotal %]]*(PROVEEDORES[[#This Row],[SUBTOTAL]]-PROVEEDORES[[#This Row],[descuento antes de IVA]])</f>
        <v>0</v>
      </c>
      <c r="P5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7" s="33">
        <f>+(PROVEEDORES[[#This Row],[SUBTOTAL]]-PROVEEDORES[[#This Row],[descuento antes de IVA]])*PROVEEDORES[[#This Row],[Rete Fuente %]]</f>
        <v>0</v>
      </c>
      <c r="R597" s="32">
        <f>+PROVEEDORES[[#This Row],[SUBTOTAL]]+PROVEEDORES[[#This Row],[IVA 19%]]-PROVEEDORES[[#This Row],[descuento antes de IVA]]-PROVEEDORES[[#This Row],[Descuento sobre subtotal $]]-PROVEEDORES[[#This Row],[Rete Fuente $]]</f>
        <v>115000</v>
      </c>
      <c r="S59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7" s="40"/>
      <c r="U597" s="97"/>
      <c r="V597" s="36"/>
      <c r="W597" s="36"/>
      <c r="X597" s="36"/>
      <c r="Y597" s="36"/>
      <c r="Z597" s="41"/>
      <c r="AA597" s="42"/>
      <c r="AF597" s="36"/>
      <c r="AG597" s="36"/>
    </row>
    <row r="598" spans="1:33" ht="21.95" hidden="1" customHeight="1" x14ac:dyDescent="0.25">
      <c r="A598" s="39" t="str">
        <f>+IF(PROVEEDORES[[#This Row],[FECHA DE PAGO]]=PROVEEDORES[[#This Row],[FECHA DE FACTURACIÓN]],"DE CONTADO","CRÉDITO")</f>
        <v>CRÉDITO</v>
      </c>
      <c r="B598" s="67" t="str">
        <f>+IF((PROVEEDORES[[#This Row],[FECHA DE PAGO]]-PROVEEDORES[[#This Row],[FECHA DE FACTURACIÓN]])&gt;PROVEEDORES[[#This Row],[PLAZO Días]],"PAGO VENCIDO")</f>
        <v>PAGO VENCIDO</v>
      </c>
      <c r="C598" s="27">
        <f>+VLOOKUP(PROVEEDORES[[#This Row],[PROVEEDOR]],TERCEROS_INFO[#All],2,FALSE)</f>
        <v>30</v>
      </c>
      <c r="D598" s="37">
        <f>+SUMIFS(PROVEEDORES[Total],PROVEEDORES[PROVEEDOR],PROVEEDORES[[#This Row],[PROVEEDOR]],PROVEEDORES[FECHA DE PAGO],"")</f>
        <v>0</v>
      </c>
      <c r="E598" s="37"/>
      <c r="F598" s="108" t="str">
        <f>+VLOOKUP(PROVEEDORES[[#This Row],[PROVEEDOR]],TERCEROS_INFO[[PROVEEDOR]:[CORREO]],5,FALSE)</f>
        <v/>
      </c>
      <c r="G598" s="143">
        <v>43981</v>
      </c>
      <c r="H598" s="38" t="s">
        <v>299</v>
      </c>
      <c r="I598" s="30">
        <v>43897</v>
      </c>
      <c r="J598" s="58">
        <v>1614636</v>
      </c>
      <c r="K598" s="32">
        <v>160000</v>
      </c>
      <c r="L598" s="32"/>
      <c r="M598" s="33">
        <f>(PROVEEDORES[[#This Row],[SUBTOTAL]]-PROVEEDORES[[#This Row],[descuento antes de IVA]])*VLOOKUP(PROVEEDORES[[#This Row],[PROVEEDOR]],TERCEROS_INFO[#All],3,FALSE)</f>
        <v>0</v>
      </c>
      <c r="N598" s="34"/>
      <c r="O598" s="33">
        <f>+PROVEEDORES[[#This Row],[Descuento sobre subtotal %]]*(PROVEEDORES[[#This Row],[SUBTOTAL]]-PROVEEDORES[[#This Row],[descuento antes de IVA]])</f>
        <v>0</v>
      </c>
      <c r="P5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8" s="33">
        <f>+(PROVEEDORES[[#This Row],[SUBTOTAL]]-PROVEEDORES[[#This Row],[descuento antes de IVA]])*PROVEEDORES[[#This Row],[Rete Fuente %]]</f>
        <v>0</v>
      </c>
      <c r="R598" s="32">
        <f>+PROVEEDORES[[#This Row],[SUBTOTAL]]+PROVEEDORES[[#This Row],[IVA 19%]]-PROVEEDORES[[#This Row],[descuento antes de IVA]]-PROVEEDORES[[#This Row],[Descuento sobre subtotal $]]-PROVEEDORES[[#This Row],[Rete Fuente $]]</f>
        <v>160000</v>
      </c>
      <c r="S59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8" s="40"/>
      <c r="U598" s="97"/>
      <c r="V598" s="36"/>
      <c r="W598" s="36"/>
      <c r="X598" s="36"/>
      <c r="Y598" s="36"/>
      <c r="Z598" s="41"/>
      <c r="AA598" s="42"/>
      <c r="AF598" s="36"/>
      <c r="AG598" s="36"/>
    </row>
    <row r="599" spans="1:33" ht="21.95" hidden="1" customHeight="1" x14ac:dyDescent="0.25">
      <c r="A599" s="39" t="str">
        <f>+IF(PROVEEDORES[[#This Row],[FECHA DE PAGO]]=PROVEEDORES[[#This Row],[FECHA DE FACTURACIÓN]],"DE CONTADO","CRÉDITO")</f>
        <v>CRÉDITO</v>
      </c>
      <c r="B599" s="67" t="str">
        <f>+IF((PROVEEDORES[[#This Row],[FECHA DE PAGO]]-PROVEEDORES[[#This Row],[FECHA DE FACTURACIÓN]])&gt;PROVEEDORES[[#This Row],[PLAZO Días]],"PAGO VENCIDO")</f>
        <v>PAGO VENCIDO</v>
      </c>
      <c r="C599" s="27">
        <f>+VLOOKUP(PROVEEDORES[[#This Row],[PROVEEDOR]],TERCEROS_INFO[#All],2,FALSE)</f>
        <v>30</v>
      </c>
      <c r="D599" s="37">
        <f>+SUMIFS(PROVEEDORES[Total],PROVEEDORES[PROVEEDOR],PROVEEDORES[[#This Row],[PROVEEDOR]],PROVEEDORES[FECHA DE PAGO],"")</f>
        <v>0</v>
      </c>
      <c r="E599" s="37"/>
      <c r="F599" s="108" t="str">
        <f>+VLOOKUP(PROVEEDORES[[#This Row],[PROVEEDOR]],TERCEROS_INFO[[PROVEEDOR]:[CORREO]],5,FALSE)</f>
        <v/>
      </c>
      <c r="G599" s="143">
        <v>43981</v>
      </c>
      <c r="H599" s="38" t="s">
        <v>299</v>
      </c>
      <c r="I599" s="30">
        <v>43902</v>
      </c>
      <c r="J599" s="58">
        <v>1614636</v>
      </c>
      <c r="K599" s="32">
        <v>23000</v>
      </c>
      <c r="L599" s="32"/>
      <c r="M599" s="33">
        <f>(PROVEEDORES[[#This Row],[SUBTOTAL]]-PROVEEDORES[[#This Row],[descuento antes de IVA]])*VLOOKUP(PROVEEDORES[[#This Row],[PROVEEDOR]],TERCEROS_INFO[#All],3,FALSE)</f>
        <v>0</v>
      </c>
      <c r="N599" s="34"/>
      <c r="O599" s="33">
        <f>+PROVEEDORES[[#This Row],[Descuento sobre subtotal %]]*(PROVEEDORES[[#This Row],[SUBTOTAL]]-PROVEEDORES[[#This Row],[descuento antes de IVA]])</f>
        <v>0</v>
      </c>
      <c r="P5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599" s="33">
        <f>+(PROVEEDORES[[#This Row],[SUBTOTAL]]-PROVEEDORES[[#This Row],[descuento antes de IVA]])*PROVEEDORES[[#This Row],[Rete Fuente %]]</f>
        <v>0</v>
      </c>
      <c r="R599" s="32">
        <f>+PROVEEDORES[[#This Row],[SUBTOTAL]]+PROVEEDORES[[#This Row],[IVA 19%]]-PROVEEDORES[[#This Row],[descuento antes de IVA]]-PROVEEDORES[[#This Row],[Descuento sobre subtotal $]]-PROVEEDORES[[#This Row],[Rete Fuente $]]</f>
        <v>23000</v>
      </c>
      <c r="S59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9" s="40"/>
      <c r="U599" s="97"/>
      <c r="V599" s="36"/>
      <c r="W599" s="36"/>
      <c r="X599" s="36"/>
      <c r="Y599" s="36"/>
      <c r="Z599" s="41"/>
      <c r="AA599" s="42"/>
      <c r="AF599" s="36"/>
      <c r="AG599" s="36"/>
    </row>
    <row r="600" spans="1:33" ht="21.95" hidden="1" customHeight="1" x14ac:dyDescent="0.25">
      <c r="A600" s="39" t="str">
        <f>+IF(PROVEEDORES[[#This Row],[FECHA DE PAGO]]=PROVEEDORES[[#This Row],[FECHA DE FACTURACIÓN]],"DE CONTADO","CRÉDITO")</f>
        <v>CRÉDITO</v>
      </c>
      <c r="B600" s="67" t="b">
        <f>+IF((PROVEEDORES[[#This Row],[FECHA DE PAGO]]-PROVEEDORES[[#This Row],[FECHA DE FACTURACIÓN]])&gt;PROVEEDORES[[#This Row],[PLAZO Días]],"PAGO VENCIDO")</f>
        <v>0</v>
      </c>
      <c r="C600" s="27">
        <f>+VLOOKUP(PROVEEDORES[[#This Row],[PROVEEDOR]],TERCEROS_INFO[#All],2,FALSE)</f>
        <v>30</v>
      </c>
      <c r="D600" s="37">
        <f>+SUMIFS(PROVEEDORES[Total],PROVEEDORES[PROVEEDOR],PROVEEDORES[[#This Row],[PROVEEDOR]],PROVEEDORES[FECHA DE PAGO],"")</f>
        <v>0</v>
      </c>
      <c r="E600" s="37"/>
      <c r="F600" s="108" t="str">
        <f>+VLOOKUP(PROVEEDORES[[#This Row],[PROVEEDOR]],TERCEROS_INFO[[PROVEEDOR]:[CORREO]],5,FALSE)</f>
        <v/>
      </c>
      <c r="G600" s="143">
        <v>44014</v>
      </c>
      <c r="H600" s="38" t="s">
        <v>299</v>
      </c>
      <c r="I600" s="30">
        <v>44013</v>
      </c>
      <c r="J600" s="58" t="s">
        <v>47</v>
      </c>
      <c r="K600" s="32">
        <v>342500</v>
      </c>
      <c r="L600" s="32"/>
      <c r="M600" s="33">
        <f>(PROVEEDORES[[#This Row],[SUBTOTAL]]-PROVEEDORES[[#This Row],[descuento antes de IVA]])*VLOOKUP(PROVEEDORES[[#This Row],[PROVEEDOR]],TERCEROS_INFO[#All],3,FALSE)</f>
        <v>0</v>
      </c>
      <c r="N600" s="34"/>
      <c r="O600" s="33">
        <f>+PROVEEDORES[[#This Row],[Descuento sobre subtotal %]]*(PROVEEDORES[[#This Row],[SUBTOTAL]]-PROVEEDORES[[#This Row],[descuento antes de IVA]])</f>
        <v>0</v>
      </c>
      <c r="P6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0" s="33">
        <f>+(PROVEEDORES[[#This Row],[SUBTOTAL]]-PROVEEDORES[[#This Row],[descuento antes de IVA]])*PROVEEDORES[[#This Row],[Rete Fuente %]]</f>
        <v>0</v>
      </c>
      <c r="R600" s="32">
        <f>+PROVEEDORES[[#This Row],[SUBTOTAL]]+PROVEEDORES[[#This Row],[IVA 19%]]-PROVEEDORES[[#This Row],[descuento antes de IVA]]-PROVEEDORES[[#This Row],[Descuento sobre subtotal $]]-PROVEEDORES[[#This Row],[Rete Fuente $]]</f>
        <v>342500</v>
      </c>
      <c r="S60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0" s="40"/>
      <c r="U600" s="97"/>
      <c r="V600" s="36"/>
      <c r="W600" s="36"/>
      <c r="X600" s="36"/>
      <c r="Y600" s="36"/>
      <c r="Z600" s="41"/>
      <c r="AA600" s="42"/>
      <c r="AF600" s="36"/>
      <c r="AG600" s="36"/>
    </row>
    <row r="601" spans="1:33" ht="21.95" hidden="1" customHeight="1" x14ac:dyDescent="0.25">
      <c r="A601" s="39" t="str">
        <f>+IF(PROVEEDORES[[#This Row],[FECHA DE PAGO]]=PROVEEDORES[[#This Row],[FECHA DE FACTURACIÓN]],"DE CONTADO","CRÉDITO")</f>
        <v>DE CONTADO</v>
      </c>
      <c r="B601" s="67" t="b">
        <f>+IF((PROVEEDORES[[#This Row],[FECHA DE PAGO]]-PROVEEDORES[[#This Row],[FECHA DE FACTURACIÓN]])&gt;PROVEEDORES[[#This Row],[PLAZO Días]],"PAGO VENCIDO")</f>
        <v>0</v>
      </c>
      <c r="C601" s="27">
        <f>+VLOOKUP(PROVEEDORES[[#This Row],[PROVEEDOR]],TERCEROS_INFO[#All],2,FALSE)</f>
        <v>30</v>
      </c>
      <c r="D601" s="37">
        <f>+SUMIFS(PROVEEDORES[Total],PROVEEDORES[PROVEEDOR],PROVEEDORES[[#This Row],[PROVEEDOR]],PROVEEDORES[FECHA DE PAGO],"")</f>
        <v>0</v>
      </c>
      <c r="E601" s="37" t="s">
        <v>336</v>
      </c>
      <c r="F601" s="108" t="str">
        <f>+VLOOKUP(PROVEEDORES[[#This Row],[PROVEEDOR]],TERCEROS_INFO[[PROVEEDOR]:[CORREO]],5,FALSE)</f>
        <v/>
      </c>
      <c r="G601" s="143">
        <v>44040</v>
      </c>
      <c r="H601" s="38" t="s">
        <v>299</v>
      </c>
      <c r="I601" s="30">
        <v>44040</v>
      </c>
      <c r="J601" s="58">
        <v>739</v>
      </c>
      <c r="K601" s="32">
        <v>60000</v>
      </c>
      <c r="L601" s="32"/>
      <c r="M601" s="33">
        <f>(PROVEEDORES[[#This Row],[SUBTOTAL]]-PROVEEDORES[[#This Row],[descuento antes de IVA]])*VLOOKUP(PROVEEDORES[[#This Row],[PROVEEDOR]],TERCEROS_INFO[#All],3,FALSE)</f>
        <v>0</v>
      </c>
      <c r="N601" s="34"/>
      <c r="O601" s="33">
        <f>+PROVEEDORES[[#This Row],[Descuento sobre subtotal %]]*(PROVEEDORES[[#This Row],[SUBTOTAL]]-PROVEEDORES[[#This Row],[descuento antes de IVA]])</f>
        <v>0</v>
      </c>
      <c r="P6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1" s="33">
        <f>+(PROVEEDORES[[#This Row],[SUBTOTAL]]-PROVEEDORES[[#This Row],[descuento antes de IVA]])*PROVEEDORES[[#This Row],[Rete Fuente %]]</f>
        <v>0</v>
      </c>
      <c r="R601" s="32">
        <f>+PROVEEDORES[[#This Row],[SUBTOTAL]]+PROVEEDORES[[#This Row],[IVA 19%]]-PROVEEDORES[[#This Row],[descuento antes de IVA]]-PROVEEDORES[[#This Row],[Descuento sobre subtotal $]]-PROVEEDORES[[#This Row],[Rete Fuente $]]</f>
        <v>60000</v>
      </c>
      <c r="S60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1" s="40"/>
      <c r="U601" s="97"/>
      <c r="V601" s="36"/>
      <c r="W601" s="36"/>
      <c r="X601" s="36"/>
      <c r="Y601" s="36"/>
      <c r="Z601" s="41"/>
      <c r="AA601" s="42"/>
      <c r="AF601" s="36"/>
      <c r="AG601" s="36"/>
    </row>
    <row r="602" spans="1:33" ht="21.95" hidden="1" customHeight="1" x14ac:dyDescent="0.25">
      <c r="A602" s="39" t="str">
        <f>+IF(PROVEEDORES[[#This Row],[FECHA DE PAGO]]=PROVEEDORES[[#This Row],[FECHA DE FACTURACIÓN]],"DE CONTADO","CRÉDITO")</f>
        <v>CRÉDITO</v>
      </c>
      <c r="B602" s="67" t="b">
        <f>+IF((PROVEEDORES[[#This Row],[FECHA DE PAGO]]-PROVEEDORES[[#This Row],[FECHA DE FACTURACIÓN]])&gt;PROVEEDORES[[#This Row],[PLAZO Días]],"PAGO VENCIDO")</f>
        <v>0</v>
      </c>
      <c r="C602" s="27">
        <f>+VLOOKUP(PROVEEDORES[[#This Row],[PROVEEDOR]],TERCEROS_INFO[#All],2,FALSE)</f>
        <v>30</v>
      </c>
      <c r="D602" s="37">
        <f>+SUMIFS(PROVEEDORES[Total],PROVEEDORES[PROVEEDOR],PROVEEDORES[[#This Row],[PROVEEDOR]],PROVEEDORES[FECHA DE PAGO],"")</f>
        <v>0</v>
      </c>
      <c r="E602" s="37"/>
      <c r="F602" s="108" t="str">
        <f>+VLOOKUP(PROVEEDORES[[#This Row],[PROVEEDOR]],TERCEROS_INFO[[PROVEEDOR]:[CORREO]],5,FALSE)</f>
        <v/>
      </c>
      <c r="G602" s="143">
        <v>44104</v>
      </c>
      <c r="H602" s="38" t="s">
        <v>299</v>
      </c>
      <c r="I602" s="30">
        <v>44075</v>
      </c>
      <c r="J602" s="58"/>
      <c r="K602" s="32">
        <v>480000</v>
      </c>
      <c r="L602" s="32"/>
      <c r="M602" s="33">
        <f>(PROVEEDORES[[#This Row],[SUBTOTAL]]-PROVEEDORES[[#This Row],[descuento antes de IVA]])*VLOOKUP(PROVEEDORES[[#This Row],[PROVEEDOR]],TERCEROS_INFO[#All],3,FALSE)</f>
        <v>0</v>
      </c>
      <c r="N602" s="34"/>
      <c r="O602" s="33">
        <f>+PROVEEDORES[[#This Row],[Descuento sobre subtotal %]]*(PROVEEDORES[[#This Row],[SUBTOTAL]]-PROVEEDORES[[#This Row],[descuento antes de IVA]])</f>
        <v>0</v>
      </c>
      <c r="P6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2" s="33">
        <f>+(PROVEEDORES[[#This Row],[SUBTOTAL]]-PROVEEDORES[[#This Row],[descuento antes de IVA]])*PROVEEDORES[[#This Row],[Rete Fuente %]]</f>
        <v>0</v>
      </c>
      <c r="R602" s="32">
        <f>+PROVEEDORES[[#This Row],[SUBTOTAL]]+PROVEEDORES[[#This Row],[IVA 19%]]-PROVEEDORES[[#This Row],[descuento antes de IVA]]-PROVEEDORES[[#This Row],[Descuento sobre subtotal $]]-PROVEEDORES[[#This Row],[Rete Fuente $]]</f>
        <v>480000</v>
      </c>
      <c r="S60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2" s="40"/>
      <c r="U602" s="97"/>
      <c r="V602" s="36"/>
      <c r="W602" s="36"/>
      <c r="X602" s="36"/>
      <c r="Y602" s="36"/>
      <c r="Z602" s="41"/>
      <c r="AA602" s="42"/>
      <c r="AF602" s="36"/>
      <c r="AG602" s="36"/>
    </row>
    <row r="603" spans="1:33" ht="21.95" hidden="1" customHeight="1" x14ac:dyDescent="0.25">
      <c r="A603" s="39" t="str">
        <f>+IF(PROVEEDORES[[#This Row],[FECHA DE PAGO]]=PROVEEDORES[[#This Row],[FECHA DE FACTURACIÓN]],"DE CONTADO","CRÉDITO")</f>
        <v>CRÉDITO</v>
      </c>
      <c r="B603" s="67" t="b">
        <f>+IF((PROVEEDORES[[#This Row],[FECHA DE PAGO]]-PROVEEDORES[[#This Row],[FECHA DE FACTURACIÓN]])&gt;PROVEEDORES[[#This Row],[PLAZO Días]],"PAGO VENCIDO")</f>
        <v>0</v>
      </c>
      <c r="C603" s="27">
        <f>+VLOOKUP(PROVEEDORES[[#This Row],[PROVEEDOR]],TERCEROS_INFO[#All],2,FALSE)</f>
        <v>30</v>
      </c>
      <c r="D603" s="37">
        <f>+SUMIFS(PROVEEDORES[Total],PROVEEDORES[PROVEEDOR],PROVEEDORES[[#This Row],[PROVEEDOR]],PROVEEDORES[FECHA DE PAGO],"")</f>
        <v>0</v>
      </c>
      <c r="E603" s="37"/>
      <c r="F603" s="108" t="str">
        <f>+VLOOKUP(PROVEEDORES[[#This Row],[PROVEEDOR]],TERCEROS_INFO[[PROVEEDOR]:[CORREO]],5,FALSE)</f>
        <v/>
      </c>
      <c r="G603" s="143">
        <v>44184</v>
      </c>
      <c r="H603" s="38" t="s">
        <v>299</v>
      </c>
      <c r="I603" s="30">
        <v>44166</v>
      </c>
      <c r="J603" s="58"/>
      <c r="K603" s="32">
        <v>900600</v>
      </c>
      <c r="L603" s="32"/>
      <c r="M603" s="33">
        <f>(PROVEEDORES[[#This Row],[SUBTOTAL]]-PROVEEDORES[[#This Row],[descuento antes de IVA]])*VLOOKUP(PROVEEDORES[[#This Row],[PROVEEDOR]],TERCEROS_INFO[#All],3,FALSE)</f>
        <v>0</v>
      </c>
      <c r="N603" s="34"/>
      <c r="O603" s="33">
        <f>+PROVEEDORES[[#This Row],[Descuento sobre subtotal %]]*(PROVEEDORES[[#This Row],[SUBTOTAL]]-PROVEEDORES[[#This Row],[descuento antes de IVA]])</f>
        <v>0</v>
      </c>
      <c r="P6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3" s="33">
        <f>+(PROVEEDORES[[#This Row],[SUBTOTAL]]-PROVEEDORES[[#This Row],[descuento antes de IVA]])*PROVEEDORES[[#This Row],[Rete Fuente %]]</f>
        <v>0</v>
      </c>
      <c r="R603" s="32">
        <f>+PROVEEDORES[[#This Row],[SUBTOTAL]]+PROVEEDORES[[#This Row],[IVA 19%]]-PROVEEDORES[[#This Row],[descuento antes de IVA]]-PROVEEDORES[[#This Row],[Descuento sobre subtotal $]]-PROVEEDORES[[#This Row],[Rete Fuente $]]</f>
        <v>900600</v>
      </c>
      <c r="S60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3" s="40"/>
      <c r="U603" s="97"/>
      <c r="V603" s="36"/>
      <c r="W603" s="36"/>
      <c r="X603" s="36"/>
      <c r="Y603" s="36"/>
      <c r="Z603" s="41"/>
      <c r="AA603" s="42"/>
      <c r="AF603" s="36"/>
      <c r="AG603" s="36"/>
    </row>
    <row r="604" spans="1:33" ht="21.95" hidden="1" customHeight="1" x14ac:dyDescent="0.25">
      <c r="A604" s="142" t="str">
        <f>+IF(PROVEEDORES[[#This Row],[FECHA DE PAGO]]=PROVEEDORES[[#This Row],[FECHA DE FACTURACIÓN]],"DE CONTADO","CRÉDITO")</f>
        <v>CRÉDITO</v>
      </c>
      <c r="B604" s="70" t="b">
        <f>+IF((PROVEEDORES[[#This Row],[FECHA DE PAGO]]-PROVEEDORES[[#This Row],[FECHA DE FACTURACIÓN]])&gt;PROVEEDORES[[#This Row],[PLAZO Días]],"PAGO VENCIDO")</f>
        <v>0</v>
      </c>
      <c r="C604" s="27">
        <f>+VLOOKUP(PROVEEDORES[[#This Row],[PROVEEDOR]],TERCEROS_INFO[#All],2,FALSE)</f>
        <v>30</v>
      </c>
      <c r="D604" s="37">
        <f>+SUMIFS(PROVEEDORES[Total],PROVEEDORES[PROVEEDOR],PROVEEDORES[[#This Row],[PROVEEDOR]],PROVEEDORES[FECHA DE PAGO],"")</f>
        <v>0</v>
      </c>
      <c r="E604" s="37"/>
      <c r="F604" s="108" t="str">
        <f>+VLOOKUP(PROVEEDORES[[#This Row],[PROVEEDOR]],TERCEROS_INFO[[PROVEEDOR]:[CORREO]],5,FALSE)</f>
        <v/>
      </c>
      <c r="G604" s="143">
        <v>44428</v>
      </c>
      <c r="H604" s="38" t="s">
        <v>299</v>
      </c>
      <c r="I604" s="30">
        <v>44423</v>
      </c>
      <c r="J604" s="58" t="s">
        <v>1211</v>
      </c>
      <c r="K604" s="32">
        <v>1026700</v>
      </c>
      <c r="L604" s="32"/>
      <c r="M604" s="33">
        <f>(PROVEEDORES[[#This Row],[SUBTOTAL]]-PROVEEDORES[[#This Row],[descuento antes de IVA]])*VLOOKUP(PROVEEDORES[[#This Row],[PROVEEDOR]],TERCEROS_INFO[#All],3,FALSE)</f>
        <v>0</v>
      </c>
      <c r="N604" s="34"/>
      <c r="O604" s="33">
        <f>+PROVEEDORES[[#This Row],[Descuento sobre subtotal %]]*(PROVEEDORES[[#This Row],[SUBTOTAL]]-PROVEEDORES[[#This Row],[descuento antes de IVA]])</f>
        <v>0</v>
      </c>
      <c r="P6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4" s="33">
        <f>+(PROVEEDORES[[#This Row],[SUBTOTAL]]-PROVEEDORES[[#This Row],[descuento antes de IVA]])*PROVEEDORES[[#This Row],[Rete Fuente %]]</f>
        <v>0</v>
      </c>
      <c r="R604" s="32">
        <f>+PROVEEDORES[[#This Row],[SUBTOTAL]]+PROVEEDORES[[#This Row],[IVA 19%]]-PROVEEDORES[[#This Row],[descuento antes de IVA]]-PROVEEDORES[[#This Row],[Descuento sobre subtotal $]]-PROVEEDORES[[#This Row],[Rete Fuente $]]</f>
        <v>1026700</v>
      </c>
      <c r="S604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4" s="40"/>
      <c r="U604" s="97"/>
      <c r="V604" s="36"/>
      <c r="W604" s="36"/>
      <c r="X604" s="36"/>
      <c r="Y604" s="36"/>
      <c r="Z604" s="41"/>
      <c r="AA604" s="42"/>
      <c r="AF604" s="36"/>
      <c r="AG604" s="36"/>
    </row>
    <row r="605" spans="1:33" ht="21.95" hidden="1" customHeight="1" x14ac:dyDescent="0.25">
      <c r="A605" s="163" t="str">
        <f>+IF(PROVEEDORES[[#This Row],[FECHA DE PAGO]]=PROVEEDORES[[#This Row],[FECHA DE FACTURACIÓN]],"DE CONTADO","CRÉDITO")</f>
        <v>CRÉDITO</v>
      </c>
      <c r="B605" s="70" t="b">
        <f>+IF((PROVEEDORES[[#This Row],[FECHA DE PAGO]]-PROVEEDORES[[#This Row],[FECHA DE FACTURACIÓN]])&gt;PROVEEDORES[[#This Row],[PLAZO Días]],"PAGO VENCIDO")</f>
        <v>0</v>
      </c>
      <c r="C605" s="27">
        <f>+VLOOKUP(PROVEEDORES[[#This Row],[PROVEEDOR]],TERCEROS_INFO[#All],2,FALSE)</f>
        <v>30</v>
      </c>
      <c r="D605" s="37">
        <f>+SUMIFS(PROVEEDORES[Total],PROVEEDORES[PROVEEDOR],PROVEEDORES[[#This Row],[PROVEEDOR]],PROVEEDORES[FECHA DE PAGO],"")</f>
        <v>0</v>
      </c>
      <c r="E605" s="37"/>
      <c r="F605" s="108" t="str">
        <f>+VLOOKUP(PROVEEDORES[[#This Row],[PROVEEDOR]],TERCEROS_INFO[[PROVEEDOR]:[CORREO]],5,FALSE)</f>
        <v/>
      </c>
      <c r="G605" s="143">
        <v>44509</v>
      </c>
      <c r="H605" s="38" t="s">
        <v>299</v>
      </c>
      <c r="I605" s="30">
        <v>44506</v>
      </c>
      <c r="J605" s="58" t="s">
        <v>940</v>
      </c>
      <c r="K605" s="32">
        <v>461000</v>
      </c>
      <c r="L605" s="32"/>
      <c r="M605" s="33">
        <f>(PROVEEDORES[[#This Row],[SUBTOTAL]]-PROVEEDORES[[#This Row],[descuento antes de IVA]])*VLOOKUP(PROVEEDORES[[#This Row],[PROVEEDOR]],TERCEROS_INFO[#All],3,FALSE)</f>
        <v>0</v>
      </c>
      <c r="N605" s="34"/>
      <c r="O605" s="33">
        <f>+PROVEEDORES[[#This Row],[Descuento sobre subtotal %]]*(PROVEEDORES[[#This Row],[SUBTOTAL]]-PROVEEDORES[[#This Row],[descuento antes de IVA]])</f>
        <v>0</v>
      </c>
      <c r="P6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5" s="33">
        <f>+(PROVEEDORES[[#This Row],[SUBTOTAL]]-PROVEEDORES[[#This Row],[descuento antes de IVA]])*PROVEEDORES[[#This Row],[Rete Fuente %]]</f>
        <v>0</v>
      </c>
      <c r="R605" s="32">
        <f>+PROVEEDORES[[#This Row],[SUBTOTAL]]+PROVEEDORES[[#This Row],[IVA 19%]]-PROVEEDORES[[#This Row],[descuento antes de IVA]]-PROVEEDORES[[#This Row],[Descuento sobre subtotal $]]-PROVEEDORES[[#This Row],[Rete Fuente $]]</f>
        <v>461000</v>
      </c>
      <c r="S605" s="16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5" s="40"/>
      <c r="U605" s="97"/>
      <c r="V605" s="36"/>
      <c r="W605" s="36"/>
      <c r="X605" s="36"/>
      <c r="Y605" s="36"/>
      <c r="Z605" s="41"/>
      <c r="AA605" s="42"/>
      <c r="AF605" s="36"/>
      <c r="AG605" s="36"/>
    </row>
    <row r="606" spans="1:33" ht="21.95" hidden="1" customHeight="1" x14ac:dyDescent="0.25">
      <c r="A606" s="175" t="str">
        <f>+IF(PROVEEDORES[[#This Row],[FECHA DE PAGO]]=PROVEEDORES[[#This Row],[FECHA DE FACTURACIÓN]],"DE CONTADO","CRÉDITO")</f>
        <v>CRÉDITO</v>
      </c>
      <c r="B606" s="70" t="str">
        <f>+IF((PROVEEDORES[[#This Row],[FECHA DE PAGO]]-PROVEEDORES[[#This Row],[FECHA DE FACTURACIÓN]])&gt;PROVEEDORES[[#This Row],[PLAZO Días]],"PAGO VENCIDO")</f>
        <v>PAGO VENCIDO</v>
      </c>
      <c r="C606" s="27">
        <f>+VLOOKUP(PROVEEDORES[[#This Row],[PROVEEDOR]],TERCEROS_INFO[#All],2,FALSE)</f>
        <v>30</v>
      </c>
      <c r="D606" s="37">
        <f>+SUMIFS(PROVEEDORES[Total],PROVEEDORES[PROVEEDOR],PROVEEDORES[[#This Row],[PROVEEDOR]],PROVEEDORES[FECHA DE PAGO],"")</f>
        <v>0</v>
      </c>
      <c r="E606" s="37"/>
      <c r="F606" s="108" t="str">
        <f>+VLOOKUP(PROVEEDORES[[#This Row],[PROVEEDOR]],TERCEROS_INFO[[PROVEEDOR]:[CORREO]],5,FALSE)</f>
        <v/>
      </c>
      <c r="G606" s="143">
        <v>44565</v>
      </c>
      <c r="H606" s="38" t="s">
        <v>299</v>
      </c>
      <c r="I606" s="30">
        <v>44531</v>
      </c>
      <c r="J606" s="58" t="s">
        <v>1343</v>
      </c>
      <c r="K606" s="32">
        <v>304800</v>
      </c>
      <c r="L606" s="32"/>
      <c r="M606" s="33">
        <f>(PROVEEDORES[[#This Row],[SUBTOTAL]]-PROVEEDORES[[#This Row],[descuento antes de IVA]])*VLOOKUP(PROVEEDORES[[#This Row],[PROVEEDOR]],TERCEROS_INFO[#All],3,FALSE)</f>
        <v>0</v>
      </c>
      <c r="N606" s="34"/>
      <c r="O606" s="33">
        <f>+PROVEEDORES[[#This Row],[Descuento sobre subtotal %]]*(PROVEEDORES[[#This Row],[SUBTOTAL]]-PROVEEDORES[[#This Row],[descuento antes de IVA]])</f>
        <v>0</v>
      </c>
      <c r="P6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6" s="33">
        <f>+(PROVEEDORES[[#This Row],[SUBTOTAL]]-PROVEEDORES[[#This Row],[descuento antes de IVA]])*PROVEEDORES[[#This Row],[Rete Fuente %]]</f>
        <v>0</v>
      </c>
      <c r="R606" s="32">
        <f>+PROVEEDORES[[#This Row],[SUBTOTAL]]+PROVEEDORES[[#This Row],[IVA 19%]]-PROVEEDORES[[#This Row],[descuento antes de IVA]]-PROVEEDORES[[#This Row],[Descuento sobre subtotal $]]-PROVEEDORES[[#This Row],[Rete Fuente $]]</f>
        <v>304800</v>
      </c>
      <c r="S606" s="17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6" s="40"/>
      <c r="U606" s="97"/>
      <c r="V606" s="36"/>
      <c r="W606" s="36"/>
      <c r="X606" s="36"/>
      <c r="Y606" s="36"/>
      <c r="Z606" s="41"/>
      <c r="AA606" s="42"/>
      <c r="AF606" s="36"/>
      <c r="AG606" s="36"/>
    </row>
    <row r="607" spans="1:33" ht="21.95" hidden="1" customHeight="1" x14ac:dyDescent="0.25">
      <c r="A607" s="39" t="str">
        <f>+IF(PROVEEDORES[[#This Row],[FECHA DE PAGO]]=PROVEEDORES[[#This Row],[FECHA DE FACTURACIÓN]],"DE CONTADO","CRÉDITO")</f>
        <v>CRÉDITO</v>
      </c>
      <c r="B607" s="67" t="b">
        <f>+IF((PROVEEDORES[[#This Row],[FECHA DE PAGO]]-PROVEEDORES[[#This Row],[FECHA DE FACTURACIÓN]])&gt;PROVEEDORES[[#This Row],[PLAZO Días]],"PAGO VENCIDO")</f>
        <v>0</v>
      </c>
      <c r="C607" s="27">
        <f>+VLOOKUP(PROVEEDORES[[#This Row],[PROVEEDOR]],TERCEROS_INFO[#All],2,FALSE)</f>
        <v>30</v>
      </c>
      <c r="D607" s="37">
        <f>+SUMIFS(PROVEEDORES[Total],PROVEEDORES[PROVEEDOR],PROVEEDORES[[#This Row],[PROVEEDOR]],PROVEEDORES[FECHA DE PAGO],"")</f>
        <v>0</v>
      </c>
      <c r="E607" s="37"/>
      <c r="F607" s="108" t="str">
        <f>+VLOOKUP(PROVEEDORES[[#This Row],[PROVEEDOR]],TERCEROS_INFO[[PROVEEDOR]:[CORREO]],5,FALSE)</f>
        <v/>
      </c>
      <c r="G607" s="143">
        <v>43890</v>
      </c>
      <c r="H607" s="38" t="s">
        <v>300</v>
      </c>
      <c r="I607" s="30">
        <v>43878</v>
      </c>
      <c r="J607" s="58" t="s">
        <v>1022</v>
      </c>
      <c r="K607" s="32">
        <v>129500</v>
      </c>
      <c r="L607" s="32"/>
      <c r="M607" s="33">
        <f>(PROVEEDORES[[#This Row],[SUBTOTAL]]-PROVEEDORES[[#This Row],[descuento antes de IVA]])*VLOOKUP(PROVEEDORES[[#This Row],[PROVEEDOR]],TERCEROS_INFO[#All],3,FALSE)</f>
        <v>0</v>
      </c>
      <c r="N607" s="34"/>
      <c r="O607" s="33">
        <f>+PROVEEDORES[[#This Row],[Descuento sobre subtotal %]]*(PROVEEDORES[[#This Row],[SUBTOTAL]]-PROVEEDORES[[#This Row],[descuento antes de IVA]])</f>
        <v>0</v>
      </c>
      <c r="P6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7" s="33">
        <f>+(PROVEEDORES[[#This Row],[SUBTOTAL]]-PROVEEDORES[[#This Row],[descuento antes de IVA]])*PROVEEDORES[[#This Row],[Rete Fuente %]]</f>
        <v>0</v>
      </c>
      <c r="R607" s="32">
        <f>+PROVEEDORES[[#This Row],[SUBTOTAL]]+PROVEEDORES[[#This Row],[IVA 19%]]-PROVEEDORES[[#This Row],[descuento antes de IVA]]-PROVEEDORES[[#This Row],[Descuento sobre subtotal $]]-PROVEEDORES[[#This Row],[Rete Fuente $]]</f>
        <v>129500</v>
      </c>
      <c r="S6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7" s="40"/>
      <c r="U607" s="97"/>
      <c r="V607" s="36"/>
      <c r="W607" s="36"/>
      <c r="X607" s="36"/>
      <c r="Y607" s="36"/>
      <c r="Z607" s="41"/>
      <c r="AA607" s="42"/>
      <c r="AF607" s="36"/>
      <c r="AG607" s="36"/>
    </row>
    <row r="608" spans="1:33" ht="21.95" hidden="1" customHeight="1" x14ac:dyDescent="0.25">
      <c r="A608" s="39" t="str">
        <f>+IF(PROVEEDORES[[#This Row],[FECHA DE PAGO]]=PROVEEDORES[[#This Row],[FECHA DE FACTURACIÓN]],"DE CONTADO","CRÉDITO")</f>
        <v>CRÉDITO</v>
      </c>
      <c r="B608" s="67" t="b">
        <f>+IF((PROVEEDORES[[#This Row],[FECHA DE PAGO]]-PROVEEDORES[[#This Row],[FECHA DE FACTURACIÓN]])&gt;PROVEEDORES[[#This Row],[PLAZO Días]],"PAGO VENCIDO")</f>
        <v>0</v>
      </c>
      <c r="C608" s="27">
        <f>+VLOOKUP(PROVEEDORES[[#This Row],[PROVEEDOR]],TERCEROS_INFO[#All],2,FALSE)</f>
        <v>30</v>
      </c>
      <c r="D608" s="37">
        <f>+SUMIFS(PROVEEDORES[Total],PROVEEDORES[PROVEEDOR],PROVEEDORES[[#This Row],[PROVEEDOR]],PROVEEDORES[FECHA DE PAGO],"")</f>
        <v>0</v>
      </c>
      <c r="E608" s="37"/>
      <c r="F608" s="108" t="str">
        <f>+VLOOKUP(PROVEEDORES[[#This Row],[PROVEEDOR]],TERCEROS_INFO[[PROVEEDOR]:[CORREO]],5,FALSE)</f>
        <v/>
      </c>
      <c r="G608" s="143">
        <v>43857</v>
      </c>
      <c r="H608" s="38" t="s">
        <v>301</v>
      </c>
      <c r="I608" s="30">
        <v>43852</v>
      </c>
      <c r="J608" s="58" t="s">
        <v>1022</v>
      </c>
      <c r="K608" s="32">
        <v>50000</v>
      </c>
      <c r="L608" s="32"/>
      <c r="M608" s="33">
        <f>(PROVEEDORES[[#This Row],[SUBTOTAL]]-PROVEEDORES[[#This Row],[descuento antes de IVA]])*VLOOKUP(PROVEEDORES[[#This Row],[PROVEEDOR]],TERCEROS_INFO[#All],3,FALSE)</f>
        <v>0</v>
      </c>
      <c r="N608" s="34"/>
      <c r="O608" s="33">
        <f>+PROVEEDORES[[#This Row],[Descuento sobre subtotal %]]*(PROVEEDORES[[#This Row],[SUBTOTAL]]-PROVEEDORES[[#This Row],[descuento antes de IVA]])</f>
        <v>0</v>
      </c>
      <c r="P6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8" s="33">
        <f>+(PROVEEDORES[[#This Row],[SUBTOTAL]]-PROVEEDORES[[#This Row],[descuento antes de IVA]])*PROVEEDORES[[#This Row],[Rete Fuente %]]</f>
        <v>0</v>
      </c>
      <c r="R608" s="32">
        <f>+PROVEEDORES[[#This Row],[SUBTOTAL]]+PROVEEDORES[[#This Row],[IVA 19%]]-PROVEEDORES[[#This Row],[descuento antes de IVA]]-PROVEEDORES[[#This Row],[Descuento sobre subtotal $]]-PROVEEDORES[[#This Row],[Rete Fuente $]]</f>
        <v>50000</v>
      </c>
      <c r="S6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8" s="40"/>
      <c r="U608" s="97"/>
      <c r="V608" s="36"/>
      <c r="W608" s="36"/>
      <c r="X608" s="36"/>
      <c r="Y608" s="36"/>
      <c r="Z608" s="41"/>
      <c r="AA608" s="42"/>
      <c r="AF608" s="36"/>
      <c r="AG608" s="36"/>
    </row>
    <row r="609" spans="1:33" ht="21.95" hidden="1" customHeight="1" x14ac:dyDescent="0.25">
      <c r="A609" s="39" t="str">
        <f>+IF(PROVEEDORES[[#This Row],[FECHA DE PAGO]]=PROVEEDORES[[#This Row],[FECHA DE FACTURACIÓN]],"DE CONTADO","CRÉDITO")</f>
        <v>CRÉDITO</v>
      </c>
      <c r="B609" s="67" t="str">
        <f>+IF((PROVEEDORES[[#This Row],[FECHA DE PAGO]]-PROVEEDORES[[#This Row],[FECHA DE FACTURACIÓN]])&gt;PROVEEDORES[[#This Row],[PLAZO Días]],"PAGO VENCIDO")</f>
        <v>PAGO VENCIDO</v>
      </c>
      <c r="C609" s="27">
        <f>+VLOOKUP(PROVEEDORES[[#This Row],[PROVEEDOR]],TERCEROS_INFO[#All],2,FALSE)</f>
        <v>30</v>
      </c>
      <c r="D609" s="37">
        <f>+SUMIFS(PROVEEDORES[Total],PROVEEDORES[PROVEEDOR],PROVEEDORES[[#This Row],[PROVEEDOR]],PROVEEDORES[FECHA DE PAGO],"")</f>
        <v>0</v>
      </c>
      <c r="E609" s="37"/>
      <c r="F609" s="108" t="str">
        <f>+VLOOKUP(PROVEEDORES[[#This Row],[PROVEEDOR]],TERCEROS_INFO[[PROVEEDOR]:[CORREO]],5,FALSE)</f>
        <v/>
      </c>
      <c r="G609" s="143">
        <v>44180</v>
      </c>
      <c r="H609" s="38" t="s">
        <v>301</v>
      </c>
      <c r="I609" s="30">
        <v>44130</v>
      </c>
      <c r="J609" s="58"/>
      <c r="K609" s="32">
        <v>120000</v>
      </c>
      <c r="L609" s="32"/>
      <c r="M609" s="33">
        <f>(PROVEEDORES[[#This Row],[SUBTOTAL]]-PROVEEDORES[[#This Row],[descuento antes de IVA]])*VLOOKUP(PROVEEDORES[[#This Row],[PROVEEDOR]],TERCEROS_INFO[#All],3,FALSE)</f>
        <v>0</v>
      </c>
      <c r="N609" s="34"/>
      <c r="O609" s="33">
        <f>+PROVEEDORES[[#This Row],[Descuento sobre subtotal %]]*(PROVEEDORES[[#This Row],[SUBTOTAL]]-PROVEEDORES[[#This Row],[descuento antes de IVA]])</f>
        <v>0</v>
      </c>
      <c r="P6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09" s="33">
        <f>+(PROVEEDORES[[#This Row],[SUBTOTAL]]-PROVEEDORES[[#This Row],[descuento antes de IVA]])*PROVEEDORES[[#This Row],[Rete Fuente %]]</f>
        <v>0</v>
      </c>
      <c r="R609" s="32">
        <f>+PROVEEDORES[[#This Row],[SUBTOTAL]]+PROVEEDORES[[#This Row],[IVA 19%]]-PROVEEDORES[[#This Row],[descuento antes de IVA]]-PROVEEDORES[[#This Row],[Descuento sobre subtotal $]]-PROVEEDORES[[#This Row],[Rete Fuente $]]</f>
        <v>120000</v>
      </c>
      <c r="S6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9" s="40"/>
      <c r="U609" s="97"/>
      <c r="V609" s="36"/>
      <c r="W609" s="36"/>
      <c r="X609" s="36"/>
      <c r="Y609" s="36"/>
      <c r="Z609" s="41"/>
      <c r="AA609" s="42"/>
      <c r="AF609" s="36"/>
      <c r="AG609" s="36"/>
    </row>
    <row r="610" spans="1:33" ht="21.95" hidden="1" customHeight="1" x14ac:dyDescent="0.25">
      <c r="A610" s="35" t="str">
        <f>+IF(PROVEEDORES[[#This Row],[FECHA DE PAGO]]=PROVEEDORES[[#This Row],[FECHA DE FACTURACIÓN]],"DE CONTADO","CRÉDITO")</f>
        <v>DE CONTADO</v>
      </c>
      <c r="B610" s="70" t="b">
        <f>+IF((PROVEEDORES[[#This Row],[FECHA DE PAGO]]-PROVEEDORES[[#This Row],[FECHA DE FACTURACIÓN]])&gt;PROVEEDORES[[#This Row],[PLAZO Días]],"PAGO VENCIDO")</f>
        <v>0</v>
      </c>
      <c r="C610" s="27">
        <f>+VLOOKUP(PROVEEDORES[[#This Row],[PROVEEDOR]],TERCEROS_INFO[#All],2,FALSE)</f>
        <v>30</v>
      </c>
      <c r="D610" s="37">
        <f>+SUMIFS(PROVEEDORES[Total],PROVEEDORES[PROVEEDOR],PROVEEDORES[[#This Row],[PROVEEDOR]],PROVEEDORES[FECHA DE PAGO],"")</f>
        <v>0</v>
      </c>
      <c r="E610" s="37"/>
      <c r="F610" s="108" t="str">
        <f>+VLOOKUP(PROVEEDORES[[#This Row],[PROVEEDOR]],TERCEROS_INFO[[PROVEEDOR]:[CORREO]],5,FALSE)</f>
        <v/>
      </c>
      <c r="G610" s="143">
        <v>44336</v>
      </c>
      <c r="H610" s="38" t="s">
        <v>690</v>
      </c>
      <c r="I610" s="30">
        <v>44336</v>
      </c>
      <c r="J610" s="58" t="s">
        <v>1136</v>
      </c>
      <c r="K610" s="32">
        <v>91000</v>
      </c>
      <c r="L610" s="32"/>
      <c r="M610" s="33">
        <f>(PROVEEDORES[[#This Row],[SUBTOTAL]]-PROVEEDORES[[#This Row],[descuento antes de IVA]])*VLOOKUP(PROVEEDORES[[#This Row],[PROVEEDOR]],TERCEROS_INFO[#All],3,FALSE)</f>
        <v>0</v>
      </c>
      <c r="N610" s="34"/>
      <c r="O610" s="33">
        <f>+PROVEEDORES[[#This Row],[Descuento sobre subtotal %]]*(PROVEEDORES[[#This Row],[SUBTOTAL]]-PROVEEDORES[[#This Row],[descuento antes de IVA]])</f>
        <v>0</v>
      </c>
      <c r="P6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0" s="33">
        <f>+(PROVEEDORES[[#This Row],[SUBTOTAL]]-PROVEEDORES[[#This Row],[descuento antes de IVA]])*PROVEEDORES[[#This Row],[Rete Fuente %]]</f>
        <v>0</v>
      </c>
      <c r="R610" s="32">
        <f>+PROVEEDORES[[#This Row],[SUBTOTAL]]+PROVEEDORES[[#This Row],[IVA 19%]]-PROVEEDORES[[#This Row],[descuento antes de IVA]]-PROVEEDORES[[#This Row],[Descuento sobre subtotal $]]-PROVEEDORES[[#This Row],[Rete Fuente $]]</f>
        <v>91000</v>
      </c>
      <c r="S61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0" s="40"/>
      <c r="U610" s="97"/>
      <c r="V610" s="36"/>
      <c r="W610" s="36"/>
      <c r="X610" s="36"/>
      <c r="Y610" s="36"/>
      <c r="Z610" s="41"/>
      <c r="AA610" s="42"/>
      <c r="AF610" s="36"/>
      <c r="AG610" s="36"/>
    </row>
    <row r="611" spans="1:33" ht="21.95" hidden="1" customHeight="1" x14ac:dyDescent="0.25">
      <c r="A611" s="141" t="str">
        <f>+IF(PROVEEDORES[[#This Row],[FECHA DE PAGO]]=PROVEEDORES[[#This Row],[FECHA DE FACTURACIÓN]],"DE CONTADO","CRÉDITO")</f>
        <v>CRÉDITO</v>
      </c>
      <c r="B611" s="70" t="b">
        <f>+IF((PROVEEDORES[[#This Row],[FECHA DE PAGO]]-PROVEEDORES[[#This Row],[FECHA DE FACTURACIÓN]])&gt;PROVEEDORES[[#This Row],[PLAZO Días]],"PAGO VENCIDO")</f>
        <v>0</v>
      </c>
      <c r="C611" s="27">
        <f>+VLOOKUP(PROVEEDORES[[#This Row],[PROVEEDOR]],TERCEROS_INFO[#All],2,FALSE)</f>
        <v>30</v>
      </c>
      <c r="D611" s="37">
        <f>+SUMIFS(PROVEEDORES[Total],PROVEEDORES[PROVEEDOR],PROVEEDORES[[#This Row],[PROVEEDOR]],PROVEEDORES[FECHA DE PAGO],"")</f>
        <v>0</v>
      </c>
      <c r="E611" s="37"/>
      <c r="F611" s="108" t="str">
        <f>+VLOOKUP(PROVEEDORES[[#This Row],[PROVEEDOR]],TERCEROS_INFO[[PROVEEDOR]:[CORREO]],5,FALSE)</f>
        <v>??;girlesa.ruiz@servipilas.com;joriescobar64@gmail.com</v>
      </c>
      <c r="G611" s="143">
        <v>44428</v>
      </c>
      <c r="H611" s="57" t="s">
        <v>792</v>
      </c>
      <c r="I611" s="30">
        <v>44411</v>
      </c>
      <c r="J611" s="58" t="s">
        <v>1203</v>
      </c>
      <c r="K611" s="32">
        <v>3850000</v>
      </c>
      <c r="L611" s="32"/>
      <c r="M611" s="33">
        <f>(PROVEEDORES[[#This Row],[SUBTOTAL]]-PROVEEDORES[[#This Row],[descuento antes de IVA]])*VLOOKUP(PROVEEDORES[[#This Row],[PROVEEDOR]],TERCEROS_INFO[#All],3,FALSE)</f>
        <v>0</v>
      </c>
      <c r="N611" s="34"/>
      <c r="O611" s="33">
        <f>+PROVEEDORES[[#This Row],[Descuento sobre subtotal %]]*(PROVEEDORES[[#This Row],[SUBTOTAL]]-PROVEEDORES[[#This Row],[descuento antes de IVA]])</f>
        <v>0</v>
      </c>
      <c r="P6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1" s="33">
        <f>+(PROVEEDORES[[#This Row],[SUBTOTAL]]-PROVEEDORES[[#This Row],[descuento antes de IVA]])*PROVEEDORES[[#This Row],[Rete Fuente %]]</f>
        <v>0</v>
      </c>
      <c r="R611" s="32">
        <f>+PROVEEDORES[[#This Row],[SUBTOTAL]]+PROVEEDORES[[#This Row],[IVA 19%]]-PROVEEDORES[[#This Row],[descuento antes de IVA]]-PROVEEDORES[[#This Row],[Descuento sobre subtotal $]]-PROVEEDORES[[#This Row],[Rete Fuente $]]</f>
        <v>3850000</v>
      </c>
      <c r="S611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1" s="40"/>
      <c r="U611" s="97"/>
      <c r="V611" s="36"/>
      <c r="W611" s="36"/>
      <c r="X611" s="36"/>
      <c r="Y611" s="36"/>
      <c r="Z611" s="41"/>
      <c r="AA611" s="42"/>
      <c r="AF611" s="36"/>
      <c r="AG611" s="36"/>
    </row>
    <row r="612" spans="1:33" ht="21.95" hidden="1" customHeight="1" x14ac:dyDescent="0.25">
      <c r="A612" s="142" t="str">
        <f>+IF(PROVEEDORES[[#This Row],[FECHA DE PAGO]]=PROVEEDORES[[#This Row],[FECHA DE FACTURACIÓN]],"DE CONTADO","CRÉDITO")</f>
        <v>CRÉDITO</v>
      </c>
      <c r="B612" s="70" t="str">
        <f>+IF((PROVEEDORES[[#This Row],[FECHA DE PAGO]]-PROVEEDORES[[#This Row],[FECHA DE FACTURACIÓN]])&gt;PROVEEDORES[[#This Row],[PLAZO Días]],"PAGO VENCIDO")</f>
        <v>PAGO VENCIDO</v>
      </c>
      <c r="C612" s="27">
        <f>+VLOOKUP(PROVEEDORES[[#This Row],[PROVEEDOR]],TERCEROS_INFO[#All],2,FALSE)</f>
        <v>30</v>
      </c>
      <c r="D612" s="37">
        <f>+SUMIFS(PROVEEDORES[Total],PROVEEDORES[PROVEEDOR],PROVEEDORES[[#This Row],[PROVEEDOR]],PROVEEDORES[FECHA DE PAGO],"")</f>
        <v>0</v>
      </c>
      <c r="E612" s="37"/>
      <c r="F612" s="108" t="str">
        <f>+VLOOKUP(PROVEEDORES[[#This Row],[PROVEEDOR]],TERCEROS_INFO[[PROVEEDOR]:[CORREO]],5,FALSE)</f>
        <v>??;girlesa.ruiz@servipilas.com;joriescobar64@gmail.com</v>
      </c>
      <c r="G612" s="143">
        <v>44484</v>
      </c>
      <c r="H612" s="57" t="s">
        <v>792</v>
      </c>
      <c r="I612" s="30">
        <v>44416</v>
      </c>
      <c r="J612" s="58" t="s">
        <v>1208</v>
      </c>
      <c r="K612" s="32">
        <v>420000</v>
      </c>
      <c r="L612" s="32"/>
      <c r="M612" s="33">
        <f>(PROVEEDORES[[#This Row],[SUBTOTAL]]-PROVEEDORES[[#This Row],[descuento antes de IVA]])*VLOOKUP(PROVEEDORES[[#This Row],[PROVEEDOR]],TERCEROS_INFO[#All],3,FALSE)</f>
        <v>0</v>
      </c>
      <c r="N612" s="34"/>
      <c r="O612" s="33">
        <f>+PROVEEDORES[[#This Row],[Descuento sobre subtotal %]]*(PROVEEDORES[[#This Row],[SUBTOTAL]]-PROVEEDORES[[#This Row],[descuento antes de IVA]])</f>
        <v>0</v>
      </c>
      <c r="P6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2" s="33">
        <f>+(PROVEEDORES[[#This Row],[SUBTOTAL]]-PROVEEDORES[[#This Row],[descuento antes de IVA]])*PROVEEDORES[[#This Row],[Rete Fuente %]]</f>
        <v>0</v>
      </c>
      <c r="R612" s="32">
        <f>+PROVEEDORES[[#This Row],[SUBTOTAL]]+PROVEEDORES[[#This Row],[IVA 19%]]-PROVEEDORES[[#This Row],[descuento antes de IVA]]-PROVEEDORES[[#This Row],[Descuento sobre subtotal $]]-PROVEEDORES[[#This Row],[Rete Fuente $]]</f>
        <v>420000</v>
      </c>
      <c r="S612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2" s="40"/>
      <c r="U612" s="97"/>
      <c r="V612" s="36"/>
      <c r="W612" s="36"/>
      <c r="X612" s="36"/>
      <c r="Y612" s="36"/>
      <c r="Z612" s="41"/>
      <c r="AA612" s="42"/>
      <c r="AF612" s="36"/>
      <c r="AG612" s="36"/>
    </row>
    <row r="613" spans="1:33" ht="21.95" hidden="1" customHeight="1" x14ac:dyDescent="0.25">
      <c r="A613" s="142" t="str">
        <f>+IF(PROVEEDORES[[#This Row],[FECHA DE PAGO]]=PROVEEDORES[[#This Row],[FECHA DE FACTURACIÓN]],"DE CONTADO","CRÉDITO")</f>
        <v>CRÉDITO</v>
      </c>
      <c r="B613" s="70" t="str">
        <f>+IF((PROVEEDORES[[#This Row],[FECHA DE PAGO]]-PROVEEDORES[[#This Row],[FECHA DE FACTURACIÓN]])&gt;PROVEEDORES[[#This Row],[PLAZO Días]],"PAGO VENCIDO")</f>
        <v>PAGO VENCIDO</v>
      </c>
      <c r="C613" s="27">
        <f>+VLOOKUP(PROVEEDORES[[#This Row],[PROVEEDOR]],TERCEROS_INFO[#All],2,FALSE)</f>
        <v>30</v>
      </c>
      <c r="D613" s="37">
        <f>+SUMIFS(PROVEEDORES[Total],PROVEEDORES[PROVEEDOR],PROVEEDORES[[#This Row],[PROVEEDOR]],PROVEEDORES[FECHA DE PAGO],"")</f>
        <v>0</v>
      </c>
      <c r="E613" s="37"/>
      <c r="F613" s="108" t="str">
        <f>+VLOOKUP(PROVEEDORES[[#This Row],[PROVEEDOR]],TERCEROS_INFO[[PROVEEDOR]:[CORREO]],5,FALSE)</f>
        <v>??;girlesa.ruiz@servipilas.com;joriescobar64@gmail.com</v>
      </c>
      <c r="G613" s="143">
        <v>44484</v>
      </c>
      <c r="H613" s="57" t="s">
        <v>792</v>
      </c>
      <c r="I613" s="30">
        <v>44428</v>
      </c>
      <c r="J613" s="58" t="s">
        <v>1220</v>
      </c>
      <c r="K613" s="32">
        <v>4000</v>
      </c>
      <c r="L613" s="32"/>
      <c r="M613" s="33">
        <f>(PROVEEDORES[[#This Row],[SUBTOTAL]]-PROVEEDORES[[#This Row],[descuento antes de IVA]])*VLOOKUP(PROVEEDORES[[#This Row],[PROVEEDOR]],TERCEROS_INFO[#All],3,FALSE)</f>
        <v>0</v>
      </c>
      <c r="N613" s="34"/>
      <c r="O613" s="33">
        <f>+PROVEEDORES[[#This Row],[Descuento sobre subtotal %]]*(PROVEEDORES[[#This Row],[SUBTOTAL]]-PROVEEDORES[[#This Row],[descuento antes de IVA]])</f>
        <v>0</v>
      </c>
      <c r="P6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3" s="33">
        <f>+(PROVEEDORES[[#This Row],[SUBTOTAL]]-PROVEEDORES[[#This Row],[descuento antes de IVA]])*PROVEEDORES[[#This Row],[Rete Fuente %]]</f>
        <v>0</v>
      </c>
      <c r="R613" s="32">
        <f>+PROVEEDORES[[#This Row],[SUBTOTAL]]+PROVEEDORES[[#This Row],[IVA 19%]]-PROVEEDORES[[#This Row],[descuento antes de IVA]]-PROVEEDORES[[#This Row],[Descuento sobre subtotal $]]-PROVEEDORES[[#This Row],[Rete Fuente $]]</f>
        <v>4000</v>
      </c>
      <c r="S613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3" s="40"/>
      <c r="U613" s="97"/>
      <c r="V613" s="36"/>
      <c r="W613" s="36"/>
      <c r="X613" s="36"/>
      <c r="Y613" s="36"/>
      <c r="Z613" s="41"/>
      <c r="AA613" s="42"/>
      <c r="AF613" s="36"/>
      <c r="AG613" s="36"/>
    </row>
    <row r="614" spans="1:33" ht="21.95" hidden="1" customHeight="1" x14ac:dyDescent="0.25">
      <c r="A614" s="39" t="str">
        <f>+IF(PROVEEDORES[[#This Row],[FECHA DE PAGO]]=PROVEEDORES[[#This Row],[FECHA DE FACTURACIÓN]],"DE CONTADO","CRÉDITO")</f>
        <v>DE CONTADO</v>
      </c>
      <c r="B614" s="67" t="b">
        <f>+IF((PROVEEDORES[[#This Row],[FECHA DE PAGO]]-PROVEEDORES[[#This Row],[FECHA DE FACTURACIÓN]])&gt;PROVEEDORES[[#This Row],[PLAZO Días]],"PAGO VENCIDO")</f>
        <v>0</v>
      </c>
      <c r="C614" s="27">
        <f>+VLOOKUP(PROVEEDORES[[#This Row],[PROVEEDOR]],TERCEROS_INFO[#All],2,FALSE)</f>
        <v>30</v>
      </c>
      <c r="D614" s="37">
        <f>+SUMIFS(PROVEEDORES[Total],PROVEEDORES[PROVEEDOR],PROVEEDORES[[#This Row],[PROVEEDOR]],PROVEEDORES[FECHA DE PAGO],"")</f>
        <v>0</v>
      </c>
      <c r="E614" s="37"/>
      <c r="F614" s="108" t="str">
        <f>+VLOOKUP(PROVEEDORES[[#This Row],[PROVEEDOR]],TERCEROS_INFO[[PROVEEDOR]:[CORREO]],5,FALSE)</f>
        <v>yermingg@hotmail.com;girlesa.ruiz@servipilas.com;joriescobar64@gmail.com</v>
      </c>
      <c r="G614" s="143">
        <v>44110</v>
      </c>
      <c r="H614" s="53" t="s">
        <v>497</v>
      </c>
      <c r="I614" s="30">
        <v>44110</v>
      </c>
      <c r="J614" s="58">
        <v>318674</v>
      </c>
      <c r="K614" s="32">
        <v>240000</v>
      </c>
      <c r="L614" s="32"/>
      <c r="M614" s="33">
        <f>(PROVEEDORES[[#This Row],[SUBTOTAL]]-PROVEEDORES[[#This Row],[descuento antes de IVA]])*VLOOKUP(PROVEEDORES[[#This Row],[PROVEEDOR]],TERCEROS_INFO[#All],3,FALSE)</f>
        <v>0</v>
      </c>
      <c r="N614" s="34"/>
      <c r="O614" s="33">
        <f>+PROVEEDORES[[#This Row],[Descuento sobre subtotal %]]*(PROVEEDORES[[#This Row],[SUBTOTAL]]-PROVEEDORES[[#This Row],[descuento antes de IVA]])</f>
        <v>0</v>
      </c>
      <c r="P6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4" s="33">
        <f>+(PROVEEDORES[[#This Row],[SUBTOTAL]]-PROVEEDORES[[#This Row],[descuento antes de IVA]])*PROVEEDORES[[#This Row],[Rete Fuente %]]</f>
        <v>0</v>
      </c>
      <c r="R614" s="32">
        <f>+PROVEEDORES[[#This Row],[SUBTOTAL]]+PROVEEDORES[[#This Row],[IVA 19%]]-PROVEEDORES[[#This Row],[descuento antes de IVA]]-PROVEEDORES[[#This Row],[Descuento sobre subtotal $]]-PROVEEDORES[[#This Row],[Rete Fuente $]]</f>
        <v>240000</v>
      </c>
      <c r="S6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4" s="40"/>
      <c r="U614" s="97"/>
      <c r="V614" s="36"/>
      <c r="W614" s="36"/>
      <c r="X614" s="36"/>
      <c r="Y614" s="36"/>
      <c r="Z614" s="41"/>
      <c r="AA614" s="42"/>
      <c r="AF614" s="36"/>
      <c r="AG614" s="36"/>
    </row>
    <row r="615" spans="1:33" ht="21.95" hidden="1" customHeight="1" x14ac:dyDescent="0.25">
      <c r="A615" s="39" t="str">
        <f>+IF(PROVEEDORES[[#This Row],[FECHA DE PAGO]]=PROVEEDORES[[#This Row],[FECHA DE FACTURACIÓN]],"DE CONTADO","CRÉDITO")</f>
        <v>CRÉDITO</v>
      </c>
      <c r="B615" s="67" t="str">
        <f>+IF((PROVEEDORES[[#This Row],[FECHA DE PAGO]]-PROVEEDORES[[#This Row],[FECHA DE FACTURACIÓN]])&gt;PROVEEDORES[[#This Row],[PLAZO Días]],"PAGO VENCIDO")</f>
        <v>PAGO VENCIDO</v>
      </c>
      <c r="C615" s="27">
        <f>+VLOOKUP(PROVEEDORES[[#This Row],[PROVEEDOR]],TERCEROS_INFO[#All],2,FALSE)</f>
        <v>30</v>
      </c>
      <c r="D615" s="37">
        <f>+SUMIFS(PROVEEDORES[Total],PROVEEDORES[PROVEEDOR],PROVEEDORES[[#This Row],[PROVEEDOR]],PROVEEDORES[FECHA DE PAGO],"")</f>
        <v>998250</v>
      </c>
      <c r="E615" s="37"/>
      <c r="F615" s="108" t="str">
        <f>+VLOOKUP(PROVEEDORES[[#This Row],[PROVEEDOR]],TERCEROS_INFO[[PROVEEDOR]:[CORREO]],5,FALSE)</f>
        <v>yermingg@hotmail.com;girlesa.ruiz@servipilas.com;joriescobar64@gmail.com</v>
      </c>
      <c r="G615" s="143">
        <v>44006</v>
      </c>
      <c r="H615" s="38" t="s">
        <v>302</v>
      </c>
      <c r="I615" s="30">
        <v>43864</v>
      </c>
      <c r="J615" s="58" t="s">
        <v>1038</v>
      </c>
      <c r="K615" s="32">
        <v>805000</v>
      </c>
      <c r="L615" s="32"/>
      <c r="M615" s="33">
        <f>(PROVEEDORES[[#This Row],[SUBTOTAL]]-PROVEEDORES[[#This Row],[descuento antes de IVA]])*VLOOKUP(PROVEEDORES[[#This Row],[PROVEEDOR]],TERCEROS_INFO[#All],3,FALSE)</f>
        <v>0</v>
      </c>
      <c r="N615" s="34"/>
      <c r="O615" s="33">
        <f>+PROVEEDORES[[#This Row],[Descuento sobre subtotal %]]*(PROVEEDORES[[#This Row],[SUBTOTAL]]-PROVEEDORES[[#This Row],[descuento antes de IVA]])</f>
        <v>0</v>
      </c>
      <c r="P6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5" s="33">
        <f>+(PROVEEDORES[[#This Row],[SUBTOTAL]]-PROVEEDORES[[#This Row],[descuento antes de IVA]])*PROVEEDORES[[#This Row],[Rete Fuente %]]</f>
        <v>0</v>
      </c>
      <c r="R615" s="32">
        <f>+PROVEEDORES[[#This Row],[SUBTOTAL]]+PROVEEDORES[[#This Row],[IVA 19%]]-PROVEEDORES[[#This Row],[descuento antes de IVA]]-PROVEEDORES[[#This Row],[Descuento sobre subtotal $]]-PROVEEDORES[[#This Row],[Rete Fuente $]]</f>
        <v>805000</v>
      </c>
      <c r="S6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5" s="40"/>
      <c r="U615" s="97"/>
      <c r="V615" s="36"/>
      <c r="W615" s="36"/>
      <c r="X615" s="36"/>
      <c r="Y615" s="36"/>
      <c r="Z615" s="41"/>
      <c r="AA615" s="42"/>
      <c r="AF615" s="36"/>
      <c r="AG615" s="36"/>
    </row>
    <row r="616" spans="1:33" ht="21.95" hidden="1" customHeight="1" x14ac:dyDescent="0.25">
      <c r="A616" s="39" t="str">
        <f>+IF(PROVEEDORES[[#This Row],[FECHA DE PAGO]]=PROVEEDORES[[#This Row],[FECHA DE FACTURACIÓN]],"DE CONTADO","CRÉDITO")</f>
        <v>CRÉDITO</v>
      </c>
      <c r="B616" s="67" t="b">
        <f>+IF((PROVEEDORES[[#This Row],[FECHA DE PAGO]]-PROVEEDORES[[#This Row],[FECHA DE FACTURACIÓN]])&gt;PROVEEDORES[[#This Row],[PLAZO Días]],"PAGO VENCIDO")</f>
        <v>0</v>
      </c>
      <c r="C616" s="27">
        <f>+VLOOKUP(PROVEEDORES[[#This Row],[PROVEEDOR]],TERCEROS_INFO[#All],2,FALSE)</f>
        <v>30</v>
      </c>
      <c r="D616" s="37">
        <f>+SUMIFS(PROVEEDORES[Total],PROVEEDORES[PROVEEDOR],PROVEEDORES[[#This Row],[PROVEEDOR]],PROVEEDORES[FECHA DE PAGO],"")</f>
        <v>998250</v>
      </c>
      <c r="E616" s="37"/>
      <c r="F616" s="108" t="str">
        <f>+VLOOKUP(PROVEEDORES[[#This Row],[PROVEEDOR]],TERCEROS_INFO[[PROVEEDOR]:[CORREO]],5,FALSE)</f>
        <v>yermingg@hotmail.com;girlesa.ruiz@servipilas.com;joriescobar64@gmail.com</v>
      </c>
      <c r="G616" s="143">
        <v>43870</v>
      </c>
      <c r="H616" s="38" t="s">
        <v>302</v>
      </c>
      <c r="I616" s="30">
        <v>43875</v>
      </c>
      <c r="J616" s="58" t="s">
        <v>1048</v>
      </c>
      <c r="K616" s="32">
        <v>300000</v>
      </c>
      <c r="L616" s="32"/>
      <c r="M616" s="33">
        <f>(PROVEEDORES[[#This Row],[SUBTOTAL]]-PROVEEDORES[[#This Row],[descuento antes de IVA]])*VLOOKUP(PROVEEDORES[[#This Row],[PROVEEDOR]],TERCEROS_INFO[#All],3,FALSE)</f>
        <v>0</v>
      </c>
      <c r="N616" s="34"/>
      <c r="O616" s="33">
        <f>+PROVEEDORES[[#This Row],[Descuento sobre subtotal %]]*(PROVEEDORES[[#This Row],[SUBTOTAL]]-PROVEEDORES[[#This Row],[descuento antes de IVA]])</f>
        <v>0</v>
      </c>
      <c r="P6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6" s="33">
        <f>+(PROVEEDORES[[#This Row],[SUBTOTAL]]-PROVEEDORES[[#This Row],[descuento antes de IVA]])*PROVEEDORES[[#This Row],[Rete Fuente %]]</f>
        <v>0</v>
      </c>
      <c r="R616" s="32">
        <f>+PROVEEDORES[[#This Row],[SUBTOTAL]]+PROVEEDORES[[#This Row],[IVA 19%]]-PROVEEDORES[[#This Row],[descuento antes de IVA]]-PROVEEDORES[[#This Row],[Descuento sobre subtotal $]]-PROVEEDORES[[#This Row],[Rete Fuente $]]</f>
        <v>300000</v>
      </c>
      <c r="S6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6" s="40"/>
      <c r="U616" s="97"/>
      <c r="V616" s="36"/>
      <c r="W616" s="36"/>
      <c r="X616" s="36"/>
      <c r="Y616" s="36"/>
      <c r="Z616" s="41"/>
      <c r="AA616" s="42"/>
      <c r="AF616" s="36"/>
      <c r="AG616" s="36"/>
    </row>
    <row r="617" spans="1:33" ht="21.95" hidden="1" customHeight="1" x14ac:dyDescent="0.25">
      <c r="A617" s="39" t="str">
        <f>+IF(PROVEEDORES[[#This Row],[FECHA DE PAGO]]=PROVEEDORES[[#This Row],[FECHA DE FACTURACIÓN]],"DE CONTADO","CRÉDITO")</f>
        <v>CRÉDITO</v>
      </c>
      <c r="B617" s="67" t="b">
        <f>+IF((PROVEEDORES[[#This Row],[FECHA DE PAGO]]-PROVEEDORES[[#This Row],[FECHA DE FACTURACIÓN]])&gt;PROVEEDORES[[#This Row],[PLAZO Días]],"PAGO VENCIDO")</f>
        <v>0</v>
      </c>
      <c r="C617" s="27">
        <f>+VLOOKUP(PROVEEDORES[[#This Row],[PROVEEDOR]],TERCEROS_INFO[#All],2,FALSE)</f>
        <v>30</v>
      </c>
      <c r="D617" s="37">
        <f>+SUMIFS(PROVEEDORES[Total],PROVEEDORES[PROVEEDOR],PROVEEDORES[[#This Row],[PROVEEDOR]],PROVEEDORES[FECHA DE PAGO],"")</f>
        <v>998250</v>
      </c>
      <c r="E617" s="37"/>
      <c r="F617" s="108" t="str">
        <f>+VLOOKUP(PROVEEDORES[[#This Row],[PROVEEDOR]],TERCEROS_INFO[[PROVEEDOR]:[CORREO]],5,FALSE)</f>
        <v>yermingg@hotmail.com;girlesa.ruiz@servipilas.com;joriescobar64@gmail.com</v>
      </c>
      <c r="G617" s="143">
        <v>43901</v>
      </c>
      <c r="H617" s="38" t="s">
        <v>302</v>
      </c>
      <c r="I617" s="30">
        <v>43887</v>
      </c>
      <c r="J617" s="58" t="s">
        <v>1055</v>
      </c>
      <c r="K617" s="32">
        <v>108000</v>
      </c>
      <c r="L617" s="32"/>
      <c r="M617" s="33">
        <f>(PROVEEDORES[[#This Row],[SUBTOTAL]]-PROVEEDORES[[#This Row],[descuento antes de IVA]])*VLOOKUP(PROVEEDORES[[#This Row],[PROVEEDOR]],TERCEROS_INFO[#All],3,FALSE)</f>
        <v>0</v>
      </c>
      <c r="N617" s="34"/>
      <c r="O617" s="33">
        <f>+PROVEEDORES[[#This Row],[Descuento sobre subtotal %]]*(PROVEEDORES[[#This Row],[SUBTOTAL]]-PROVEEDORES[[#This Row],[descuento antes de IVA]])</f>
        <v>0</v>
      </c>
      <c r="P6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7" s="33">
        <f>+(PROVEEDORES[[#This Row],[SUBTOTAL]]-PROVEEDORES[[#This Row],[descuento antes de IVA]])*PROVEEDORES[[#This Row],[Rete Fuente %]]</f>
        <v>0</v>
      </c>
      <c r="R617" s="32">
        <f>+PROVEEDORES[[#This Row],[SUBTOTAL]]+PROVEEDORES[[#This Row],[IVA 19%]]-PROVEEDORES[[#This Row],[descuento antes de IVA]]-PROVEEDORES[[#This Row],[Descuento sobre subtotal $]]-PROVEEDORES[[#This Row],[Rete Fuente $]]</f>
        <v>108000</v>
      </c>
      <c r="S61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7" s="40"/>
      <c r="U617" s="97"/>
      <c r="V617" s="36"/>
      <c r="W617" s="36"/>
      <c r="X617" s="36"/>
      <c r="Y617" s="36"/>
      <c r="Z617" s="41"/>
      <c r="AA617" s="42"/>
      <c r="AF617" s="36"/>
      <c r="AG617" s="36"/>
    </row>
    <row r="618" spans="1:33" ht="21.95" hidden="1" customHeight="1" x14ac:dyDescent="0.25">
      <c r="A618" s="39" t="str">
        <f>+IF(PROVEEDORES[[#This Row],[FECHA DE PAGO]]=PROVEEDORES[[#This Row],[FECHA DE FACTURACIÓN]],"DE CONTADO","CRÉDITO")</f>
        <v>DE CONTADO</v>
      </c>
      <c r="B618" s="67" t="b">
        <f>+IF((PROVEEDORES[[#This Row],[FECHA DE PAGO]]-PROVEEDORES[[#This Row],[FECHA DE FACTURACIÓN]])&gt;PROVEEDORES[[#This Row],[PLAZO Días]],"PAGO VENCIDO")</f>
        <v>0</v>
      </c>
      <c r="C618" s="27">
        <f>+VLOOKUP(PROVEEDORES[[#This Row],[PROVEEDOR]],TERCEROS_INFO[#All],2,FALSE)</f>
        <v>30</v>
      </c>
      <c r="D618" s="37">
        <f>+SUMIFS(PROVEEDORES[Total],PROVEEDORES[PROVEEDOR],PROVEEDORES[[#This Row],[PROVEEDOR]],PROVEEDORES[FECHA DE PAGO],"")</f>
        <v>998250</v>
      </c>
      <c r="E618" s="37" t="s">
        <v>346</v>
      </c>
      <c r="F618" s="108" t="str">
        <f>+VLOOKUP(PROVEEDORES[[#This Row],[PROVEEDOR]],TERCEROS_INFO[[PROVEEDOR]:[CORREO]],5,FALSE)</f>
        <v>yermingg@hotmail.com;girlesa.ruiz@servipilas.com;joriescobar64@gmail.com</v>
      </c>
      <c r="G618" s="143">
        <v>43977</v>
      </c>
      <c r="H618" s="38" t="s">
        <v>302</v>
      </c>
      <c r="I618" s="30">
        <v>43977</v>
      </c>
      <c r="J618" s="58" t="s">
        <v>1022</v>
      </c>
      <c r="K618" s="32">
        <v>76600</v>
      </c>
      <c r="L618" s="32"/>
      <c r="M618" s="33">
        <f>(PROVEEDORES[[#This Row],[SUBTOTAL]]-PROVEEDORES[[#This Row],[descuento antes de IVA]])*VLOOKUP(PROVEEDORES[[#This Row],[PROVEEDOR]],TERCEROS_INFO[#All],3,FALSE)</f>
        <v>0</v>
      </c>
      <c r="N618" s="34"/>
      <c r="O618" s="33">
        <f>+PROVEEDORES[[#This Row],[Descuento sobre subtotal %]]*(PROVEEDORES[[#This Row],[SUBTOTAL]]-PROVEEDORES[[#This Row],[descuento antes de IVA]])</f>
        <v>0</v>
      </c>
      <c r="P6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8" s="33">
        <f>+(PROVEEDORES[[#This Row],[SUBTOTAL]]-PROVEEDORES[[#This Row],[descuento antes de IVA]])*PROVEEDORES[[#This Row],[Rete Fuente %]]</f>
        <v>0</v>
      </c>
      <c r="R618" s="32">
        <f>+PROVEEDORES[[#This Row],[SUBTOTAL]]+PROVEEDORES[[#This Row],[IVA 19%]]-PROVEEDORES[[#This Row],[descuento antes de IVA]]-PROVEEDORES[[#This Row],[Descuento sobre subtotal $]]-PROVEEDORES[[#This Row],[Rete Fuente $]]</f>
        <v>76600</v>
      </c>
      <c r="S6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8" s="40"/>
      <c r="U618" s="97"/>
      <c r="V618" s="36"/>
      <c r="W618" s="36"/>
      <c r="X618" s="36"/>
      <c r="Y618" s="36"/>
      <c r="Z618" s="41"/>
      <c r="AA618" s="42"/>
      <c r="AF618" s="36"/>
      <c r="AG618" s="36"/>
    </row>
    <row r="619" spans="1:33" ht="21.95" hidden="1" customHeight="1" x14ac:dyDescent="0.25">
      <c r="A619" s="39" t="str">
        <f>+IF(PROVEEDORES[[#This Row],[FECHA DE PAGO]]=PROVEEDORES[[#This Row],[FECHA DE FACTURACIÓN]],"DE CONTADO","CRÉDITO")</f>
        <v>CRÉDITO</v>
      </c>
      <c r="B619" s="67" t="str">
        <f>+IF((PROVEEDORES[[#This Row],[FECHA DE PAGO]]-PROVEEDORES[[#This Row],[FECHA DE FACTURACIÓN]])&gt;PROVEEDORES[[#This Row],[PLAZO Días]],"PAGO VENCIDO")</f>
        <v>PAGO VENCIDO</v>
      </c>
      <c r="C619" s="27">
        <f>+VLOOKUP(PROVEEDORES[[#This Row],[PROVEEDOR]],TERCEROS_INFO[#All],2,FALSE)</f>
        <v>30</v>
      </c>
      <c r="D619" s="37">
        <f>+SUMIFS(PROVEEDORES[Total],PROVEEDORES[PROVEEDOR],PROVEEDORES[[#This Row],[PROVEEDOR]],PROVEEDORES[FECHA DE PAGO],"")</f>
        <v>998250</v>
      </c>
      <c r="E619" s="37"/>
      <c r="F619" s="108" t="str">
        <f>+VLOOKUP(PROVEEDORES[[#This Row],[PROVEEDOR]],TERCEROS_INFO[[PROVEEDOR]:[CORREO]],5,FALSE)</f>
        <v>yermingg@hotmail.com;girlesa.ruiz@servipilas.com;joriescobar64@gmail.com</v>
      </c>
      <c r="G619" s="143">
        <v>44068</v>
      </c>
      <c r="H619" s="38" t="s">
        <v>302</v>
      </c>
      <c r="I619" s="30">
        <v>44019</v>
      </c>
      <c r="J619" s="58">
        <v>529802</v>
      </c>
      <c r="K619" s="32">
        <v>200000</v>
      </c>
      <c r="L619" s="32"/>
      <c r="M619" s="33">
        <f>(PROVEEDORES[[#This Row],[SUBTOTAL]]-PROVEEDORES[[#This Row],[descuento antes de IVA]])*VLOOKUP(PROVEEDORES[[#This Row],[PROVEEDOR]],TERCEROS_INFO[#All],3,FALSE)</f>
        <v>0</v>
      </c>
      <c r="N619" s="34"/>
      <c r="O619" s="33">
        <f>+PROVEEDORES[[#This Row],[Descuento sobre subtotal %]]*(PROVEEDORES[[#This Row],[SUBTOTAL]]-PROVEEDORES[[#This Row],[descuento antes de IVA]])</f>
        <v>0</v>
      </c>
      <c r="P6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19" s="33">
        <f>+(PROVEEDORES[[#This Row],[SUBTOTAL]]-PROVEEDORES[[#This Row],[descuento antes de IVA]])*PROVEEDORES[[#This Row],[Rete Fuente %]]</f>
        <v>0</v>
      </c>
      <c r="R619" s="32">
        <f>+PROVEEDORES[[#This Row],[SUBTOTAL]]+PROVEEDORES[[#This Row],[IVA 19%]]-PROVEEDORES[[#This Row],[descuento antes de IVA]]-PROVEEDORES[[#This Row],[Descuento sobre subtotal $]]-PROVEEDORES[[#This Row],[Rete Fuente $]]</f>
        <v>200000</v>
      </c>
      <c r="S61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9" s="40"/>
      <c r="U619" s="97"/>
      <c r="V619" s="36"/>
      <c r="W619" s="36"/>
      <c r="X619" s="36"/>
      <c r="Y619" s="36"/>
      <c r="Z619" s="41"/>
      <c r="AA619" s="42"/>
      <c r="AF619" s="36"/>
      <c r="AG619" s="36"/>
    </row>
    <row r="620" spans="1:33" ht="21.95" hidden="1" customHeight="1" x14ac:dyDescent="0.25">
      <c r="A620" s="39" t="str">
        <f>+IF(PROVEEDORES[[#This Row],[FECHA DE PAGO]]=PROVEEDORES[[#This Row],[FECHA DE FACTURACIÓN]],"DE CONTADO","CRÉDITO")</f>
        <v>DE CONTADO</v>
      </c>
      <c r="B620" s="67" t="b">
        <f>+IF((PROVEEDORES[[#This Row],[FECHA DE PAGO]]-PROVEEDORES[[#This Row],[FECHA DE FACTURACIÓN]])&gt;PROVEEDORES[[#This Row],[PLAZO Días]],"PAGO VENCIDO")</f>
        <v>0</v>
      </c>
      <c r="C620" s="27">
        <f>+VLOOKUP(PROVEEDORES[[#This Row],[PROVEEDOR]],TERCEROS_INFO[#All],2,FALSE)</f>
        <v>30</v>
      </c>
      <c r="D620" s="37">
        <f>+SUMIFS(PROVEEDORES[Total],PROVEEDORES[PROVEEDOR],PROVEEDORES[[#This Row],[PROVEEDOR]],PROVEEDORES[FECHA DE PAGO],"")</f>
        <v>998250</v>
      </c>
      <c r="E620" s="37"/>
      <c r="F620" s="108" t="str">
        <f>+VLOOKUP(PROVEEDORES[[#This Row],[PROVEEDOR]],TERCEROS_INFO[[PROVEEDOR]:[CORREO]],5,FALSE)</f>
        <v>yermingg@hotmail.com;girlesa.ruiz@servipilas.com;joriescobar64@gmail.com</v>
      </c>
      <c r="G620" s="143">
        <v>44165</v>
      </c>
      <c r="H620" s="38" t="s">
        <v>302</v>
      </c>
      <c r="I620" s="30">
        <v>44165</v>
      </c>
      <c r="J620" s="58">
        <v>320032</v>
      </c>
      <c r="K620" s="32">
        <v>240000</v>
      </c>
      <c r="L620" s="32"/>
      <c r="M620" s="33">
        <f>(PROVEEDORES[[#This Row],[SUBTOTAL]]-PROVEEDORES[[#This Row],[descuento antes de IVA]])*VLOOKUP(PROVEEDORES[[#This Row],[PROVEEDOR]],TERCEROS_INFO[#All],3,FALSE)</f>
        <v>0</v>
      </c>
      <c r="N620" s="34"/>
      <c r="O620" s="33">
        <f>+PROVEEDORES[[#This Row],[Descuento sobre subtotal %]]*(PROVEEDORES[[#This Row],[SUBTOTAL]]-PROVEEDORES[[#This Row],[descuento antes de IVA]])</f>
        <v>0</v>
      </c>
      <c r="P6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0" s="33">
        <f>+(PROVEEDORES[[#This Row],[SUBTOTAL]]-PROVEEDORES[[#This Row],[descuento antes de IVA]])*PROVEEDORES[[#This Row],[Rete Fuente %]]</f>
        <v>0</v>
      </c>
      <c r="R620" s="32">
        <f>+PROVEEDORES[[#This Row],[SUBTOTAL]]+PROVEEDORES[[#This Row],[IVA 19%]]-PROVEEDORES[[#This Row],[descuento antes de IVA]]-PROVEEDORES[[#This Row],[Descuento sobre subtotal $]]-PROVEEDORES[[#This Row],[Rete Fuente $]]</f>
        <v>240000</v>
      </c>
      <c r="S6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0" s="40"/>
      <c r="U620" s="97"/>
      <c r="V620" s="36"/>
      <c r="W620" s="36"/>
      <c r="X620" s="36"/>
      <c r="Y620" s="36"/>
      <c r="Z620" s="41"/>
      <c r="AA620" s="42"/>
      <c r="AF620" s="36"/>
      <c r="AG620" s="36"/>
    </row>
    <row r="621" spans="1:33" ht="21.95" hidden="1" customHeight="1" x14ac:dyDescent="0.25">
      <c r="A621" s="39" t="str">
        <f>+IF(PROVEEDORES[[#This Row],[FECHA DE PAGO]]=PROVEEDORES[[#This Row],[FECHA DE FACTURACIÓN]],"DE CONTADO","CRÉDITO")</f>
        <v>CRÉDITO</v>
      </c>
      <c r="B621" s="67" t="str">
        <f>+IF((PROVEEDORES[[#This Row],[FECHA DE PAGO]]-PROVEEDORES[[#This Row],[FECHA DE FACTURACIÓN]])&gt;PROVEEDORES[[#This Row],[PLAZO Días]],"PAGO VENCIDO")</f>
        <v>PAGO VENCIDO</v>
      </c>
      <c r="C621" s="27">
        <f>+VLOOKUP(PROVEEDORES[[#This Row],[PROVEEDOR]],TERCEROS_INFO[#All],2,FALSE)</f>
        <v>30</v>
      </c>
      <c r="D621" s="37">
        <f>+SUMIFS(PROVEEDORES[Total],PROVEEDORES[PROVEEDOR],PROVEEDORES[[#This Row],[PROVEEDOR]],PROVEEDORES[FECHA DE PAGO],"")</f>
        <v>998250</v>
      </c>
      <c r="E621" s="37"/>
      <c r="F621" s="108" t="str">
        <f>+VLOOKUP(PROVEEDORES[[#This Row],[PROVEEDOR]],TERCEROS_INFO[[PROVEEDOR]:[CORREO]],5,FALSE)</f>
        <v>yermingg@hotmail.com;girlesa.ruiz@servipilas.com;joriescobar64@gmail.com</v>
      </c>
      <c r="G621" s="143">
        <v>44272</v>
      </c>
      <c r="H621" s="38" t="s">
        <v>302</v>
      </c>
      <c r="I621" s="30">
        <v>44175</v>
      </c>
      <c r="J621" s="58">
        <v>320167</v>
      </c>
      <c r="K621" s="32">
        <v>596000</v>
      </c>
      <c r="L621" s="32"/>
      <c r="M621" s="33">
        <f>(PROVEEDORES[[#This Row],[SUBTOTAL]]-PROVEEDORES[[#This Row],[descuento antes de IVA]])*VLOOKUP(PROVEEDORES[[#This Row],[PROVEEDOR]],TERCEROS_INFO[#All],3,FALSE)</f>
        <v>0</v>
      </c>
      <c r="N621" s="34"/>
      <c r="O621" s="33">
        <f>+PROVEEDORES[[#This Row],[Descuento sobre subtotal %]]*(PROVEEDORES[[#This Row],[SUBTOTAL]]-PROVEEDORES[[#This Row],[descuento antes de IVA]])</f>
        <v>0</v>
      </c>
      <c r="P6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1" s="33">
        <f>+(PROVEEDORES[[#This Row],[SUBTOTAL]]-PROVEEDORES[[#This Row],[descuento antes de IVA]])*PROVEEDORES[[#This Row],[Rete Fuente %]]</f>
        <v>0</v>
      </c>
      <c r="R621" s="32">
        <f>+PROVEEDORES[[#This Row],[SUBTOTAL]]+PROVEEDORES[[#This Row],[IVA 19%]]-PROVEEDORES[[#This Row],[descuento antes de IVA]]-PROVEEDORES[[#This Row],[Descuento sobre subtotal $]]-PROVEEDORES[[#This Row],[Rete Fuente $]]</f>
        <v>596000</v>
      </c>
      <c r="S6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1" s="40"/>
      <c r="U621" s="97"/>
      <c r="V621" s="36"/>
      <c r="W621" s="36"/>
      <c r="X621" s="36"/>
      <c r="Y621" s="36"/>
      <c r="Z621" s="41"/>
      <c r="AA621" s="42"/>
      <c r="AF621" s="36"/>
      <c r="AG621" s="36"/>
    </row>
    <row r="622" spans="1:33" ht="21.95" hidden="1" customHeight="1" x14ac:dyDescent="0.25">
      <c r="A622" s="39" t="str">
        <f>+IF(PROVEEDORES[[#This Row],[FECHA DE PAGO]]=PROVEEDORES[[#This Row],[FECHA DE FACTURACIÓN]],"DE CONTADO","CRÉDITO")</f>
        <v>CRÉDITO</v>
      </c>
      <c r="B622" s="67" t="str">
        <f>+IF((PROVEEDORES[[#This Row],[FECHA DE PAGO]]-PROVEEDORES[[#This Row],[FECHA DE FACTURACIÓN]])&gt;PROVEEDORES[[#This Row],[PLAZO Días]],"PAGO VENCIDO")</f>
        <v>PAGO VENCIDO</v>
      </c>
      <c r="C622" s="27">
        <f>+VLOOKUP(PROVEEDORES[[#This Row],[PROVEEDOR]],TERCEROS_INFO[#All],2,FALSE)</f>
        <v>30</v>
      </c>
      <c r="D622" s="37">
        <f>+SUMIFS(PROVEEDORES[Total],PROVEEDORES[PROVEEDOR],PROVEEDORES[[#This Row],[PROVEEDOR]],PROVEEDORES[FECHA DE PAGO],"")</f>
        <v>998250</v>
      </c>
      <c r="E622" s="37"/>
      <c r="F622" s="108" t="str">
        <f>+VLOOKUP(PROVEEDORES[[#This Row],[PROVEEDOR]],TERCEROS_INFO[[PROVEEDOR]:[CORREO]],5,FALSE)</f>
        <v>yermingg@hotmail.com;girlesa.ruiz@servipilas.com;joriescobar64@gmail.com</v>
      </c>
      <c r="G622" s="143">
        <v>44272</v>
      </c>
      <c r="H622" s="38" t="s">
        <v>302</v>
      </c>
      <c r="I622" s="30">
        <v>44186</v>
      </c>
      <c r="J622" s="58">
        <v>320277</v>
      </c>
      <c r="K622" s="32">
        <v>2087500</v>
      </c>
      <c r="L622" s="32"/>
      <c r="M622" s="33">
        <f>(PROVEEDORES[[#This Row],[SUBTOTAL]]-PROVEEDORES[[#This Row],[descuento antes de IVA]])*VLOOKUP(PROVEEDORES[[#This Row],[PROVEEDOR]],TERCEROS_INFO[#All],3,FALSE)</f>
        <v>0</v>
      </c>
      <c r="N622" s="34"/>
      <c r="O622" s="33">
        <f>+PROVEEDORES[[#This Row],[Descuento sobre subtotal %]]*(PROVEEDORES[[#This Row],[SUBTOTAL]]-PROVEEDORES[[#This Row],[descuento antes de IVA]])</f>
        <v>0</v>
      </c>
      <c r="P6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2" s="33">
        <f>+(PROVEEDORES[[#This Row],[SUBTOTAL]]-PROVEEDORES[[#This Row],[descuento antes de IVA]])*PROVEEDORES[[#This Row],[Rete Fuente %]]</f>
        <v>0</v>
      </c>
      <c r="R622" s="32">
        <f>+PROVEEDORES[[#This Row],[SUBTOTAL]]+PROVEEDORES[[#This Row],[IVA 19%]]-PROVEEDORES[[#This Row],[descuento antes de IVA]]-PROVEEDORES[[#This Row],[Descuento sobre subtotal $]]-PROVEEDORES[[#This Row],[Rete Fuente $]]</f>
        <v>2087500</v>
      </c>
      <c r="S6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2" s="40"/>
      <c r="U622" s="97"/>
      <c r="V622" s="36"/>
      <c r="W622" s="36"/>
      <c r="X622" s="36"/>
      <c r="Y622" s="36"/>
      <c r="Z622" s="41"/>
      <c r="AA622" s="42"/>
      <c r="AF622" s="36"/>
      <c r="AG622" s="36"/>
    </row>
    <row r="623" spans="1:33" ht="21.95" hidden="1" customHeight="1" x14ac:dyDescent="0.25">
      <c r="A623" s="39" t="str">
        <f>+IF(PROVEEDORES[[#This Row],[FECHA DE PAGO]]=PROVEEDORES[[#This Row],[FECHA DE FACTURACIÓN]],"DE CONTADO","CRÉDITO")</f>
        <v>CRÉDITO</v>
      </c>
      <c r="B623" s="67" t="str">
        <f>+IF((PROVEEDORES[[#This Row],[FECHA DE PAGO]]-PROVEEDORES[[#This Row],[FECHA DE FACTURACIÓN]])&gt;PROVEEDORES[[#This Row],[PLAZO Días]],"PAGO VENCIDO")</f>
        <v>PAGO VENCIDO</v>
      </c>
      <c r="C623" s="27">
        <f>+VLOOKUP(PROVEEDORES[[#This Row],[PROVEEDOR]],TERCEROS_INFO[#All],2,FALSE)</f>
        <v>30</v>
      </c>
      <c r="D623" s="37">
        <f>+SUMIFS(PROVEEDORES[Total],PROVEEDORES[PROVEEDOR],PROVEEDORES[[#This Row],[PROVEEDOR]],PROVEEDORES[FECHA DE PAGO],"")</f>
        <v>998250</v>
      </c>
      <c r="E623" s="37"/>
      <c r="F623" s="108" t="str">
        <f>+VLOOKUP(PROVEEDORES[[#This Row],[PROVEEDOR]],TERCEROS_INFO[[PROVEEDOR]:[CORREO]],5,FALSE)</f>
        <v>yermingg@hotmail.com;girlesa.ruiz@servipilas.com;joriescobar64@gmail.com</v>
      </c>
      <c r="G623" s="143">
        <v>44335</v>
      </c>
      <c r="H623" s="38" t="s">
        <v>302</v>
      </c>
      <c r="I623" s="30">
        <v>44186</v>
      </c>
      <c r="J623" s="58" t="s">
        <v>1093</v>
      </c>
      <c r="K623" s="32">
        <v>380000</v>
      </c>
      <c r="L623" s="32"/>
      <c r="M623" s="33">
        <f>(PROVEEDORES[[#This Row],[SUBTOTAL]]-PROVEEDORES[[#This Row],[descuento antes de IVA]])*VLOOKUP(PROVEEDORES[[#This Row],[PROVEEDOR]],TERCEROS_INFO[#All],3,FALSE)</f>
        <v>0</v>
      </c>
      <c r="N623" s="34"/>
      <c r="O623" s="33">
        <f>+PROVEEDORES[[#This Row],[Descuento sobre subtotal %]]*(PROVEEDORES[[#This Row],[SUBTOTAL]]-PROVEEDORES[[#This Row],[descuento antes de IVA]])</f>
        <v>0</v>
      </c>
      <c r="P6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3" s="33">
        <f>+(PROVEEDORES[[#This Row],[SUBTOTAL]]-PROVEEDORES[[#This Row],[descuento antes de IVA]])*PROVEEDORES[[#This Row],[Rete Fuente %]]</f>
        <v>0</v>
      </c>
      <c r="R623" s="32">
        <f>+PROVEEDORES[[#This Row],[SUBTOTAL]]+PROVEEDORES[[#This Row],[IVA 19%]]-PROVEEDORES[[#This Row],[descuento antes de IVA]]-PROVEEDORES[[#This Row],[Descuento sobre subtotal $]]-PROVEEDORES[[#This Row],[Rete Fuente $]]</f>
        <v>380000</v>
      </c>
      <c r="S6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3" s="40"/>
      <c r="U623" s="97"/>
      <c r="V623" s="36"/>
      <c r="W623" s="36"/>
      <c r="X623" s="36"/>
      <c r="Y623" s="36"/>
      <c r="Z623" s="41"/>
      <c r="AA623" s="42"/>
      <c r="AF623" s="36"/>
      <c r="AG623" s="36"/>
    </row>
    <row r="624" spans="1:33" ht="21.95" hidden="1" customHeight="1" x14ac:dyDescent="0.25">
      <c r="A624" s="39" t="str">
        <f>+IF(PROVEEDORES[[#This Row],[FECHA DE PAGO]]=PROVEEDORES[[#This Row],[FECHA DE FACTURACIÓN]],"DE CONTADO","CRÉDITO")</f>
        <v>CRÉDITO</v>
      </c>
      <c r="B624" s="67" t="str">
        <f>+IF((PROVEEDORES[[#This Row],[FECHA DE PAGO]]-PROVEEDORES[[#This Row],[FECHA DE FACTURACIÓN]])&gt;PROVEEDORES[[#This Row],[PLAZO Días]],"PAGO VENCIDO")</f>
        <v>PAGO VENCIDO</v>
      </c>
      <c r="C624" s="27">
        <f>+VLOOKUP(PROVEEDORES[[#This Row],[PROVEEDOR]],TERCEROS_INFO[#All],2,FALSE)</f>
        <v>30</v>
      </c>
      <c r="D624" s="37">
        <f>+SUMIFS(PROVEEDORES[Total],PROVEEDORES[PROVEEDOR],PROVEEDORES[[#This Row],[PROVEEDOR]],PROVEEDORES[FECHA DE PAGO],"")</f>
        <v>998250</v>
      </c>
      <c r="E624" s="37"/>
      <c r="F624" s="108" t="str">
        <f>+VLOOKUP(PROVEEDORES[[#This Row],[PROVEEDOR]],TERCEROS_INFO[[PROVEEDOR]:[CORREO]],5,FALSE)</f>
        <v>yermingg@hotmail.com;girlesa.ruiz@servipilas.com;joriescobar64@gmail.com</v>
      </c>
      <c r="G624" s="143">
        <v>44335</v>
      </c>
      <c r="H624" s="38" t="s">
        <v>302</v>
      </c>
      <c r="I624" s="30">
        <v>44186</v>
      </c>
      <c r="J624" s="58" t="s">
        <v>1094</v>
      </c>
      <c r="K624" s="32">
        <v>2415900</v>
      </c>
      <c r="L624" s="32"/>
      <c r="M624" s="33">
        <f>(PROVEEDORES[[#This Row],[SUBTOTAL]]-PROVEEDORES[[#This Row],[descuento antes de IVA]])*VLOOKUP(PROVEEDORES[[#This Row],[PROVEEDOR]],TERCEROS_INFO[#All],3,FALSE)</f>
        <v>0</v>
      </c>
      <c r="N624" s="34"/>
      <c r="O624" s="33">
        <f>+PROVEEDORES[[#This Row],[Descuento sobre subtotal %]]*(PROVEEDORES[[#This Row],[SUBTOTAL]]-PROVEEDORES[[#This Row],[descuento antes de IVA]])</f>
        <v>0</v>
      </c>
      <c r="P6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4" s="33">
        <f>+(PROVEEDORES[[#This Row],[SUBTOTAL]]-PROVEEDORES[[#This Row],[descuento antes de IVA]])*PROVEEDORES[[#This Row],[Rete Fuente %]]</f>
        <v>0</v>
      </c>
      <c r="R624" s="32">
        <f>+PROVEEDORES[[#This Row],[SUBTOTAL]]+PROVEEDORES[[#This Row],[IVA 19%]]-PROVEEDORES[[#This Row],[descuento antes de IVA]]-PROVEEDORES[[#This Row],[Descuento sobre subtotal $]]-PROVEEDORES[[#This Row],[Rete Fuente $]]</f>
        <v>2415900</v>
      </c>
      <c r="S6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4" s="40"/>
      <c r="U624" s="97"/>
      <c r="V624" s="36"/>
      <c r="W624" s="36"/>
      <c r="X624" s="36"/>
      <c r="Y624" s="36"/>
      <c r="Z624" s="41"/>
      <c r="AA624" s="42"/>
      <c r="AF624" s="36"/>
      <c r="AG624" s="36"/>
    </row>
    <row r="625" spans="1:33" ht="21.95" hidden="1" customHeight="1" x14ac:dyDescent="0.25">
      <c r="A625" s="39" t="str">
        <f>+IF(PROVEEDORES[[#This Row],[FECHA DE PAGO]]=PROVEEDORES[[#This Row],[FECHA DE FACTURACIÓN]],"DE CONTADO","CRÉDITO")</f>
        <v>CRÉDITO</v>
      </c>
      <c r="B625" s="67" t="str">
        <f>+IF((PROVEEDORES[[#This Row],[FECHA DE PAGO]]-PROVEEDORES[[#This Row],[FECHA DE FACTURACIÓN]])&gt;PROVEEDORES[[#This Row],[PLAZO Días]],"PAGO VENCIDO")</f>
        <v>PAGO VENCIDO</v>
      </c>
      <c r="C625" s="27">
        <f>+VLOOKUP(PROVEEDORES[[#This Row],[PROVEEDOR]],TERCEROS_INFO[#All],2,FALSE)</f>
        <v>30</v>
      </c>
      <c r="D625" s="37">
        <f>+SUMIFS(PROVEEDORES[Total],PROVEEDORES[PROVEEDOR],PROVEEDORES[[#This Row],[PROVEEDOR]],PROVEEDORES[FECHA DE PAGO],"")</f>
        <v>998250</v>
      </c>
      <c r="E625" s="37"/>
      <c r="F625" s="108" t="str">
        <f>+VLOOKUP(PROVEEDORES[[#This Row],[PROVEEDOR]],TERCEROS_INFO[[PROVEEDOR]:[CORREO]],5,FALSE)</f>
        <v>yermingg@hotmail.com;girlesa.ruiz@servipilas.com;joriescobar64@gmail.com</v>
      </c>
      <c r="G625" s="143">
        <v>44335</v>
      </c>
      <c r="H625" s="38" t="s">
        <v>302</v>
      </c>
      <c r="I625" s="30">
        <v>44228</v>
      </c>
      <c r="J625" s="58" t="s">
        <v>1100</v>
      </c>
      <c r="K625" s="32">
        <v>290000</v>
      </c>
      <c r="L625" s="32"/>
      <c r="M625" s="33">
        <f>(PROVEEDORES[[#This Row],[SUBTOTAL]]-PROVEEDORES[[#This Row],[descuento antes de IVA]])*VLOOKUP(PROVEEDORES[[#This Row],[PROVEEDOR]],TERCEROS_INFO[#All],3,FALSE)</f>
        <v>0</v>
      </c>
      <c r="N625" s="34"/>
      <c r="O625" s="33">
        <f>+PROVEEDORES[[#This Row],[Descuento sobre subtotal %]]*(PROVEEDORES[[#This Row],[SUBTOTAL]]-PROVEEDORES[[#This Row],[descuento antes de IVA]])</f>
        <v>0</v>
      </c>
      <c r="P6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5" s="33">
        <f>+(PROVEEDORES[[#This Row],[SUBTOTAL]]-PROVEEDORES[[#This Row],[descuento antes de IVA]])*PROVEEDORES[[#This Row],[Rete Fuente %]]</f>
        <v>0</v>
      </c>
      <c r="R625" s="32">
        <f>+PROVEEDORES[[#This Row],[SUBTOTAL]]+PROVEEDORES[[#This Row],[IVA 19%]]-PROVEEDORES[[#This Row],[descuento antes de IVA]]-PROVEEDORES[[#This Row],[Descuento sobre subtotal $]]-PROVEEDORES[[#This Row],[Rete Fuente $]]</f>
        <v>290000</v>
      </c>
      <c r="S6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5" s="40"/>
      <c r="U625" s="97"/>
      <c r="V625" s="36"/>
      <c r="W625" s="36"/>
      <c r="X625" s="36"/>
      <c r="Y625" s="36"/>
      <c r="Z625" s="41"/>
      <c r="AA625" s="42"/>
      <c r="AF625" s="36"/>
      <c r="AG625" s="36"/>
    </row>
    <row r="626" spans="1:33" ht="21.95" hidden="1" customHeight="1" x14ac:dyDescent="0.25">
      <c r="A626" s="109" t="str">
        <f>+IF(PROVEEDORES[[#This Row],[FECHA DE PAGO]]=PROVEEDORES[[#This Row],[FECHA DE FACTURACIÓN]],"DE CONTADO","CRÉDITO")</f>
        <v>CRÉDITO</v>
      </c>
      <c r="B626" s="70" t="b">
        <f>+IF((PROVEEDORES[[#This Row],[FECHA DE PAGO]]-PROVEEDORES[[#This Row],[FECHA DE FACTURACIÓN]])&gt;PROVEEDORES[[#This Row],[PLAZO Días]],"PAGO VENCIDO")</f>
        <v>0</v>
      </c>
      <c r="C626" s="27">
        <f>+VLOOKUP(PROVEEDORES[[#This Row],[PROVEEDOR]],TERCEROS_INFO[#All],2,FALSE)</f>
        <v>30</v>
      </c>
      <c r="D626" s="37">
        <f>+SUMIFS(PROVEEDORES[Total],PROVEEDORES[PROVEEDOR],PROVEEDORES[[#This Row],[PROVEEDOR]],PROVEEDORES[FECHA DE PAGO],"")</f>
        <v>998250</v>
      </c>
      <c r="E626" s="37"/>
      <c r="F626" s="108" t="str">
        <f>+VLOOKUP(PROVEEDORES[[#This Row],[PROVEEDOR]],TERCEROS_INFO[[PROVEEDOR]:[CORREO]],5,FALSE)</f>
        <v>yermingg@hotmail.com;girlesa.ruiz@servipilas.com;joriescobar64@gmail.com</v>
      </c>
      <c r="G626" s="143">
        <v>44335</v>
      </c>
      <c r="H626" s="38" t="s">
        <v>302</v>
      </c>
      <c r="I626" s="30">
        <v>44320</v>
      </c>
      <c r="J626" s="58" t="s">
        <v>1125</v>
      </c>
      <c r="K626" s="32">
        <v>210000</v>
      </c>
      <c r="L626" s="32"/>
      <c r="M626" s="33">
        <f>(PROVEEDORES[[#This Row],[SUBTOTAL]]-PROVEEDORES[[#This Row],[descuento antes de IVA]])*VLOOKUP(PROVEEDORES[[#This Row],[PROVEEDOR]],TERCEROS_INFO[#All],3,FALSE)</f>
        <v>0</v>
      </c>
      <c r="N626" s="34"/>
      <c r="O626" s="33">
        <f>+PROVEEDORES[[#This Row],[Descuento sobre subtotal %]]*(PROVEEDORES[[#This Row],[SUBTOTAL]]-PROVEEDORES[[#This Row],[descuento antes de IVA]])</f>
        <v>0</v>
      </c>
      <c r="P6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6" s="33">
        <f>+(PROVEEDORES[[#This Row],[SUBTOTAL]]-PROVEEDORES[[#This Row],[descuento antes de IVA]])*PROVEEDORES[[#This Row],[Rete Fuente %]]</f>
        <v>0</v>
      </c>
      <c r="R626" s="32">
        <f>+PROVEEDORES[[#This Row],[SUBTOTAL]]+PROVEEDORES[[#This Row],[IVA 19%]]-PROVEEDORES[[#This Row],[descuento antes de IVA]]-PROVEEDORES[[#This Row],[Descuento sobre subtotal $]]-PROVEEDORES[[#This Row],[Rete Fuente $]]</f>
        <v>210000</v>
      </c>
      <c r="S626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6" s="40"/>
      <c r="U626" s="97"/>
      <c r="V626" s="36"/>
      <c r="W626" s="36"/>
      <c r="X626" s="36"/>
      <c r="Y626" s="36"/>
      <c r="Z626" s="41"/>
      <c r="AA626" s="42"/>
      <c r="AF626" s="36"/>
      <c r="AG626" s="36"/>
    </row>
    <row r="627" spans="1:33" ht="21.95" hidden="1" customHeight="1" x14ac:dyDescent="0.25">
      <c r="A627" s="35" t="str">
        <f>+IF(PROVEEDORES[[#This Row],[FECHA DE PAGO]]=PROVEEDORES[[#This Row],[FECHA DE FACTURACIÓN]],"DE CONTADO","CRÉDITO")</f>
        <v>CRÉDITO</v>
      </c>
      <c r="B627" s="70" t="str">
        <f>+IF((PROVEEDORES[[#This Row],[FECHA DE PAGO]]-PROVEEDORES[[#This Row],[FECHA DE FACTURACIÓN]])&gt;PROVEEDORES[[#This Row],[PLAZO Días]],"PAGO VENCIDO")</f>
        <v>PAGO VENCIDO</v>
      </c>
      <c r="C627" s="27">
        <f>+VLOOKUP(PROVEEDORES[[#This Row],[PROVEEDOR]],TERCEROS_INFO[#All],2,FALSE)</f>
        <v>30</v>
      </c>
      <c r="D627" s="37">
        <f>+SUMIFS(PROVEEDORES[Total],PROVEEDORES[PROVEEDOR],PROVEEDORES[[#This Row],[PROVEEDOR]],PROVEEDORES[FECHA DE PAGO],"")</f>
        <v>998250</v>
      </c>
      <c r="E627" s="37"/>
      <c r="F627" s="108" t="str">
        <f>+VLOOKUP(PROVEEDORES[[#This Row],[PROVEEDOR]],TERCEROS_INFO[[PROVEEDOR]:[CORREO]],5,FALSE)</f>
        <v>yermingg@hotmail.com;girlesa.ruiz@servipilas.com;joriescobar64@gmail.com</v>
      </c>
      <c r="G627" s="143">
        <v>44411</v>
      </c>
      <c r="H627" s="38" t="s">
        <v>302</v>
      </c>
      <c r="I627" s="30">
        <v>44335</v>
      </c>
      <c r="J627" s="58" t="s">
        <v>1133</v>
      </c>
      <c r="K627" s="32">
        <v>780000</v>
      </c>
      <c r="L627" s="32"/>
      <c r="M627" s="33">
        <f>(PROVEEDORES[[#This Row],[SUBTOTAL]]-PROVEEDORES[[#This Row],[descuento antes de IVA]])*VLOOKUP(PROVEEDORES[[#This Row],[PROVEEDOR]],TERCEROS_INFO[#All],3,FALSE)</f>
        <v>0</v>
      </c>
      <c r="N627" s="34"/>
      <c r="O627" s="33">
        <f>+PROVEEDORES[[#This Row],[Descuento sobre subtotal %]]*(PROVEEDORES[[#This Row],[SUBTOTAL]]-PROVEEDORES[[#This Row],[descuento antes de IVA]])</f>
        <v>0</v>
      </c>
      <c r="P6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7" s="33">
        <f>+(PROVEEDORES[[#This Row],[SUBTOTAL]]-PROVEEDORES[[#This Row],[descuento antes de IVA]])*PROVEEDORES[[#This Row],[Rete Fuente %]]</f>
        <v>0</v>
      </c>
      <c r="R627" s="32">
        <f>+PROVEEDORES[[#This Row],[SUBTOTAL]]+PROVEEDORES[[#This Row],[IVA 19%]]-PROVEEDORES[[#This Row],[descuento antes de IVA]]-PROVEEDORES[[#This Row],[Descuento sobre subtotal $]]-PROVEEDORES[[#This Row],[Rete Fuente $]]</f>
        <v>780000</v>
      </c>
      <c r="S62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7" s="40"/>
      <c r="U627" s="97"/>
      <c r="V627" s="36"/>
      <c r="W627" s="36"/>
      <c r="X627" s="36"/>
      <c r="Y627" s="36"/>
      <c r="Z627" s="41"/>
      <c r="AA627" s="42"/>
      <c r="AF627" s="36"/>
      <c r="AG627" s="36"/>
    </row>
    <row r="628" spans="1:33" ht="21.95" hidden="1" customHeight="1" x14ac:dyDescent="0.25">
      <c r="A628" s="126" t="str">
        <f>+IF(PROVEEDORES[[#This Row],[FECHA DE PAGO]]=PROVEEDORES[[#This Row],[FECHA DE FACTURACIÓN]],"DE CONTADO","CRÉDITO")</f>
        <v>CRÉDITO</v>
      </c>
      <c r="B628" s="70" t="str">
        <f>+IF((PROVEEDORES[[#This Row],[FECHA DE PAGO]]-PROVEEDORES[[#This Row],[FECHA DE FACTURACIÓN]])&gt;PROVEEDORES[[#This Row],[PLAZO Días]],"PAGO VENCIDO")</f>
        <v>PAGO VENCIDO</v>
      </c>
      <c r="C628" s="27">
        <f>+VLOOKUP(PROVEEDORES[[#This Row],[PROVEEDOR]],TERCEROS_INFO[#All],2,FALSE)</f>
        <v>30</v>
      </c>
      <c r="D628" s="37">
        <f>+SUMIFS(PROVEEDORES[Total],PROVEEDORES[PROVEEDOR],PROVEEDORES[[#This Row],[PROVEEDOR]],PROVEEDORES[FECHA DE PAGO],"")</f>
        <v>998250</v>
      </c>
      <c r="E628" s="37"/>
      <c r="F628" s="108" t="str">
        <f>+VLOOKUP(PROVEEDORES[[#This Row],[PROVEEDOR]],TERCEROS_INFO[[PROVEEDOR]:[CORREO]],5,FALSE)</f>
        <v>yermingg@hotmail.com;girlesa.ruiz@servipilas.com;joriescobar64@gmail.com</v>
      </c>
      <c r="G628" s="143">
        <v>44411</v>
      </c>
      <c r="H628" s="38" t="s">
        <v>302</v>
      </c>
      <c r="I628" s="30">
        <v>44362</v>
      </c>
      <c r="J628" s="58" t="s">
        <v>1153</v>
      </c>
      <c r="K628" s="32">
        <v>255000</v>
      </c>
      <c r="L628" s="32"/>
      <c r="M628" s="33">
        <f>(PROVEEDORES[[#This Row],[SUBTOTAL]]-PROVEEDORES[[#This Row],[descuento antes de IVA]])*VLOOKUP(PROVEEDORES[[#This Row],[PROVEEDOR]],TERCEROS_INFO[#All],3,FALSE)</f>
        <v>0</v>
      </c>
      <c r="N628" s="34"/>
      <c r="O628" s="33">
        <f>+PROVEEDORES[[#This Row],[Descuento sobre subtotal %]]*(PROVEEDORES[[#This Row],[SUBTOTAL]]-PROVEEDORES[[#This Row],[descuento antes de IVA]])</f>
        <v>0</v>
      </c>
      <c r="P6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8" s="33">
        <f>+(PROVEEDORES[[#This Row],[SUBTOTAL]]-PROVEEDORES[[#This Row],[descuento antes de IVA]])*PROVEEDORES[[#This Row],[Rete Fuente %]]</f>
        <v>0</v>
      </c>
      <c r="R628" s="32">
        <f>+PROVEEDORES[[#This Row],[SUBTOTAL]]+PROVEEDORES[[#This Row],[IVA 19%]]-PROVEEDORES[[#This Row],[descuento antes de IVA]]-PROVEEDORES[[#This Row],[Descuento sobre subtotal $]]-PROVEEDORES[[#This Row],[Rete Fuente $]]</f>
        <v>255000</v>
      </c>
      <c r="S628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8" s="40"/>
      <c r="U628" s="97"/>
      <c r="V628" s="36"/>
      <c r="W628" s="36"/>
      <c r="X628" s="36"/>
      <c r="Y628" s="36"/>
      <c r="Z628" s="41"/>
      <c r="AA628" s="42"/>
      <c r="AF628" s="36"/>
      <c r="AG628" s="36"/>
    </row>
    <row r="629" spans="1:33" ht="21.95" hidden="1" customHeight="1" x14ac:dyDescent="0.25">
      <c r="A629" s="126" t="str">
        <f>+IF(PROVEEDORES[[#This Row],[FECHA DE PAGO]]=PROVEEDORES[[#This Row],[FECHA DE FACTURACIÓN]],"DE CONTADO","CRÉDITO")</f>
        <v>CRÉDITO</v>
      </c>
      <c r="B629" s="70" t="str">
        <f>+IF((PROVEEDORES[[#This Row],[FECHA DE PAGO]]-PROVEEDORES[[#This Row],[FECHA DE FACTURACIÓN]])&gt;PROVEEDORES[[#This Row],[PLAZO Días]],"PAGO VENCIDO")</f>
        <v>PAGO VENCIDO</v>
      </c>
      <c r="C629" s="27">
        <f>+VLOOKUP(PROVEEDORES[[#This Row],[PROVEEDOR]],TERCEROS_INFO[#All],2,FALSE)</f>
        <v>30</v>
      </c>
      <c r="D629" s="37">
        <f>+SUMIFS(PROVEEDORES[Total],PROVEEDORES[PROVEEDOR],PROVEEDORES[[#This Row],[PROVEEDOR]],PROVEEDORES[FECHA DE PAGO],"")</f>
        <v>998250</v>
      </c>
      <c r="E629" s="37"/>
      <c r="F629" s="108" t="str">
        <f>+VLOOKUP(PROVEEDORES[[#This Row],[PROVEEDOR]],TERCEROS_INFO[[PROVEEDOR]:[CORREO]],5,FALSE)</f>
        <v>yermingg@hotmail.com;girlesa.ruiz@servipilas.com;joriescobar64@gmail.com</v>
      </c>
      <c r="G629" s="143">
        <v>44411</v>
      </c>
      <c r="H629" s="38" t="s">
        <v>302</v>
      </c>
      <c r="I629" s="30">
        <v>44362</v>
      </c>
      <c r="J629" s="58" t="s">
        <v>1154</v>
      </c>
      <c r="K629" s="32">
        <v>1418000</v>
      </c>
      <c r="L629" s="32"/>
      <c r="M629" s="33">
        <f>(PROVEEDORES[[#This Row],[SUBTOTAL]]-PROVEEDORES[[#This Row],[descuento antes de IVA]])*VLOOKUP(PROVEEDORES[[#This Row],[PROVEEDOR]],TERCEROS_INFO[#All],3,FALSE)</f>
        <v>0</v>
      </c>
      <c r="N629" s="34"/>
      <c r="O629" s="33">
        <f>+PROVEEDORES[[#This Row],[Descuento sobre subtotal %]]*(PROVEEDORES[[#This Row],[SUBTOTAL]]-PROVEEDORES[[#This Row],[descuento antes de IVA]])</f>
        <v>0</v>
      </c>
      <c r="P6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29" s="33">
        <f>+(PROVEEDORES[[#This Row],[SUBTOTAL]]-PROVEEDORES[[#This Row],[descuento antes de IVA]])*PROVEEDORES[[#This Row],[Rete Fuente %]]</f>
        <v>0</v>
      </c>
      <c r="R629" s="32">
        <f>+PROVEEDORES[[#This Row],[SUBTOTAL]]+PROVEEDORES[[#This Row],[IVA 19%]]-PROVEEDORES[[#This Row],[descuento antes de IVA]]-PROVEEDORES[[#This Row],[Descuento sobre subtotal $]]-PROVEEDORES[[#This Row],[Rete Fuente $]]</f>
        <v>1418000</v>
      </c>
      <c r="S629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9" s="40"/>
      <c r="U629" s="97"/>
      <c r="V629" s="36"/>
      <c r="W629" s="36"/>
      <c r="X629" s="36"/>
      <c r="Y629" s="36"/>
      <c r="Z629" s="41"/>
      <c r="AA629" s="42"/>
      <c r="AF629" s="36"/>
      <c r="AG629" s="36"/>
    </row>
    <row r="630" spans="1:33" ht="21.95" hidden="1" customHeight="1" x14ac:dyDescent="0.25">
      <c r="A630" s="134" t="str">
        <f>+IF(PROVEEDORES[[#This Row],[FECHA DE PAGO]]=PROVEEDORES[[#This Row],[FECHA DE FACTURACIÓN]],"DE CONTADO","CRÉDITO")</f>
        <v>CRÉDITO</v>
      </c>
      <c r="B630" s="70" t="str">
        <f>+IF((PROVEEDORES[[#This Row],[FECHA DE PAGO]]-PROVEEDORES[[#This Row],[FECHA DE FACTURACIÓN]])&gt;PROVEEDORES[[#This Row],[PLAZO Días]],"PAGO VENCIDO")</f>
        <v>PAGO VENCIDO</v>
      </c>
      <c r="C630" s="27">
        <f>+VLOOKUP(PROVEEDORES[[#This Row],[PROVEEDOR]],TERCEROS_INFO[#All],2,FALSE)</f>
        <v>30</v>
      </c>
      <c r="D630" s="37">
        <f>+SUMIFS(PROVEEDORES[Total],PROVEEDORES[PROVEEDOR],PROVEEDORES[[#This Row],[PROVEEDOR]],PROVEEDORES[FECHA DE PAGO],"")</f>
        <v>998250</v>
      </c>
      <c r="E630" s="37"/>
      <c r="F630" s="108" t="str">
        <f>+VLOOKUP(PROVEEDORES[[#This Row],[PROVEEDOR]],TERCEROS_INFO[[PROVEEDOR]:[CORREO]],5,FALSE)</f>
        <v>yermingg@hotmail.com;girlesa.ruiz@servipilas.com;joriescobar64@gmail.com</v>
      </c>
      <c r="G630" s="143">
        <v>44442</v>
      </c>
      <c r="H630" s="38" t="s">
        <v>302</v>
      </c>
      <c r="I630" s="30">
        <v>44390</v>
      </c>
      <c r="J630" s="58" t="s">
        <v>1184</v>
      </c>
      <c r="K630" s="32">
        <v>1470000</v>
      </c>
      <c r="L630" s="32"/>
      <c r="M630" s="33">
        <f>(PROVEEDORES[[#This Row],[SUBTOTAL]]-PROVEEDORES[[#This Row],[descuento antes de IVA]])*VLOOKUP(PROVEEDORES[[#This Row],[PROVEEDOR]],TERCEROS_INFO[#All],3,FALSE)</f>
        <v>0</v>
      </c>
      <c r="N630" s="34"/>
      <c r="O630" s="33">
        <f>+PROVEEDORES[[#This Row],[Descuento sobre subtotal %]]*(PROVEEDORES[[#This Row],[SUBTOTAL]]-PROVEEDORES[[#This Row],[descuento antes de IVA]])</f>
        <v>0</v>
      </c>
      <c r="P6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0" s="33">
        <f>+(PROVEEDORES[[#This Row],[SUBTOTAL]]-PROVEEDORES[[#This Row],[descuento antes de IVA]])*PROVEEDORES[[#This Row],[Rete Fuente %]]</f>
        <v>0</v>
      </c>
      <c r="R630" s="32">
        <f>+PROVEEDORES[[#This Row],[SUBTOTAL]]+PROVEEDORES[[#This Row],[IVA 19%]]-PROVEEDORES[[#This Row],[descuento antes de IVA]]-PROVEEDORES[[#This Row],[Descuento sobre subtotal $]]-PROVEEDORES[[#This Row],[Rete Fuente $]]</f>
        <v>1470000</v>
      </c>
      <c r="S630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0" s="40"/>
      <c r="U630" s="97"/>
      <c r="V630" s="36"/>
      <c r="W630" s="36"/>
      <c r="X630" s="36"/>
      <c r="Y630" s="36"/>
      <c r="Z630" s="41"/>
      <c r="AA630" s="42"/>
      <c r="AF630" s="36"/>
      <c r="AG630" s="36"/>
    </row>
    <row r="631" spans="1:33" ht="21.95" hidden="1" customHeight="1" x14ac:dyDescent="0.25">
      <c r="A631" s="141" t="str">
        <f>+IF(PROVEEDORES[[#This Row],[FECHA DE PAGO]]=PROVEEDORES[[#This Row],[FECHA DE FACTURACIÓN]],"DE CONTADO","CRÉDITO")</f>
        <v>CRÉDITO</v>
      </c>
      <c r="B631" s="70" t="str">
        <f>+IF((PROVEEDORES[[#This Row],[FECHA DE PAGO]]-PROVEEDORES[[#This Row],[FECHA DE FACTURACIÓN]])&gt;PROVEEDORES[[#This Row],[PLAZO Días]],"PAGO VENCIDO")</f>
        <v>PAGO VENCIDO</v>
      </c>
      <c r="C631" s="27">
        <v>1</v>
      </c>
      <c r="D631" s="37">
        <f>+SUMIFS(PROVEEDORES[Total],PROVEEDORES[PROVEEDOR],PROVEEDORES[[#This Row],[PROVEEDOR]],PROVEEDORES[FECHA DE PAGO],"")</f>
        <v>998250</v>
      </c>
      <c r="E631" s="37" t="s">
        <v>849</v>
      </c>
      <c r="F631" s="108" t="str">
        <f>+VLOOKUP(PROVEEDORES[[#This Row],[PROVEEDOR]],TERCEROS_INFO[[PROVEEDOR]:[CORREO]],5,FALSE)</f>
        <v>yermingg@hotmail.com;girlesa.ruiz@servipilas.com;joriescobar64@gmail.com</v>
      </c>
      <c r="G631" s="143">
        <v>44442</v>
      </c>
      <c r="H631" s="38" t="s">
        <v>302</v>
      </c>
      <c r="I631" s="30">
        <v>44420</v>
      </c>
      <c r="J631" s="58" t="s">
        <v>1210</v>
      </c>
      <c r="K631" s="32">
        <v>-48000</v>
      </c>
      <c r="L631" s="32"/>
      <c r="M631" s="33">
        <f>(PROVEEDORES[[#This Row],[SUBTOTAL]]-PROVEEDORES[[#This Row],[descuento antes de IVA]])*VLOOKUP(PROVEEDORES[[#This Row],[PROVEEDOR]],TERCEROS_INFO[#All],3,FALSE)</f>
        <v>0</v>
      </c>
      <c r="N631" s="34"/>
      <c r="O631" s="33">
        <f>+PROVEEDORES[[#This Row],[Descuento sobre subtotal %]]*(PROVEEDORES[[#This Row],[SUBTOTAL]]-PROVEEDORES[[#This Row],[descuento antes de IVA]])</f>
        <v>0</v>
      </c>
      <c r="P6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1" s="33">
        <f>+(PROVEEDORES[[#This Row],[SUBTOTAL]]-PROVEEDORES[[#This Row],[descuento antes de IVA]])*PROVEEDORES[[#This Row],[Rete Fuente %]]</f>
        <v>0</v>
      </c>
      <c r="R631" s="32">
        <f>+PROVEEDORES[[#This Row],[SUBTOTAL]]+PROVEEDORES[[#This Row],[IVA 19%]]-PROVEEDORES[[#This Row],[descuento antes de IVA]]-PROVEEDORES[[#This Row],[Descuento sobre subtotal $]]-PROVEEDORES[[#This Row],[Rete Fuente $]]</f>
        <v>-48000</v>
      </c>
      <c r="S631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1" s="40"/>
      <c r="U631" s="97"/>
      <c r="V631" s="36"/>
      <c r="W631" s="36"/>
      <c r="X631" s="36"/>
      <c r="Y631" s="36"/>
      <c r="Z631" s="41"/>
      <c r="AA631" s="42"/>
      <c r="AF631" s="36"/>
      <c r="AG631" s="36"/>
    </row>
    <row r="632" spans="1:33" ht="21.95" hidden="1" customHeight="1" x14ac:dyDescent="0.25">
      <c r="A632" s="151" t="str">
        <f>+IF(PROVEEDORES[[#This Row],[FECHA DE PAGO]]=PROVEEDORES[[#This Row],[FECHA DE FACTURACIÓN]],"DE CONTADO","CRÉDITO")</f>
        <v>CRÉDITO</v>
      </c>
      <c r="B632" s="70" t="str">
        <f>+IF((PROVEEDORES[[#This Row],[FECHA DE PAGO]]-PROVEEDORES[[#This Row],[FECHA DE FACTURACIÓN]])&gt;PROVEEDORES[[#This Row],[PLAZO Días]],"PAGO VENCIDO")</f>
        <v>PAGO VENCIDO</v>
      </c>
      <c r="C632" s="27">
        <f>+VLOOKUP(PROVEEDORES[[#This Row],[PROVEEDOR]],TERCEROS_INFO[#All],2,FALSE)</f>
        <v>30</v>
      </c>
      <c r="D632" s="37">
        <f>+SUMIFS(PROVEEDORES[Total],PROVEEDORES[PROVEEDOR],PROVEEDORES[[#This Row],[PROVEEDOR]],PROVEEDORES[FECHA DE PAGO],"")</f>
        <v>998250</v>
      </c>
      <c r="E632" s="37"/>
      <c r="F632" s="108" t="str">
        <f>+VLOOKUP(PROVEEDORES[[#This Row],[PROVEEDOR]],TERCEROS_INFO[[PROVEEDOR]:[CORREO]],5,FALSE)</f>
        <v>yermingg@hotmail.com;girlesa.ruiz@servipilas.com;joriescobar64@gmail.com</v>
      </c>
      <c r="G632" s="143">
        <v>44509</v>
      </c>
      <c r="H632" s="38" t="s">
        <v>302</v>
      </c>
      <c r="I632" s="30">
        <v>44445</v>
      </c>
      <c r="J632" s="58" t="s">
        <v>1236</v>
      </c>
      <c r="K632" s="32">
        <v>1370000</v>
      </c>
      <c r="L632" s="32"/>
      <c r="M632" s="33">
        <f>(PROVEEDORES[[#This Row],[SUBTOTAL]]-PROVEEDORES[[#This Row],[descuento antes de IVA]])*VLOOKUP(PROVEEDORES[[#This Row],[PROVEEDOR]],TERCEROS_INFO[#All],3,FALSE)</f>
        <v>0</v>
      </c>
      <c r="N632" s="34"/>
      <c r="O632" s="33">
        <f>+PROVEEDORES[[#This Row],[Descuento sobre subtotal %]]*(PROVEEDORES[[#This Row],[SUBTOTAL]]-PROVEEDORES[[#This Row],[descuento antes de IVA]])</f>
        <v>0</v>
      </c>
      <c r="P6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2" s="33">
        <f>+(PROVEEDORES[[#This Row],[SUBTOTAL]]-PROVEEDORES[[#This Row],[descuento antes de IVA]])*PROVEEDORES[[#This Row],[Rete Fuente %]]</f>
        <v>0</v>
      </c>
      <c r="R632" s="32">
        <f>+PROVEEDORES[[#This Row],[SUBTOTAL]]+PROVEEDORES[[#This Row],[IVA 19%]]-PROVEEDORES[[#This Row],[descuento antes de IVA]]-PROVEEDORES[[#This Row],[Descuento sobre subtotal $]]-PROVEEDORES[[#This Row],[Rete Fuente $]]</f>
        <v>1370000</v>
      </c>
      <c r="S632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2" s="40"/>
      <c r="U632" s="97"/>
      <c r="V632" s="36"/>
      <c r="W632" s="36"/>
      <c r="X632" s="36"/>
      <c r="Y632" s="36"/>
      <c r="Z632" s="41"/>
      <c r="AA632" s="42"/>
      <c r="AF632" s="36"/>
      <c r="AG632" s="36"/>
    </row>
    <row r="633" spans="1:33" ht="21.95" hidden="1" customHeight="1" x14ac:dyDescent="0.25">
      <c r="A633" s="151" t="str">
        <f>+IF(PROVEEDORES[[#This Row],[FECHA DE PAGO]]=PROVEEDORES[[#This Row],[FECHA DE FACTURACIÓN]],"DE CONTADO","CRÉDITO")</f>
        <v>CRÉDITO</v>
      </c>
      <c r="B633" s="70" t="str">
        <f>+IF((PROVEEDORES[[#This Row],[FECHA DE PAGO]]-PROVEEDORES[[#This Row],[FECHA DE FACTURACIÓN]])&gt;PROVEEDORES[[#This Row],[PLAZO Días]],"PAGO VENCIDO")</f>
        <v>PAGO VENCIDO</v>
      </c>
      <c r="C633" s="27">
        <f>+VLOOKUP(PROVEEDORES[[#This Row],[PROVEEDOR]],TERCEROS_INFO[#All],2,FALSE)</f>
        <v>30</v>
      </c>
      <c r="D633" s="37">
        <f>+SUMIFS(PROVEEDORES[Total],PROVEEDORES[PROVEEDOR],PROVEEDORES[[#This Row],[PROVEEDOR]],PROVEEDORES[FECHA DE PAGO],"")</f>
        <v>998250</v>
      </c>
      <c r="E633" s="37"/>
      <c r="F633" s="108" t="str">
        <f>+VLOOKUP(PROVEEDORES[[#This Row],[PROVEEDOR]],TERCEROS_INFO[[PROVEEDOR]:[CORREO]],5,FALSE)</f>
        <v>yermingg@hotmail.com;girlesa.ruiz@servipilas.com;joriescobar64@gmail.com</v>
      </c>
      <c r="G633" s="143">
        <v>44509</v>
      </c>
      <c r="H633" s="38" t="s">
        <v>302</v>
      </c>
      <c r="I633" s="30">
        <v>44445</v>
      </c>
      <c r="J633" s="58" t="s">
        <v>1237</v>
      </c>
      <c r="K633" s="32">
        <v>748000</v>
      </c>
      <c r="L633" s="32"/>
      <c r="M633" s="33">
        <f>(PROVEEDORES[[#This Row],[SUBTOTAL]]-PROVEEDORES[[#This Row],[descuento antes de IVA]])*VLOOKUP(PROVEEDORES[[#This Row],[PROVEEDOR]],TERCEROS_INFO[#All],3,FALSE)</f>
        <v>0</v>
      </c>
      <c r="N633" s="34"/>
      <c r="O633" s="33">
        <f>+PROVEEDORES[[#This Row],[Descuento sobre subtotal %]]*(PROVEEDORES[[#This Row],[SUBTOTAL]]-PROVEEDORES[[#This Row],[descuento antes de IVA]])</f>
        <v>0</v>
      </c>
      <c r="P6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3" s="33">
        <f>+(PROVEEDORES[[#This Row],[SUBTOTAL]]-PROVEEDORES[[#This Row],[descuento antes de IVA]])*PROVEEDORES[[#This Row],[Rete Fuente %]]</f>
        <v>0</v>
      </c>
      <c r="R633" s="32">
        <f>+PROVEEDORES[[#This Row],[SUBTOTAL]]+PROVEEDORES[[#This Row],[IVA 19%]]-PROVEEDORES[[#This Row],[descuento antes de IVA]]-PROVEEDORES[[#This Row],[Descuento sobre subtotal $]]-PROVEEDORES[[#This Row],[Rete Fuente $]]</f>
        <v>748000</v>
      </c>
      <c r="S633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3" s="40"/>
      <c r="U633" s="97"/>
      <c r="V633" s="36"/>
      <c r="W633" s="36"/>
      <c r="X633" s="36"/>
      <c r="Y633" s="36"/>
      <c r="Z633" s="41"/>
      <c r="AA633" s="42"/>
      <c r="AF633" s="36"/>
      <c r="AG633" s="36"/>
    </row>
    <row r="634" spans="1:33" ht="21.95" hidden="1" customHeight="1" x14ac:dyDescent="0.25">
      <c r="A634" s="164" t="str">
        <f>+IF(PROVEEDORES[[#This Row],[FECHA DE PAGO]]=PROVEEDORES[[#This Row],[FECHA DE FACTURACIÓN]],"DE CONTADO","CRÉDITO")</f>
        <v>CRÉDITO</v>
      </c>
      <c r="B634" s="70" t="b">
        <f>+IF((PROVEEDORES[[#This Row],[FECHA DE PAGO]]-PROVEEDORES[[#This Row],[FECHA DE FACTURACIÓN]])&gt;PROVEEDORES[[#This Row],[PLAZO Días]],"PAGO VENCIDO")</f>
        <v>0</v>
      </c>
      <c r="C634" s="27">
        <f>+VLOOKUP(PROVEEDORES[[#This Row],[PROVEEDOR]],TERCEROS_INFO[#All],2,FALSE)</f>
        <v>30</v>
      </c>
      <c r="D634" s="37">
        <f>+SUMIFS(PROVEEDORES[Total],PROVEEDORES[PROVEEDOR],PROVEEDORES[[#This Row],[PROVEEDOR]],PROVEEDORES[FECHA DE PAGO],"")</f>
        <v>998250</v>
      </c>
      <c r="E634" s="37"/>
      <c r="F634" s="108" t="str">
        <f>+VLOOKUP(PROVEEDORES[[#This Row],[PROVEEDOR]],TERCEROS_INFO[[PROVEEDOR]:[CORREO]],5,FALSE)</f>
        <v>yermingg@hotmail.com;girlesa.ruiz@servipilas.com;joriescobar64@gmail.com</v>
      </c>
      <c r="H634" s="38" t="s">
        <v>302</v>
      </c>
      <c r="I634" s="30">
        <v>44511</v>
      </c>
      <c r="J634" s="58" t="s">
        <v>1300</v>
      </c>
      <c r="K634" s="32">
        <v>942000</v>
      </c>
      <c r="L634" s="32"/>
      <c r="M634" s="33">
        <f>(PROVEEDORES[[#This Row],[SUBTOTAL]]-PROVEEDORES[[#This Row],[descuento antes de IVA]])*VLOOKUP(PROVEEDORES[[#This Row],[PROVEEDOR]],TERCEROS_INFO[#All],3,FALSE)</f>
        <v>0</v>
      </c>
      <c r="N634" s="34"/>
      <c r="O634" s="33">
        <f>+PROVEEDORES[[#This Row],[Descuento sobre subtotal %]]*(PROVEEDORES[[#This Row],[SUBTOTAL]]-PROVEEDORES[[#This Row],[descuento antes de IVA]])</f>
        <v>0</v>
      </c>
      <c r="P6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4" s="33">
        <f>+(PROVEEDORES[[#This Row],[SUBTOTAL]]-PROVEEDORES[[#This Row],[descuento antes de IVA]])*PROVEEDORES[[#This Row],[Rete Fuente %]]</f>
        <v>0</v>
      </c>
      <c r="R634" s="32">
        <f>+PROVEEDORES[[#This Row],[SUBTOTAL]]+PROVEEDORES[[#This Row],[IVA 19%]]-PROVEEDORES[[#This Row],[descuento antes de IVA]]-PROVEEDORES[[#This Row],[Descuento sobre subtotal $]]-PROVEEDORES[[#This Row],[Rete Fuente $]]</f>
        <v>942000</v>
      </c>
      <c r="S634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634" s="40"/>
      <c r="U634" s="97"/>
      <c r="V634" s="36"/>
      <c r="W634" s="36"/>
      <c r="X634" s="36"/>
      <c r="Y634" s="36"/>
      <c r="Z634" s="41"/>
      <c r="AA634" s="42"/>
      <c r="AF634" s="36"/>
      <c r="AG634" s="36"/>
    </row>
    <row r="635" spans="1:33" ht="21.95" hidden="1" customHeight="1" x14ac:dyDescent="0.25">
      <c r="A635" s="167" t="str">
        <f>+IF(PROVEEDORES[[#This Row],[FECHA DE PAGO]]=PROVEEDORES[[#This Row],[FECHA DE FACTURACIÓN]],"DE CONTADO","CRÉDITO")</f>
        <v>CRÉDITO</v>
      </c>
      <c r="B635" s="70" t="b">
        <f>+IF((PROVEEDORES[[#This Row],[FECHA DE PAGO]]-PROVEEDORES[[#This Row],[FECHA DE FACTURACIÓN]])&gt;PROVEEDORES[[#This Row],[PLAZO Días]],"PAGO VENCIDO")</f>
        <v>0</v>
      </c>
      <c r="C635" s="27">
        <f>+VLOOKUP(PROVEEDORES[[#This Row],[PROVEEDOR]],TERCEROS_INFO[#All],2,FALSE)</f>
        <v>30</v>
      </c>
      <c r="D635" s="37">
        <f>+SUMIFS(PROVEEDORES[Total],PROVEEDORES[PROVEEDOR],PROVEEDORES[[#This Row],[PROVEEDOR]],PROVEEDORES[FECHA DE PAGO],"")</f>
        <v>998250</v>
      </c>
      <c r="E635" s="37"/>
      <c r="F635" s="108" t="str">
        <f>+VLOOKUP(PROVEEDORES[[#This Row],[PROVEEDOR]],TERCEROS_INFO[[PROVEEDOR]:[CORREO]],5,FALSE)</f>
        <v>yermingg@hotmail.com;girlesa.ruiz@servipilas.com;joriescobar64@gmail.com</v>
      </c>
      <c r="H635" s="38" t="s">
        <v>302</v>
      </c>
      <c r="I635" s="30">
        <v>44529</v>
      </c>
      <c r="J635" s="58" t="s">
        <v>1309</v>
      </c>
      <c r="K635" s="32">
        <v>56250</v>
      </c>
      <c r="L635" s="32"/>
      <c r="M635" s="33">
        <f>(PROVEEDORES[[#This Row],[SUBTOTAL]]-PROVEEDORES[[#This Row],[descuento antes de IVA]])*VLOOKUP(PROVEEDORES[[#This Row],[PROVEEDOR]],TERCEROS_INFO[#All],3,FALSE)</f>
        <v>0</v>
      </c>
      <c r="N635" s="34"/>
      <c r="O635" s="33">
        <f>+PROVEEDORES[[#This Row],[Descuento sobre subtotal %]]*(PROVEEDORES[[#This Row],[SUBTOTAL]]-PROVEEDORES[[#This Row],[descuento antes de IVA]])</f>
        <v>0</v>
      </c>
      <c r="P6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5" s="33">
        <f>+(PROVEEDORES[[#This Row],[SUBTOTAL]]-PROVEEDORES[[#This Row],[descuento antes de IVA]])*PROVEEDORES[[#This Row],[Rete Fuente %]]</f>
        <v>0</v>
      </c>
      <c r="R635" s="32">
        <f>+PROVEEDORES[[#This Row],[SUBTOTAL]]+PROVEEDORES[[#This Row],[IVA 19%]]-PROVEEDORES[[#This Row],[descuento antes de IVA]]-PROVEEDORES[[#This Row],[Descuento sobre subtotal $]]-PROVEEDORES[[#This Row],[Rete Fuente $]]</f>
        <v>56250</v>
      </c>
      <c r="S635" s="16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635" s="40"/>
      <c r="U635" s="97"/>
      <c r="V635" s="36"/>
      <c r="W635" s="36"/>
      <c r="X635" s="36"/>
      <c r="Y635" s="36"/>
      <c r="Z635" s="41"/>
      <c r="AA635" s="42"/>
      <c r="AF635" s="36"/>
      <c r="AG635" s="36"/>
    </row>
    <row r="636" spans="1:33" ht="21.95" hidden="1" customHeight="1" x14ac:dyDescent="0.25">
      <c r="A636" s="156" t="str">
        <f>+IF(PROVEEDORES[[#This Row],[FECHA DE PAGO]]=PROVEEDORES[[#This Row],[FECHA DE FACTURACIÓN]],"DE CONTADO","CRÉDITO")</f>
        <v>DE CONTADO</v>
      </c>
      <c r="B636" s="70" t="b">
        <f>+IF((PROVEEDORES[[#This Row],[FECHA DE PAGO]]-PROVEEDORES[[#This Row],[FECHA DE FACTURACIÓN]])&gt;PROVEEDORES[[#This Row],[PLAZO Días]],"PAGO VENCIDO")</f>
        <v>0</v>
      </c>
      <c r="C636" s="27">
        <f>+VLOOKUP(PROVEEDORES[[#This Row],[PROVEEDOR]],TERCEROS_INFO[#All],2,FALSE)</f>
        <v>30</v>
      </c>
      <c r="D636" s="37">
        <f>+SUMIFS(PROVEEDORES[Total],PROVEEDORES[PROVEEDOR],PROVEEDORES[[#This Row],[PROVEEDOR]],PROVEEDORES[FECHA DE PAGO],"")</f>
        <v>0</v>
      </c>
      <c r="E636" s="37"/>
      <c r="F636" s="108">
        <f>+VLOOKUP(PROVEEDORES[[#This Row],[PROVEEDOR]],TERCEROS_INFO[[PROVEEDOR]:[CORREO]],5,FALSE)</f>
        <v>0</v>
      </c>
      <c r="G636" s="30">
        <v>44470</v>
      </c>
      <c r="H636" s="57" t="s">
        <v>892</v>
      </c>
      <c r="I636" s="30">
        <v>44470</v>
      </c>
      <c r="J636" s="58" t="s">
        <v>1262</v>
      </c>
      <c r="K636" s="32">
        <v>1170000</v>
      </c>
      <c r="L636" s="32"/>
      <c r="M636" s="33">
        <f>(PROVEEDORES[[#This Row],[SUBTOTAL]]-PROVEEDORES[[#This Row],[descuento antes de IVA]])*VLOOKUP(PROVEEDORES[[#This Row],[PROVEEDOR]],TERCEROS_INFO[#All],3,FALSE)</f>
        <v>0</v>
      </c>
      <c r="N636" s="34"/>
      <c r="O636" s="33">
        <f>+PROVEEDORES[[#This Row],[Descuento sobre subtotal %]]*(PROVEEDORES[[#This Row],[SUBTOTAL]]-PROVEEDORES[[#This Row],[descuento antes de IVA]])</f>
        <v>0</v>
      </c>
      <c r="P6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6" s="33">
        <f>+(PROVEEDORES[[#This Row],[SUBTOTAL]]-PROVEEDORES[[#This Row],[descuento antes de IVA]])*PROVEEDORES[[#This Row],[Rete Fuente %]]</f>
        <v>0</v>
      </c>
      <c r="R636" s="32">
        <f>+PROVEEDORES[[#This Row],[SUBTOTAL]]+PROVEEDORES[[#This Row],[IVA 19%]]-PROVEEDORES[[#This Row],[descuento antes de IVA]]-PROVEEDORES[[#This Row],[Descuento sobre subtotal $]]-PROVEEDORES[[#This Row],[Rete Fuente $]]</f>
        <v>1170000</v>
      </c>
      <c r="S636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6" s="40"/>
      <c r="U636" s="97"/>
      <c r="V636" s="36"/>
      <c r="W636" s="36"/>
      <c r="X636" s="36"/>
      <c r="Y636" s="36"/>
      <c r="Z636" s="41"/>
      <c r="AA636" s="42"/>
      <c r="AF636" s="36"/>
      <c r="AG636" s="36"/>
    </row>
    <row r="637" spans="1:33" ht="21.95" hidden="1" customHeight="1" x14ac:dyDescent="0.25">
      <c r="A637" s="156" t="str">
        <f>+IF(PROVEEDORES[[#This Row],[FECHA DE PAGO]]=PROVEEDORES[[#This Row],[FECHA DE FACTURACIÓN]],"DE CONTADO","CRÉDITO")</f>
        <v>DE CONTADO</v>
      </c>
      <c r="B637" s="70" t="b">
        <f>+IF((PROVEEDORES[[#This Row],[FECHA DE PAGO]]-PROVEEDORES[[#This Row],[FECHA DE FACTURACIÓN]])&gt;PROVEEDORES[[#This Row],[PLAZO Días]],"PAGO VENCIDO")</f>
        <v>0</v>
      </c>
      <c r="C637" s="27">
        <f>+VLOOKUP(PROVEEDORES[[#This Row],[PROVEEDOR]],TERCEROS_INFO[#All],2,FALSE)</f>
        <v>30</v>
      </c>
      <c r="D637" s="37">
        <f>+SUMIFS(PROVEEDORES[Total],PROVEEDORES[PROVEEDOR],PROVEEDORES[[#This Row],[PROVEEDOR]],PROVEEDORES[FECHA DE PAGO],"")</f>
        <v>0</v>
      </c>
      <c r="E637" s="37"/>
      <c r="F637" s="108">
        <f>+VLOOKUP(PROVEEDORES[[#This Row],[PROVEEDOR]],TERCEROS_INFO[[PROVEEDOR]:[CORREO]],5,FALSE)</f>
        <v>0</v>
      </c>
      <c r="G637" s="30">
        <v>44477</v>
      </c>
      <c r="H637" s="57" t="s">
        <v>892</v>
      </c>
      <c r="I637" s="30">
        <v>44477</v>
      </c>
      <c r="J637" s="58" t="s">
        <v>1271</v>
      </c>
      <c r="K637" s="32">
        <v>468000</v>
      </c>
      <c r="L637" s="32"/>
      <c r="M637" s="33">
        <f>(PROVEEDORES[[#This Row],[SUBTOTAL]]-PROVEEDORES[[#This Row],[descuento antes de IVA]])*VLOOKUP(PROVEEDORES[[#This Row],[PROVEEDOR]],TERCEROS_INFO[#All],3,FALSE)</f>
        <v>0</v>
      </c>
      <c r="N637" s="34"/>
      <c r="O637" s="33">
        <f>+PROVEEDORES[[#This Row],[Descuento sobre subtotal %]]*(PROVEEDORES[[#This Row],[SUBTOTAL]]-PROVEEDORES[[#This Row],[descuento antes de IVA]])</f>
        <v>0</v>
      </c>
      <c r="P6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7" s="33">
        <f>+(PROVEEDORES[[#This Row],[SUBTOTAL]]-PROVEEDORES[[#This Row],[descuento antes de IVA]])*PROVEEDORES[[#This Row],[Rete Fuente %]]</f>
        <v>0</v>
      </c>
      <c r="R637" s="32">
        <f>+PROVEEDORES[[#This Row],[SUBTOTAL]]+PROVEEDORES[[#This Row],[IVA 19%]]-PROVEEDORES[[#This Row],[descuento antes de IVA]]-PROVEEDORES[[#This Row],[Descuento sobre subtotal $]]-PROVEEDORES[[#This Row],[Rete Fuente $]]</f>
        <v>468000</v>
      </c>
      <c r="S637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7" s="40"/>
      <c r="U637" s="97"/>
      <c r="V637" s="36"/>
      <c r="W637" s="36"/>
      <c r="X637" s="36"/>
      <c r="Y637" s="36"/>
      <c r="Z637" s="41"/>
      <c r="AA637" s="42"/>
      <c r="AF637" s="36"/>
      <c r="AG637" s="36"/>
    </row>
    <row r="638" spans="1:33" ht="21.95" hidden="1" customHeight="1" x14ac:dyDescent="0.25">
      <c r="A638" s="35" t="str">
        <f>+IF(PROVEEDORES[[#This Row],[FECHA DE PAGO]]=PROVEEDORES[[#This Row],[FECHA DE FACTURACIÓN]],"DE CONTADO","CRÉDITO")</f>
        <v>CRÉDITO</v>
      </c>
      <c r="B638" s="70" t="b">
        <f>+IF((PROVEEDORES[[#This Row],[FECHA DE PAGO]]-PROVEEDORES[[#This Row],[FECHA DE FACTURACIÓN]])&gt;PROVEEDORES[[#This Row],[PLAZO Días]],"PAGO VENCIDO")</f>
        <v>0</v>
      </c>
      <c r="C638" s="27">
        <f>+VLOOKUP(PROVEEDORES[[#This Row],[PROVEEDOR]],TERCEROS_INFO[#All],2,FALSE)</f>
        <v>30</v>
      </c>
      <c r="D638" s="37">
        <f>+SUMIFS(PROVEEDORES[Total],PROVEEDORES[PROVEEDOR],PROVEEDORES[[#This Row],[PROVEEDOR]],PROVEEDORES[FECHA DE PAGO],"")</f>
        <v>0</v>
      </c>
      <c r="E638" s="37"/>
      <c r="F638" s="108">
        <f>+VLOOKUP(PROVEEDORES[[#This Row],[PROVEEDOR]],TERCEROS_INFO[[PROVEEDOR]:[CORREO]],5,FALSE)</f>
        <v>0</v>
      </c>
      <c r="G638" s="143">
        <v>44543</v>
      </c>
      <c r="H638" s="57" t="s">
        <v>892</v>
      </c>
      <c r="I638" s="30">
        <v>44539</v>
      </c>
      <c r="J638" s="58" t="s">
        <v>1320</v>
      </c>
      <c r="K638" s="32">
        <v>1001000</v>
      </c>
      <c r="L638" s="32"/>
      <c r="M638" s="33">
        <f>(PROVEEDORES[[#This Row],[SUBTOTAL]]-PROVEEDORES[[#This Row],[descuento antes de IVA]])*VLOOKUP(PROVEEDORES[[#This Row],[PROVEEDOR]],TERCEROS_INFO[#All],3,FALSE)</f>
        <v>0</v>
      </c>
      <c r="N638" s="34"/>
      <c r="O638" s="33">
        <f>+PROVEEDORES[[#This Row],[Descuento sobre subtotal %]]*(PROVEEDORES[[#This Row],[SUBTOTAL]]-PROVEEDORES[[#This Row],[descuento antes de IVA]])</f>
        <v>0</v>
      </c>
      <c r="P6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8" s="33">
        <f>+(PROVEEDORES[[#This Row],[SUBTOTAL]]-PROVEEDORES[[#This Row],[descuento antes de IVA]])*PROVEEDORES[[#This Row],[Rete Fuente %]]</f>
        <v>0</v>
      </c>
      <c r="R638" s="32">
        <f>+PROVEEDORES[[#This Row],[SUBTOTAL]]+PROVEEDORES[[#This Row],[IVA 19%]]-PROVEEDORES[[#This Row],[descuento antes de IVA]]-PROVEEDORES[[#This Row],[Descuento sobre subtotal $]]-PROVEEDORES[[#This Row],[Rete Fuente $]]</f>
        <v>1001000</v>
      </c>
      <c r="S63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8" s="40"/>
      <c r="U638" s="97"/>
      <c r="V638" s="36"/>
      <c r="W638" s="36"/>
      <c r="X638" s="36"/>
      <c r="Y638" s="36"/>
      <c r="Z638" s="41"/>
      <c r="AA638" s="42"/>
      <c r="AF638" s="36"/>
      <c r="AG638" s="36"/>
    </row>
    <row r="639" spans="1:33" ht="21.95" hidden="1" customHeight="1" x14ac:dyDescent="0.25">
      <c r="A639" s="35" t="str">
        <f>+IF(PROVEEDORES[[#This Row],[FECHA DE PAGO]]=PROVEEDORES[[#This Row],[FECHA DE FACTURACIÓN]],"DE CONTADO","CRÉDITO")</f>
        <v>CRÉDITO</v>
      </c>
      <c r="B639" s="70" t="b">
        <f>+IF((PROVEEDORES[[#This Row],[FECHA DE PAGO]]-PROVEEDORES[[#This Row],[FECHA DE FACTURACIÓN]])&gt;PROVEEDORES[[#This Row],[PLAZO Días]],"PAGO VENCIDO")</f>
        <v>0</v>
      </c>
      <c r="C639" s="27">
        <f>+VLOOKUP(PROVEEDORES[[#This Row],[PROVEEDOR]],TERCEROS_INFO[#All],2,FALSE)</f>
        <v>30</v>
      </c>
      <c r="D639" s="37">
        <f>+SUMIFS(PROVEEDORES[Total],PROVEEDORES[PROVEEDOR],PROVEEDORES[[#This Row],[PROVEEDOR]],PROVEEDORES[FECHA DE PAGO],"")</f>
        <v>0</v>
      </c>
      <c r="E639" s="37"/>
      <c r="F639" s="108">
        <f>+VLOOKUP(PROVEEDORES[[#This Row],[PROVEEDOR]],TERCEROS_INFO[[PROVEEDOR]:[CORREO]],5,FALSE)</f>
        <v>0</v>
      </c>
      <c r="G639" s="143">
        <v>44554</v>
      </c>
      <c r="H639" s="57" t="s">
        <v>892</v>
      </c>
      <c r="I639" s="30">
        <v>44550</v>
      </c>
      <c r="J639" s="58" t="s">
        <v>1325</v>
      </c>
      <c r="K639" s="32">
        <v>1950000</v>
      </c>
      <c r="L639" s="32"/>
      <c r="M639" s="33">
        <f>(PROVEEDORES[[#This Row],[SUBTOTAL]]-PROVEEDORES[[#This Row],[descuento antes de IVA]])*VLOOKUP(PROVEEDORES[[#This Row],[PROVEEDOR]],TERCEROS_INFO[#All],3,FALSE)</f>
        <v>0</v>
      </c>
      <c r="N639" s="34"/>
      <c r="O639" s="33">
        <f>+PROVEEDORES[[#This Row],[Descuento sobre subtotal %]]*(PROVEEDORES[[#This Row],[SUBTOTAL]]-PROVEEDORES[[#This Row],[descuento antes de IVA]])</f>
        <v>0</v>
      </c>
      <c r="P6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39" s="33">
        <f>+(PROVEEDORES[[#This Row],[SUBTOTAL]]-PROVEEDORES[[#This Row],[descuento antes de IVA]])*PROVEEDORES[[#This Row],[Rete Fuente %]]</f>
        <v>0</v>
      </c>
      <c r="R639" s="32">
        <f>+PROVEEDORES[[#This Row],[SUBTOTAL]]+PROVEEDORES[[#This Row],[IVA 19%]]-PROVEEDORES[[#This Row],[descuento antes de IVA]]-PROVEEDORES[[#This Row],[Descuento sobre subtotal $]]-PROVEEDORES[[#This Row],[Rete Fuente $]]</f>
        <v>1950000</v>
      </c>
      <c r="S63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9" s="40"/>
      <c r="U639" s="97"/>
      <c r="V639" s="36"/>
      <c r="W639" s="36"/>
      <c r="X639" s="36"/>
      <c r="Y639" s="36"/>
      <c r="Z639" s="41"/>
      <c r="AA639" s="42"/>
      <c r="AF639" s="36"/>
      <c r="AG639" s="36"/>
    </row>
    <row r="640" spans="1:33" ht="21.95" hidden="1" customHeight="1" x14ac:dyDescent="0.25">
      <c r="A640" s="35" t="str">
        <f>+IF(PROVEEDORES[[#This Row],[FECHA DE PAGO]]=PROVEEDORES[[#This Row],[FECHA DE FACTURACIÓN]],"DE CONTADO","CRÉDITO")</f>
        <v>DE CONTADO</v>
      </c>
      <c r="B640" s="70" t="b">
        <f>+IF((PROVEEDORES[[#This Row],[FECHA DE PAGO]]-PROVEEDORES[[#This Row],[FECHA DE FACTURACIÓN]])&gt;PROVEEDORES[[#This Row],[PLAZO Días]],"PAGO VENCIDO")</f>
        <v>0</v>
      </c>
      <c r="C640" s="27">
        <f>+VLOOKUP(PROVEEDORES[[#This Row],[PROVEEDOR]],TERCEROS_INFO[#All],2,FALSE)</f>
        <v>30</v>
      </c>
      <c r="D640" s="37">
        <f>+SUMIFS(PROVEEDORES[Total],PROVEEDORES[PROVEEDOR],PROVEEDORES[[#This Row],[PROVEEDOR]],PROVEEDORES[FECHA DE PAGO],"")</f>
        <v>0</v>
      </c>
      <c r="E640" s="37"/>
      <c r="F640" s="108">
        <f>+VLOOKUP(PROVEEDORES[[#This Row],[PROVEEDOR]],TERCEROS_INFO[[PROVEEDOR]:[CORREO]],5,FALSE)</f>
        <v>0</v>
      </c>
      <c r="G640" s="30">
        <v>44532</v>
      </c>
      <c r="H640" s="57" t="s">
        <v>997</v>
      </c>
      <c r="I640" s="30">
        <v>44532</v>
      </c>
      <c r="J640" s="58">
        <v>310</v>
      </c>
      <c r="K640" s="32">
        <v>130252</v>
      </c>
      <c r="L640" s="32"/>
      <c r="M640" s="33">
        <f>(PROVEEDORES[[#This Row],[SUBTOTAL]]-PROVEEDORES[[#This Row],[descuento antes de IVA]])*VLOOKUP(PROVEEDORES[[#This Row],[PROVEEDOR]],TERCEROS_INFO[#All],3,FALSE)</f>
        <v>24747.88</v>
      </c>
      <c r="N640" s="34"/>
      <c r="O640" s="33">
        <f>+PROVEEDORES[[#This Row],[Descuento sobre subtotal %]]*(PROVEEDORES[[#This Row],[SUBTOTAL]]-PROVEEDORES[[#This Row],[descuento antes de IVA]])</f>
        <v>0</v>
      </c>
      <c r="P6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40" s="33">
        <f>+(PROVEEDORES[[#This Row],[SUBTOTAL]]-PROVEEDORES[[#This Row],[descuento antes de IVA]])*PROVEEDORES[[#This Row],[Rete Fuente %]]</f>
        <v>0</v>
      </c>
      <c r="R640" s="32">
        <f>+PROVEEDORES[[#This Row],[SUBTOTAL]]+PROVEEDORES[[#This Row],[IVA 19%]]-PROVEEDORES[[#This Row],[descuento antes de IVA]]-PROVEEDORES[[#This Row],[Descuento sobre subtotal $]]-PROVEEDORES[[#This Row],[Rete Fuente $]]</f>
        <v>154999.88</v>
      </c>
      <c r="S64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0" s="40"/>
      <c r="U640" s="97"/>
      <c r="V640" s="36"/>
      <c r="W640" s="36"/>
      <c r="X640" s="36"/>
      <c r="Y640" s="36"/>
      <c r="Z640" s="41"/>
      <c r="AA640" s="42"/>
      <c r="AF640" s="36"/>
      <c r="AG640" s="36"/>
    </row>
    <row r="641" spans="1:33" ht="21.95" hidden="1" customHeight="1" x14ac:dyDescent="0.25">
      <c r="A641" s="39" t="str">
        <f>+IF(PROVEEDORES[[#This Row],[FECHA DE PAGO]]=PROVEEDORES[[#This Row],[FECHA DE FACTURACIÓN]],"DE CONTADO","CRÉDITO")</f>
        <v>CRÉDITO</v>
      </c>
      <c r="B641" s="67" t="b">
        <f>+IF((PROVEEDORES[[#This Row],[FECHA DE PAGO]]-PROVEEDORES[[#This Row],[FECHA DE FACTURACIÓN]])&gt;PROVEEDORES[[#This Row],[PLAZO Días]],"PAGO VENCIDO")</f>
        <v>0</v>
      </c>
      <c r="C641" s="27">
        <f>+VLOOKUP(PROVEEDORES[[#This Row],[PROVEEDOR]],TERCEROS_INFO[#All],2,FALSE)</f>
        <v>30</v>
      </c>
      <c r="D641" s="37">
        <f>+SUMIFS(PROVEEDORES[Total],PROVEEDORES[PROVEEDOR],PROVEEDORES[[#This Row],[PROVEEDOR]],PROVEEDORES[FECHA DE PAGO],"")</f>
        <v>0</v>
      </c>
      <c r="E641" s="37"/>
      <c r="F641" s="108" t="str">
        <f>+VLOOKUP(PROVEEDORES[[#This Row],[PROVEEDOR]],TERCEROS_INFO[[PROVEEDOR]:[CORREO]],5,FALSE)</f>
        <v>cartera@aerosan.com;girlesa.ruiz@servipilas.com;joriescobar64@gmail.com</v>
      </c>
      <c r="G641" s="143">
        <v>43894</v>
      </c>
      <c r="H641" s="38" t="s">
        <v>62</v>
      </c>
      <c r="I641" s="30">
        <v>43893</v>
      </c>
      <c r="J641" s="58">
        <v>1614636</v>
      </c>
      <c r="K641" s="32">
        <v>154989.0756302521</v>
      </c>
      <c r="L641" s="32"/>
      <c r="M641" s="33">
        <f>(PROVEEDORES[[#This Row],[SUBTOTAL]]-PROVEEDORES[[#This Row],[descuento antes de IVA]])*VLOOKUP(PROVEEDORES[[#This Row],[PROVEEDOR]],TERCEROS_INFO[#All],3,FALSE)</f>
        <v>29447.9243697479</v>
      </c>
      <c r="N641" s="34"/>
      <c r="O641" s="33">
        <f>+PROVEEDORES[[#This Row],[Descuento sobre subtotal %]]*(PROVEEDORES[[#This Row],[SUBTOTAL]]-PROVEEDORES[[#This Row],[descuento antes de IVA]])</f>
        <v>0</v>
      </c>
      <c r="P6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41" s="33">
        <f>+(PROVEEDORES[[#This Row],[SUBTOTAL]]-PROVEEDORES[[#This Row],[descuento antes de IVA]])*PROVEEDORES[[#This Row],[Rete Fuente %]]</f>
        <v>0</v>
      </c>
      <c r="R641" s="32">
        <f>+PROVEEDORES[[#This Row],[SUBTOTAL]]+PROVEEDORES[[#This Row],[IVA 19%]]-PROVEEDORES[[#This Row],[descuento antes de IVA]]-PROVEEDORES[[#This Row],[Descuento sobre subtotal $]]-PROVEEDORES[[#This Row],[Rete Fuente $]]</f>
        <v>184437</v>
      </c>
      <c r="S6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1" s="40"/>
      <c r="U641" s="97"/>
      <c r="V641" s="36"/>
      <c r="W641" s="36"/>
      <c r="X641" s="36"/>
      <c r="Y641" s="36"/>
      <c r="Z641" s="41"/>
      <c r="AA641" s="42"/>
      <c r="AF641" s="36"/>
      <c r="AG641" s="36"/>
    </row>
    <row r="642" spans="1:33" ht="21.95" hidden="1" customHeight="1" x14ac:dyDescent="0.25">
      <c r="A642" s="39" t="str">
        <f>+IF(PROVEEDORES[[#This Row],[FECHA DE PAGO]]=PROVEEDORES[[#This Row],[FECHA DE FACTURACIÓN]],"DE CONTADO","CRÉDITO")</f>
        <v>DE CONTADO</v>
      </c>
      <c r="B642" s="67" t="b">
        <f>+IF((PROVEEDORES[[#This Row],[FECHA DE PAGO]]-PROVEEDORES[[#This Row],[FECHA DE FACTURACIÓN]])&gt;PROVEEDORES[[#This Row],[PLAZO Días]],"PAGO VENCIDO")</f>
        <v>0</v>
      </c>
      <c r="C642" s="27">
        <f>+VLOOKUP(PROVEEDORES[[#This Row],[PROVEEDOR]],TERCEROS_INFO[#All],2,FALSE)</f>
        <v>30</v>
      </c>
      <c r="D642" s="37">
        <f>+SUMIFS(PROVEEDORES[Total],PROVEEDORES[PROVEEDOR],PROVEEDORES[[#This Row],[PROVEEDOR]],PROVEEDORES[FECHA DE PAGO],"")</f>
        <v>0</v>
      </c>
      <c r="E642" s="37"/>
      <c r="F642" s="108" t="str">
        <f>+VLOOKUP(PROVEEDORES[[#This Row],[PROVEEDOR]],TERCEROS_INFO[[PROVEEDOR]:[CORREO]],5,FALSE)</f>
        <v>cartera@aerosan.com;girlesa.ruiz@servipilas.com;joriescobar64@gmail.com</v>
      </c>
      <c r="G642" s="143">
        <v>44132</v>
      </c>
      <c r="H642" s="38" t="s">
        <v>62</v>
      </c>
      <c r="I642" s="30">
        <v>44132</v>
      </c>
      <c r="J642" s="58" t="s">
        <v>168</v>
      </c>
      <c r="K642" s="32">
        <v>293847.89915966388</v>
      </c>
      <c r="L642" s="32"/>
      <c r="M642" s="33">
        <f>(PROVEEDORES[[#This Row],[SUBTOTAL]]-PROVEEDORES[[#This Row],[descuento antes de IVA]])*VLOOKUP(PROVEEDORES[[#This Row],[PROVEEDOR]],TERCEROS_INFO[#All],3,FALSE)</f>
        <v>55831.100840336141</v>
      </c>
      <c r="N642" s="34"/>
      <c r="O642" s="33">
        <f>+PROVEEDORES[[#This Row],[Descuento sobre subtotal %]]*(PROVEEDORES[[#This Row],[SUBTOTAL]]-PROVEEDORES[[#This Row],[descuento antes de IVA]])</f>
        <v>0</v>
      </c>
      <c r="P6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42" s="33">
        <f>+(PROVEEDORES[[#This Row],[SUBTOTAL]]-PROVEEDORES[[#This Row],[descuento antes de IVA]])*PROVEEDORES[[#This Row],[Rete Fuente %]]</f>
        <v>0</v>
      </c>
      <c r="R642" s="32">
        <f>+PROVEEDORES[[#This Row],[SUBTOTAL]]+PROVEEDORES[[#This Row],[IVA 19%]]-PROVEEDORES[[#This Row],[descuento antes de IVA]]-PROVEEDORES[[#This Row],[Descuento sobre subtotal $]]-PROVEEDORES[[#This Row],[Rete Fuente $]]</f>
        <v>349679</v>
      </c>
      <c r="S6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2" s="40"/>
      <c r="U642" s="97"/>
      <c r="V642" s="36"/>
      <c r="W642" s="36"/>
      <c r="X642" s="36"/>
      <c r="Y642" s="36"/>
      <c r="Z642" s="41"/>
      <c r="AA642" s="42"/>
      <c r="AF642" s="36"/>
      <c r="AG642" s="36"/>
    </row>
    <row r="643" spans="1:33" ht="21.95" hidden="1" customHeight="1" x14ac:dyDescent="0.25">
      <c r="A643" s="39" t="str">
        <f>+IF(PROVEEDORES[[#This Row],[FECHA DE PAGO]]=PROVEEDORES[[#This Row],[FECHA DE FACTURACIÓN]],"DE CONTADO","CRÉDITO")</f>
        <v>DE CONTADO</v>
      </c>
      <c r="B643" s="67" t="b">
        <f>+IF((PROVEEDORES[[#This Row],[FECHA DE PAGO]]-PROVEEDORES[[#This Row],[FECHA DE FACTURACIÓN]])&gt;PROVEEDORES[[#This Row],[PLAZO Días]],"PAGO VENCIDO")</f>
        <v>0</v>
      </c>
      <c r="C643" s="27">
        <f>+VLOOKUP(PROVEEDORES[[#This Row],[PROVEEDOR]],TERCEROS_INFO[#All],2,FALSE)</f>
        <v>30</v>
      </c>
      <c r="D643" s="37">
        <f>+SUMIFS(PROVEEDORES[Total],PROVEEDORES[PROVEEDOR],PROVEEDORES[[#This Row],[PROVEEDOR]],PROVEEDORES[FECHA DE PAGO],"")</f>
        <v>0</v>
      </c>
      <c r="E643" s="37"/>
      <c r="F643" s="108" t="str">
        <f>+VLOOKUP(PROVEEDORES[[#This Row],[PROVEEDOR]],TERCEROS_INFO[[PROVEEDOR]:[CORREO]],5,FALSE)</f>
        <v>cartera@aerosan.com;girlesa.ruiz@servipilas.com;joriescobar64@gmail.com</v>
      </c>
      <c r="G643" s="143">
        <v>44183</v>
      </c>
      <c r="H643" s="38" t="s">
        <v>62</v>
      </c>
      <c r="I643" s="30">
        <v>44183</v>
      </c>
      <c r="J643" s="58" t="s">
        <v>205</v>
      </c>
      <c r="K643" s="32">
        <v>2594468.0672268909</v>
      </c>
      <c r="L643" s="32"/>
      <c r="M643" s="33">
        <f>(PROVEEDORES[[#This Row],[SUBTOTAL]]-PROVEEDORES[[#This Row],[descuento antes de IVA]])*VLOOKUP(PROVEEDORES[[#This Row],[PROVEEDOR]],TERCEROS_INFO[#All],3,FALSE)</f>
        <v>492948.93277310929</v>
      </c>
      <c r="N643" s="34"/>
      <c r="O643" s="33">
        <f>+PROVEEDORES[[#This Row],[Descuento sobre subtotal %]]*(PROVEEDORES[[#This Row],[SUBTOTAL]]-PROVEEDORES[[#This Row],[descuento antes de IVA]])</f>
        <v>0</v>
      </c>
      <c r="P6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43" s="33">
        <f>+(PROVEEDORES[[#This Row],[SUBTOTAL]]-PROVEEDORES[[#This Row],[descuento antes de IVA]])*PROVEEDORES[[#This Row],[Rete Fuente %]]</f>
        <v>64861.701680672275</v>
      </c>
      <c r="R643" s="32">
        <f>+PROVEEDORES[[#This Row],[SUBTOTAL]]+PROVEEDORES[[#This Row],[IVA 19%]]-PROVEEDORES[[#This Row],[descuento antes de IVA]]-PROVEEDORES[[#This Row],[Descuento sobre subtotal $]]-PROVEEDORES[[#This Row],[Rete Fuente $]]</f>
        <v>3022555.2983193276</v>
      </c>
      <c r="S6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3" s="40"/>
      <c r="U643" s="97"/>
      <c r="V643" s="36"/>
      <c r="W643" s="36"/>
      <c r="X643" s="36"/>
      <c r="Y643" s="36"/>
      <c r="Z643" s="41"/>
      <c r="AA643" s="42"/>
      <c r="AF643" s="36"/>
      <c r="AG643" s="36"/>
    </row>
    <row r="644" spans="1:33" ht="21.95" hidden="1" customHeight="1" x14ac:dyDescent="0.25">
      <c r="A644" s="102" t="str">
        <f>+IF(PROVEEDORES[[#This Row],[FECHA DE PAGO]]=PROVEEDORES[[#This Row],[FECHA DE FACTURACIÓN]],"DE CONTADO","CRÉDITO")</f>
        <v>DE CONTADO</v>
      </c>
      <c r="B644" s="70" t="b">
        <f>+IF((PROVEEDORES[[#This Row],[FECHA DE PAGO]]-PROVEEDORES[[#This Row],[FECHA DE FACTURACIÓN]])&gt;PROVEEDORES[[#This Row],[PLAZO Días]],"PAGO VENCIDO")</f>
        <v>0</v>
      </c>
      <c r="C644" s="27">
        <f>+VLOOKUP(PROVEEDORES[[#This Row],[PROVEEDOR]],TERCEROS_INFO[#All],2,FALSE)</f>
        <v>30</v>
      </c>
      <c r="D644" s="37">
        <f>+SUMIFS(PROVEEDORES[Total],PROVEEDORES[PROVEEDOR],PROVEEDORES[[#This Row],[PROVEEDOR]],PROVEEDORES[FECHA DE PAGO],"")</f>
        <v>0</v>
      </c>
      <c r="E644" s="37"/>
      <c r="F644" s="108" t="str">
        <f>+VLOOKUP(PROVEEDORES[[#This Row],[PROVEEDOR]],TERCEROS_INFO[[PROVEEDOR]:[CORREO]],5,FALSE)</f>
        <v>cartera@aerosan.com;girlesa.ruiz@servipilas.com;joriescobar64@gmail.com</v>
      </c>
      <c r="G644" s="143">
        <v>44300</v>
      </c>
      <c r="H644" s="57" t="s">
        <v>62</v>
      </c>
      <c r="I644" s="30">
        <v>44300</v>
      </c>
      <c r="J644" s="58" t="s">
        <v>605</v>
      </c>
      <c r="K644" s="32">
        <v>243496</v>
      </c>
      <c r="L644" s="32"/>
      <c r="M644" s="33">
        <f>(PROVEEDORES[[#This Row],[SUBTOTAL]]-PROVEEDORES[[#This Row],[descuento antes de IVA]])*VLOOKUP(PROVEEDORES[[#This Row],[PROVEEDOR]],TERCEROS_INFO[#All],3,FALSE)</f>
        <v>46264.24</v>
      </c>
      <c r="N644" s="34"/>
      <c r="O644" s="33">
        <f>+PROVEEDORES[[#This Row],[Descuento sobre subtotal %]]*(PROVEEDORES[[#This Row],[SUBTOTAL]]-PROVEEDORES[[#This Row],[descuento antes de IVA]])</f>
        <v>0</v>
      </c>
      <c r="P6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44" s="33">
        <f>+(PROVEEDORES[[#This Row],[SUBTOTAL]]-PROVEEDORES[[#This Row],[descuento antes de IVA]])*PROVEEDORES[[#This Row],[Rete Fuente %]]</f>
        <v>0</v>
      </c>
      <c r="R644" s="32">
        <f>+PROVEEDORES[[#This Row],[SUBTOTAL]]+PROVEEDORES[[#This Row],[IVA 19%]]-PROVEEDORES[[#This Row],[descuento antes de IVA]]-PROVEEDORES[[#This Row],[Descuento sobre subtotal $]]-PROVEEDORES[[#This Row],[Rete Fuente $]]</f>
        <v>289760.24</v>
      </c>
      <c r="S644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4" s="40"/>
      <c r="U644" s="97"/>
      <c r="V644" s="36"/>
      <c r="W644" s="36"/>
      <c r="X644" s="36"/>
      <c r="Y644" s="36"/>
      <c r="Z644" s="41"/>
      <c r="AA644" s="42"/>
      <c r="AF644" s="36"/>
      <c r="AG644" s="36"/>
    </row>
    <row r="645" spans="1:33" ht="21.95" hidden="1" customHeight="1" x14ac:dyDescent="0.25">
      <c r="A645" s="133" t="str">
        <f>+IF(PROVEEDORES[[#This Row],[FECHA DE PAGO]]=PROVEEDORES[[#This Row],[FECHA DE FACTURACIÓN]],"DE CONTADO","CRÉDITO")</f>
        <v>CRÉDITO</v>
      </c>
      <c r="B645" s="70" t="b">
        <f>+IF((PROVEEDORES[[#This Row],[FECHA DE PAGO]]-PROVEEDORES[[#This Row],[FECHA DE FACTURACIÓN]])&gt;PROVEEDORES[[#This Row],[PLAZO Días]],"PAGO VENCIDO")</f>
        <v>0</v>
      </c>
      <c r="C645" s="27">
        <f>+VLOOKUP(PROVEEDORES[[#This Row],[PROVEEDOR]],TERCEROS_INFO[#All],2,FALSE)</f>
        <v>30</v>
      </c>
      <c r="D645" s="37">
        <f>+SUMIFS(PROVEEDORES[Total],PROVEEDORES[PROVEEDOR],PROVEEDORES[[#This Row],[PROVEEDOR]],PROVEEDORES[FECHA DE PAGO],"")</f>
        <v>0</v>
      </c>
      <c r="E645" s="37"/>
      <c r="F645" s="108" t="str">
        <f>+VLOOKUP(PROVEEDORES[[#This Row],[PROVEEDOR]],TERCEROS_INFO[[PROVEEDOR]:[CORREO]],5,FALSE)</f>
        <v>cartera@aerosan.com;girlesa.ruiz@servipilas.com;joriescobar64@gmail.com</v>
      </c>
      <c r="G645" s="143">
        <v>44391</v>
      </c>
      <c r="H645" s="38" t="s">
        <v>62</v>
      </c>
      <c r="I645" s="30">
        <v>44390</v>
      </c>
      <c r="J645" s="58" t="s">
        <v>750</v>
      </c>
      <c r="K645" s="32">
        <v>353601</v>
      </c>
      <c r="L645" s="32"/>
      <c r="M645" s="33">
        <f>(PROVEEDORES[[#This Row],[SUBTOTAL]]-PROVEEDORES[[#This Row],[descuento antes de IVA]])*VLOOKUP(PROVEEDORES[[#This Row],[PROVEEDOR]],TERCEROS_INFO[#All],3,FALSE)</f>
        <v>67184.19</v>
      </c>
      <c r="N645" s="34"/>
      <c r="O645" s="33">
        <f>+PROVEEDORES[[#This Row],[Descuento sobre subtotal %]]*(PROVEEDORES[[#This Row],[SUBTOTAL]]-PROVEEDORES[[#This Row],[descuento antes de IVA]])</f>
        <v>0</v>
      </c>
      <c r="P6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45" s="33">
        <f>+(PROVEEDORES[[#This Row],[SUBTOTAL]]-PROVEEDORES[[#This Row],[descuento antes de IVA]])*PROVEEDORES[[#This Row],[Rete Fuente %]]</f>
        <v>0</v>
      </c>
      <c r="R645" s="32">
        <f>+PROVEEDORES[[#This Row],[SUBTOTAL]]+PROVEEDORES[[#This Row],[IVA 19%]]-PROVEEDORES[[#This Row],[descuento antes de IVA]]-PROVEEDORES[[#This Row],[Descuento sobre subtotal $]]-PROVEEDORES[[#This Row],[Rete Fuente $]]</f>
        <v>420785.19</v>
      </c>
      <c r="S645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5" s="40"/>
      <c r="U645" s="97"/>
      <c r="V645" s="36"/>
      <c r="W645" s="36"/>
      <c r="X645" s="36"/>
      <c r="Y645" s="36"/>
      <c r="Z645" s="41"/>
      <c r="AA645" s="42"/>
      <c r="AF645" s="36"/>
      <c r="AG645" s="36"/>
    </row>
    <row r="646" spans="1:33" ht="21.95" hidden="1" customHeight="1" x14ac:dyDescent="0.25">
      <c r="A646" s="159" t="str">
        <f>+IF(PROVEEDORES[[#This Row],[FECHA DE PAGO]]=PROVEEDORES[[#This Row],[FECHA DE FACTURACIÓN]],"DE CONTADO","CRÉDITO")</f>
        <v>CRÉDITO</v>
      </c>
      <c r="B646" s="70" t="b">
        <f>+IF((PROVEEDORES[[#This Row],[FECHA DE PAGO]]-PROVEEDORES[[#This Row],[FECHA DE FACTURACIÓN]])&gt;PROVEEDORES[[#This Row],[PLAZO Días]],"PAGO VENCIDO")</f>
        <v>0</v>
      </c>
      <c r="C646" s="27">
        <f>+VLOOKUP(PROVEEDORES[[#This Row],[PROVEEDOR]],TERCEROS_INFO[#All],2,FALSE)</f>
        <v>30</v>
      </c>
      <c r="D646" s="37">
        <f>+SUMIFS(PROVEEDORES[Total],PROVEEDORES[PROVEEDOR],PROVEEDORES[[#This Row],[PROVEEDOR]],PROVEEDORES[FECHA DE PAGO],"")</f>
        <v>0</v>
      </c>
      <c r="E646" s="37"/>
      <c r="F646" s="108" t="str">
        <f>+VLOOKUP(PROVEEDORES[[#This Row],[PROVEEDOR]],TERCEROS_INFO[[PROVEEDOR]:[CORREO]],5,FALSE)</f>
        <v>cartera@aerosan.com;girlesa.ruiz@servipilas.com;joriescobar64@gmail.com</v>
      </c>
      <c r="G646" s="143">
        <v>44495</v>
      </c>
      <c r="H646" s="38" t="s">
        <v>62</v>
      </c>
      <c r="I646" s="30">
        <v>44494</v>
      </c>
      <c r="J646" s="58" t="s">
        <v>909</v>
      </c>
      <c r="K646" s="32">
        <f>379949+3204051</f>
        <v>3584000</v>
      </c>
      <c r="L646" s="32"/>
      <c r="M646" s="33">
        <v>32254</v>
      </c>
      <c r="N646" s="34"/>
      <c r="O646" s="33">
        <f>+PROVEEDORES[[#This Row],[Descuento sobre subtotal %]]*(PROVEEDORES[[#This Row],[SUBTOTAL]]-PROVEEDORES[[#This Row],[descuento antes de IVA]])</f>
        <v>0</v>
      </c>
      <c r="P646" s="34">
        <v>0</v>
      </c>
      <c r="Q646" s="33">
        <f>+(PROVEEDORES[[#This Row],[SUBTOTAL]]-PROVEEDORES[[#This Row],[descuento antes de IVA]])*PROVEEDORES[[#This Row],[Rete Fuente %]]</f>
        <v>0</v>
      </c>
      <c r="R646" s="32">
        <f>+PROVEEDORES[[#This Row],[SUBTOTAL]]+PROVEEDORES[[#This Row],[IVA 19%]]-PROVEEDORES[[#This Row],[descuento antes de IVA]]-PROVEEDORES[[#This Row],[Descuento sobre subtotal $]]-PROVEEDORES[[#This Row],[Rete Fuente $]]</f>
        <v>3616254</v>
      </c>
      <c r="S646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6" s="40"/>
      <c r="U646" s="97"/>
      <c r="V646" s="36"/>
      <c r="W646" s="36"/>
      <c r="X646" s="36"/>
      <c r="Y646" s="36"/>
      <c r="Z646" s="41"/>
      <c r="AA646" s="42"/>
      <c r="AF646" s="36"/>
      <c r="AG646" s="36"/>
    </row>
    <row r="647" spans="1:33" ht="21.95" hidden="1" customHeight="1" x14ac:dyDescent="0.25">
      <c r="A647" s="35" t="str">
        <f>+IF(PROVEEDORES[[#This Row],[FECHA DE PAGO]]=PROVEEDORES[[#This Row],[FECHA DE FACTURACIÓN]],"DE CONTADO","CRÉDITO")</f>
        <v>CRÉDITO</v>
      </c>
      <c r="B647" s="70" t="b">
        <f>+IF((PROVEEDORES[[#This Row],[FECHA DE PAGO]]-PROVEEDORES[[#This Row],[FECHA DE FACTURACIÓN]])&gt;PROVEEDORES[[#This Row],[PLAZO Días]],"PAGO VENCIDO")</f>
        <v>0</v>
      </c>
      <c r="C647" s="27">
        <f>+VLOOKUP(PROVEEDORES[[#This Row],[PROVEEDOR]],TERCEROS_INFO[#All],2,FALSE)</f>
        <v>30</v>
      </c>
      <c r="D647" s="37">
        <f>+SUMIFS(PROVEEDORES[Total],PROVEEDORES[PROVEEDOR],PROVEEDORES[[#This Row],[PROVEEDOR]],PROVEEDORES[FECHA DE PAGO],"")</f>
        <v>0</v>
      </c>
      <c r="E647" s="37"/>
      <c r="F647" s="108" t="str">
        <f>+VLOOKUP(PROVEEDORES[[#This Row],[PROVEEDOR]],TERCEROS_INFO[[PROVEEDOR]:[CORREO]],5,FALSE)</f>
        <v>cartera@aerosan.com;girlesa.ruiz@servipilas.com;joriescobar64@gmail.com</v>
      </c>
      <c r="G647" s="143">
        <v>44540</v>
      </c>
      <c r="H647" s="38" t="s">
        <v>62</v>
      </c>
      <c r="I647" s="30">
        <v>44539</v>
      </c>
      <c r="J647" s="58" t="s">
        <v>1008</v>
      </c>
      <c r="K647" s="32">
        <v>3853480</v>
      </c>
      <c r="L647" s="32"/>
      <c r="M647" s="33">
        <f>(PROVEEDORES[[#This Row],[SUBTOTAL]]-PROVEEDORES[[#This Row],[descuento antes de IVA]])*VLOOKUP(PROVEEDORES[[#This Row],[PROVEEDOR]],TERCEROS_INFO[#All],3,FALSE)</f>
        <v>732161.2</v>
      </c>
      <c r="N647" s="34"/>
      <c r="O647" s="33">
        <f>+PROVEEDORES[[#This Row],[Descuento sobre subtotal %]]*(PROVEEDORES[[#This Row],[SUBTOTAL]]-PROVEEDORES[[#This Row],[descuento antes de IVA]])</f>
        <v>0</v>
      </c>
      <c r="P6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47" s="33">
        <f>+(PROVEEDORES[[#This Row],[SUBTOTAL]]-PROVEEDORES[[#This Row],[descuento antes de IVA]])*PROVEEDORES[[#This Row],[Rete Fuente %]]</f>
        <v>96337</v>
      </c>
      <c r="R647" s="32">
        <f>+PROVEEDORES[[#This Row],[SUBTOTAL]]+PROVEEDORES[[#This Row],[IVA 19%]]-PROVEEDORES[[#This Row],[descuento antes de IVA]]-PROVEEDORES[[#This Row],[Descuento sobre subtotal $]]-PROVEEDORES[[#This Row],[Rete Fuente $]]</f>
        <v>4489304.2</v>
      </c>
      <c r="S64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7" s="40"/>
      <c r="U647" s="97"/>
      <c r="V647" s="36"/>
      <c r="W647" s="36"/>
      <c r="X647" s="36"/>
      <c r="Y647" s="36"/>
      <c r="Z647" s="41"/>
      <c r="AA647" s="42"/>
      <c r="AF647" s="36"/>
      <c r="AG647" s="36"/>
    </row>
    <row r="648" spans="1:33" ht="21.95" hidden="1" customHeight="1" x14ac:dyDescent="0.25">
      <c r="A648" s="126" t="str">
        <f>+IF(PROVEEDORES[[#This Row],[FECHA DE PAGO]]=PROVEEDORES[[#This Row],[FECHA DE FACTURACIÓN]],"DE CONTADO","CRÉDITO")</f>
        <v>CRÉDITO</v>
      </c>
      <c r="B648" s="70" t="b">
        <f>+IF((PROVEEDORES[[#This Row],[FECHA DE PAGO]]-PROVEEDORES[[#This Row],[FECHA DE FACTURACIÓN]])&gt;PROVEEDORES[[#This Row],[PLAZO Días]],"PAGO VENCIDO")</f>
        <v>0</v>
      </c>
      <c r="C648" s="27">
        <f>+VLOOKUP(PROVEEDORES[[#This Row],[PROVEEDOR]],TERCEROS_INFO[#All],2,FALSE)</f>
        <v>10</v>
      </c>
      <c r="D648" s="37">
        <f>+SUMIFS(PROVEEDORES[Total],PROVEEDORES[PROVEEDOR],PROVEEDORES[[#This Row],[PROVEEDOR]],PROVEEDORES[FECHA DE PAGO],"")</f>
        <v>0</v>
      </c>
      <c r="E648" s="37"/>
      <c r="F648" s="108">
        <f>+VLOOKUP(PROVEEDORES[[#This Row],[PROVEEDOR]],TERCEROS_INFO[[PROVEEDOR]:[CORREO]],5,FALSE)</f>
        <v>0</v>
      </c>
      <c r="G648" s="143">
        <v>44365</v>
      </c>
      <c r="H648" s="38" t="s">
        <v>710</v>
      </c>
      <c r="I648" s="30">
        <v>44364</v>
      </c>
      <c r="J648" s="58" t="s">
        <v>1159</v>
      </c>
      <c r="K648" s="32">
        <v>377128</v>
      </c>
      <c r="L648" s="32"/>
      <c r="M648" s="33">
        <f>(PROVEEDORES[[#This Row],[SUBTOTAL]]-PROVEEDORES[[#This Row],[descuento antes de IVA]])*VLOOKUP(PROVEEDORES[[#This Row],[PROVEEDOR]],TERCEROS_INFO[#All],3,FALSE)</f>
        <v>0</v>
      </c>
      <c r="N648" s="34"/>
      <c r="O648" s="33">
        <f>+PROVEEDORES[[#This Row],[Descuento sobre subtotal %]]*(PROVEEDORES[[#This Row],[SUBTOTAL]]-PROVEEDORES[[#This Row],[descuento antes de IVA]])</f>
        <v>0</v>
      </c>
      <c r="P6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48" s="33">
        <f>+(PROVEEDORES[[#This Row],[SUBTOTAL]]-PROVEEDORES[[#This Row],[descuento antes de IVA]])*PROVEEDORES[[#This Row],[Rete Fuente %]]</f>
        <v>0</v>
      </c>
      <c r="R648" s="32">
        <f>+PROVEEDORES[[#This Row],[SUBTOTAL]]+PROVEEDORES[[#This Row],[IVA 19%]]-PROVEEDORES[[#This Row],[descuento antes de IVA]]-PROVEEDORES[[#This Row],[Descuento sobre subtotal $]]-PROVEEDORES[[#This Row],[Rete Fuente $]]</f>
        <v>377128</v>
      </c>
      <c r="S648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8" s="40"/>
      <c r="U648" s="97"/>
      <c r="V648" s="36"/>
      <c r="W648" s="36"/>
      <c r="X648" s="36"/>
      <c r="Y648" s="36"/>
      <c r="Z648" s="41"/>
      <c r="AA648" s="42"/>
      <c r="AF648" s="36"/>
      <c r="AG648" s="36"/>
    </row>
    <row r="649" spans="1:33" ht="21.95" hidden="1" customHeight="1" x14ac:dyDescent="0.25">
      <c r="A649" s="141" t="str">
        <f>+IF(PROVEEDORES[[#This Row],[FECHA DE PAGO]]=PROVEEDORES[[#This Row],[FECHA DE FACTURACIÓN]],"DE CONTADO","CRÉDITO")</f>
        <v>CRÉDITO</v>
      </c>
      <c r="B649" s="70" t="b">
        <f>+IF((PROVEEDORES[[#This Row],[FECHA DE PAGO]]-PROVEEDORES[[#This Row],[FECHA DE FACTURACIÓN]])&gt;PROVEEDORES[[#This Row],[PLAZO Días]],"PAGO VENCIDO")</f>
        <v>0</v>
      </c>
      <c r="C649" s="27">
        <f>+VLOOKUP(PROVEEDORES[[#This Row],[PROVEEDOR]],TERCEROS_INFO[#All],2,FALSE)</f>
        <v>10</v>
      </c>
      <c r="D649" s="37">
        <f>+SUMIFS(PROVEEDORES[Total],PROVEEDORES[PROVEEDOR],PROVEEDORES[[#This Row],[PROVEEDOR]],PROVEEDORES[FECHA DE PAGO],"")</f>
        <v>0</v>
      </c>
      <c r="E649" s="37"/>
      <c r="F649" s="108" t="str">
        <f>+VLOOKUP(PROVEEDORES[[#This Row],[PROVEEDOR]],TERCEROS_INFO[[PROVEEDOR]:[CORREO]],5,FALSE)</f>
        <v>carterabogota@aintercarga.com;girlesa.ruiz@servipilas.com;joriescobar64@gmail.com</v>
      </c>
      <c r="G649" s="143">
        <v>44426</v>
      </c>
      <c r="H649" s="38" t="s">
        <v>798</v>
      </c>
      <c r="I649" s="30">
        <v>44421</v>
      </c>
      <c r="J649" s="58" t="s">
        <v>799</v>
      </c>
      <c r="K649" s="32">
        <v>195000</v>
      </c>
      <c r="L649" s="32"/>
      <c r="M649" s="33">
        <f>(PROVEEDORES[[#This Row],[SUBTOTAL]]-PROVEEDORES[[#This Row],[descuento antes de IVA]])*VLOOKUP(PROVEEDORES[[#This Row],[PROVEEDOR]],TERCEROS_INFO[#All],3,FALSE)</f>
        <v>37050</v>
      </c>
      <c r="N649" s="34"/>
      <c r="O649" s="33">
        <f>+PROVEEDORES[[#This Row],[Descuento sobre subtotal %]]*(PROVEEDORES[[#This Row],[SUBTOTAL]]-PROVEEDORES[[#This Row],[descuento antes de IVA]])</f>
        <v>0</v>
      </c>
      <c r="P6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49" s="33">
        <f>+(PROVEEDORES[[#This Row],[SUBTOTAL]]-PROVEEDORES[[#This Row],[descuento antes de IVA]])*PROVEEDORES[[#This Row],[Rete Fuente %]]</f>
        <v>0</v>
      </c>
      <c r="R649" s="32">
        <f>+PROVEEDORES[[#This Row],[SUBTOTAL]]+PROVEEDORES[[#This Row],[IVA 19%]]-PROVEEDORES[[#This Row],[descuento antes de IVA]]-PROVEEDORES[[#This Row],[Descuento sobre subtotal $]]-PROVEEDORES[[#This Row],[Rete Fuente $]]</f>
        <v>232050</v>
      </c>
      <c r="S649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9" s="40"/>
      <c r="U649" s="97"/>
      <c r="V649" s="36"/>
      <c r="W649" s="36"/>
      <c r="X649" s="36"/>
      <c r="Y649" s="36"/>
      <c r="Z649" s="41"/>
      <c r="AA649" s="42"/>
      <c r="AF649" s="36"/>
      <c r="AG649" s="36"/>
    </row>
    <row r="650" spans="1:33" ht="21.95" hidden="1" customHeight="1" x14ac:dyDescent="0.25">
      <c r="A650" s="88" t="str">
        <f>+IF(PROVEEDORES[[#This Row],[FECHA DE PAGO]]=PROVEEDORES[[#This Row],[FECHA DE FACTURACIÓN]],"DE CONTADO","CRÉDITO")</f>
        <v>CRÉDITO</v>
      </c>
      <c r="B650" s="70" t="str">
        <f>+IF((PROVEEDORES[[#This Row],[FECHA DE PAGO]]-PROVEEDORES[[#This Row],[FECHA DE FACTURACIÓN]])&gt;PROVEEDORES[[#This Row],[PLAZO Días]],"PAGO VENCIDO")</f>
        <v>PAGO VENCIDO</v>
      </c>
      <c r="C650" s="27">
        <f>+VLOOKUP(PROVEEDORES[[#This Row],[PROVEEDOR]],TERCEROS_INFO[#All],2,FALSE)</f>
        <v>30</v>
      </c>
      <c r="D650" s="37">
        <f>+SUMIFS(PROVEEDORES[Total],PROVEEDORES[PROVEEDOR],PROVEEDORES[[#This Row],[PROVEEDOR]],PROVEEDORES[FECHA DE PAGO],"")</f>
        <v>0</v>
      </c>
      <c r="E650" s="37"/>
      <c r="F650" s="108">
        <f>+VLOOKUP(PROVEEDORES[[#This Row],[PROVEEDOR]],TERCEROS_INFO[[PROVEEDOR]:[CORREO]],5,FALSE)</f>
        <v>0</v>
      </c>
      <c r="G650" s="143">
        <v>44335</v>
      </c>
      <c r="H650" s="38" t="s">
        <v>584</v>
      </c>
      <c r="I650" s="30">
        <v>44281</v>
      </c>
      <c r="J650" s="58">
        <v>61</v>
      </c>
      <c r="K650" s="32">
        <v>746206</v>
      </c>
      <c r="L650" s="32"/>
      <c r="M650" s="33">
        <f>(PROVEEDORES[[#This Row],[SUBTOTAL]]-PROVEEDORES[[#This Row],[descuento antes de IVA]])*VLOOKUP(PROVEEDORES[[#This Row],[PROVEEDOR]],TERCEROS_INFO[#All],3,FALSE)</f>
        <v>141779.14000000001</v>
      </c>
      <c r="N650" s="34"/>
      <c r="O650" s="33">
        <f>+PROVEEDORES[[#This Row],[Descuento sobre subtotal %]]*(PROVEEDORES[[#This Row],[SUBTOTAL]]-PROVEEDORES[[#This Row],[descuento antes de IVA]])</f>
        <v>0</v>
      </c>
      <c r="P6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50" s="33">
        <f>+(PROVEEDORES[[#This Row],[SUBTOTAL]]-PROVEEDORES[[#This Row],[descuento antes de IVA]])*PROVEEDORES[[#This Row],[Rete Fuente %]]</f>
        <v>0</v>
      </c>
      <c r="R650" s="32">
        <f>+PROVEEDORES[[#This Row],[SUBTOTAL]]+PROVEEDORES[[#This Row],[IVA 19%]]-PROVEEDORES[[#This Row],[descuento antes de IVA]]-PROVEEDORES[[#This Row],[Descuento sobre subtotal $]]-PROVEEDORES[[#This Row],[Rete Fuente $]]</f>
        <v>887985.14</v>
      </c>
      <c r="S650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0" s="40"/>
      <c r="U650" s="97"/>
      <c r="V650" s="36"/>
      <c r="W650" s="36"/>
      <c r="X650" s="36"/>
      <c r="Y650" s="36"/>
      <c r="Z650" s="41"/>
      <c r="AA650" s="42"/>
      <c r="AF650" s="36"/>
      <c r="AG650" s="36"/>
    </row>
    <row r="651" spans="1:33" ht="21.95" hidden="1" customHeight="1" x14ac:dyDescent="0.25">
      <c r="A651" s="157" t="str">
        <f>+IF(PROVEEDORES[[#This Row],[FECHA DE PAGO]]=PROVEEDORES[[#This Row],[FECHA DE FACTURACIÓN]],"DE CONTADO","CRÉDITO")</f>
        <v>CRÉDITO</v>
      </c>
      <c r="B651" s="70" t="b">
        <f>+IF((PROVEEDORES[[#This Row],[FECHA DE PAGO]]-PROVEEDORES[[#This Row],[FECHA DE FACTURACIÓN]])&gt;PROVEEDORES[[#This Row],[PLAZO Días]],"PAGO VENCIDO")</f>
        <v>0</v>
      </c>
      <c r="C651" s="27">
        <f>+VLOOKUP(PROVEEDORES[[#This Row],[PROVEEDOR]],TERCEROS_INFO[#All],2,FALSE)</f>
        <v>20</v>
      </c>
      <c r="D651" s="37">
        <f>+SUMIFS(PROVEEDORES[Total],PROVEEDORES[PROVEEDOR],PROVEEDORES[[#This Row],[PROVEEDOR]],PROVEEDORES[FECHA DE PAGO],"")</f>
        <v>0</v>
      </c>
      <c r="E651" s="37"/>
      <c r="F651" s="108" t="str">
        <f>+VLOOKUP(PROVEEDORES[[#This Row],[PROVEEDOR]],TERCEROS_INFO[[PROVEEDOR]:[CORREO]],5,FALSE)</f>
        <v>alexenriquez73.ae@gmail.com;girlesa.ruiz@servipilas.com;joriescobar64@gmail.com;info@servipilas.com</v>
      </c>
      <c r="G651" s="143">
        <v>44494</v>
      </c>
      <c r="H651" s="57" t="s">
        <v>898</v>
      </c>
      <c r="I651" s="30">
        <v>44488</v>
      </c>
      <c r="J651" s="58" t="s">
        <v>900</v>
      </c>
      <c r="K651" s="32">
        <v>12000000</v>
      </c>
      <c r="L651" s="32"/>
      <c r="M651" s="33">
        <f>(PROVEEDORES[[#This Row],[SUBTOTAL]]-PROVEEDORES[[#This Row],[descuento antes de IVA]])*VLOOKUP(PROVEEDORES[[#This Row],[PROVEEDOR]],TERCEROS_INFO[#All],3,FALSE)</f>
        <v>0</v>
      </c>
      <c r="N651" s="34"/>
      <c r="O651" s="33">
        <f>+PROVEEDORES[[#This Row],[Descuento sobre subtotal %]]*(PROVEEDORES[[#This Row],[SUBTOTAL]]-PROVEEDORES[[#This Row],[descuento antes de IVA]])</f>
        <v>0</v>
      </c>
      <c r="P651" s="34">
        <v>0.04</v>
      </c>
      <c r="Q651" s="33">
        <f>+(PROVEEDORES[[#This Row],[SUBTOTAL]]-PROVEEDORES[[#This Row],[descuento antes de IVA]])*PROVEEDORES[[#This Row],[Rete Fuente %]]</f>
        <v>480000</v>
      </c>
      <c r="R651" s="32">
        <f>+PROVEEDORES[[#This Row],[SUBTOTAL]]+PROVEEDORES[[#This Row],[IVA 19%]]-PROVEEDORES[[#This Row],[descuento antes de IVA]]-PROVEEDORES[[#This Row],[Descuento sobre subtotal $]]-PROVEEDORES[[#This Row],[Rete Fuente $]]</f>
        <v>11520000</v>
      </c>
      <c r="S651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1" s="40"/>
      <c r="U651" s="97"/>
      <c r="V651" s="36"/>
      <c r="W651" s="36"/>
      <c r="X651" s="36"/>
      <c r="Y651" s="36"/>
      <c r="Z651" s="41"/>
      <c r="AA651" s="42"/>
      <c r="AF651" s="36"/>
      <c r="AG651" s="36"/>
    </row>
    <row r="652" spans="1:33" ht="21.95" hidden="1" customHeight="1" x14ac:dyDescent="0.25">
      <c r="A652" s="148" t="str">
        <f>+IF(PROVEEDORES[[#This Row],[FECHA DE PAGO]]=PROVEEDORES[[#This Row],[FECHA DE FACTURACIÓN]],"DE CONTADO","CRÉDITO")</f>
        <v>DE CONTADO</v>
      </c>
      <c r="B652" s="70" t="b">
        <f>+IF((PROVEEDORES[[#This Row],[FECHA DE PAGO]]-PROVEEDORES[[#This Row],[FECHA DE FACTURACIÓN]])&gt;PROVEEDORES[[#This Row],[PLAZO Días]],"PAGO VENCIDO")</f>
        <v>0</v>
      </c>
      <c r="C652" s="27">
        <f>+VLOOKUP(PROVEEDORES[[#This Row],[PROVEEDOR]],TERCEROS_INFO[#All],2,FALSE)</f>
        <v>30</v>
      </c>
      <c r="D652" s="37">
        <f>+SUMIFS(PROVEEDORES[Total],PROVEEDORES[PROVEEDOR],PROVEEDORES[[#This Row],[PROVEEDOR]],PROVEEDORES[FECHA DE PAGO],"")</f>
        <v>0</v>
      </c>
      <c r="E652" s="37"/>
      <c r="F652" s="108">
        <f>+VLOOKUP(PROVEEDORES[[#This Row],[PROVEEDOR]],TERCEROS_INFO[[PROVEEDOR]:[CORREO]],5,FALSE)</f>
        <v>0</v>
      </c>
      <c r="G652" s="143">
        <v>44445</v>
      </c>
      <c r="H652" s="57" t="s">
        <v>855</v>
      </c>
      <c r="I652" s="30">
        <v>44445</v>
      </c>
      <c r="J652" s="58">
        <v>209815</v>
      </c>
      <c r="K652" s="32">
        <v>293277</v>
      </c>
      <c r="L652" s="32"/>
      <c r="M652" s="33">
        <v>55774</v>
      </c>
      <c r="N652" s="34"/>
      <c r="O652" s="33">
        <f>+PROVEEDORES[[#This Row],[Descuento sobre subtotal %]]*(PROVEEDORES[[#This Row],[SUBTOTAL]]-PROVEEDORES[[#This Row],[descuento antes de IVA]])</f>
        <v>0</v>
      </c>
      <c r="P6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52" s="33">
        <f>+(PROVEEDORES[[#This Row],[SUBTOTAL]]-PROVEEDORES[[#This Row],[descuento antes de IVA]])*PROVEEDORES[[#This Row],[Rete Fuente %]]</f>
        <v>0</v>
      </c>
      <c r="R652" s="32">
        <f>+PROVEEDORES[[#This Row],[SUBTOTAL]]+PROVEEDORES[[#This Row],[IVA 19%]]-PROVEEDORES[[#This Row],[descuento antes de IVA]]-PROVEEDORES[[#This Row],[Descuento sobre subtotal $]]-PROVEEDORES[[#This Row],[Rete Fuente $]]</f>
        <v>349051</v>
      </c>
      <c r="S652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2" s="40"/>
      <c r="U652" s="97"/>
      <c r="V652" s="36"/>
      <c r="W652" s="36"/>
      <c r="X652" s="36"/>
      <c r="Y652" s="36"/>
      <c r="Z652" s="41"/>
      <c r="AA652" s="42"/>
      <c r="AF652" s="36"/>
      <c r="AG652" s="36"/>
    </row>
    <row r="653" spans="1:33" ht="21.95" hidden="1" customHeight="1" x14ac:dyDescent="0.25">
      <c r="A653" s="148" t="str">
        <f>+IF(PROVEEDORES[[#This Row],[FECHA DE PAGO]]=PROVEEDORES[[#This Row],[FECHA DE FACTURACIÓN]],"DE CONTADO","CRÉDITO")</f>
        <v>DE CONTADO</v>
      </c>
      <c r="B653" s="70" t="b">
        <f>+IF((PROVEEDORES[[#This Row],[FECHA DE PAGO]]-PROVEEDORES[[#This Row],[FECHA DE FACTURACIÓN]])&gt;PROVEEDORES[[#This Row],[PLAZO Días]],"PAGO VENCIDO")</f>
        <v>0</v>
      </c>
      <c r="C653" s="27">
        <f>+VLOOKUP(PROVEEDORES[[#This Row],[PROVEEDOR]],TERCEROS_INFO[#All],2,FALSE)</f>
        <v>30</v>
      </c>
      <c r="D653" s="37">
        <f>+SUMIFS(PROVEEDORES[Total],PROVEEDORES[PROVEEDOR],PROVEEDORES[[#This Row],[PROVEEDOR]],PROVEEDORES[FECHA DE PAGO],"")</f>
        <v>0</v>
      </c>
      <c r="E653" s="37"/>
      <c r="F653" s="108">
        <f>+VLOOKUP(PROVEEDORES[[#This Row],[PROVEEDOR]],TERCEROS_INFO[[PROVEEDOR]:[CORREO]],5,FALSE)</f>
        <v>0</v>
      </c>
      <c r="G653" s="143">
        <v>44449</v>
      </c>
      <c r="H653" s="57" t="s">
        <v>855</v>
      </c>
      <c r="I653" s="143">
        <v>44449</v>
      </c>
      <c r="J653" s="58">
        <v>301659</v>
      </c>
      <c r="K653" s="32">
        <v>146639</v>
      </c>
      <c r="L653" s="32"/>
      <c r="M653" s="33">
        <f>(PROVEEDORES[[#This Row],[SUBTOTAL]]-PROVEEDORES[[#This Row],[descuento antes de IVA]])*VLOOKUP(PROVEEDORES[[#This Row],[PROVEEDOR]],TERCEROS_INFO[#All],3,FALSE)</f>
        <v>27861.41</v>
      </c>
      <c r="N653" s="34"/>
      <c r="O653" s="33">
        <f>+PROVEEDORES[[#This Row],[Descuento sobre subtotal %]]*(PROVEEDORES[[#This Row],[SUBTOTAL]]-PROVEEDORES[[#This Row],[descuento antes de IVA]])</f>
        <v>0</v>
      </c>
      <c r="P6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53" s="33">
        <f>+(PROVEEDORES[[#This Row],[SUBTOTAL]]-PROVEEDORES[[#This Row],[descuento antes de IVA]])*PROVEEDORES[[#This Row],[Rete Fuente %]]</f>
        <v>0</v>
      </c>
      <c r="R653" s="32">
        <f>+PROVEEDORES[[#This Row],[SUBTOTAL]]+PROVEEDORES[[#This Row],[IVA 19%]]-PROVEEDORES[[#This Row],[descuento antes de IVA]]-PROVEEDORES[[#This Row],[Descuento sobre subtotal $]]-PROVEEDORES[[#This Row],[Rete Fuente $]]</f>
        <v>174500.41</v>
      </c>
      <c r="S653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3" s="40"/>
      <c r="U653" s="97"/>
      <c r="V653" s="36"/>
      <c r="W653" s="36"/>
      <c r="X653" s="36"/>
      <c r="Y653" s="36"/>
      <c r="Z653" s="41"/>
      <c r="AA653" s="42"/>
      <c r="AF653" s="36"/>
      <c r="AG653" s="36"/>
    </row>
    <row r="654" spans="1:33" ht="21.95" hidden="1" customHeight="1" x14ac:dyDescent="0.25">
      <c r="A654" s="165" t="str">
        <f>+IF(PROVEEDORES[[#This Row],[FECHA DE PAGO]]=PROVEEDORES[[#This Row],[FECHA DE FACTURACIÓN]],"DE CONTADO","CRÉDITO")</f>
        <v>DE CONTADO</v>
      </c>
      <c r="B654" s="70" t="b">
        <f>+IF((PROVEEDORES[[#This Row],[FECHA DE PAGO]]-PROVEEDORES[[#This Row],[FECHA DE FACTURACIÓN]])&gt;PROVEEDORES[[#This Row],[PLAZO Días]],"PAGO VENCIDO")</f>
        <v>0</v>
      </c>
      <c r="C654" s="27">
        <f>+VLOOKUP(PROVEEDORES[[#This Row],[PROVEEDOR]],TERCEROS_INFO[#All],2,FALSE)</f>
        <v>30</v>
      </c>
      <c r="D654" s="37">
        <f>+SUMIFS(PROVEEDORES[Total],PROVEEDORES[PROVEEDOR],PROVEEDORES[[#This Row],[PROVEEDOR]],PROVEEDORES[FECHA DE PAGO],"")</f>
        <v>0</v>
      </c>
      <c r="E654" s="37"/>
      <c r="F654" s="108">
        <f>+VLOOKUP(PROVEEDORES[[#This Row],[PROVEEDOR]],TERCEROS_INFO[[PROVEEDOR]:[CORREO]],5,FALSE)</f>
        <v>0</v>
      </c>
      <c r="G654" s="30">
        <v>44512</v>
      </c>
      <c r="H654" s="57" t="s">
        <v>961</v>
      </c>
      <c r="I654" s="30">
        <v>44512</v>
      </c>
      <c r="J654" s="58">
        <v>65</v>
      </c>
      <c r="K654" s="32">
        <v>1976320</v>
      </c>
      <c r="L654" s="32"/>
      <c r="M654" s="33">
        <f>(PROVEEDORES[[#This Row],[SUBTOTAL]]-PROVEEDORES[[#This Row],[descuento antes de IVA]])*VLOOKUP(PROVEEDORES[[#This Row],[PROVEEDOR]],TERCEROS_INFO[#All],3,FALSE)</f>
        <v>375500.79999999999</v>
      </c>
      <c r="N654" s="34"/>
      <c r="O654" s="33">
        <f>+PROVEEDORES[[#This Row],[Descuento sobre subtotal %]]*(PROVEEDORES[[#This Row],[SUBTOTAL]]-PROVEEDORES[[#This Row],[descuento antes de IVA]])</f>
        <v>0</v>
      </c>
      <c r="P6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54" s="33">
        <f>+(PROVEEDORES[[#This Row],[SUBTOTAL]]-PROVEEDORES[[#This Row],[descuento antes de IVA]])*PROVEEDORES[[#This Row],[Rete Fuente %]]</f>
        <v>49408</v>
      </c>
      <c r="R654" s="32">
        <f>+PROVEEDORES[[#This Row],[SUBTOTAL]]+PROVEEDORES[[#This Row],[IVA 19%]]-PROVEEDORES[[#This Row],[descuento antes de IVA]]-PROVEEDORES[[#This Row],[Descuento sobre subtotal $]]-PROVEEDORES[[#This Row],[Rete Fuente $]]</f>
        <v>2302412.7999999998</v>
      </c>
      <c r="S654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4" s="40"/>
      <c r="U654" s="97"/>
      <c r="V654" s="36"/>
      <c r="W654" s="36"/>
      <c r="X654" s="36"/>
      <c r="Y654" s="36"/>
      <c r="Z654" s="41"/>
      <c r="AA654" s="42"/>
      <c r="AF654" s="36"/>
      <c r="AG654" s="36"/>
    </row>
    <row r="655" spans="1:33" ht="21.95" hidden="1" customHeight="1" x14ac:dyDescent="0.25">
      <c r="A655" s="39" t="str">
        <f>+IF(PROVEEDORES[[#This Row],[FECHA DE PAGO]]=PROVEEDORES[[#This Row],[FECHA DE FACTURACIÓN]],"DE CONTADO","CRÉDITO")</f>
        <v>CRÉDITO</v>
      </c>
      <c r="B655" s="67" t="str">
        <f>+IF((PROVEEDORES[[#This Row],[FECHA DE PAGO]]-PROVEEDORES[[#This Row],[FECHA DE FACTURACIÓN]])&gt;PROVEEDORES[[#This Row],[PLAZO Días]],"PAGO VENCIDO")</f>
        <v>PAGO VENCIDO</v>
      </c>
      <c r="C655" s="27">
        <f>+VLOOKUP(PROVEEDORES[[#This Row],[PROVEEDOR]],TERCEROS_INFO[#All],2,FALSE)</f>
        <v>30</v>
      </c>
      <c r="D655" s="37">
        <f>+SUMIFS(PROVEEDORES[Total],PROVEEDORES[PROVEEDOR],PROVEEDORES[[#This Row],[PROVEEDOR]],PROVEEDORES[FECHA DE PAGO],"")</f>
        <v>1227738.8615000001</v>
      </c>
      <c r="E655" s="37"/>
      <c r="F655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55" s="143">
        <v>43950</v>
      </c>
      <c r="H655" s="38" t="s">
        <v>20</v>
      </c>
      <c r="I655" s="30">
        <v>43878</v>
      </c>
      <c r="J655" s="58">
        <v>217</v>
      </c>
      <c r="K655" s="32">
        <v>758395.79831932776</v>
      </c>
      <c r="L655" s="32"/>
      <c r="M655" s="33">
        <f>(PROVEEDORES[[#This Row],[SUBTOTAL]]-PROVEEDORES[[#This Row],[descuento antes de IVA]])*VLOOKUP(PROVEEDORES[[#This Row],[PROVEEDOR]],TERCEROS_INFO[#All],3,FALSE)</f>
        <v>144095.20168067227</v>
      </c>
      <c r="N655" s="34"/>
      <c r="O655" s="33">
        <f>+PROVEEDORES[[#This Row],[Descuento sobre subtotal %]]*(PROVEEDORES[[#This Row],[SUBTOTAL]]-PROVEEDORES[[#This Row],[descuento antes de IVA]])</f>
        <v>0</v>
      </c>
      <c r="P6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55" s="33">
        <f>+(PROVEEDORES[[#This Row],[SUBTOTAL]]-PROVEEDORES[[#This Row],[descuento antes de IVA]])*PROVEEDORES[[#This Row],[Rete Fuente %]]</f>
        <v>0</v>
      </c>
      <c r="R655" s="32">
        <f>+PROVEEDORES[[#This Row],[SUBTOTAL]]+PROVEEDORES[[#This Row],[IVA 19%]]-PROVEEDORES[[#This Row],[descuento antes de IVA]]-PROVEEDORES[[#This Row],[Descuento sobre subtotal $]]-PROVEEDORES[[#This Row],[Rete Fuente $]]</f>
        <v>902491</v>
      </c>
      <c r="S65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5" s="40"/>
      <c r="U655" s="97"/>
      <c r="V655" s="36"/>
      <c r="W655" s="36"/>
      <c r="X655" s="36"/>
      <c r="Y655" s="36"/>
      <c r="Z655" s="41"/>
      <c r="AA655" s="42"/>
      <c r="AF655" s="36"/>
      <c r="AG655" s="36"/>
    </row>
    <row r="656" spans="1:33" ht="21.95" hidden="1" customHeight="1" x14ac:dyDescent="0.25">
      <c r="A656" s="39" t="str">
        <f>+IF(PROVEEDORES[[#This Row],[FECHA DE PAGO]]=PROVEEDORES[[#This Row],[FECHA DE FACTURACIÓN]],"DE CONTADO","CRÉDITO")</f>
        <v>CRÉDITO</v>
      </c>
      <c r="B656" s="67" t="str">
        <f>+IF((PROVEEDORES[[#This Row],[FECHA DE PAGO]]-PROVEEDORES[[#This Row],[FECHA DE FACTURACIÓN]])&gt;PROVEEDORES[[#This Row],[PLAZO Días]],"PAGO VENCIDO")</f>
        <v>PAGO VENCIDO</v>
      </c>
      <c r="C656" s="27">
        <f>+VLOOKUP(PROVEEDORES[[#This Row],[PROVEEDOR]],TERCEROS_INFO[#All],2,FALSE)</f>
        <v>30</v>
      </c>
      <c r="D656" s="37">
        <f>+SUMIFS(PROVEEDORES[Total],PROVEEDORES[PROVEEDOR],PROVEEDORES[[#This Row],[PROVEEDOR]],PROVEEDORES[FECHA DE PAGO],"")</f>
        <v>1227738.8615000001</v>
      </c>
      <c r="E656" s="37"/>
      <c r="F656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56" s="143">
        <v>43964</v>
      </c>
      <c r="H656" s="38" t="s">
        <v>20</v>
      </c>
      <c r="I656" s="30">
        <v>43903</v>
      </c>
      <c r="J656" s="58">
        <v>445</v>
      </c>
      <c r="K656" s="32">
        <v>1660020.1680672269</v>
      </c>
      <c r="L656" s="32"/>
      <c r="M656" s="33">
        <f>(PROVEEDORES[[#This Row],[SUBTOTAL]]-PROVEEDORES[[#This Row],[descuento antes de IVA]])*VLOOKUP(PROVEEDORES[[#This Row],[PROVEEDOR]],TERCEROS_INFO[#All],3,FALSE)</f>
        <v>315403.83193277312</v>
      </c>
      <c r="N656" s="34"/>
      <c r="O656" s="33">
        <f>+PROVEEDORES[[#This Row],[Descuento sobre subtotal %]]*(PROVEEDORES[[#This Row],[SUBTOTAL]]-PROVEEDORES[[#This Row],[descuento antes de IVA]])</f>
        <v>0</v>
      </c>
      <c r="P6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56" s="33">
        <f>+(PROVEEDORES[[#This Row],[SUBTOTAL]]-PROVEEDORES[[#This Row],[descuento antes de IVA]])*PROVEEDORES[[#This Row],[Rete Fuente %]]</f>
        <v>41500.504201680676</v>
      </c>
      <c r="R656" s="32">
        <f>+PROVEEDORES[[#This Row],[SUBTOTAL]]+PROVEEDORES[[#This Row],[IVA 19%]]-PROVEEDORES[[#This Row],[descuento antes de IVA]]-PROVEEDORES[[#This Row],[Descuento sobre subtotal $]]-PROVEEDORES[[#This Row],[Rete Fuente $]]</f>
        <v>1933923.4957983193</v>
      </c>
      <c r="S65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6" s="40"/>
      <c r="U656" s="97"/>
      <c r="V656" s="36"/>
      <c r="W656" s="36"/>
      <c r="X656" s="36"/>
      <c r="Y656" s="36"/>
      <c r="Z656" s="41"/>
      <c r="AA656" s="42"/>
      <c r="AF656" s="36"/>
      <c r="AG656" s="36"/>
    </row>
    <row r="657" spans="1:33" ht="21.95" hidden="1" customHeight="1" x14ac:dyDescent="0.25">
      <c r="A657" s="39" t="str">
        <f>+IF(PROVEEDORES[[#This Row],[FECHA DE PAGO]]=PROVEEDORES[[#This Row],[FECHA DE FACTURACIÓN]],"DE CONTADO","CRÉDITO")</f>
        <v>DE CONTADO</v>
      </c>
      <c r="B657" s="67" t="b">
        <f>+IF((PROVEEDORES[[#This Row],[FECHA DE PAGO]]-PROVEEDORES[[#This Row],[FECHA DE FACTURACIÓN]])&gt;PROVEEDORES[[#This Row],[PLAZO Días]],"PAGO VENCIDO")</f>
        <v>0</v>
      </c>
      <c r="C657" s="27">
        <f>+VLOOKUP(PROVEEDORES[[#This Row],[PROVEEDOR]],TERCEROS_INFO[#All],2,FALSE)</f>
        <v>30</v>
      </c>
      <c r="D657" s="37">
        <f>+SUMIFS(PROVEEDORES[Total],PROVEEDORES[PROVEEDOR],PROVEEDORES[[#This Row],[PROVEEDOR]],PROVEEDORES[FECHA DE PAGO],"")</f>
        <v>1227738.8615000001</v>
      </c>
      <c r="E657" s="37"/>
      <c r="F657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57" s="143">
        <v>43924</v>
      </c>
      <c r="H657" s="38" t="s">
        <v>20</v>
      </c>
      <c r="I657" s="30">
        <v>43924</v>
      </c>
      <c r="J657" s="58">
        <v>499</v>
      </c>
      <c r="K657" s="32">
        <v>437400</v>
      </c>
      <c r="L657" s="32"/>
      <c r="M657" s="33">
        <f>(PROVEEDORES[[#This Row],[SUBTOTAL]]-PROVEEDORES[[#This Row],[descuento antes de IVA]])*VLOOKUP(PROVEEDORES[[#This Row],[PROVEEDOR]],TERCEROS_INFO[#All],3,FALSE)</f>
        <v>83106</v>
      </c>
      <c r="N657" s="34"/>
      <c r="O657" s="33">
        <f>+PROVEEDORES[[#This Row],[Descuento sobre subtotal %]]*(PROVEEDORES[[#This Row],[SUBTOTAL]]-PROVEEDORES[[#This Row],[descuento antes de IVA]])</f>
        <v>0</v>
      </c>
      <c r="P6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57" s="33">
        <f>+(PROVEEDORES[[#This Row],[SUBTOTAL]]-PROVEEDORES[[#This Row],[descuento antes de IVA]])*PROVEEDORES[[#This Row],[Rete Fuente %]]</f>
        <v>0</v>
      </c>
      <c r="R657" s="32">
        <f>+PROVEEDORES[[#This Row],[SUBTOTAL]]+PROVEEDORES[[#This Row],[IVA 19%]]-PROVEEDORES[[#This Row],[descuento antes de IVA]]-PROVEEDORES[[#This Row],[Descuento sobre subtotal $]]-PROVEEDORES[[#This Row],[Rete Fuente $]]</f>
        <v>520506</v>
      </c>
      <c r="S65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7" s="40"/>
      <c r="U657" s="97"/>
      <c r="V657" s="36"/>
      <c r="W657" s="36"/>
      <c r="X657" s="36"/>
      <c r="Y657" s="36"/>
      <c r="Z657" s="41"/>
      <c r="AA657" s="42"/>
      <c r="AF657" s="36"/>
      <c r="AG657" s="36"/>
    </row>
    <row r="658" spans="1:33" ht="21.95" hidden="1" customHeight="1" x14ac:dyDescent="0.25">
      <c r="A658" s="39" t="str">
        <f>+IF(PROVEEDORES[[#This Row],[FECHA DE PAGO]]=PROVEEDORES[[#This Row],[FECHA DE FACTURACIÓN]],"DE CONTADO","CRÉDITO")</f>
        <v>CRÉDITO</v>
      </c>
      <c r="B658" s="67" t="str">
        <f>+IF((PROVEEDORES[[#This Row],[FECHA DE PAGO]]-PROVEEDORES[[#This Row],[FECHA DE FACTURACIÓN]])&gt;PROVEEDORES[[#This Row],[PLAZO Días]],"PAGO VENCIDO")</f>
        <v>PAGO VENCIDO</v>
      </c>
      <c r="C658" s="27">
        <f>+VLOOKUP(PROVEEDORES[[#This Row],[PROVEEDOR]],TERCEROS_INFO[#All],2,FALSE)</f>
        <v>30</v>
      </c>
      <c r="D658" s="37">
        <f>+SUMIFS(PROVEEDORES[Total],PROVEEDORES[PROVEEDOR],PROVEEDORES[[#This Row],[PROVEEDOR]],PROVEEDORES[FECHA DE PAGO],"")</f>
        <v>1227738.8615000001</v>
      </c>
      <c r="E658" s="37"/>
      <c r="F658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58" s="143">
        <v>43990</v>
      </c>
      <c r="H658" s="38" t="s">
        <v>20</v>
      </c>
      <c r="I658" s="30">
        <v>43950</v>
      </c>
      <c r="J658" s="58">
        <v>571</v>
      </c>
      <c r="K658" s="32">
        <v>494101.68067226891</v>
      </c>
      <c r="L658" s="32"/>
      <c r="M658" s="33">
        <f>(PROVEEDORES[[#This Row],[SUBTOTAL]]-PROVEEDORES[[#This Row],[descuento antes de IVA]])*VLOOKUP(PROVEEDORES[[#This Row],[PROVEEDOR]],TERCEROS_INFO[#All],3,FALSE)</f>
        <v>93879.319327731093</v>
      </c>
      <c r="N658" s="34"/>
      <c r="O658" s="33">
        <f>+PROVEEDORES[[#This Row],[Descuento sobre subtotal %]]*(PROVEEDORES[[#This Row],[SUBTOTAL]]-PROVEEDORES[[#This Row],[descuento antes de IVA]])</f>
        <v>0</v>
      </c>
      <c r="P6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58" s="33">
        <f>+(PROVEEDORES[[#This Row],[SUBTOTAL]]-PROVEEDORES[[#This Row],[descuento antes de IVA]])*PROVEEDORES[[#This Row],[Rete Fuente %]]</f>
        <v>0</v>
      </c>
      <c r="R658" s="32">
        <f>+PROVEEDORES[[#This Row],[SUBTOTAL]]+PROVEEDORES[[#This Row],[IVA 19%]]-PROVEEDORES[[#This Row],[descuento antes de IVA]]-PROVEEDORES[[#This Row],[Descuento sobre subtotal $]]-PROVEEDORES[[#This Row],[Rete Fuente $]]</f>
        <v>587981</v>
      </c>
      <c r="S65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8" s="40"/>
      <c r="U658" s="97"/>
      <c r="V658" s="36"/>
      <c r="W658" s="36"/>
      <c r="X658" s="36"/>
      <c r="Y658" s="36"/>
      <c r="Z658" s="41"/>
      <c r="AA658" s="42"/>
      <c r="AF658" s="36"/>
      <c r="AG658" s="36"/>
    </row>
    <row r="659" spans="1:33" ht="21.95" hidden="1" customHeight="1" x14ac:dyDescent="0.25">
      <c r="A659" s="39" t="str">
        <f>+IF(PROVEEDORES[[#This Row],[FECHA DE PAGO]]=PROVEEDORES[[#This Row],[FECHA DE FACTURACIÓN]],"DE CONTADO","CRÉDITO")</f>
        <v>CRÉDITO</v>
      </c>
      <c r="B659" s="67" t="b">
        <f>+IF((PROVEEDORES[[#This Row],[FECHA DE PAGO]]-PROVEEDORES[[#This Row],[FECHA DE FACTURACIÓN]])&gt;PROVEEDORES[[#This Row],[PLAZO Días]],"PAGO VENCIDO")</f>
        <v>0</v>
      </c>
      <c r="C659" s="27">
        <f>+VLOOKUP(PROVEEDORES[[#This Row],[PROVEEDOR]],TERCEROS_INFO[#All],2,FALSE)</f>
        <v>30</v>
      </c>
      <c r="D659" s="37">
        <f>+SUMIFS(PROVEEDORES[Total],PROVEEDORES[PROVEEDOR],PROVEEDORES[[#This Row],[PROVEEDOR]],PROVEEDORES[FECHA DE PAGO],"")</f>
        <v>1227738.8615000001</v>
      </c>
      <c r="E659" s="37"/>
      <c r="F659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59" s="143">
        <v>43990</v>
      </c>
      <c r="H659" s="38" t="s">
        <v>20</v>
      </c>
      <c r="I659" s="30">
        <v>43964</v>
      </c>
      <c r="J659" s="58">
        <v>643</v>
      </c>
      <c r="K659" s="32">
        <v>393659.66386554623</v>
      </c>
      <c r="L659" s="32"/>
      <c r="M659" s="33">
        <f>(PROVEEDORES[[#This Row],[SUBTOTAL]]-PROVEEDORES[[#This Row],[descuento antes de IVA]])*VLOOKUP(PROVEEDORES[[#This Row],[PROVEEDOR]],TERCEROS_INFO[#All],3,FALSE)</f>
        <v>74795.336134453784</v>
      </c>
      <c r="N659" s="34"/>
      <c r="O659" s="33">
        <f>+PROVEEDORES[[#This Row],[Descuento sobre subtotal %]]*(PROVEEDORES[[#This Row],[SUBTOTAL]]-PROVEEDORES[[#This Row],[descuento antes de IVA]])</f>
        <v>0</v>
      </c>
      <c r="P6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59" s="33">
        <f>+(PROVEEDORES[[#This Row],[SUBTOTAL]]-PROVEEDORES[[#This Row],[descuento antes de IVA]])*PROVEEDORES[[#This Row],[Rete Fuente %]]</f>
        <v>0</v>
      </c>
      <c r="R659" s="32">
        <f>+PROVEEDORES[[#This Row],[SUBTOTAL]]+PROVEEDORES[[#This Row],[IVA 19%]]-PROVEEDORES[[#This Row],[descuento antes de IVA]]-PROVEEDORES[[#This Row],[Descuento sobre subtotal $]]-PROVEEDORES[[#This Row],[Rete Fuente $]]</f>
        <v>468455</v>
      </c>
      <c r="S65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9" s="40"/>
      <c r="U659" s="97"/>
      <c r="V659" s="36"/>
      <c r="W659" s="36"/>
      <c r="X659" s="36"/>
      <c r="Y659" s="36"/>
      <c r="Z659" s="41"/>
      <c r="AA659" s="42"/>
      <c r="AF659" s="36"/>
      <c r="AG659" s="36"/>
    </row>
    <row r="660" spans="1:33" ht="21.95" hidden="1" customHeight="1" x14ac:dyDescent="0.25">
      <c r="A660" s="39" t="str">
        <f>+IF(PROVEEDORES[[#This Row],[FECHA DE PAGO]]=PROVEEDORES[[#This Row],[FECHA DE FACTURACIÓN]],"DE CONTADO","CRÉDITO")</f>
        <v>CRÉDITO</v>
      </c>
      <c r="B660" s="67" t="str">
        <f>+IF((PROVEEDORES[[#This Row],[FECHA DE PAGO]]-PROVEEDORES[[#This Row],[FECHA DE FACTURACIÓN]])&gt;PROVEEDORES[[#This Row],[PLAZO Días]],"PAGO VENCIDO")</f>
        <v>PAGO VENCIDO</v>
      </c>
      <c r="C660" s="27">
        <f>+VLOOKUP(PROVEEDORES[[#This Row],[PROVEEDOR]],TERCEROS_INFO[#All],2,FALSE)</f>
        <v>30</v>
      </c>
      <c r="D660" s="37">
        <f>+SUMIFS(PROVEEDORES[Total],PROVEEDORES[PROVEEDOR],PROVEEDORES[[#This Row],[PROVEEDOR]],PROVEEDORES[FECHA DE PAGO],"")</f>
        <v>1227738.8615000001</v>
      </c>
      <c r="E660" s="37"/>
      <c r="F660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0" s="143">
        <v>44007</v>
      </c>
      <c r="H660" s="38" t="s">
        <v>20</v>
      </c>
      <c r="I660" s="30">
        <v>43971</v>
      </c>
      <c r="J660" s="58">
        <v>709</v>
      </c>
      <c r="K660" s="32">
        <v>803889.91596638656</v>
      </c>
      <c r="L660" s="32"/>
      <c r="M660" s="33">
        <f>(PROVEEDORES[[#This Row],[SUBTOTAL]]-PROVEEDORES[[#This Row],[descuento antes de IVA]])*VLOOKUP(PROVEEDORES[[#This Row],[PROVEEDOR]],TERCEROS_INFO[#All],3,FALSE)</f>
        <v>152739.08403361344</v>
      </c>
      <c r="N660" s="34"/>
      <c r="O660" s="33">
        <f>+PROVEEDORES[[#This Row],[Descuento sobre subtotal %]]*(PROVEEDORES[[#This Row],[SUBTOTAL]]-PROVEEDORES[[#This Row],[descuento antes de IVA]])</f>
        <v>0</v>
      </c>
      <c r="P6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60" s="33">
        <f>+(PROVEEDORES[[#This Row],[SUBTOTAL]]-PROVEEDORES[[#This Row],[descuento antes de IVA]])*PROVEEDORES[[#This Row],[Rete Fuente %]]</f>
        <v>0</v>
      </c>
      <c r="R660" s="32">
        <f>+PROVEEDORES[[#This Row],[SUBTOTAL]]+PROVEEDORES[[#This Row],[IVA 19%]]-PROVEEDORES[[#This Row],[descuento antes de IVA]]-PROVEEDORES[[#This Row],[Descuento sobre subtotal $]]-PROVEEDORES[[#This Row],[Rete Fuente $]]</f>
        <v>956629</v>
      </c>
      <c r="S66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0" s="40"/>
      <c r="U660" s="97"/>
      <c r="V660" s="36"/>
      <c r="W660" s="36"/>
      <c r="X660" s="36"/>
      <c r="Y660" s="36"/>
      <c r="Z660" s="41"/>
      <c r="AA660" s="42"/>
      <c r="AF660" s="36"/>
      <c r="AG660" s="36"/>
    </row>
    <row r="661" spans="1:33" ht="21.95" hidden="1" customHeight="1" x14ac:dyDescent="0.25">
      <c r="A661" s="39" t="str">
        <f>+IF(PROVEEDORES[[#This Row],[FECHA DE PAGO]]=PROVEEDORES[[#This Row],[FECHA DE FACTURACIÓN]],"DE CONTADO","CRÉDITO")</f>
        <v>CRÉDITO</v>
      </c>
      <c r="B661" s="67" t="b">
        <f>+IF((PROVEEDORES[[#This Row],[FECHA DE PAGO]]-PROVEEDORES[[#This Row],[FECHA DE FACTURACIÓN]])&gt;PROVEEDORES[[#This Row],[PLAZO Días]],"PAGO VENCIDO")</f>
        <v>0</v>
      </c>
      <c r="C661" s="27">
        <f>+VLOOKUP(PROVEEDORES[[#This Row],[PROVEEDOR]],TERCEROS_INFO[#All],2,FALSE)</f>
        <v>30</v>
      </c>
      <c r="D661" s="37">
        <f>+SUMIFS(PROVEEDORES[Total],PROVEEDORES[PROVEEDOR],PROVEEDORES[[#This Row],[PROVEEDOR]],PROVEEDORES[FECHA DE PAGO],"")</f>
        <v>1227738.8615000001</v>
      </c>
      <c r="E661" s="37"/>
      <c r="F661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1" s="143">
        <v>44007</v>
      </c>
      <c r="H661" s="38" t="s">
        <v>20</v>
      </c>
      <c r="I661" s="30">
        <v>43978</v>
      </c>
      <c r="J661" s="58">
        <v>766</v>
      </c>
      <c r="K661" s="32">
        <v>393659.66386554623</v>
      </c>
      <c r="L661" s="32"/>
      <c r="M661" s="33">
        <f>(PROVEEDORES[[#This Row],[SUBTOTAL]]-PROVEEDORES[[#This Row],[descuento antes de IVA]])*VLOOKUP(PROVEEDORES[[#This Row],[PROVEEDOR]],TERCEROS_INFO[#All],3,FALSE)</f>
        <v>74795.336134453784</v>
      </c>
      <c r="N661" s="34"/>
      <c r="O661" s="33">
        <f>+PROVEEDORES[[#This Row],[Descuento sobre subtotal %]]*(PROVEEDORES[[#This Row],[SUBTOTAL]]-PROVEEDORES[[#This Row],[descuento antes de IVA]])</f>
        <v>0</v>
      </c>
      <c r="P6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61" s="33">
        <f>+(PROVEEDORES[[#This Row],[SUBTOTAL]]-PROVEEDORES[[#This Row],[descuento antes de IVA]])*PROVEEDORES[[#This Row],[Rete Fuente %]]</f>
        <v>0</v>
      </c>
      <c r="R661" s="32">
        <f>+PROVEEDORES[[#This Row],[SUBTOTAL]]+PROVEEDORES[[#This Row],[IVA 19%]]-PROVEEDORES[[#This Row],[descuento antes de IVA]]-PROVEEDORES[[#This Row],[Descuento sobre subtotal $]]-PROVEEDORES[[#This Row],[Rete Fuente $]]</f>
        <v>468455</v>
      </c>
      <c r="S66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1" s="40"/>
      <c r="U661" s="97"/>
      <c r="V661" s="36"/>
      <c r="W661" s="36"/>
      <c r="X661" s="36"/>
      <c r="Y661" s="36"/>
      <c r="Z661" s="41"/>
      <c r="AA661" s="42"/>
      <c r="AF661" s="36"/>
      <c r="AG661" s="36"/>
    </row>
    <row r="662" spans="1:33" ht="21.95" hidden="1" customHeight="1" x14ac:dyDescent="0.25">
      <c r="A662" s="39" t="str">
        <f>+IF(PROVEEDORES[[#This Row],[FECHA DE PAGO]]=PROVEEDORES[[#This Row],[FECHA DE FACTURACIÓN]],"DE CONTADO","CRÉDITO")</f>
        <v>CRÉDITO</v>
      </c>
      <c r="B662" s="67" t="b">
        <f>+IF((PROVEEDORES[[#This Row],[FECHA DE PAGO]]-PROVEEDORES[[#This Row],[FECHA DE FACTURACIÓN]])&gt;PROVEEDORES[[#This Row],[PLAZO Días]],"PAGO VENCIDO")</f>
        <v>0</v>
      </c>
      <c r="C662" s="27">
        <f>+VLOOKUP(PROVEEDORES[[#This Row],[PROVEEDOR]],TERCEROS_INFO[#All],2,FALSE)</f>
        <v>30</v>
      </c>
      <c r="D662" s="37">
        <f>+SUMIFS(PROVEEDORES[Total],PROVEEDORES[PROVEEDOR],PROVEEDORES[[#This Row],[PROVEEDOR]],PROVEEDORES[FECHA DE PAGO],"")</f>
        <v>1227738.8615000001</v>
      </c>
      <c r="E662" s="37"/>
      <c r="F662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2" s="143">
        <v>44007</v>
      </c>
      <c r="H662" s="38" t="s">
        <v>20</v>
      </c>
      <c r="I662" s="30">
        <v>43978</v>
      </c>
      <c r="J662" s="58" t="s">
        <v>1065</v>
      </c>
      <c r="K662" s="32">
        <v>-43740.336134453784</v>
      </c>
      <c r="L662" s="32"/>
      <c r="M662" s="33">
        <f>(PROVEEDORES[[#This Row],[SUBTOTAL]]-PROVEEDORES[[#This Row],[descuento antes de IVA]])*VLOOKUP(PROVEEDORES[[#This Row],[PROVEEDOR]],TERCEROS_INFO[#All],3,FALSE)</f>
        <v>-8310.6638655462193</v>
      </c>
      <c r="N662" s="34"/>
      <c r="O662" s="33">
        <f>+PROVEEDORES[[#This Row],[Descuento sobre subtotal %]]*(PROVEEDORES[[#This Row],[SUBTOTAL]]-PROVEEDORES[[#This Row],[descuento antes de IVA]])</f>
        <v>0</v>
      </c>
      <c r="P6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62" s="33">
        <f>+(PROVEEDORES[[#This Row],[SUBTOTAL]]-PROVEEDORES[[#This Row],[descuento antes de IVA]])*PROVEEDORES[[#This Row],[Rete Fuente %]]</f>
        <v>0</v>
      </c>
      <c r="R662" s="32">
        <f>+PROVEEDORES[[#This Row],[SUBTOTAL]]+PROVEEDORES[[#This Row],[IVA 19%]]-PROVEEDORES[[#This Row],[descuento antes de IVA]]-PROVEEDORES[[#This Row],[Descuento sobre subtotal $]]-PROVEEDORES[[#This Row],[Rete Fuente $]]</f>
        <v>-52051</v>
      </c>
      <c r="S66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2" s="40"/>
      <c r="U662" s="97"/>
      <c r="V662" s="36"/>
      <c r="W662" s="36"/>
      <c r="X662" s="36"/>
      <c r="Y662" s="36"/>
      <c r="Z662" s="41"/>
      <c r="AA662" s="42"/>
      <c r="AF662" s="36"/>
      <c r="AG662" s="36"/>
    </row>
    <row r="663" spans="1:33" ht="21.95" hidden="1" customHeight="1" x14ac:dyDescent="0.25">
      <c r="A663" s="39" t="str">
        <f>+IF(PROVEEDORES[[#This Row],[FECHA DE PAGO]]=PROVEEDORES[[#This Row],[FECHA DE FACTURACIÓN]],"DE CONTADO","CRÉDITO")</f>
        <v>CRÉDITO</v>
      </c>
      <c r="B663" s="67" t="str">
        <f>+IF((PROVEEDORES[[#This Row],[FECHA DE PAGO]]-PROVEEDORES[[#This Row],[FECHA DE FACTURACIÓN]])&gt;PROVEEDORES[[#This Row],[PLAZO Días]],"PAGO VENCIDO")</f>
        <v>PAGO VENCIDO</v>
      </c>
      <c r="C663" s="27">
        <f>+VLOOKUP(PROVEEDORES[[#This Row],[PROVEEDOR]],TERCEROS_INFO[#All],2,FALSE)</f>
        <v>30</v>
      </c>
      <c r="D663" s="37">
        <f>+SUMIFS(PROVEEDORES[Total],PROVEEDORES[PROVEEDOR],PROVEEDORES[[#This Row],[PROVEEDOR]],PROVEEDORES[FECHA DE PAGO],"")</f>
        <v>1227738.8615000001</v>
      </c>
      <c r="E663" s="37"/>
      <c r="F663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3" s="143">
        <v>44053</v>
      </c>
      <c r="H663" s="38" t="s">
        <v>20</v>
      </c>
      <c r="I663" s="30">
        <v>43999</v>
      </c>
      <c r="J663" s="58">
        <v>959</v>
      </c>
      <c r="K663" s="32">
        <v>704550.42016806721</v>
      </c>
      <c r="L663" s="32"/>
      <c r="M663" s="33">
        <f>(PROVEEDORES[[#This Row],[SUBTOTAL]]-PROVEEDORES[[#This Row],[descuento antes de IVA]])*VLOOKUP(PROVEEDORES[[#This Row],[PROVEEDOR]],TERCEROS_INFO[#All],3,FALSE)</f>
        <v>133864.57983193276</v>
      </c>
      <c r="N663" s="34"/>
      <c r="O663" s="33">
        <f>+PROVEEDORES[[#This Row],[Descuento sobre subtotal %]]*(PROVEEDORES[[#This Row],[SUBTOTAL]]-PROVEEDORES[[#This Row],[descuento antes de IVA]])</f>
        <v>0</v>
      </c>
      <c r="P6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63" s="33">
        <f>+(PROVEEDORES[[#This Row],[SUBTOTAL]]-PROVEEDORES[[#This Row],[descuento antes de IVA]])*PROVEEDORES[[#This Row],[Rete Fuente %]]</f>
        <v>0</v>
      </c>
      <c r="R663" s="32">
        <f>+PROVEEDORES[[#This Row],[SUBTOTAL]]+PROVEEDORES[[#This Row],[IVA 19%]]-PROVEEDORES[[#This Row],[descuento antes de IVA]]-PROVEEDORES[[#This Row],[Descuento sobre subtotal $]]-PROVEEDORES[[#This Row],[Rete Fuente $]]</f>
        <v>838415</v>
      </c>
      <c r="S66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3" s="40"/>
      <c r="U663" s="97"/>
      <c r="V663" s="36"/>
      <c r="W663" s="36"/>
      <c r="X663" s="36"/>
      <c r="Y663" s="36"/>
      <c r="Z663" s="41"/>
      <c r="AA663" s="42"/>
      <c r="AF663" s="36"/>
      <c r="AG663" s="36"/>
    </row>
    <row r="664" spans="1:33" ht="21.95" hidden="1" customHeight="1" x14ac:dyDescent="0.25">
      <c r="A664" s="39" t="str">
        <f>+IF(PROVEEDORES[[#This Row],[FECHA DE PAGO]]=PROVEEDORES[[#This Row],[FECHA DE FACTURACIÓN]],"DE CONTADO","CRÉDITO")</f>
        <v>CRÉDITO</v>
      </c>
      <c r="B664" s="67" t="str">
        <f>+IF((PROVEEDORES[[#This Row],[FECHA DE PAGO]]-PROVEEDORES[[#This Row],[FECHA DE FACTURACIÓN]])&gt;PROVEEDORES[[#This Row],[PLAZO Días]],"PAGO VENCIDO")</f>
        <v>PAGO VENCIDO</v>
      </c>
      <c r="C664" s="27">
        <f>+VLOOKUP(PROVEEDORES[[#This Row],[PROVEEDOR]],TERCEROS_INFO[#All],2,FALSE)</f>
        <v>30</v>
      </c>
      <c r="D664" s="37">
        <f>+SUMIFS(PROVEEDORES[Total],PROVEEDORES[PROVEEDOR],PROVEEDORES[[#This Row],[PROVEEDOR]],PROVEEDORES[FECHA DE PAGO],"")</f>
        <v>1227738.8615000001</v>
      </c>
      <c r="E664" s="37"/>
      <c r="F664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4" s="143">
        <v>44068</v>
      </c>
      <c r="H664" s="38" t="s">
        <v>20</v>
      </c>
      <c r="I664" s="30">
        <v>44005</v>
      </c>
      <c r="J664" s="58">
        <v>1018</v>
      </c>
      <c r="K664" s="32">
        <v>1173862.1848739497</v>
      </c>
      <c r="L664" s="32"/>
      <c r="M664" s="33">
        <f>(PROVEEDORES[[#This Row],[SUBTOTAL]]-PROVEEDORES[[#This Row],[descuento antes de IVA]])*VLOOKUP(PROVEEDORES[[#This Row],[PROVEEDOR]],TERCEROS_INFO[#All],3,FALSE)</f>
        <v>223033.81512605044</v>
      </c>
      <c r="N664" s="34"/>
      <c r="O664" s="33">
        <f>+PROVEEDORES[[#This Row],[Descuento sobre subtotal %]]*(PROVEEDORES[[#This Row],[SUBTOTAL]]-PROVEEDORES[[#This Row],[descuento antes de IVA]])</f>
        <v>0</v>
      </c>
      <c r="P6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64" s="33">
        <f>+(PROVEEDORES[[#This Row],[SUBTOTAL]]-PROVEEDORES[[#This Row],[descuento antes de IVA]])*PROVEEDORES[[#This Row],[Rete Fuente %]]</f>
        <v>29346.554621848743</v>
      </c>
      <c r="R664" s="32">
        <f>+PROVEEDORES[[#This Row],[SUBTOTAL]]+PROVEEDORES[[#This Row],[IVA 19%]]-PROVEEDORES[[#This Row],[descuento antes de IVA]]-PROVEEDORES[[#This Row],[Descuento sobre subtotal $]]-PROVEEDORES[[#This Row],[Rete Fuente $]]</f>
        <v>1367549.4453781515</v>
      </c>
      <c r="S66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4" s="40"/>
      <c r="U664" s="97"/>
      <c r="V664" s="36"/>
      <c r="W664" s="36"/>
      <c r="X664" s="36"/>
      <c r="Y664" s="36"/>
      <c r="Z664" s="41"/>
      <c r="AA664" s="42"/>
      <c r="AF664" s="36"/>
      <c r="AG664" s="36"/>
    </row>
    <row r="665" spans="1:33" ht="21.95" hidden="1" customHeight="1" x14ac:dyDescent="0.25">
      <c r="A665" s="39" t="str">
        <f>+IF(PROVEEDORES[[#This Row],[FECHA DE PAGO]]=PROVEEDORES[[#This Row],[FECHA DE FACTURACIÓN]],"DE CONTADO","CRÉDITO")</f>
        <v>CRÉDITO</v>
      </c>
      <c r="B665" s="67" t="str">
        <f>+IF((PROVEEDORES[[#This Row],[FECHA DE PAGO]]-PROVEEDORES[[#This Row],[FECHA DE FACTURACIÓN]])&gt;PROVEEDORES[[#This Row],[PLAZO Días]],"PAGO VENCIDO")</f>
        <v>PAGO VENCIDO</v>
      </c>
      <c r="C665" s="27">
        <f>+VLOOKUP(PROVEEDORES[[#This Row],[PROVEEDOR]],TERCEROS_INFO[#All],2,FALSE)</f>
        <v>30</v>
      </c>
      <c r="D665" s="37">
        <f>+SUMIFS(PROVEEDORES[Total],PROVEEDORES[PROVEEDOR],PROVEEDORES[[#This Row],[PROVEEDOR]],PROVEEDORES[FECHA DE PAGO],"")</f>
        <v>1227738.8615000001</v>
      </c>
      <c r="E665" s="37"/>
      <c r="F665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5" s="143">
        <v>44078</v>
      </c>
      <c r="H665" s="38" t="s">
        <v>20</v>
      </c>
      <c r="I665" s="30">
        <v>44018</v>
      </c>
      <c r="J665" s="58">
        <v>1150</v>
      </c>
      <c r="K665" s="32">
        <v>1046831.0924369749</v>
      </c>
      <c r="L665" s="32"/>
      <c r="M665" s="33">
        <f>(PROVEEDORES[[#This Row],[SUBTOTAL]]-PROVEEDORES[[#This Row],[descuento antes de IVA]])*VLOOKUP(PROVEEDORES[[#This Row],[PROVEEDOR]],TERCEROS_INFO[#All],3,FALSE)</f>
        <v>198897.90756302522</v>
      </c>
      <c r="N665" s="34"/>
      <c r="O665" s="33">
        <f>+PROVEEDORES[[#This Row],[Descuento sobre subtotal %]]*(PROVEEDORES[[#This Row],[SUBTOTAL]]-PROVEEDORES[[#This Row],[descuento antes de IVA]])</f>
        <v>0</v>
      </c>
      <c r="P6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65" s="33">
        <f>+(PROVEEDORES[[#This Row],[SUBTOTAL]]-PROVEEDORES[[#This Row],[descuento antes de IVA]])*PROVEEDORES[[#This Row],[Rete Fuente %]]</f>
        <v>26170.777310924372</v>
      </c>
      <c r="R665" s="32">
        <f>+PROVEEDORES[[#This Row],[SUBTOTAL]]+PROVEEDORES[[#This Row],[IVA 19%]]-PROVEEDORES[[#This Row],[descuento antes de IVA]]-PROVEEDORES[[#This Row],[Descuento sobre subtotal $]]-PROVEEDORES[[#This Row],[Rete Fuente $]]</f>
        <v>1219558.2226890756</v>
      </c>
      <c r="S66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5" s="40"/>
      <c r="U665" s="97"/>
      <c r="V665" s="36"/>
      <c r="W665" s="36"/>
      <c r="X665" s="36"/>
      <c r="Y665" s="36"/>
      <c r="Z665" s="41"/>
      <c r="AA665" s="42"/>
      <c r="AF665" s="36"/>
      <c r="AG665" s="36"/>
    </row>
    <row r="666" spans="1:33" ht="21.95" hidden="1" customHeight="1" x14ac:dyDescent="0.25">
      <c r="A666" s="39" t="str">
        <f>+IF(PROVEEDORES[[#This Row],[FECHA DE PAGO]]=PROVEEDORES[[#This Row],[FECHA DE FACTURACIÓN]],"DE CONTADO","CRÉDITO")</f>
        <v>CRÉDITO</v>
      </c>
      <c r="B666" s="67" t="str">
        <f>+IF((PROVEEDORES[[#This Row],[FECHA DE PAGO]]-PROVEEDORES[[#This Row],[FECHA DE FACTURACIÓN]])&gt;PROVEEDORES[[#This Row],[PLAZO Días]],"PAGO VENCIDO")</f>
        <v>PAGO VENCIDO</v>
      </c>
      <c r="C666" s="27">
        <f>+VLOOKUP(PROVEEDORES[[#This Row],[PROVEEDOR]],TERCEROS_INFO[#All],2,FALSE)</f>
        <v>30</v>
      </c>
      <c r="D666" s="37">
        <f>+SUMIFS(PROVEEDORES[Total],PROVEEDORES[PROVEEDOR],PROVEEDORES[[#This Row],[PROVEEDOR]],PROVEEDORES[FECHA DE PAGO],"")</f>
        <v>1227738.8615000001</v>
      </c>
      <c r="E666" s="37"/>
      <c r="F666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6" s="143">
        <v>44082</v>
      </c>
      <c r="H666" s="38" t="s">
        <v>20</v>
      </c>
      <c r="I666" s="30">
        <v>44026</v>
      </c>
      <c r="J666" s="58">
        <v>1251</v>
      </c>
      <c r="K666" s="32">
        <v>2624600</v>
      </c>
      <c r="L666" s="32"/>
      <c r="M666" s="33">
        <f>(PROVEEDORES[[#This Row],[SUBTOTAL]]-PROVEEDORES[[#This Row],[descuento antes de IVA]])*VLOOKUP(PROVEEDORES[[#This Row],[PROVEEDOR]],TERCEROS_INFO[#All],3,FALSE)</f>
        <v>498674</v>
      </c>
      <c r="N666" s="34"/>
      <c r="O666" s="33">
        <f>+PROVEEDORES[[#This Row],[Descuento sobre subtotal %]]*(PROVEEDORES[[#This Row],[SUBTOTAL]]-PROVEEDORES[[#This Row],[descuento antes de IVA]])</f>
        <v>0</v>
      </c>
      <c r="P6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66" s="33">
        <f>+(PROVEEDORES[[#This Row],[SUBTOTAL]]-PROVEEDORES[[#This Row],[descuento antes de IVA]])*PROVEEDORES[[#This Row],[Rete Fuente %]]</f>
        <v>65615</v>
      </c>
      <c r="R666" s="32">
        <f>+PROVEEDORES[[#This Row],[SUBTOTAL]]+PROVEEDORES[[#This Row],[IVA 19%]]-PROVEEDORES[[#This Row],[descuento antes de IVA]]-PROVEEDORES[[#This Row],[Descuento sobre subtotal $]]-PROVEEDORES[[#This Row],[Rete Fuente $]]</f>
        <v>3057659</v>
      </c>
      <c r="S66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6" s="40"/>
      <c r="U666" s="97"/>
      <c r="V666" s="36"/>
      <c r="W666" s="36"/>
      <c r="X666" s="36"/>
      <c r="Y666" s="36"/>
      <c r="Z666" s="41"/>
      <c r="AA666" s="42"/>
      <c r="AF666" s="36"/>
      <c r="AG666" s="36"/>
    </row>
    <row r="667" spans="1:33" ht="21.95" hidden="1" customHeight="1" x14ac:dyDescent="0.25">
      <c r="A667" s="39" t="str">
        <f>+IF(PROVEEDORES[[#This Row],[FECHA DE PAGO]]=PROVEEDORES[[#This Row],[FECHA DE FACTURACIÓN]],"DE CONTADO","CRÉDITO")</f>
        <v>CRÉDITO</v>
      </c>
      <c r="B667" s="67" t="str">
        <f>+IF((PROVEEDORES[[#This Row],[FECHA DE PAGO]]-PROVEEDORES[[#This Row],[FECHA DE FACTURACIÓN]])&gt;PROVEEDORES[[#This Row],[PLAZO Días]],"PAGO VENCIDO")</f>
        <v>PAGO VENCIDO</v>
      </c>
      <c r="C667" s="27">
        <f>+VLOOKUP(PROVEEDORES[[#This Row],[PROVEEDOR]],TERCEROS_INFO[#All],2,FALSE)</f>
        <v>30</v>
      </c>
      <c r="D667" s="37">
        <f>+SUMIFS(PROVEEDORES[Total],PROVEEDORES[PROVEEDOR],PROVEEDORES[[#This Row],[PROVEEDOR]],PROVEEDORES[FECHA DE PAGO],"")</f>
        <v>1227738.8615000001</v>
      </c>
      <c r="E667" s="37"/>
      <c r="F667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7" s="143">
        <v>44088</v>
      </c>
      <c r="H667" s="38" t="s">
        <v>20</v>
      </c>
      <c r="I667" s="30">
        <v>44035</v>
      </c>
      <c r="J667" s="58">
        <v>1359</v>
      </c>
      <c r="K667" s="32">
        <v>837540.33613445377</v>
      </c>
      <c r="L667" s="32"/>
      <c r="M667" s="33">
        <f>(PROVEEDORES[[#This Row],[SUBTOTAL]]-PROVEEDORES[[#This Row],[descuento antes de IVA]])*VLOOKUP(PROVEEDORES[[#This Row],[PROVEEDOR]],TERCEROS_INFO[#All],3,FALSE)</f>
        <v>159132.66386554623</v>
      </c>
      <c r="N667" s="34"/>
      <c r="O667" s="33">
        <f>+PROVEEDORES[[#This Row],[Descuento sobre subtotal %]]*(PROVEEDORES[[#This Row],[SUBTOTAL]]-PROVEEDORES[[#This Row],[descuento antes de IVA]])</f>
        <v>0</v>
      </c>
      <c r="P6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67" s="33">
        <f>+(PROVEEDORES[[#This Row],[SUBTOTAL]]-PROVEEDORES[[#This Row],[descuento antes de IVA]])*PROVEEDORES[[#This Row],[Rete Fuente %]]</f>
        <v>0</v>
      </c>
      <c r="R667" s="32">
        <f>+PROVEEDORES[[#This Row],[SUBTOTAL]]+PROVEEDORES[[#This Row],[IVA 19%]]-PROVEEDORES[[#This Row],[descuento antes de IVA]]-PROVEEDORES[[#This Row],[Descuento sobre subtotal $]]-PROVEEDORES[[#This Row],[Rete Fuente $]]</f>
        <v>996673</v>
      </c>
      <c r="S66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7" s="40"/>
      <c r="U667" s="97"/>
      <c r="V667" s="36"/>
      <c r="W667" s="36"/>
      <c r="X667" s="36"/>
      <c r="Y667" s="36"/>
      <c r="Z667" s="41"/>
      <c r="AA667" s="42"/>
      <c r="AF667" s="36"/>
      <c r="AG667" s="36"/>
    </row>
    <row r="668" spans="1:33" ht="21.95" hidden="1" customHeight="1" x14ac:dyDescent="0.25">
      <c r="A668" s="39" t="str">
        <f>+IF(PROVEEDORES[[#This Row],[FECHA DE PAGO]]=PROVEEDORES[[#This Row],[FECHA DE FACTURACIÓN]],"DE CONTADO","CRÉDITO")</f>
        <v>CRÉDITO</v>
      </c>
      <c r="B668" s="67" t="b">
        <f>+IF((PROVEEDORES[[#This Row],[FECHA DE PAGO]]-PROVEEDORES[[#This Row],[FECHA DE FACTURACIÓN]])&gt;PROVEEDORES[[#This Row],[PLAZO Días]],"PAGO VENCIDO")</f>
        <v>0</v>
      </c>
      <c r="C668" s="27">
        <f>+VLOOKUP(PROVEEDORES[[#This Row],[PROVEEDOR]],TERCEROS_INFO[#All],2,FALSE)</f>
        <v>30</v>
      </c>
      <c r="D668" s="37">
        <f>+SUMIFS(PROVEEDORES[Total],PROVEEDORES[PROVEEDOR],PROVEEDORES[[#This Row],[PROVEEDOR]],PROVEEDORES[FECHA DE PAGO],"")</f>
        <v>1227738.8615000001</v>
      </c>
      <c r="E668" s="37"/>
      <c r="F668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8" s="143">
        <v>44088</v>
      </c>
      <c r="H668" s="38" t="s">
        <v>20</v>
      </c>
      <c r="I668" s="30">
        <v>44061</v>
      </c>
      <c r="J668" s="58" t="s">
        <v>126</v>
      </c>
      <c r="K668" s="32">
        <v>1036994.1176470589</v>
      </c>
      <c r="L668" s="32"/>
      <c r="M668" s="33">
        <f>(PROVEEDORES[[#This Row],[SUBTOTAL]]-PROVEEDORES[[#This Row],[descuento antes de IVA]])*VLOOKUP(PROVEEDORES[[#This Row],[PROVEEDOR]],TERCEROS_INFO[#All],3,FALSE)</f>
        <v>197028.8823529412</v>
      </c>
      <c r="N668" s="34"/>
      <c r="O668" s="33">
        <f>+PROVEEDORES[[#This Row],[Descuento sobre subtotal %]]*(PROVEEDORES[[#This Row],[SUBTOTAL]]-PROVEEDORES[[#This Row],[descuento antes de IVA]])</f>
        <v>0</v>
      </c>
      <c r="P6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68" s="33">
        <f>+(PROVEEDORES[[#This Row],[SUBTOTAL]]-PROVEEDORES[[#This Row],[descuento antes de IVA]])*PROVEEDORES[[#This Row],[Rete Fuente %]]</f>
        <v>25924.852941176476</v>
      </c>
      <c r="R668" s="32">
        <f>+PROVEEDORES[[#This Row],[SUBTOTAL]]+PROVEEDORES[[#This Row],[IVA 19%]]-PROVEEDORES[[#This Row],[descuento antes de IVA]]-PROVEEDORES[[#This Row],[Descuento sobre subtotal $]]-PROVEEDORES[[#This Row],[Rete Fuente $]]</f>
        <v>1208098.1470588236</v>
      </c>
      <c r="S66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8" s="40"/>
      <c r="U668" s="97"/>
      <c r="V668" s="36"/>
      <c r="W668" s="36"/>
      <c r="X668" s="36"/>
      <c r="Y668" s="36"/>
      <c r="Z668" s="41"/>
      <c r="AA668" s="42"/>
      <c r="AF668" s="36"/>
      <c r="AG668" s="36"/>
    </row>
    <row r="669" spans="1:33" ht="21.95" hidden="1" customHeight="1" x14ac:dyDescent="0.25">
      <c r="A669" s="39" t="str">
        <f>+IF(PROVEEDORES[[#This Row],[FECHA DE PAGO]]=PROVEEDORES[[#This Row],[FECHA DE FACTURACIÓN]],"DE CONTADO","CRÉDITO")</f>
        <v>CRÉDITO</v>
      </c>
      <c r="B669" s="67" t="str">
        <f>+IF((PROVEEDORES[[#This Row],[FECHA DE PAGO]]-PROVEEDORES[[#This Row],[FECHA DE FACTURACIÓN]])&gt;PROVEEDORES[[#This Row],[PLAZO Días]],"PAGO VENCIDO")</f>
        <v>PAGO VENCIDO</v>
      </c>
      <c r="C669" s="27">
        <f>+VLOOKUP(PROVEEDORES[[#This Row],[PROVEEDOR]],TERCEROS_INFO[#All],2,FALSE)</f>
        <v>30</v>
      </c>
      <c r="D669" s="37">
        <f>+SUMIFS(PROVEEDORES[Total],PROVEEDORES[PROVEEDOR],PROVEEDORES[[#This Row],[PROVEEDOR]],PROVEEDORES[FECHA DE PAGO],"")</f>
        <v>1227738.8615000001</v>
      </c>
      <c r="E669" s="37"/>
      <c r="F669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69" s="143">
        <v>44147</v>
      </c>
      <c r="H669" s="38" t="s">
        <v>20</v>
      </c>
      <c r="I669" s="30">
        <v>44095</v>
      </c>
      <c r="J669" s="58">
        <v>1994</v>
      </c>
      <c r="K669" s="32">
        <v>1603891.5966386555</v>
      </c>
      <c r="L669" s="32"/>
      <c r="M669" s="33">
        <f>(PROVEEDORES[[#This Row],[SUBTOTAL]]-PROVEEDORES[[#This Row],[descuento antes de IVA]])*VLOOKUP(PROVEEDORES[[#This Row],[PROVEEDOR]],TERCEROS_INFO[#All],3,FALSE)</f>
        <v>304739.40336134454</v>
      </c>
      <c r="N669" s="34"/>
      <c r="O669" s="33">
        <f>+PROVEEDORES[[#This Row],[Descuento sobre subtotal %]]*(PROVEEDORES[[#This Row],[SUBTOTAL]]-PROVEEDORES[[#This Row],[descuento antes de IVA]])</f>
        <v>0</v>
      </c>
      <c r="P6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69" s="33">
        <f>+(PROVEEDORES[[#This Row],[SUBTOTAL]]-PROVEEDORES[[#This Row],[descuento antes de IVA]])*PROVEEDORES[[#This Row],[Rete Fuente %]]</f>
        <v>40097.289915966394</v>
      </c>
      <c r="R669" s="32">
        <f>+PROVEEDORES[[#This Row],[SUBTOTAL]]+PROVEEDORES[[#This Row],[IVA 19%]]-PROVEEDORES[[#This Row],[descuento antes de IVA]]-PROVEEDORES[[#This Row],[Descuento sobre subtotal $]]-PROVEEDORES[[#This Row],[Rete Fuente $]]</f>
        <v>1868533.7100840337</v>
      </c>
      <c r="S66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9" s="40"/>
      <c r="U669" s="97"/>
      <c r="V669" s="36"/>
      <c r="W669" s="36"/>
      <c r="X669" s="36"/>
      <c r="Y669" s="36"/>
      <c r="Z669" s="41"/>
      <c r="AA669" s="42"/>
      <c r="AF669" s="36"/>
      <c r="AG669" s="36"/>
    </row>
    <row r="670" spans="1:33" ht="21.95" hidden="1" customHeight="1" x14ac:dyDescent="0.25">
      <c r="A670" s="39" t="str">
        <f>+IF(PROVEEDORES[[#This Row],[FECHA DE PAGO]]=PROVEEDORES[[#This Row],[FECHA DE FACTURACIÓN]],"DE CONTADO","CRÉDITO")</f>
        <v>CRÉDITO</v>
      </c>
      <c r="B670" s="67" t="str">
        <f>+IF((PROVEEDORES[[#This Row],[FECHA DE PAGO]]-PROVEEDORES[[#This Row],[FECHA DE FACTURACIÓN]])&gt;PROVEEDORES[[#This Row],[PLAZO Días]],"PAGO VENCIDO")</f>
        <v>PAGO VENCIDO</v>
      </c>
      <c r="C670" s="27">
        <f>+VLOOKUP(PROVEEDORES[[#This Row],[PROVEEDOR]],TERCEROS_INFO[#All],2,FALSE)</f>
        <v>30</v>
      </c>
      <c r="D670" s="37">
        <f>+SUMIFS(PROVEEDORES[Total],PROVEEDORES[PROVEEDOR],PROVEEDORES[[#This Row],[PROVEEDOR]],PROVEEDORES[FECHA DE PAGO],"")</f>
        <v>1227738.8615000001</v>
      </c>
      <c r="E670" s="37"/>
      <c r="F670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0" s="143">
        <v>44180</v>
      </c>
      <c r="H670" s="38" t="s">
        <v>20</v>
      </c>
      <c r="I670" s="30">
        <v>44141</v>
      </c>
      <c r="J670" s="58">
        <v>2477</v>
      </c>
      <c r="K670" s="32">
        <v>822840.33613445377</v>
      </c>
      <c r="L670" s="32"/>
      <c r="M670" s="33">
        <f>(PROVEEDORES[[#This Row],[SUBTOTAL]]-PROVEEDORES[[#This Row],[descuento antes de IVA]])*VLOOKUP(PROVEEDORES[[#This Row],[PROVEEDOR]],TERCEROS_INFO[#All],3,FALSE)</f>
        <v>156339.66386554623</v>
      </c>
      <c r="N670" s="34"/>
      <c r="O670" s="33">
        <f>+PROVEEDORES[[#This Row],[Descuento sobre subtotal %]]*(PROVEEDORES[[#This Row],[SUBTOTAL]]-PROVEEDORES[[#This Row],[descuento antes de IVA]])</f>
        <v>0</v>
      </c>
      <c r="P6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70" s="33">
        <f>+(PROVEEDORES[[#This Row],[SUBTOTAL]]-PROVEEDORES[[#This Row],[descuento antes de IVA]])*PROVEEDORES[[#This Row],[Rete Fuente %]]</f>
        <v>0</v>
      </c>
      <c r="R670" s="32">
        <f>+PROVEEDORES[[#This Row],[SUBTOTAL]]+PROVEEDORES[[#This Row],[IVA 19%]]-PROVEEDORES[[#This Row],[descuento antes de IVA]]-PROVEEDORES[[#This Row],[Descuento sobre subtotal $]]-PROVEEDORES[[#This Row],[Rete Fuente $]]</f>
        <v>979180</v>
      </c>
      <c r="S67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0" s="40"/>
      <c r="U670" s="97"/>
      <c r="V670" s="36"/>
      <c r="W670" s="36"/>
      <c r="X670" s="36"/>
      <c r="Y670" s="36"/>
      <c r="Z670" s="41"/>
      <c r="AA670" s="42"/>
      <c r="AF670" s="36"/>
      <c r="AG670" s="36"/>
    </row>
    <row r="671" spans="1:33" ht="21.95" hidden="1" customHeight="1" x14ac:dyDescent="0.25">
      <c r="A671" s="39" t="str">
        <f>+IF(PROVEEDORES[[#This Row],[FECHA DE PAGO]]=PROVEEDORES[[#This Row],[FECHA DE FACTURACIÓN]],"DE CONTADO","CRÉDITO")</f>
        <v>CRÉDITO</v>
      </c>
      <c r="B671" s="67" t="str">
        <f>+IF((PROVEEDORES[[#This Row],[FECHA DE PAGO]]-PROVEEDORES[[#This Row],[FECHA DE FACTURACIÓN]])&gt;PROVEEDORES[[#This Row],[PLAZO Días]],"PAGO VENCIDO")</f>
        <v>PAGO VENCIDO</v>
      </c>
      <c r="C671" s="27">
        <f>+VLOOKUP(PROVEEDORES[[#This Row],[PROVEEDOR]],TERCEROS_INFO[#All],2,FALSE)</f>
        <v>30</v>
      </c>
      <c r="D671" s="37">
        <f>+SUMIFS(PROVEEDORES[Total],PROVEEDORES[PROVEEDOR],PROVEEDORES[[#This Row],[PROVEEDOR]],PROVEEDORES[FECHA DE PAGO],"")</f>
        <v>1227738.8615000001</v>
      </c>
      <c r="E671" s="37"/>
      <c r="F671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1" s="143">
        <v>44214</v>
      </c>
      <c r="H671" s="38" t="s">
        <v>20</v>
      </c>
      <c r="I671" s="30">
        <v>44167</v>
      </c>
      <c r="J671" s="58">
        <v>2766</v>
      </c>
      <c r="K671" s="32">
        <v>1681026.8907563025</v>
      </c>
      <c r="L671" s="32"/>
      <c r="M671" s="33">
        <f>(PROVEEDORES[[#This Row],[SUBTOTAL]]-PROVEEDORES[[#This Row],[descuento antes de IVA]])*VLOOKUP(PROVEEDORES[[#This Row],[PROVEEDOR]],TERCEROS_INFO[#All],3,FALSE)</f>
        <v>319395.10924369749</v>
      </c>
      <c r="N671" s="34"/>
      <c r="O671" s="33">
        <f>+PROVEEDORES[[#This Row],[Descuento sobre subtotal %]]*(PROVEEDORES[[#This Row],[SUBTOTAL]]-PROVEEDORES[[#This Row],[descuento antes de IVA]])</f>
        <v>0</v>
      </c>
      <c r="P6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71" s="33">
        <f>+(PROVEEDORES[[#This Row],[SUBTOTAL]]-PROVEEDORES[[#This Row],[descuento antes de IVA]])*PROVEEDORES[[#This Row],[Rete Fuente %]]</f>
        <v>42025.672268907569</v>
      </c>
      <c r="R671" s="32">
        <f>+PROVEEDORES[[#This Row],[SUBTOTAL]]+PROVEEDORES[[#This Row],[IVA 19%]]-PROVEEDORES[[#This Row],[descuento antes de IVA]]-PROVEEDORES[[#This Row],[Descuento sobre subtotal $]]-PROVEEDORES[[#This Row],[Rete Fuente $]]</f>
        <v>1958396.3277310925</v>
      </c>
      <c r="S67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1" s="40"/>
      <c r="U671" s="97"/>
      <c r="V671" s="36"/>
      <c r="W671" s="36"/>
      <c r="X671" s="36"/>
      <c r="Y671" s="36"/>
      <c r="Z671" s="41"/>
      <c r="AA671" s="42"/>
      <c r="AF671" s="36"/>
      <c r="AG671" s="36"/>
    </row>
    <row r="672" spans="1:33" ht="21.95" hidden="1" customHeight="1" x14ac:dyDescent="0.25">
      <c r="A672" s="39" t="str">
        <f>+IF(PROVEEDORES[[#This Row],[FECHA DE PAGO]]=PROVEEDORES[[#This Row],[FECHA DE FACTURACIÓN]],"DE CONTADO","CRÉDITO")</f>
        <v>CRÉDITO</v>
      </c>
      <c r="B672" s="67" t="str">
        <f>+IF((PROVEEDORES[[#This Row],[FECHA DE PAGO]]-PROVEEDORES[[#This Row],[FECHA DE FACTURACIÓN]])&gt;PROVEEDORES[[#This Row],[PLAZO Días]],"PAGO VENCIDO")</f>
        <v>PAGO VENCIDO</v>
      </c>
      <c r="C672" s="27">
        <f>+VLOOKUP(PROVEEDORES[[#This Row],[PROVEEDOR]],TERCEROS_INFO[#All],2,FALSE)</f>
        <v>30</v>
      </c>
      <c r="D672" s="37">
        <f>+SUMIFS(PROVEEDORES[Total],PROVEEDORES[PROVEEDOR],PROVEEDORES[[#This Row],[PROVEEDOR]],PROVEEDORES[FECHA DE PAGO],"")</f>
        <v>1227738.8615000001</v>
      </c>
      <c r="E672" s="37"/>
      <c r="F672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2" s="143">
        <v>44230</v>
      </c>
      <c r="H672" s="38" t="s">
        <v>20</v>
      </c>
      <c r="I672" s="30">
        <v>44188</v>
      </c>
      <c r="J672" s="58">
        <v>2967</v>
      </c>
      <c r="K672" s="32">
        <v>1833067</v>
      </c>
      <c r="L672" s="32"/>
      <c r="M672" s="33">
        <f>(PROVEEDORES[[#This Row],[SUBTOTAL]]-PROVEEDORES[[#This Row],[descuento antes de IVA]])*VLOOKUP(PROVEEDORES[[#This Row],[PROVEEDOR]],TERCEROS_INFO[#All],3,FALSE)</f>
        <v>348282.73</v>
      </c>
      <c r="N672" s="34"/>
      <c r="O672" s="33">
        <f>+PROVEEDORES[[#This Row],[Descuento sobre subtotal %]]*(PROVEEDORES[[#This Row],[SUBTOTAL]]-PROVEEDORES[[#This Row],[descuento antes de IVA]])</f>
        <v>0</v>
      </c>
      <c r="P6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72" s="33">
        <f>+(PROVEEDORES[[#This Row],[SUBTOTAL]]-PROVEEDORES[[#This Row],[descuento antes de IVA]])*PROVEEDORES[[#This Row],[Rete Fuente %]]</f>
        <v>45826.675000000003</v>
      </c>
      <c r="R672" s="32">
        <f>+PROVEEDORES[[#This Row],[SUBTOTAL]]+PROVEEDORES[[#This Row],[IVA 19%]]-PROVEEDORES[[#This Row],[descuento antes de IVA]]-PROVEEDORES[[#This Row],[Descuento sobre subtotal $]]-PROVEEDORES[[#This Row],[Rete Fuente $]]</f>
        <v>2135523.0550000002</v>
      </c>
      <c r="S67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2" s="40"/>
      <c r="U672" s="97"/>
      <c r="V672" s="36"/>
      <c r="W672" s="36"/>
      <c r="X672" s="36"/>
      <c r="Y672" s="36"/>
      <c r="Z672" s="41"/>
      <c r="AA672" s="42"/>
      <c r="AF672" s="36"/>
      <c r="AG672" s="36"/>
    </row>
    <row r="673" spans="1:33" ht="21.95" hidden="1" customHeight="1" x14ac:dyDescent="0.25">
      <c r="A673" s="39" t="str">
        <f>+IF(PROVEEDORES[[#This Row],[FECHA DE PAGO]]=PROVEEDORES[[#This Row],[FECHA DE FACTURACIÓN]],"DE CONTADO","CRÉDITO")</f>
        <v>CRÉDITO</v>
      </c>
      <c r="B673" s="67" t="str">
        <f>+IF((PROVEEDORES[[#This Row],[FECHA DE PAGO]]-PROVEEDORES[[#This Row],[FECHA DE FACTURACIÓN]])&gt;PROVEEDORES[[#This Row],[PLAZO Días]],"PAGO VENCIDO")</f>
        <v>PAGO VENCIDO</v>
      </c>
      <c r="C673" s="27">
        <f>+VLOOKUP(PROVEEDORES[[#This Row],[PROVEEDOR]],TERCEROS_INFO[#All],2,FALSE)</f>
        <v>30</v>
      </c>
      <c r="D673" s="37">
        <f>+SUMIFS(PROVEEDORES[Total],PROVEEDORES[PROVEEDOR],PROVEEDORES[[#This Row],[PROVEEDOR]],PROVEEDORES[FECHA DE PAGO],"")</f>
        <v>1227738.8615000001</v>
      </c>
      <c r="E673" s="37"/>
      <c r="F673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3" s="143">
        <v>44264</v>
      </c>
      <c r="H673" s="38" t="s">
        <v>20</v>
      </c>
      <c r="I673" s="30">
        <v>44216</v>
      </c>
      <c r="J673" s="58">
        <v>3129</v>
      </c>
      <c r="K673" s="32">
        <v>979579</v>
      </c>
      <c r="L673" s="32"/>
      <c r="M673" s="33">
        <f>(PROVEEDORES[[#This Row],[SUBTOTAL]]-PROVEEDORES[[#This Row],[descuento antes de IVA]])*VLOOKUP(PROVEEDORES[[#This Row],[PROVEEDOR]],TERCEROS_INFO[#All],3,FALSE)</f>
        <v>186120.01</v>
      </c>
      <c r="N673" s="34"/>
      <c r="O673" s="33">
        <f>+PROVEEDORES[[#This Row],[Descuento sobre subtotal %]]*(PROVEEDORES[[#This Row],[SUBTOTAL]]-PROVEEDORES[[#This Row],[descuento antes de IVA]])</f>
        <v>0</v>
      </c>
      <c r="P6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73" s="33">
        <f>+(PROVEEDORES[[#This Row],[SUBTOTAL]]-PROVEEDORES[[#This Row],[descuento antes de IVA]])*PROVEEDORES[[#This Row],[Rete Fuente %]]</f>
        <v>0</v>
      </c>
      <c r="R673" s="32">
        <f>+PROVEEDORES[[#This Row],[SUBTOTAL]]+PROVEEDORES[[#This Row],[IVA 19%]]-PROVEEDORES[[#This Row],[descuento antes de IVA]]-PROVEEDORES[[#This Row],[Descuento sobre subtotal $]]-PROVEEDORES[[#This Row],[Rete Fuente $]]</f>
        <v>1165699.01</v>
      </c>
      <c r="S67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3" s="40"/>
      <c r="U673" s="97"/>
      <c r="V673" s="36"/>
      <c r="W673" s="36"/>
      <c r="X673" s="36"/>
      <c r="Y673" s="36"/>
      <c r="Z673" s="41"/>
      <c r="AA673" s="42"/>
      <c r="AF673" s="36"/>
      <c r="AG673" s="36"/>
    </row>
    <row r="674" spans="1:33" ht="21.95" hidden="1" customHeight="1" x14ac:dyDescent="0.25">
      <c r="A674" s="66" t="str">
        <f>+IF(PROVEEDORES[[#This Row],[FECHA DE PAGO]]=PROVEEDORES[[#This Row],[FECHA DE FACTURACIÓN]],"DE CONTADO","CRÉDITO")</f>
        <v>CRÉDITO</v>
      </c>
      <c r="B674" s="68" t="str">
        <f>+IF((PROVEEDORES[[#This Row],[FECHA DE PAGO]]-PROVEEDORES[[#This Row],[FECHA DE FACTURACIÓN]])&gt;PROVEEDORES[[#This Row],[PLAZO Días]],"PAGO VENCIDO")</f>
        <v>PAGO VENCIDO</v>
      </c>
      <c r="C674" s="27">
        <f>+VLOOKUP(PROVEEDORES[[#This Row],[PROVEEDOR]],TERCEROS_INFO[#All],2,FALSE)</f>
        <v>30</v>
      </c>
      <c r="D674" s="37">
        <f>+SUMIFS(PROVEEDORES[Total],PROVEEDORES[PROVEEDOR],PROVEEDORES[[#This Row],[PROVEEDOR]],PROVEEDORES[FECHA DE PAGO],"")</f>
        <v>1227738.8615000001</v>
      </c>
      <c r="E674" s="37"/>
      <c r="F674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4" s="143">
        <v>44264</v>
      </c>
      <c r="H674" s="38" t="s">
        <v>20</v>
      </c>
      <c r="I674" s="30">
        <v>44229</v>
      </c>
      <c r="J674" s="58">
        <v>3224</v>
      </c>
      <c r="K674" s="32">
        <v>43740</v>
      </c>
      <c r="L674" s="32"/>
      <c r="M674" s="33">
        <f>(PROVEEDORES[[#This Row],[SUBTOTAL]]-PROVEEDORES[[#This Row],[descuento antes de IVA]])*VLOOKUP(PROVEEDORES[[#This Row],[PROVEEDOR]],TERCEROS_INFO[#All],3,FALSE)</f>
        <v>8310.6</v>
      </c>
      <c r="N674" s="34"/>
      <c r="O674" s="33">
        <f>+PROVEEDORES[[#This Row],[Descuento sobre subtotal %]]*(PROVEEDORES[[#This Row],[SUBTOTAL]]-PROVEEDORES[[#This Row],[descuento antes de IVA]])</f>
        <v>0</v>
      </c>
      <c r="P6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74" s="33">
        <f>+(PROVEEDORES[[#This Row],[SUBTOTAL]]-PROVEEDORES[[#This Row],[descuento antes de IVA]])*PROVEEDORES[[#This Row],[Rete Fuente %]]</f>
        <v>0</v>
      </c>
      <c r="R674" s="32">
        <f>+PROVEEDORES[[#This Row],[SUBTOTAL]]+PROVEEDORES[[#This Row],[IVA 19%]]-PROVEEDORES[[#This Row],[descuento antes de IVA]]-PROVEEDORES[[#This Row],[Descuento sobre subtotal $]]-PROVEEDORES[[#This Row],[Rete Fuente $]]</f>
        <v>52050.6</v>
      </c>
      <c r="S674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4" s="40"/>
      <c r="U674" s="97"/>
      <c r="V674" s="36"/>
      <c r="W674" s="36"/>
      <c r="X674" s="36"/>
      <c r="Y674" s="36"/>
      <c r="Z674" s="41"/>
      <c r="AA674" s="42"/>
      <c r="AF674" s="36"/>
      <c r="AG674" s="36"/>
    </row>
    <row r="675" spans="1:33" ht="21.95" hidden="1" customHeight="1" x14ac:dyDescent="0.25">
      <c r="A675" s="88" t="str">
        <f>+IF(PROVEEDORES[[#This Row],[FECHA DE PAGO]]=PROVEEDORES[[#This Row],[FECHA DE FACTURACIÓN]],"DE CONTADO","CRÉDITO")</f>
        <v>CRÉDITO</v>
      </c>
      <c r="B675" s="70" t="str">
        <f>+IF((PROVEEDORES[[#This Row],[FECHA DE PAGO]]-PROVEEDORES[[#This Row],[FECHA DE FACTURACIÓN]])&gt;PROVEEDORES[[#This Row],[PLAZO Días]],"PAGO VENCIDO")</f>
        <v>PAGO VENCIDO</v>
      </c>
      <c r="C675" s="27">
        <f>+VLOOKUP(PROVEEDORES[[#This Row],[PROVEEDOR]],TERCEROS_INFO[#All],2,FALSE)</f>
        <v>30</v>
      </c>
      <c r="D675" s="37">
        <f>+SUMIFS(PROVEEDORES[Total],PROVEEDORES[PROVEEDOR],PROVEEDORES[[#This Row],[PROVEEDOR]],PROVEEDORES[FECHA DE PAGO],"")</f>
        <v>1227738.8615000001</v>
      </c>
      <c r="E675" s="37"/>
      <c r="F675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5" s="143">
        <v>44305</v>
      </c>
      <c r="H675" s="38" t="s">
        <v>20</v>
      </c>
      <c r="I675" s="30">
        <v>44236</v>
      </c>
      <c r="J675" s="58">
        <v>3284</v>
      </c>
      <c r="K675" s="32">
        <v>1310490</v>
      </c>
      <c r="L675" s="32"/>
      <c r="M675" s="33">
        <f>(PROVEEDORES[[#This Row],[SUBTOTAL]]-PROVEEDORES[[#This Row],[descuento antes de IVA]])*VLOOKUP(PROVEEDORES[[#This Row],[PROVEEDOR]],TERCEROS_INFO[#All],3,FALSE)</f>
        <v>248993.1</v>
      </c>
      <c r="N675" s="34"/>
      <c r="O675" s="33">
        <f>+PROVEEDORES[[#This Row],[Descuento sobre subtotal %]]*(PROVEEDORES[[#This Row],[SUBTOTAL]]-PROVEEDORES[[#This Row],[descuento antes de IVA]])</f>
        <v>0</v>
      </c>
      <c r="P6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75" s="33">
        <f>+(PROVEEDORES[[#This Row],[SUBTOTAL]]-PROVEEDORES[[#This Row],[descuento antes de IVA]])*PROVEEDORES[[#This Row],[Rete Fuente %]]</f>
        <v>32762.25</v>
      </c>
      <c r="R675" s="32">
        <f>+PROVEEDORES[[#This Row],[SUBTOTAL]]+PROVEEDORES[[#This Row],[IVA 19%]]-PROVEEDORES[[#This Row],[descuento antes de IVA]]-PROVEEDORES[[#This Row],[Descuento sobre subtotal $]]-PROVEEDORES[[#This Row],[Rete Fuente $]]</f>
        <v>1526720.85</v>
      </c>
      <c r="S675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5" s="40"/>
      <c r="U675" s="97"/>
      <c r="V675" s="36"/>
      <c r="W675" s="36"/>
      <c r="X675" s="36"/>
      <c r="Y675" s="36"/>
      <c r="Z675" s="41"/>
      <c r="AA675" s="42"/>
      <c r="AF675" s="36"/>
      <c r="AG675" s="36"/>
    </row>
    <row r="676" spans="1:33" ht="21.95" hidden="1" customHeight="1" x14ac:dyDescent="0.25">
      <c r="A676" s="88" t="str">
        <f>+IF(PROVEEDORES[[#This Row],[FECHA DE PAGO]]=PROVEEDORES[[#This Row],[FECHA DE FACTURACIÓN]],"DE CONTADO","CRÉDITO")</f>
        <v>CRÉDITO</v>
      </c>
      <c r="B676" s="70" t="str">
        <f>+IF((PROVEEDORES[[#This Row],[FECHA DE PAGO]]-PROVEEDORES[[#This Row],[FECHA DE FACTURACIÓN]])&gt;PROVEEDORES[[#This Row],[PLAZO Días]],"PAGO VENCIDO")</f>
        <v>PAGO VENCIDO</v>
      </c>
      <c r="C676" s="27">
        <f>+VLOOKUP(PROVEEDORES[[#This Row],[PROVEEDOR]],TERCEROS_INFO[#All],2,FALSE)</f>
        <v>30</v>
      </c>
      <c r="D676" s="37">
        <f>+SUMIFS(PROVEEDORES[Total],PROVEEDORES[PROVEEDOR],PROVEEDORES[[#This Row],[PROVEEDOR]],PROVEEDORES[FECHA DE PAGO],"")</f>
        <v>1227738.8615000001</v>
      </c>
      <c r="E676" s="37"/>
      <c r="F676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6" s="143">
        <v>44335</v>
      </c>
      <c r="H676" s="38" t="s">
        <v>20</v>
      </c>
      <c r="I676" s="30">
        <v>44265</v>
      </c>
      <c r="J676" s="58">
        <v>3556</v>
      </c>
      <c r="K676" s="32">
        <v>1098280</v>
      </c>
      <c r="L676" s="32"/>
      <c r="M676" s="33">
        <f>(PROVEEDORES[[#This Row],[SUBTOTAL]]-PROVEEDORES[[#This Row],[descuento antes de IVA]])*VLOOKUP(PROVEEDORES[[#This Row],[PROVEEDOR]],TERCEROS_INFO[#All],3,FALSE)</f>
        <v>208673.2</v>
      </c>
      <c r="N676" s="34"/>
      <c r="O676" s="33">
        <f>+PROVEEDORES[[#This Row],[Descuento sobre subtotal %]]*(PROVEEDORES[[#This Row],[SUBTOTAL]]-PROVEEDORES[[#This Row],[descuento antes de IVA]])</f>
        <v>0</v>
      </c>
      <c r="P6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76" s="33">
        <f>+(PROVEEDORES[[#This Row],[SUBTOTAL]]-PROVEEDORES[[#This Row],[descuento antes de IVA]])*PROVEEDORES[[#This Row],[Rete Fuente %]]</f>
        <v>27457</v>
      </c>
      <c r="R676" s="32">
        <f>+PROVEEDORES[[#This Row],[SUBTOTAL]]+PROVEEDORES[[#This Row],[IVA 19%]]-PROVEEDORES[[#This Row],[descuento antes de IVA]]-PROVEEDORES[[#This Row],[Descuento sobre subtotal $]]-PROVEEDORES[[#This Row],[Rete Fuente $]]</f>
        <v>1279496.2</v>
      </c>
      <c r="S67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6" s="40"/>
      <c r="U676" s="97"/>
      <c r="V676" s="36"/>
      <c r="W676" s="36"/>
      <c r="X676" s="36"/>
      <c r="Y676" s="36"/>
      <c r="Z676" s="41"/>
      <c r="AA676" s="42"/>
      <c r="AF676" s="36"/>
      <c r="AG676" s="36"/>
    </row>
    <row r="677" spans="1:33" ht="21.95" hidden="1" customHeight="1" x14ac:dyDescent="0.25">
      <c r="A677" s="104" t="str">
        <f>+IF(PROVEEDORES[[#This Row],[FECHA DE PAGO]]=PROVEEDORES[[#This Row],[FECHA DE FACTURACIÓN]],"DE CONTADO","CRÉDITO")</f>
        <v>CRÉDITO</v>
      </c>
      <c r="B677" s="70" t="str">
        <f>+IF((PROVEEDORES[[#This Row],[FECHA DE PAGO]]-PROVEEDORES[[#This Row],[FECHA DE FACTURACIÓN]])&gt;PROVEEDORES[[#This Row],[PLAZO Días]],"PAGO VENCIDO")</f>
        <v>PAGO VENCIDO</v>
      </c>
      <c r="C677" s="27">
        <f>+VLOOKUP(PROVEEDORES[[#This Row],[PROVEEDOR]],TERCEROS_INFO[#All],2,FALSE)</f>
        <v>30</v>
      </c>
      <c r="D677" s="37">
        <f>+SUMIFS(PROVEEDORES[Total],PROVEEDORES[PROVEEDOR],PROVEEDORES[[#This Row],[PROVEEDOR]],PROVEEDORES[FECHA DE PAGO],"")</f>
        <v>1227738.8615000001</v>
      </c>
      <c r="E677" s="37"/>
      <c r="F677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7" s="143">
        <v>44348</v>
      </c>
      <c r="H677" s="38" t="s">
        <v>20</v>
      </c>
      <c r="I677" s="30">
        <v>44306</v>
      </c>
      <c r="J677" s="58">
        <v>3909</v>
      </c>
      <c r="K677" s="32">
        <v>898920</v>
      </c>
      <c r="L677" s="32"/>
      <c r="M677" s="33">
        <f>(PROVEEDORES[[#This Row],[SUBTOTAL]]-PROVEEDORES[[#This Row],[descuento antes de IVA]])*VLOOKUP(PROVEEDORES[[#This Row],[PROVEEDOR]],TERCEROS_INFO[#All],3,FALSE)</f>
        <v>170794.8</v>
      </c>
      <c r="N677" s="34"/>
      <c r="O677" s="33">
        <f>+PROVEEDORES[[#This Row],[Descuento sobre subtotal %]]*(PROVEEDORES[[#This Row],[SUBTOTAL]]-PROVEEDORES[[#This Row],[descuento antes de IVA]])</f>
        <v>0</v>
      </c>
      <c r="P6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77" s="33">
        <f>+(PROVEEDORES[[#This Row],[SUBTOTAL]]-PROVEEDORES[[#This Row],[descuento antes de IVA]])*PROVEEDORES[[#This Row],[Rete Fuente %]]</f>
        <v>0</v>
      </c>
      <c r="R677" s="32">
        <f>+PROVEEDORES[[#This Row],[SUBTOTAL]]+PROVEEDORES[[#This Row],[IVA 19%]]-PROVEEDORES[[#This Row],[descuento antes de IVA]]-PROVEEDORES[[#This Row],[Descuento sobre subtotal $]]-PROVEEDORES[[#This Row],[Rete Fuente $]]</f>
        <v>1069714.8</v>
      </c>
      <c r="S677" s="10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7" s="40"/>
      <c r="U677" s="97"/>
      <c r="V677" s="36"/>
      <c r="W677" s="36"/>
      <c r="X677" s="36"/>
      <c r="Y677" s="36"/>
      <c r="Z677" s="41"/>
      <c r="AA677" s="42"/>
      <c r="AF677" s="36"/>
      <c r="AG677" s="36"/>
    </row>
    <row r="678" spans="1:33" ht="21.95" hidden="1" customHeight="1" x14ac:dyDescent="0.25">
      <c r="A678" s="35" t="str">
        <f>+IF(PROVEEDORES[[#This Row],[FECHA DE PAGO]]=PROVEEDORES[[#This Row],[FECHA DE FACTURACIÓN]],"DE CONTADO","CRÉDITO")</f>
        <v>CRÉDITO</v>
      </c>
      <c r="B678" s="70" t="str">
        <f>+IF((PROVEEDORES[[#This Row],[FECHA DE PAGO]]-PROVEEDORES[[#This Row],[FECHA DE FACTURACIÓN]])&gt;PROVEEDORES[[#This Row],[PLAZO Días]],"PAGO VENCIDO")</f>
        <v>PAGO VENCIDO</v>
      </c>
      <c r="C678" s="27">
        <f>+VLOOKUP(PROVEEDORES[[#This Row],[PROVEEDOR]],TERCEROS_INFO[#All],2,FALSE)</f>
        <v>30</v>
      </c>
      <c r="D678" s="37">
        <f>+SUMIFS(PROVEEDORES[Total],PROVEEDORES[PROVEEDOR],PROVEEDORES[[#This Row],[PROVEEDOR]],PROVEEDORES[FECHA DE PAGO],"")</f>
        <v>1227738.8615000001</v>
      </c>
      <c r="E678" s="37"/>
      <c r="F678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8" s="143">
        <v>44376</v>
      </c>
      <c r="H678" s="38" t="s">
        <v>20</v>
      </c>
      <c r="I678" s="30">
        <v>44336</v>
      </c>
      <c r="J678" s="58">
        <v>4103</v>
      </c>
      <c r="K678" s="32">
        <v>1203216</v>
      </c>
      <c r="L678" s="32"/>
      <c r="M678" s="33">
        <f>(PROVEEDORES[[#This Row],[SUBTOTAL]]-PROVEEDORES[[#This Row],[descuento antes de IVA]])*VLOOKUP(PROVEEDORES[[#This Row],[PROVEEDOR]],TERCEROS_INFO[#All],3,FALSE)</f>
        <v>228611.04</v>
      </c>
      <c r="N678" s="34"/>
      <c r="O678" s="33">
        <f>+PROVEEDORES[[#This Row],[Descuento sobre subtotal %]]*(PROVEEDORES[[#This Row],[SUBTOTAL]]-PROVEEDORES[[#This Row],[descuento antes de IVA]])</f>
        <v>0</v>
      </c>
      <c r="P6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78" s="33">
        <f>+(PROVEEDORES[[#This Row],[SUBTOTAL]]-PROVEEDORES[[#This Row],[descuento antes de IVA]])*PROVEEDORES[[#This Row],[Rete Fuente %]]</f>
        <v>30080.400000000001</v>
      </c>
      <c r="R678" s="32">
        <f>+PROVEEDORES[[#This Row],[SUBTOTAL]]+PROVEEDORES[[#This Row],[IVA 19%]]-PROVEEDORES[[#This Row],[descuento antes de IVA]]-PROVEEDORES[[#This Row],[Descuento sobre subtotal $]]-PROVEEDORES[[#This Row],[Rete Fuente $]]</f>
        <v>1401746.6400000001</v>
      </c>
      <c r="S67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8" s="40"/>
      <c r="U678" s="97"/>
      <c r="V678" s="36"/>
      <c r="W678" s="36"/>
      <c r="X678" s="36"/>
      <c r="Y678" s="36"/>
      <c r="Z678" s="41"/>
      <c r="AA678" s="42"/>
      <c r="AF678" s="36"/>
      <c r="AG678" s="36"/>
    </row>
    <row r="679" spans="1:33" ht="21.95" hidden="1" customHeight="1" x14ac:dyDescent="0.25">
      <c r="A679" s="141" t="str">
        <f>+IF(PROVEEDORES[[#This Row],[FECHA DE PAGO]]=PROVEEDORES[[#This Row],[FECHA DE FACTURACIÓN]],"DE CONTADO","CRÉDITO")</f>
        <v>CRÉDITO</v>
      </c>
      <c r="B679" s="70" t="str">
        <f>+IF((PROVEEDORES[[#This Row],[FECHA DE PAGO]]-PROVEEDORES[[#This Row],[FECHA DE FACTURACIÓN]])&gt;PROVEEDORES[[#This Row],[PLAZO Días]],"PAGO VENCIDO")</f>
        <v>PAGO VENCIDO</v>
      </c>
      <c r="C679" s="27">
        <f>+VLOOKUP(PROVEEDORES[[#This Row],[PROVEEDOR]],TERCEROS_INFO[#All],2,FALSE)</f>
        <v>30</v>
      </c>
      <c r="D679" s="37">
        <f>+SUMIFS(PROVEEDORES[Total],PROVEEDORES[PROVEEDOR],PROVEEDORES[[#This Row],[PROVEEDOR]],PROVEEDORES[FECHA DE PAGO],"")</f>
        <v>1227738.8615000001</v>
      </c>
      <c r="E679" s="37"/>
      <c r="F679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79" s="143">
        <v>44459</v>
      </c>
      <c r="H679" s="38" t="s">
        <v>20</v>
      </c>
      <c r="I679" s="30">
        <v>44420</v>
      </c>
      <c r="J679" s="58">
        <v>4816</v>
      </c>
      <c r="K679" s="32">
        <v>2010280</v>
      </c>
      <c r="L679" s="32"/>
      <c r="M679" s="33">
        <f>(PROVEEDORES[[#This Row],[SUBTOTAL]]-PROVEEDORES[[#This Row],[descuento antes de IVA]])*VLOOKUP(PROVEEDORES[[#This Row],[PROVEEDOR]],TERCEROS_INFO[#All],3,FALSE)</f>
        <v>381953.2</v>
      </c>
      <c r="N679" s="34"/>
      <c r="O679" s="33">
        <f>+PROVEEDORES[[#This Row],[Descuento sobre subtotal %]]*(PROVEEDORES[[#This Row],[SUBTOTAL]]-PROVEEDORES[[#This Row],[descuento antes de IVA]])</f>
        <v>0</v>
      </c>
      <c r="P6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79" s="33">
        <f>+(PROVEEDORES[[#This Row],[SUBTOTAL]]-PROVEEDORES[[#This Row],[descuento antes de IVA]])*PROVEEDORES[[#This Row],[Rete Fuente %]]</f>
        <v>50257</v>
      </c>
      <c r="R679" s="32">
        <f>+PROVEEDORES[[#This Row],[SUBTOTAL]]+PROVEEDORES[[#This Row],[IVA 19%]]-PROVEEDORES[[#This Row],[descuento antes de IVA]]-PROVEEDORES[[#This Row],[Descuento sobre subtotal $]]-PROVEEDORES[[#This Row],[Rete Fuente $]]</f>
        <v>2341976.2000000002</v>
      </c>
      <c r="S679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9" s="40"/>
      <c r="U679" s="97"/>
      <c r="V679" s="36"/>
      <c r="W679" s="36"/>
      <c r="X679" s="36"/>
      <c r="Y679" s="36"/>
      <c r="Z679" s="41"/>
      <c r="AA679" s="42"/>
      <c r="AF679" s="36"/>
      <c r="AG679" s="36"/>
    </row>
    <row r="680" spans="1:33" ht="21.95" hidden="1" customHeight="1" x14ac:dyDescent="0.25">
      <c r="A680" s="35" t="str">
        <f>+IF(PROVEEDORES[[#This Row],[FECHA DE PAGO]]=PROVEEDORES[[#This Row],[FECHA DE FACTURACIÓN]],"DE CONTADO","CRÉDITO")</f>
        <v>CRÉDITO</v>
      </c>
      <c r="B680" s="70" t="str">
        <f>+IF((PROVEEDORES[[#This Row],[FECHA DE PAGO]]-PROVEEDORES[[#This Row],[FECHA DE FACTURACIÓN]])&gt;PROVEEDORES[[#This Row],[PLAZO Días]],"PAGO VENCIDO")</f>
        <v>PAGO VENCIDO</v>
      </c>
      <c r="C680" s="27">
        <f>+VLOOKUP(PROVEEDORES[[#This Row],[PROVEEDOR]],TERCEROS_INFO[#All],2,FALSE)</f>
        <v>30</v>
      </c>
      <c r="D680" s="37">
        <f>+SUMIFS(PROVEEDORES[Total],PROVEEDORES[PROVEEDOR],PROVEEDORES[[#This Row],[PROVEEDOR]],PROVEEDORES[FECHA DE PAGO],"")</f>
        <v>1227738.8615000001</v>
      </c>
      <c r="E680" s="37"/>
      <c r="F680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80" s="143">
        <v>44476</v>
      </c>
      <c r="H680" s="38" t="s">
        <v>20</v>
      </c>
      <c r="I680" s="30">
        <v>44435</v>
      </c>
      <c r="J680" s="58">
        <v>4659</v>
      </c>
      <c r="K680" s="32">
        <v>1955400</v>
      </c>
      <c r="L680" s="32"/>
      <c r="M680" s="33">
        <f>(PROVEEDORES[[#This Row],[SUBTOTAL]]-PROVEEDORES[[#This Row],[descuento antes de IVA]])*VLOOKUP(PROVEEDORES[[#This Row],[PROVEEDOR]],TERCEROS_INFO[#All],3,FALSE)</f>
        <v>371526</v>
      </c>
      <c r="N680" s="34"/>
      <c r="O680" s="33">
        <f>+PROVEEDORES[[#This Row],[Descuento sobre subtotal %]]*(PROVEEDORES[[#This Row],[SUBTOTAL]]-PROVEEDORES[[#This Row],[descuento antes de IVA]])</f>
        <v>0</v>
      </c>
      <c r="P6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80" s="33">
        <f>+(PROVEEDORES[[#This Row],[SUBTOTAL]]-PROVEEDORES[[#This Row],[descuento antes de IVA]])*PROVEEDORES[[#This Row],[Rete Fuente %]]</f>
        <v>48885</v>
      </c>
      <c r="R680" s="32">
        <f>+PROVEEDORES[[#This Row],[SUBTOTAL]]+PROVEEDORES[[#This Row],[IVA 19%]]-PROVEEDORES[[#This Row],[descuento antes de IVA]]-PROVEEDORES[[#This Row],[Descuento sobre subtotal $]]-PROVEEDORES[[#This Row],[Rete Fuente $]]</f>
        <v>2278041</v>
      </c>
      <c r="S68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0" s="40"/>
      <c r="U680" s="97"/>
      <c r="V680" s="36"/>
      <c r="W680" s="36"/>
      <c r="X680" s="36"/>
      <c r="Y680" s="36"/>
      <c r="Z680" s="41"/>
      <c r="AA680" s="42"/>
      <c r="AF680" s="36"/>
      <c r="AG680" s="36"/>
    </row>
    <row r="681" spans="1:33" ht="21.95" hidden="1" customHeight="1" x14ac:dyDescent="0.25">
      <c r="A681" s="148" t="str">
        <f>+IF(PROVEEDORES[[#This Row],[FECHA DE PAGO]]=PROVEEDORES[[#This Row],[FECHA DE FACTURACIÓN]],"DE CONTADO","CRÉDITO")</f>
        <v>CRÉDITO</v>
      </c>
      <c r="B681" s="70" t="str">
        <f>+IF((PROVEEDORES[[#This Row],[FECHA DE PAGO]]-PROVEEDORES[[#This Row],[FECHA DE FACTURACIÓN]])&gt;PROVEEDORES[[#This Row],[PLAZO Días]],"PAGO VENCIDO")</f>
        <v>PAGO VENCIDO</v>
      </c>
      <c r="C681" s="27">
        <f>+VLOOKUP(PROVEEDORES[[#This Row],[PROVEEDOR]],TERCEROS_INFO[#All],2,FALSE)</f>
        <v>30</v>
      </c>
      <c r="D681" s="37">
        <f>+SUMIFS(PROVEEDORES[Total],PROVEEDORES[PROVEEDOR],PROVEEDORES[[#This Row],[PROVEEDOR]],PROVEEDORES[FECHA DE PAGO],"")</f>
        <v>1227738.8615000001</v>
      </c>
      <c r="E681" s="37"/>
      <c r="F681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81" s="143">
        <v>44476</v>
      </c>
      <c r="H681" s="38" t="s">
        <v>20</v>
      </c>
      <c r="I681" s="30">
        <v>44445</v>
      </c>
      <c r="J681" s="58">
        <v>5004</v>
      </c>
      <c r="K681" s="32">
        <v>1407490</v>
      </c>
      <c r="L681" s="32"/>
      <c r="M681" s="33">
        <f>(PROVEEDORES[[#This Row],[SUBTOTAL]]-PROVEEDORES[[#This Row],[descuento antes de IVA]])*VLOOKUP(PROVEEDORES[[#This Row],[PROVEEDOR]],TERCEROS_INFO[#All],3,FALSE)</f>
        <v>267423.09999999998</v>
      </c>
      <c r="N681" s="34"/>
      <c r="O681" s="33">
        <f>+PROVEEDORES[[#This Row],[Descuento sobre subtotal %]]*(PROVEEDORES[[#This Row],[SUBTOTAL]]-PROVEEDORES[[#This Row],[descuento antes de IVA]])</f>
        <v>0</v>
      </c>
      <c r="P6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81" s="33">
        <f>+(PROVEEDORES[[#This Row],[SUBTOTAL]]-PROVEEDORES[[#This Row],[descuento antes de IVA]])*PROVEEDORES[[#This Row],[Rete Fuente %]]</f>
        <v>35187.25</v>
      </c>
      <c r="R681" s="32">
        <f>+PROVEEDORES[[#This Row],[SUBTOTAL]]+PROVEEDORES[[#This Row],[IVA 19%]]-PROVEEDORES[[#This Row],[descuento antes de IVA]]-PROVEEDORES[[#This Row],[Descuento sobre subtotal $]]-PROVEEDORES[[#This Row],[Rete Fuente $]]</f>
        <v>1639725.85</v>
      </c>
      <c r="S681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1" s="40"/>
      <c r="U681" s="97"/>
      <c r="V681" s="36"/>
      <c r="W681" s="36"/>
      <c r="X681" s="36"/>
      <c r="Y681" s="36"/>
      <c r="Z681" s="41"/>
      <c r="AA681" s="42"/>
      <c r="AF681" s="36"/>
      <c r="AG681" s="36"/>
    </row>
    <row r="682" spans="1:33" ht="21.95" hidden="1" customHeight="1" x14ac:dyDescent="0.25">
      <c r="A682" s="148" t="str">
        <f>+IF(PROVEEDORES[[#This Row],[FECHA DE PAGO]]=PROVEEDORES[[#This Row],[FECHA DE FACTURACIÓN]],"DE CONTADO","CRÉDITO")</f>
        <v>CRÉDITO</v>
      </c>
      <c r="B682" s="70" t="str">
        <f>+IF((PROVEEDORES[[#This Row],[FECHA DE PAGO]]-PROVEEDORES[[#This Row],[FECHA DE FACTURACIÓN]])&gt;PROVEEDORES[[#This Row],[PLAZO Días]],"PAGO VENCIDO")</f>
        <v>PAGO VENCIDO</v>
      </c>
      <c r="C682" s="27">
        <f>+VLOOKUP(PROVEEDORES[[#This Row],[PROVEEDOR]],TERCEROS_INFO[#All],2,FALSE)</f>
        <v>30</v>
      </c>
      <c r="D682" s="37">
        <f>+SUMIFS(PROVEEDORES[Total],PROVEEDORES[PROVEEDOR],PROVEEDORES[[#This Row],[PROVEEDOR]],PROVEEDORES[FECHA DE PAGO],"")</f>
        <v>1227738.8615000001</v>
      </c>
      <c r="E682" s="37"/>
      <c r="F682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82" s="143">
        <v>44476</v>
      </c>
      <c r="H682" s="38" t="s">
        <v>20</v>
      </c>
      <c r="I682" s="30">
        <v>44445</v>
      </c>
      <c r="J682" s="58">
        <v>5005</v>
      </c>
      <c r="K682" s="32">
        <v>926808</v>
      </c>
      <c r="L682" s="32"/>
      <c r="M682" s="33">
        <f>(PROVEEDORES[[#This Row],[SUBTOTAL]]-PROVEEDORES[[#This Row],[descuento antes de IVA]])*VLOOKUP(PROVEEDORES[[#This Row],[PROVEEDOR]],TERCEROS_INFO[#All],3,FALSE)</f>
        <v>176093.52</v>
      </c>
      <c r="N682" s="34"/>
      <c r="O682" s="33">
        <f>+PROVEEDORES[[#This Row],[Descuento sobre subtotal %]]*(PROVEEDORES[[#This Row],[SUBTOTAL]]-PROVEEDORES[[#This Row],[descuento antes de IVA]])</f>
        <v>0</v>
      </c>
      <c r="P6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82" s="33">
        <f>+(PROVEEDORES[[#This Row],[SUBTOTAL]]-PROVEEDORES[[#This Row],[descuento antes de IVA]])*PROVEEDORES[[#This Row],[Rete Fuente %]]</f>
        <v>0</v>
      </c>
      <c r="R682" s="32">
        <f>+PROVEEDORES[[#This Row],[SUBTOTAL]]+PROVEEDORES[[#This Row],[IVA 19%]]-PROVEEDORES[[#This Row],[descuento antes de IVA]]-PROVEEDORES[[#This Row],[Descuento sobre subtotal $]]-PROVEEDORES[[#This Row],[Rete Fuente $]]</f>
        <v>1102901.52</v>
      </c>
      <c r="S682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2" s="40"/>
      <c r="U682" s="97"/>
      <c r="V682" s="36"/>
      <c r="W682" s="36"/>
      <c r="X682" s="36"/>
      <c r="Y682" s="36"/>
      <c r="Z682" s="41"/>
      <c r="AA682" s="42"/>
      <c r="AF682" s="36"/>
      <c r="AG682" s="36"/>
    </row>
    <row r="683" spans="1:33" ht="21.95" hidden="1" customHeight="1" x14ac:dyDescent="0.25">
      <c r="A683" s="154" t="str">
        <f>+IF(PROVEEDORES[[#This Row],[FECHA DE PAGO]]=PROVEEDORES[[#This Row],[FECHA DE FACTURACIÓN]],"DE CONTADO","CRÉDITO")</f>
        <v>CRÉDITO</v>
      </c>
      <c r="B683" s="70" t="str">
        <f>+IF((PROVEEDORES[[#This Row],[FECHA DE PAGO]]-PROVEEDORES[[#This Row],[FECHA DE FACTURACIÓN]])&gt;PROVEEDORES[[#This Row],[PLAZO Días]],"PAGO VENCIDO")</f>
        <v>PAGO VENCIDO</v>
      </c>
      <c r="C683" s="27">
        <f>+VLOOKUP(PROVEEDORES[[#This Row],[PROVEEDOR]],TERCEROS_INFO[#All],2,FALSE)</f>
        <v>30</v>
      </c>
      <c r="D683" s="37">
        <f>+SUMIFS(PROVEEDORES[Total],PROVEEDORES[PROVEEDOR],PROVEEDORES[[#This Row],[PROVEEDOR]],PROVEEDORES[FECHA DE PAGO],"")</f>
        <v>1227738.8615000001</v>
      </c>
      <c r="E683" s="37"/>
      <c r="F683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83" s="143">
        <v>44517</v>
      </c>
      <c r="H683" s="38" t="s">
        <v>20</v>
      </c>
      <c r="I683" s="30">
        <v>44467</v>
      </c>
      <c r="J683" s="58">
        <v>5196</v>
      </c>
      <c r="K683" s="32">
        <v>1014100</v>
      </c>
      <c r="L683" s="32"/>
      <c r="M683" s="33">
        <f>(PROVEEDORES[[#This Row],[SUBTOTAL]]-PROVEEDORES[[#This Row],[descuento antes de IVA]])*VLOOKUP(PROVEEDORES[[#This Row],[PROVEEDOR]],TERCEROS_INFO[#All],3,FALSE)</f>
        <v>192679</v>
      </c>
      <c r="N683" s="34"/>
      <c r="O683" s="33">
        <f>+PROVEEDORES[[#This Row],[Descuento sobre subtotal %]]*(PROVEEDORES[[#This Row],[SUBTOTAL]]-PROVEEDORES[[#This Row],[descuento antes de IVA]])</f>
        <v>0</v>
      </c>
      <c r="P6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83" s="33">
        <f>+(PROVEEDORES[[#This Row],[SUBTOTAL]]-PROVEEDORES[[#This Row],[descuento antes de IVA]])*PROVEEDORES[[#This Row],[Rete Fuente %]]</f>
        <v>25352.5</v>
      </c>
      <c r="R683" s="32">
        <f>+PROVEEDORES[[#This Row],[SUBTOTAL]]+PROVEEDORES[[#This Row],[IVA 19%]]-PROVEEDORES[[#This Row],[descuento antes de IVA]]-PROVEEDORES[[#This Row],[Descuento sobre subtotal $]]-PROVEEDORES[[#This Row],[Rete Fuente $]]</f>
        <v>1181426.5</v>
      </c>
      <c r="S683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3" s="40"/>
      <c r="U683" s="97"/>
      <c r="V683" s="36"/>
      <c r="W683" s="36"/>
      <c r="X683" s="36"/>
      <c r="Y683" s="36"/>
      <c r="Z683" s="41"/>
      <c r="AA683" s="42"/>
      <c r="AF683" s="36"/>
      <c r="AG683" s="36"/>
    </row>
    <row r="684" spans="1:33" ht="21.95" hidden="1" customHeight="1" x14ac:dyDescent="0.25">
      <c r="A684" s="155" t="str">
        <f>+IF(PROVEEDORES[[#This Row],[FECHA DE PAGO]]=PROVEEDORES[[#This Row],[FECHA DE FACTURACIÓN]],"DE CONTADO","CRÉDITO")</f>
        <v>CRÉDITO</v>
      </c>
      <c r="B684" s="70" t="str">
        <f>+IF((PROVEEDORES[[#This Row],[FECHA DE PAGO]]-PROVEEDORES[[#This Row],[FECHA DE FACTURACIÓN]])&gt;PROVEEDORES[[#This Row],[PLAZO Días]],"PAGO VENCIDO")</f>
        <v>PAGO VENCIDO</v>
      </c>
      <c r="C684" s="27">
        <f>+VLOOKUP(PROVEEDORES[[#This Row],[PROVEEDOR]],TERCEROS_INFO[#All],2,FALSE)</f>
        <v>30</v>
      </c>
      <c r="D684" s="37">
        <f>+SUMIFS(PROVEEDORES[Total],PROVEEDORES[PROVEEDOR],PROVEEDORES[[#This Row],[PROVEEDOR]],PROVEEDORES[FECHA DE PAGO],"")</f>
        <v>1227738.8615000001</v>
      </c>
      <c r="E684" s="37" t="s">
        <v>889</v>
      </c>
      <c r="F684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84" s="143">
        <v>44517</v>
      </c>
      <c r="H684" s="38" t="s">
        <v>20</v>
      </c>
      <c r="I684" s="30">
        <v>44476</v>
      </c>
      <c r="J684" s="58" t="s">
        <v>1270</v>
      </c>
      <c r="K684" s="32">
        <v>-237267</v>
      </c>
      <c r="L684" s="32"/>
      <c r="M684" s="33">
        <v>0</v>
      </c>
      <c r="N684" s="34"/>
      <c r="O684" s="33">
        <f>+PROVEEDORES[[#This Row],[Descuento sobre subtotal %]]*(PROVEEDORES[[#This Row],[SUBTOTAL]]-PROVEEDORES[[#This Row],[descuento antes de IVA]])</f>
        <v>0</v>
      </c>
      <c r="P6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84" s="33">
        <f>+(PROVEEDORES[[#This Row],[SUBTOTAL]]-PROVEEDORES[[#This Row],[descuento antes de IVA]])*PROVEEDORES[[#This Row],[Rete Fuente %]]</f>
        <v>0</v>
      </c>
      <c r="R684" s="32">
        <f>+PROVEEDORES[[#This Row],[SUBTOTAL]]+PROVEEDORES[[#This Row],[IVA 19%]]-PROVEEDORES[[#This Row],[descuento antes de IVA]]-PROVEEDORES[[#This Row],[Descuento sobre subtotal $]]-PROVEEDORES[[#This Row],[Rete Fuente $]]</f>
        <v>-237267</v>
      </c>
      <c r="S684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4" s="40"/>
      <c r="U684" s="97"/>
      <c r="V684" s="36"/>
      <c r="W684" s="36"/>
      <c r="X684" s="36"/>
      <c r="Y684" s="36"/>
      <c r="Z684" s="41"/>
      <c r="AA684" s="42"/>
      <c r="AF684" s="36"/>
      <c r="AG684" s="36"/>
    </row>
    <row r="685" spans="1:33" ht="21.95" hidden="1" customHeight="1" x14ac:dyDescent="0.25">
      <c r="A685" s="156" t="str">
        <f>+IF(PROVEEDORES[[#This Row],[FECHA DE PAGO]]=PROVEEDORES[[#This Row],[FECHA DE FACTURACIÓN]],"DE CONTADO","CRÉDITO")</f>
        <v>CRÉDITO</v>
      </c>
      <c r="B685" s="70" t="str">
        <f>+IF((PROVEEDORES[[#This Row],[FECHA DE PAGO]]-PROVEEDORES[[#This Row],[FECHA DE FACTURACIÓN]])&gt;PROVEEDORES[[#This Row],[PLAZO Días]],"PAGO VENCIDO")</f>
        <v>PAGO VENCIDO</v>
      </c>
      <c r="C685" s="27">
        <f>+VLOOKUP(PROVEEDORES[[#This Row],[PROVEEDOR]],TERCEROS_INFO[#All],2,FALSE)</f>
        <v>30</v>
      </c>
      <c r="D685" s="37">
        <f>+SUMIFS(PROVEEDORES[Total],PROVEEDORES[PROVEEDOR],PROVEEDORES[[#This Row],[PROVEEDOR]],PROVEEDORES[FECHA DE PAGO],"")</f>
        <v>1227738.8615000001</v>
      </c>
      <c r="E685" s="37"/>
      <c r="F685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85" s="143">
        <v>44517</v>
      </c>
      <c r="H685" s="38" t="s">
        <v>20</v>
      </c>
      <c r="I685" s="30">
        <v>44477</v>
      </c>
      <c r="J685" s="58">
        <v>5290</v>
      </c>
      <c r="K685" s="32">
        <v>2908629</v>
      </c>
      <c r="L685" s="32"/>
      <c r="M685" s="33">
        <f>(PROVEEDORES[[#This Row],[SUBTOTAL]]-PROVEEDORES[[#This Row],[descuento antes de IVA]])*VLOOKUP(PROVEEDORES[[#This Row],[PROVEEDOR]],TERCEROS_INFO[#All],3,FALSE)</f>
        <v>552639.51</v>
      </c>
      <c r="N685" s="34"/>
      <c r="O685" s="33">
        <f>+PROVEEDORES[[#This Row],[Descuento sobre subtotal %]]*(PROVEEDORES[[#This Row],[SUBTOTAL]]-PROVEEDORES[[#This Row],[descuento antes de IVA]])</f>
        <v>0</v>
      </c>
      <c r="P6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85" s="33">
        <f>+(PROVEEDORES[[#This Row],[SUBTOTAL]]-PROVEEDORES[[#This Row],[descuento antes de IVA]])*PROVEEDORES[[#This Row],[Rete Fuente %]]</f>
        <v>72715.725000000006</v>
      </c>
      <c r="R685" s="32">
        <f>+PROVEEDORES[[#This Row],[SUBTOTAL]]+PROVEEDORES[[#This Row],[IVA 19%]]-PROVEEDORES[[#This Row],[descuento antes de IVA]]-PROVEEDORES[[#This Row],[Descuento sobre subtotal $]]-PROVEEDORES[[#This Row],[Rete Fuente $]]</f>
        <v>3388552.7849999997</v>
      </c>
      <c r="S685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5" s="40"/>
      <c r="U685" s="97"/>
      <c r="V685" s="36"/>
      <c r="W685" s="36"/>
      <c r="X685" s="36"/>
      <c r="Y685" s="36"/>
      <c r="Z685" s="41"/>
      <c r="AA685" s="42"/>
      <c r="AF685" s="36"/>
      <c r="AG685" s="36"/>
    </row>
    <row r="686" spans="1:33" ht="21.95" hidden="1" customHeight="1" x14ac:dyDescent="0.25">
      <c r="A686" s="165" t="str">
        <f>+IF(PROVEEDORES[[#This Row],[FECHA DE PAGO]]=PROVEEDORES[[#This Row],[FECHA DE FACTURACIÓN]],"DE CONTADO","CRÉDITO")</f>
        <v>CRÉDITO</v>
      </c>
      <c r="B686" s="70" t="str">
        <f>+IF((PROVEEDORES[[#This Row],[FECHA DE PAGO]]-PROVEEDORES[[#This Row],[FECHA DE FACTURACIÓN]])&gt;PROVEEDORES[[#This Row],[PLAZO Días]],"PAGO VENCIDO")</f>
        <v>PAGO VENCIDO</v>
      </c>
      <c r="C686" s="27">
        <f>+VLOOKUP(PROVEEDORES[[#This Row],[PROVEEDOR]],TERCEROS_INFO[#All],2,FALSE)</f>
        <v>30</v>
      </c>
      <c r="D686" s="37">
        <f>+SUMIFS(PROVEEDORES[Total],PROVEEDORES[PROVEEDOR],PROVEEDORES[[#This Row],[PROVEEDOR]],PROVEEDORES[FECHA DE PAGO],"")</f>
        <v>1227738.8615000001</v>
      </c>
      <c r="E686" s="37"/>
      <c r="F686" s="108" t="str">
        <f>+VLOOKUP(PROVEEDORES[[#This Row],[PROVEEDOR]],TERCEROS_INFO[[PROVEEDOR]:[CORREO]],5,FALSE)</f>
        <v>contabilidad@amgimportadora.com;mcastellanos@amgimportadora.com;girlesa.ruiz@servipilas.com;joriescobar64@gmail.com</v>
      </c>
      <c r="G686" s="143">
        <v>44552</v>
      </c>
      <c r="H686" s="38" t="s">
        <v>20</v>
      </c>
      <c r="I686" s="30">
        <v>44518</v>
      </c>
      <c r="J686" s="58">
        <v>5616</v>
      </c>
      <c r="K686" s="32">
        <v>1848336.11</v>
      </c>
      <c r="L686" s="32"/>
      <c r="M686" s="33">
        <f>(PROVEEDORES[[#This Row],[SUBTOTAL]]-PROVEEDORES[[#This Row],[descuento antes de IVA]])*VLOOKUP(PROVEEDORES[[#This Row],[PROVEEDOR]],TERCEROS_INFO[#All],3,FALSE)</f>
        <v>351183.86090000003</v>
      </c>
      <c r="N686" s="34"/>
      <c r="O686" s="33">
        <f>+PROVEEDORES[[#This Row],[Descuento sobre subtotal %]]*(PROVEEDORES[[#This Row],[SUBTOTAL]]-PROVEEDORES[[#This Row],[descuento antes de IVA]])</f>
        <v>0</v>
      </c>
      <c r="P6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86" s="33">
        <f>+(PROVEEDORES[[#This Row],[SUBTOTAL]]-PROVEEDORES[[#This Row],[descuento antes de IVA]])*PROVEEDORES[[#This Row],[Rete Fuente %]]</f>
        <v>46208.402750000008</v>
      </c>
      <c r="R686" s="32">
        <f>+PROVEEDORES[[#This Row],[SUBTOTAL]]+PROVEEDORES[[#This Row],[IVA 19%]]-PROVEEDORES[[#This Row],[descuento antes de IVA]]-PROVEEDORES[[#This Row],[Descuento sobre subtotal $]]-PROVEEDORES[[#This Row],[Rete Fuente $]]</f>
        <v>2153311.5681500002</v>
      </c>
      <c r="S686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6" s="40"/>
      <c r="U686" s="97"/>
      <c r="V686" s="36"/>
      <c r="W686" s="36"/>
      <c r="X686" s="36"/>
      <c r="Y686" s="36"/>
      <c r="Z686" s="41"/>
      <c r="AA686" s="42"/>
      <c r="AF686" s="36"/>
      <c r="AG686" s="36"/>
    </row>
    <row r="687" spans="1:33" ht="21.95" hidden="1" customHeight="1" x14ac:dyDescent="0.25">
      <c r="A687" s="35" t="str">
        <f>+IF(PROVEEDORES[[#This Row],[FECHA DE PAGO]]=PROVEEDORES[[#This Row],[FECHA DE FACTURACIÓN]],"DE CONTADO","CRÉDITO")</f>
        <v>CRÉDITO</v>
      </c>
      <c r="B687" s="70" t="b">
        <f>+IF((PROVEEDORES[[#This Row],[FECHA DE PAGO]]-PROVEEDORES[[#This Row],[FECHA DE FACTURACIÓN]])&gt;PROVEEDORES[[#This Row],[PLAZO Días]],"PAGO VENCIDO")</f>
        <v>0</v>
      </c>
      <c r="C687" s="27">
        <f>+VLOOKUP(PROVEEDORES[[#This Row],[PROVEEDOR]],TERCEROS_INFO[#All],2,FALSE)</f>
        <v>30</v>
      </c>
      <c r="D687" s="37">
        <f>+SUMIFS(PROVEEDORES[Total],PROVEEDORES[PROVEEDOR],PROVEEDORES[[#This Row],[PROVEEDOR]],PROVEEDORES[FECHA DE PAGO],"")</f>
        <v>1227738.8615000001</v>
      </c>
      <c r="E687" s="37"/>
      <c r="F687" s="108" t="str">
        <f>+VLOOKUP(PROVEEDORES[[#This Row],[PROVEEDOR]],TERCEROS_INFO[[PROVEEDOR]:[CORREO]],5,FALSE)</f>
        <v>contabilidad@amgimportadora.com;mcastellanos@amgimportadora.com;girlesa.ruiz@servipilas.com;joriescobar64@gmail.com</v>
      </c>
      <c r="H687" s="38" t="s">
        <v>20</v>
      </c>
      <c r="I687" s="30">
        <v>44539</v>
      </c>
      <c r="J687" s="58">
        <v>5819</v>
      </c>
      <c r="K687" s="32">
        <v>1053853.1000000001</v>
      </c>
      <c r="L687" s="32"/>
      <c r="M687" s="33">
        <f>(PROVEEDORES[[#This Row],[SUBTOTAL]]-PROVEEDORES[[#This Row],[descuento antes de IVA]])*VLOOKUP(PROVEEDORES[[#This Row],[PROVEEDOR]],TERCEROS_INFO[#All],3,FALSE)</f>
        <v>200232.08900000001</v>
      </c>
      <c r="N687" s="34"/>
      <c r="O687" s="33">
        <f>+PROVEEDORES[[#This Row],[Descuento sobre subtotal %]]*(PROVEEDORES[[#This Row],[SUBTOTAL]]-PROVEEDORES[[#This Row],[descuento antes de IVA]])</f>
        <v>0</v>
      </c>
      <c r="P6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87" s="33">
        <f>+(PROVEEDORES[[#This Row],[SUBTOTAL]]-PROVEEDORES[[#This Row],[descuento antes de IVA]])*PROVEEDORES[[#This Row],[Rete Fuente %]]</f>
        <v>26346.327500000003</v>
      </c>
      <c r="R687" s="32">
        <f>+PROVEEDORES[[#This Row],[SUBTOTAL]]+PROVEEDORES[[#This Row],[IVA 19%]]-PROVEEDORES[[#This Row],[descuento antes de IVA]]-PROVEEDORES[[#This Row],[Descuento sobre subtotal $]]-PROVEEDORES[[#This Row],[Rete Fuente $]]</f>
        <v>1227738.8615000001</v>
      </c>
      <c r="S687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687" s="40"/>
      <c r="U687" s="97"/>
      <c r="V687" s="36"/>
      <c r="W687" s="36"/>
      <c r="X687" s="36"/>
      <c r="Y687" s="36"/>
      <c r="Z687" s="41"/>
      <c r="AA687" s="42"/>
      <c r="AF687" s="36"/>
      <c r="AG687" s="36"/>
    </row>
    <row r="688" spans="1:33" ht="21.95" hidden="1" customHeight="1" x14ac:dyDescent="0.25">
      <c r="A688" s="39" t="str">
        <f>+IF(PROVEEDORES[[#This Row],[FECHA DE PAGO]]=PROVEEDORES[[#This Row],[FECHA DE FACTURACIÓN]],"DE CONTADO","CRÉDITO")</f>
        <v>CRÉDITO</v>
      </c>
      <c r="B688" s="67" t="b">
        <f>+IF((PROVEEDORES[[#This Row],[FECHA DE PAGO]]-PROVEEDORES[[#This Row],[FECHA DE FACTURACIÓN]])&gt;PROVEEDORES[[#This Row],[PLAZO Días]],"PAGO VENCIDO")</f>
        <v>0</v>
      </c>
      <c r="C688" s="27">
        <f>+VLOOKUP(PROVEEDORES[[#This Row],[PROVEEDOR]],TERCEROS_INFO[#All],2,FALSE)</f>
        <v>30</v>
      </c>
      <c r="D688" s="37">
        <f>+SUMIFS(PROVEEDORES[Total],PROVEEDORES[PROVEEDOR],PROVEEDORES[[#This Row],[PROVEEDOR]],PROVEEDORES[FECHA DE PAGO],"")</f>
        <v>0</v>
      </c>
      <c r="E688" s="37"/>
      <c r="F688" s="108" t="str">
        <f>+VLOOKUP(PROVEEDORES[[#This Row],[PROVEEDOR]],TERCEROS_INFO[[PROVEEDOR]:[CORREO]],5,FALSE)</f>
        <v>comercial4@apcmayorista.com;girlesa.ruiz@servipilas.com;joriescobar64@gmail.com</v>
      </c>
      <c r="G688" s="143">
        <v>43888</v>
      </c>
      <c r="H688" s="38" t="s">
        <v>21</v>
      </c>
      <c r="I688" s="30">
        <v>43868</v>
      </c>
      <c r="J688" s="58">
        <v>3862</v>
      </c>
      <c r="K688" s="32">
        <v>400420.16806722688</v>
      </c>
      <c r="L688" s="32"/>
      <c r="M688" s="33">
        <f>(PROVEEDORES[[#This Row],[SUBTOTAL]]-PROVEEDORES[[#This Row],[descuento antes de IVA]])*VLOOKUP(PROVEEDORES[[#This Row],[PROVEEDOR]],TERCEROS_INFO[#All],3,FALSE)</f>
        <v>76079.831932773115</v>
      </c>
      <c r="N688" s="34"/>
      <c r="O688" s="33">
        <f>+PROVEEDORES[[#This Row],[Descuento sobre subtotal %]]*(PROVEEDORES[[#This Row],[SUBTOTAL]]-PROVEEDORES[[#This Row],[descuento antes de IVA]])</f>
        <v>0</v>
      </c>
      <c r="P6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88" s="33">
        <f>+(PROVEEDORES[[#This Row],[SUBTOTAL]]-PROVEEDORES[[#This Row],[descuento antes de IVA]])*PROVEEDORES[[#This Row],[Rete Fuente %]]</f>
        <v>0</v>
      </c>
      <c r="R688" s="32">
        <f>+PROVEEDORES[[#This Row],[SUBTOTAL]]+PROVEEDORES[[#This Row],[IVA 19%]]-PROVEEDORES[[#This Row],[descuento antes de IVA]]-PROVEEDORES[[#This Row],[Descuento sobre subtotal $]]-PROVEEDORES[[#This Row],[Rete Fuente $]]</f>
        <v>476500</v>
      </c>
      <c r="S68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8" s="40"/>
      <c r="U688" s="97"/>
      <c r="V688" s="36"/>
      <c r="W688" s="36"/>
      <c r="X688" s="36"/>
      <c r="Y688" s="36"/>
      <c r="Z688" s="41"/>
      <c r="AA688" s="42"/>
      <c r="AF688" s="36"/>
      <c r="AG688" s="36"/>
    </row>
    <row r="689" spans="1:33" ht="21.95" hidden="1" customHeight="1" x14ac:dyDescent="0.25">
      <c r="A689" s="39" t="str">
        <f>+IF(PROVEEDORES[[#This Row],[FECHA DE PAGO]]=PROVEEDORES[[#This Row],[FECHA DE FACTURACIÓN]],"DE CONTADO","CRÉDITO")</f>
        <v>CRÉDITO</v>
      </c>
      <c r="B689" s="67" t="str">
        <f>+IF((PROVEEDORES[[#This Row],[FECHA DE PAGO]]-PROVEEDORES[[#This Row],[FECHA DE FACTURACIÓN]])&gt;PROVEEDORES[[#This Row],[PLAZO Días]],"PAGO VENCIDO")</f>
        <v>PAGO VENCIDO</v>
      </c>
      <c r="C689" s="27">
        <f>+VLOOKUP(PROVEEDORES[[#This Row],[PROVEEDOR]],TERCEROS_INFO[#All],2,FALSE)</f>
        <v>30</v>
      </c>
      <c r="D689" s="37">
        <f>+SUMIFS(PROVEEDORES[Total],PROVEEDORES[PROVEEDOR],PROVEEDORES[[#This Row],[PROVEEDOR]],PROVEEDORES[FECHA DE PAGO],"")</f>
        <v>0</v>
      </c>
      <c r="E689" s="37"/>
      <c r="F689" s="108" t="str">
        <f>+VLOOKUP(PROVEEDORES[[#This Row],[PROVEEDOR]],TERCEROS_INFO[[PROVEEDOR]:[CORREO]],5,FALSE)</f>
        <v>comercial4@apcmayorista.com;girlesa.ruiz@servipilas.com;joriescobar64@gmail.com</v>
      </c>
      <c r="G689" s="143">
        <v>43956</v>
      </c>
      <c r="H689" s="38" t="s">
        <v>21</v>
      </c>
      <c r="I689" s="30">
        <v>43888</v>
      </c>
      <c r="J689" s="58">
        <v>4557</v>
      </c>
      <c r="K689" s="32">
        <v>49579.831932773108</v>
      </c>
      <c r="L689" s="32"/>
      <c r="M689" s="33">
        <f>(PROVEEDORES[[#This Row],[SUBTOTAL]]-PROVEEDORES[[#This Row],[descuento antes de IVA]])*VLOOKUP(PROVEEDORES[[#This Row],[PROVEEDOR]],TERCEROS_INFO[#All],3,FALSE)</f>
        <v>9420.1680672268903</v>
      </c>
      <c r="N689" s="34"/>
      <c r="O689" s="33">
        <f>+PROVEEDORES[[#This Row],[Descuento sobre subtotal %]]*(PROVEEDORES[[#This Row],[SUBTOTAL]]-PROVEEDORES[[#This Row],[descuento antes de IVA]])</f>
        <v>0</v>
      </c>
      <c r="P6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89" s="33">
        <f>+(PROVEEDORES[[#This Row],[SUBTOTAL]]-PROVEEDORES[[#This Row],[descuento antes de IVA]])*PROVEEDORES[[#This Row],[Rete Fuente %]]</f>
        <v>0</v>
      </c>
      <c r="R689" s="32">
        <f>+PROVEEDORES[[#This Row],[SUBTOTAL]]+PROVEEDORES[[#This Row],[IVA 19%]]-PROVEEDORES[[#This Row],[descuento antes de IVA]]-PROVEEDORES[[#This Row],[Descuento sobre subtotal $]]-PROVEEDORES[[#This Row],[Rete Fuente $]]</f>
        <v>59000</v>
      </c>
      <c r="S6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9" s="40"/>
      <c r="U689" s="97"/>
      <c r="V689" s="36"/>
      <c r="W689" s="36"/>
      <c r="X689" s="36"/>
      <c r="Y689" s="36"/>
      <c r="Z689" s="41"/>
      <c r="AA689" s="42"/>
      <c r="AF689" s="36"/>
      <c r="AG689" s="36"/>
    </row>
    <row r="690" spans="1:33" ht="21.95" hidden="1" customHeight="1" x14ac:dyDescent="0.25">
      <c r="A690" s="39" t="str">
        <f>+IF(PROVEEDORES[[#This Row],[FECHA DE PAGO]]=PROVEEDORES[[#This Row],[FECHA DE FACTURACIÓN]],"DE CONTADO","CRÉDITO")</f>
        <v>DE CONTADO</v>
      </c>
      <c r="B690" s="67" t="b">
        <f>+IF((PROVEEDORES[[#This Row],[FECHA DE PAGO]]-PROVEEDORES[[#This Row],[FECHA DE FACTURACIÓN]])&gt;PROVEEDORES[[#This Row],[PLAZO Días]],"PAGO VENCIDO")</f>
        <v>0</v>
      </c>
      <c r="C690" s="27">
        <f>+VLOOKUP(PROVEEDORES[[#This Row],[PROVEEDOR]],TERCEROS_INFO[#All],2,FALSE)</f>
        <v>30</v>
      </c>
      <c r="D690" s="37">
        <f>+SUMIFS(PROVEEDORES[Total],PROVEEDORES[PROVEEDOR],PROVEEDORES[[#This Row],[PROVEEDOR]],PROVEEDORES[FECHA DE PAGO],"")</f>
        <v>0</v>
      </c>
      <c r="E690" s="37"/>
      <c r="F690" s="108" t="str">
        <f>+VLOOKUP(PROVEEDORES[[#This Row],[PROVEEDOR]],TERCEROS_INFO[[PROVEEDOR]:[CORREO]],5,FALSE)</f>
        <v>comercial4@apcmayorista.com;girlesa.ruiz@servipilas.com;joriescobar64@gmail.com</v>
      </c>
      <c r="G690" s="143">
        <v>44090</v>
      </c>
      <c r="H690" s="38" t="s">
        <v>21</v>
      </c>
      <c r="I690" s="30">
        <v>44090</v>
      </c>
      <c r="J690" s="58">
        <v>110005</v>
      </c>
      <c r="K690" s="32">
        <v>2456344.5378151261</v>
      </c>
      <c r="L690" s="32"/>
      <c r="M690" s="33">
        <f>(PROVEEDORES[[#This Row],[SUBTOTAL]]-PROVEEDORES[[#This Row],[descuento antes de IVA]])*VLOOKUP(PROVEEDORES[[#This Row],[PROVEEDOR]],TERCEROS_INFO[#All],3,FALSE)</f>
        <v>466705.46218487399</v>
      </c>
      <c r="N690" s="34"/>
      <c r="O690" s="33">
        <f>+PROVEEDORES[[#This Row],[Descuento sobre subtotal %]]*(PROVEEDORES[[#This Row],[SUBTOTAL]]-PROVEEDORES[[#This Row],[descuento antes de IVA]])</f>
        <v>0</v>
      </c>
      <c r="P6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90" s="33">
        <f>+(PROVEEDORES[[#This Row],[SUBTOTAL]]-PROVEEDORES[[#This Row],[descuento antes de IVA]])*PROVEEDORES[[#This Row],[Rete Fuente %]]</f>
        <v>61408.613445378156</v>
      </c>
      <c r="R690" s="32">
        <f>+PROVEEDORES[[#This Row],[SUBTOTAL]]+PROVEEDORES[[#This Row],[IVA 19%]]-PROVEEDORES[[#This Row],[descuento antes de IVA]]-PROVEEDORES[[#This Row],[Descuento sobre subtotal $]]-PROVEEDORES[[#This Row],[Rete Fuente $]]</f>
        <v>2861641.3865546216</v>
      </c>
      <c r="S69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0" s="40"/>
      <c r="U690" s="97"/>
      <c r="V690" s="36"/>
      <c r="W690" s="36"/>
      <c r="X690" s="36"/>
      <c r="Y690" s="36"/>
      <c r="Z690" s="41"/>
      <c r="AA690" s="42"/>
      <c r="AF690" s="36"/>
      <c r="AG690" s="36"/>
    </row>
    <row r="691" spans="1:33" ht="21.95" hidden="1" customHeight="1" x14ac:dyDescent="0.25">
      <c r="A691" s="39" t="str">
        <f>+IF(PROVEEDORES[[#This Row],[FECHA DE PAGO]]=PROVEEDORES[[#This Row],[FECHA DE FACTURACIÓN]],"DE CONTADO","CRÉDITO")</f>
        <v>DE CONTADO</v>
      </c>
      <c r="B691" s="67" t="b">
        <f>+IF((PROVEEDORES[[#This Row],[FECHA DE PAGO]]-PROVEEDORES[[#This Row],[FECHA DE FACTURACIÓN]])&gt;PROVEEDORES[[#This Row],[PLAZO Días]],"PAGO VENCIDO")</f>
        <v>0</v>
      </c>
      <c r="C691" s="27">
        <f>+VLOOKUP(PROVEEDORES[[#This Row],[PROVEEDOR]],TERCEROS_INFO[#All],2,FALSE)</f>
        <v>30</v>
      </c>
      <c r="D691" s="37">
        <f>+SUMIFS(PROVEEDORES[Total],PROVEEDORES[PROVEEDOR],PROVEEDORES[[#This Row],[PROVEEDOR]],PROVEEDORES[FECHA DE PAGO],"")</f>
        <v>0</v>
      </c>
      <c r="E691" s="37"/>
      <c r="F691" s="108" t="str">
        <f>+VLOOKUP(PROVEEDORES[[#This Row],[PROVEEDOR]],TERCEROS_INFO[[PROVEEDOR]:[CORREO]],5,FALSE)</f>
        <v>comercial4@apcmayorista.com;girlesa.ruiz@servipilas.com;joriescobar64@gmail.com</v>
      </c>
      <c r="G691" s="143">
        <v>44127</v>
      </c>
      <c r="H691" s="38" t="s">
        <v>21</v>
      </c>
      <c r="I691" s="30">
        <v>44127</v>
      </c>
      <c r="J691" s="58">
        <v>12169</v>
      </c>
      <c r="K691" s="32">
        <v>1675024.3697478992</v>
      </c>
      <c r="L691" s="32"/>
      <c r="M691" s="33">
        <f>(PROVEEDORES[[#This Row],[SUBTOTAL]]-PROVEEDORES[[#This Row],[descuento antes de IVA]])*VLOOKUP(PROVEEDORES[[#This Row],[PROVEEDOR]],TERCEROS_INFO[#All],3,FALSE)</f>
        <v>318254.63025210088</v>
      </c>
      <c r="N691" s="34"/>
      <c r="O691" s="33">
        <f>+PROVEEDORES[[#This Row],[Descuento sobre subtotal %]]*(PROVEEDORES[[#This Row],[SUBTOTAL]]-PROVEEDORES[[#This Row],[descuento antes de IVA]])</f>
        <v>0</v>
      </c>
      <c r="P6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691" s="33">
        <f>+(PROVEEDORES[[#This Row],[SUBTOTAL]]-PROVEEDORES[[#This Row],[descuento antes de IVA]])*PROVEEDORES[[#This Row],[Rete Fuente %]]</f>
        <v>41875.609243697487</v>
      </c>
      <c r="R691" s="32">
        <f>+PROVEEDORES[[#This Row],[SUBTOTAL]]+PROVEEDORES[[#This Row],[IVA 19%]]-PROVEEDORES[[#This Row],[descuento antes de IVA]]-PROVEEDORES[[#This Row],[Descuento sobre subtotal $]]-PROVEEDORES[[#This Row],[Rete Fuente $]]</f>
        <v>1951403.3907563025</v>
      </c>
      <c r="S69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1" s="40"/>
      <c r="U691" s="97"/>
      <c r="V691" s="36"/>
      <c r="W691" s="36"/>
      <c r="X691" s="36"/>
      <c r="Y691" s="36"/>
      <c r="Z691" s="41"/>
      <c r="AA691" s="42"/>
      <c r="AF691" s="36"/>
      <c r="AG691" s="36"/>
    </row>
    <row r="692" spans="1:33" ht="21.95" hidden="1" customHeight="1" x14ac:dyDescent="0.25">
      <c r="A692" s="39" t="str">
        <f>+IF(PROVEEDORES[[#This Row],[FECHA DE PAGO]]=PROVEEDORES[[#This Row],[FECHA DE FACTURACIÓN]],"DE CONTADO","CRÉDITO")</f>
        <v>DE CONTADO</v>
      </c>
      <c r="B692" s="67" t="b">
        <f>+IF((PROVEEDORES[[#This Row],[FECHA DE PAGO]]-PROVEEDORES[[#This Row],[FECHA DE FACTURACIÓN]])&gt;PROVEEDORES[[#This Row],[PLAZO Días]],"PAGO VENCIDO")</f>
        <v>0</v>
      </c>
      <c r="C692" s="27">
        <f>+VLOOKUP(PROVEEDORES[[#This Row],[PROVEEDOR]],TERCEROS_INFO[#All],2,FALSE)</f>
        <v>30</v>
      </c>
      <c r="D692" s="37">
        <f>+SUMIFS(PROVEEDORES[Total],PROVEEDORES[PROVEEDOR],PROVEEDORES[[#This Row],[PROVEEDOR]],PROVEEDORES[FECHA DE PAGO],"")</f>
        <v>0</v>
      </c>
      <c r="E692" s="37"/>
      <c r="F692" s="108" t="str">
        <f>+VLOOKUP(PROVEEDORES[[#This Row],[PROVEEDOR]],TERCEROS_INFO[[PROVEEDOR]:[CORREO]],5,FALSE)</f>
        <v>comercial4@apcmayorista.com;girlesa.ruiz@servipilas.com;joriescobar64@gmail.com</v>
      </c>
      <c r="G692" s="143">
        <v>44132</v>
      </c>
      <c r="H692" s="38" t="s">
        <v>21</v>
      </c>
      <c r="I692" s="30">
        <v>44132</v>
      </c>
      <c r="J692" s="58">
        <v>12290</v>
      </c>
      <c r="K692" s="32">
        <v>233529.4117647059</v>
      </c>
      <c r="L692" s="32"/>
      <c r="M692" s="33">
        <f>(PROVEEDORES[[#This Row],[SUBTOTAL]]-PROVEEDORES[[#This Row],[descuento antes de IVA]])*VLOOKUP(PROVEEDORES[[#This Row],[PROVEEDOR]],TERCEROS_INFO[#All],3,FALSE)</f>
        <v>44370.588235294119</v>
      </c>
      <c r="N692" s="34"/>
      <c r="O692" s="33">
        <f>+PROVEEDORES[[#This Row],[Descuento sobre subtotal %]]*(PROVEEDORES[[#This Row],[SUBTOTAL]]-PROVEEDORES[[#This Row],[descuento antes de IVA]])</f>
        <v>0</v>
      </c>
      <c r="P6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92" s="33">
        <f>+(PROVEEDORES[[#This Row],[SUBTOTAL]]-PROVEEDORES[[#This Row],[descuento antes de IVA]])*PROVEEDORES[[#This Row],[Rete Fuente %]]</f>
        <v>0</v>
      </c>
      <c r="R692" s="32">
        <f>+PROVEEDORES[[#This Row],[SUBTOTAL]]+PROVEEDORES[[#This Row],[IVA 19%]]-PROVEEDORES[[#This Row],[descuento antes de IVA]]-PROVEEDORES[[#This Row],[Descuento sobre subtotal $]]-PROVEEDORES[[#This Row],[Rete Fuente $]]</f>
        <v>277900</v>
      </c>
      <c r="S69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2" s="40"/>
      <c r="U692" s="97"/>
      <c r="V692" s="36"/>
      <c r="W692" s="36"/>
      <c r="X692" s="36"/>
      <c r="Y692" s="36"/>
      <c r="Z692" s="41"/>
      <c r="AA692" s="42"/>
      <c r="AF692" s="36"/>
      <c r="AG692" s="36"/>
    </row>
    <row r="693" spans="1:33" ht="21.95" hidden="1" customHeight="1" x14ac:dyDescent="0.25">
      <c r="A693" s="39" t="str">
        <f>+IF(PROVEEDORES[[#This Row],[FECHA DE PAGO]]=PROVEEDORES[[#This Row],[FECHA DE FACTURACIÓN]],"DE CONTADO","CRÉDITO")</f>
        <v>DE CONTADO</v>
      </c>
      <c r="B693" s="67" t="b">
        <f>+IF((PROVEEDORES[[#This Row],[FECHA DE PAGO]]-PROVEEDORES[[#This Row],[FECHA DE FACTURACIÓN]])&gt;PROVEEDORES[[#This Row],[PLAZO Días]],"PAGO VENCIDO")</f>
        <v>0</v>
      </c>
      <c r="C693" s="27">
        <f>+VLOOKUP(PROVEEDORES[[#This Row],[PROVEEDOR]],TERCEROS_INFO[#All],2,FALSE)</f>
        <v>30</v>
      </c>
      <c r="D693" s="37">
        <f>+SUMIFS(PROVEEDORES[Total],PROVEEDORES[PROVEEDOR],PROVEEDORES[[#This Row],[PROVEEDOR]],PROVEEDORES[FECHA DE PAGO],"")</f>
        <v>0</v>
      </c>
      <c r="E693" s="37"/>
      <c r="F693" s="108" t="str">
        <f>+VLOOKUP(PROVEEDORES[[#This Row],[PROVEEDOR]],TERCEROS_INFO[[PROVEEDOR]:[CORREO]],5,FALSE)</f>
        <v/>
      </c>
      <c r="G693" s="143">
        <v>43903</v>
      </c>
      <c r="H693" s="38" t="s">
        <v>57</v>
      </c>
      <c r="I693" s="30">
        <v>43903</v>
      </c>
      <c r="J693" s="58">
        <v>1614636</v>
      </c>
      <c r="K693" s="32">
        <v>87394.957983193279</v>
      </c>
      <c r="L693" s="32"/>
      <c r="M693" s="33">
        <f>(PROVEEDORES[[#This Row],[SUBTOTAL]]-PROVEEDORES[[#This Row],[descuento antes de IVA]])*VLOOKUP(PROVEEDORES[[#This Row],[PROVEEDOR]],TERCEROS_INFO[#All],3,FALSE)</f>
        <v>16605.042016806725</v>
      </c>
      <c r="N693" s="34"/>
      <c r="O693" s="33">
        <f>+PROVEEDORES[[#This Row],[Descuento sobre subtotal %]]*(PROVEEDORES[[#This Row],[SUBTOTAL]]-PROVEEDORES[[#This Row],[descuento antes de IVA]])</f>
        <v>0</v>
      </c>
      <c r="P6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93" s="33">
        <f>+(PROVEEDORES[[#This Row],[SUBTOTAL]]-PROVEEDORES[[#This Row],[descuento antes de IVA]])*PROVEEDORES[[#This Row],[Rete Fuente %]]</f>
        <v>0</v>
      </c>
      <c r="R693" s="32">
        <f>+PROVEEDORES[[#This Row],[SUBTOTAL]]+PROVEEDORES[[#This Row],[IVA 19%]]-PROVEEDORES[[#This Row],[descuento antes de IVA]]-PROVEEDORES[[#This Row],[Descuento sobre subtotal $]]-PROVEEDORES[[#This Row],[Rete Fuente $]]</f>
        <v>104000</v>
      </c>
      <c r="S69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3" s="40"/>
      <c r="U693" s="97"/>
      <c r="V693" s="36"/>
      <c r="W693" s="36"/>
      <c r="X693" s="36"/>
      <c r="Y693" s="36"/>
      <c r="Z693" s="41"/>
      <c r="AA693" s="42"/>
      <c r="AF693" s="36"/>
      <c r="AG693" s="36"/>
    </row>
    <row r="694" spans="1:33" ht="21.95" hidden="1" customHeight="1" x14ac:dyDescent="0.25">
      <c r="A694" s="39" t="str">
        <f>+IF(PROVEEDORES[[#This Row],[FECHA DE PAGO]]=PROVEEDORES[[#This Row],[FECHA DE FACTURACIÓN]],"DE CONTADO","CRÉDITO")</f>
        <v>DE CONTADO</v>
      </c>
      <c r="B694" s="67" t="b">
        <f>+IF((PROVEEDORES[[#This Row],[FECHA DE PAGO]]-PROVEEDORES[[#This Row],[FECHA DE FACTURACIÓN]])&gt;PROVEEDORES[[#This Row],[PLAZO Días]],"PAGO VENCIDO")</f>
        <v>0</v>
      </c>
      <c r="C694" s="27">
        <f>+VLOOKUP(PROVEEDORES[[#This Row],[PROVEEDOR]],TERCEROS_INFO[#All],2,FALSE)</f>
        <v>30</v>
      </c>
      <c r="D694" s="37">
        <f>+SUMIFS(PROVEEDORES[Total],PROVEEDORES[PROVEEDOR],PROVEEDORES[[#This Row],[PROVEEDOR]],PROVEEDORES[FECHA DE PAGO],"")</f>
        <v>0</v>
      </c>
      <c r="E694" s="37"/>
      <c r="F694" s="108" t="str">
        <f>+VLOOKUP(PROVEEDORES[[#This Row],[PROVEEDOR]],TERCEROS_INFO[[PROVEEDOR]:[CORREO]],5,FALSE)</f>
        <v/>
      </c>
      <c r="G694" s="143">
        <v>43903</v>
      </c>
      <c r="H694" s="38" t="s">
        <v>57</v>
      </c>
      <c r="I694" s="30">
        <v>43903</v>
      </c>
      <c r="J694" s="58">
        <v>1614636</v>
      </c>
      <c r="K694" s="32">
        <v>33613.445378151264</v>
      </c>
      <c r="L694" s="32"/>
      <c r="M694" s="33">
        <f>(PROVEEDORES[[#This Row],[SUBTOTAL]]-PROVEEDORES[[#This Row],[descuento antes de IVA]])*VLOOKUP(PROVEEDORES[[#This Row],[PROVEEDOR]],TERCEROS_INFO[#All],3,FALSE)</f>
        <v>6386.5546218487398</v>
      </c>
      <c r="N694" s="34"/>
      <c r="O694" s="33">
        <f>+PROVEEDORES[[#This Row],[Descuento sobre subtotal %]]*(PROVEEDORES[[#This Row],[SUBTOTAL]]-PROVEEDORES[[#This Row],[descuento antes de IVA]])</f>
        <v>0</v>
      </c>
      <c r="P6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94" s="33">
        <f>+(PROVEEDORES[[#This Row],[SUBTOTAL]]-PROVEEDORES[[#This Row],[descuento antes de IVA]])*PROVEEDORES[[#This Row],[Rete Fuente %]]</f>
        <v>0</v>
      </c>
      <c r="R694" s="32">
        <f>+PROVEEDORES[[#This Row],[SUBTOTAL]]+PROVEEDORES[[#This Row],[IVA 19%]]-PROVEEDORES[[#This Row],[descuento antes de IVA]]-PROVEEDORES[[#This Row],[Descuento sobre subtotal $]]-PROVEEDORES[[#This Row],[Rete Fuente $]]</f>
        <v>40000</v>
      </c>
      <c r="S69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4" s="40"/>
      <c r="U694" s="97"/>
      <c r="V694" s="36"/>
      <c r="W694" s="36"/>
      <c r="X694" s="36"/>
      <c r="Y694" s="36"/>
      <c r="Z694" s="41"/>
      <c r="AA694" s="42"/>
      <c r="AF694" s="36"/>
      <c r="AG694" s="36"/>
    </row>
    <row r="695" spans="1:33" ht="21.95" hidden="1" customHeight="1" x14ac:dyDescent="0.25">
      <c r="A695" s="39" t="str">
        <f>+IF(PROVEEDORES[[#This Row],[FECHA DE PAGO]]=PROVEEDORES[[#This Row],[FECHA DE FACTURACIÓN]],"DE CONTADO","CRÉDITO")</f>
        <v>DE CONTADO</v>
      </c>
      <c r="B695" s="67" t="b">
        <f>+IF((PROVEEDORES[[#This Row],[FECHA DE PAGO]]-PROVEEDORES[[#This Row],[FECHA DE FACTURACIÓN]])&gt;PROVEEDORES[[#This Row],[PLAZO Días]],"PAGO VENCIDO")</f>
        <v>0</v>
      </c>
      <c r="C695" s="27">
        <f>+VLOOKUP(PROVEEDORES[[#This Row],[PROVEEDOR]],TERCEROS_INFO[#All],2,FALSE)</f>
        <v>30</v>
      </c>
      <c r="D695" s="37">
        <f>+SUMIFS(PROVEEDORES[Total],PROVEEDORES[PROVEEDOR],PROVEEDORES[[#This Row],[PROVEEDOR]],PROVEEDORES[FECHA DE PAGO],"")</f>
        <v>0</v>
      </c>
      <c r="E695" s="37"/>
      <c r="F695" s="108" t="str">
        <f>+VLOOKUP(PROVEEDORES[[#This Row],[PROVEEDOR]],TERCEROS_INFO[[PROVEEDOR]:[CORREO]],5,FALSE)</f>
        <v/>
      </c>
      <c r="G695" s="143">
        <v>43900</v>
      </c>
      <c r="H695" s="38" t="s">
        <v>45</v>
      </c>
      <c r="I695" s="30">
        <v>43900</v>
      </c>
      <c r="J695" s="58">
        <v>1614636</v>
      </c>
      <c r="K695" s="32">
        <v>87394.957983193279</v>
      </c>
      <c r="L695" s="32"/>
      <c r="M695" s="33">
        <f>(PROVEEDORES[[#This Row],[SUBTOTAL]]-PROVEEDORES[[#This Row],[descuento antes de IVA]])*VLOOKUP(PROVEEDORES[[#This Row],[PROVEEDOR]],TERCEROS_INFO[#All],3,FALSE)</f>
        <v>16605.042016806725</v>
      </c>
      <c r="N695" s="34"/>
      <c r="O695" s="33">
        <f>+PROVEEDORES[[#This Row],[Descuento sobre subtotal %]]*(PROVEEDORES[[#This Row],[SUBTOTAL]]-PROVEEDORES[[#This Row],[descuento antes de IVA]])</f>
        <v>0</v>
      </c>
      <c r="P6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95" s="33">
        <f>+(PROVEEDORES[[#This Row],[SUBTOTAL]]-PROVEEDORES[[#This Row],[descuento antes de IVA]])*PROVEEDORES[[#This Row],[Rete Fuente %]]</f>
        <v>0</v>
      </c>
      <c r="R695" s="32">
        <f>+PROVEEDORES[[#This Row],[SUBTOTAL]]+PROVEEDORES[[#This Row],[IVA 19%]]-PROVEEDORES[[#This Row],[descuento antes de IVA]]-PROVEEDORES[[#This Row],[Descuento sobre subtotal $]]-PROVEEDORES[[#This Row],[Rete Fuente $]]</f>
        <v>104000</v>
      </c>
      <c r="S69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5" s="40"/>
      <c r="U695" s="97"/>
      <c r="V695" s="36"/>
      <c r="W695" s="36"/>
      <c r="X695" s="36"/>
      <c r="Y695" s="36"/>
      <c r="Z695" s="41"/>
      <c r="AA695" s="42"/>
      <c r="AF695" s="36"/>
      <c r="AG695" s="36"/>
    </row>
    <row r="696" spans="1:33" ht="21.95" hidden="1" customHeight="1" x14ac:dyDescent="0.25">
      <c r="A696" s="157" t="str">
        <f>+IF(PROVEEDORES[[#This Row],[FECHA DE PAGO]]=PROVEEDORES[[#This Row],[FECHA DE FACTURACIÓN]],"DE CONTADO","CRÉDITO")</f>
        <v>CRÉDITO</v>
      </c>
      <c r="B696" s="70" t="b">
        <f>+IF((PROVEEDORES[[#This Row],[FECHA DE PAGO]]-PROVEEDORES[[#This Row],[FECHA DE FACTURACIÓN]])&gt;PROVEEDORES[[#This Row],[PLAZO Días]],"PAGO VENCIDO")</f>
        <v>0</v>
      </c>
      <c r="C696" s="27">
        <f>+VLOOKUP(PROVEEDORES[[#This Row],[PROVEEDOR]],TERCEROS_INFO[#All],2,FALSE)</f>
        <v>60</v>
      </c>
      <c r="D696" s="37">
        <f>+SUMIFS(PROVEEDORES[Total],PROVEEDORES[PROVEEDOR],PROVEEDORES[[#This Row],[PROVEEDOR]],PROVEEDORES[FECHA DE PAGO],"")</f>
        <v>2268000</v>
      </c>
      <c r="E696" s="37"/>
      <c r="F696" s="108" t="str">
        <f>+VLOOKUP(PROVEEDORES[[#This Row],[PROVEEDOR]],TERCEROS_INFO[[PROVEEDOR]:[CORREO]],5,FALSE)</f>
        <v>jessica.barrios@carpainternacional;girlesa.ruiz@servipilas.com;joriescobar64@gmail.com</v>
      </c>
      <c r="G696" s="143">
        <v>44503</v>
      </c>
      <c r="H696" s="146" t="s">
        <v>949</v>
      </c>
      <c r="I696" s="30">
        <v>44470</v>
      </c>
      <c r="J696" s="58" t="s">
        <v>919</v>
      </c>
      <c r="K696" s="32">
        <f>48*3849</f>
        <v>184752</v>
      </c>
      <c r="L696" s="32"/>
      <c r="M696" s="33">
        <f>(PROVEEDORES[[#This Row],[SUBTOTAL]]-PROVEEDORES[[#This Row],[descuento antes de IVA]])*VLOOKUP(PROVEEDORES[[#This Row],[PROVEEDOR]],TERCEROS_INFO[#All],3,FALSE)</f>
        <v>0</v>
      </c>
      <c r="N696" s="34"/>
      <c r="O696" s="33">
        <f>+PROVEEDORES[[#This Row],[Descuento sobre subtotal %]]*(PROVEEDORES[[#This Row],[SUBTOTAL]]-PROVEEDORES[[#This Row],[descuento antes de IVA]])</f>
        <v>0</v>
      </c>
      <c r="P6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96" s="33">
        <f>+(PROVEEDORES[[#This Row],[SUBTOTAL]]-PROVEEDORES[[#This Row],[descuento antes de IVA]])*PROVEEDORES[[#This Row],[Rete Fuente %]]</f>
        <v>0</v>
      </c>
      <c r="R696" s="32">
        <f>+PROVEEDORES[[#This Row],[SUBTOTAL]]+PROVEEDORES[[#This Row],[IVA 19%]]-PROVEEDORES[[#This Row],[descuento antes de IVA]]-PROVEEDORES[[#This Row],[Descuento sobre subtotal $]]-PROVEEDORES[[#This Row],[Rete Fuente $]]</f>
        <v>184752</v>
      </c>
      <c r="S696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6" s="40"/>
      <c r="U696" s="97"/>
      <c r="V696" s="36"/>
      <c r="W696" s="36"/>
      <c r="X696" s="36"/>
      <c r="Y696" s="36"/>
      <c r="Z696" s="41"/>
      <c r="AA696" s="42"/>
      <c r="AF696" s="36"/>
      <c r="AG696" s="36"/>
    </row>
    <row r="697" spans="1:33" ht="21.95" hidden="1" customHeight="1" x14ac:dyDescent="0.25">
      <c r="A697" s="161" t="str">
        <f>+IF(PROVEEDORES[[#This Row],[FECHA DE PAGO]]=PROVEEDORES[[#This Row],[FECHA DE FACTURACIÓN]],"DE CONTADO","CRÉDITO")</f>
        <v>CRÉDITO</v>
      </c>
      <c r="B697" s="70" t="b">
        <f>+IF((PROVEEDORES[[#This Row],[FECHA DE PAGO]]-PROVEEDORES[[#This Row],[FECHA DE FACTURACIÓN]])&gt;PROVEEDORES[[#This Row],[PLAZO Días]],"PAGO VENCIDO")</f>
        <v>0</v>
      </c>
      <c r="C697" s="27">
        <f>+VLOOKUP(PROVEEDORES[[#This Row],[PROVEEDOR]],TERCEROS_INFO[#All],2,FALSE)</f>
        <v>60</v>
      </c>
      <c r="D697" s="37">
        <f>+SUMIFS(PROVEEDORES[Total],PROVEEDORES[PROVEEDOR],PROVEEDORES[[#This Row],[PROVEEDOR]],PROVEEDORES[FECHA DE PAGO],"")</f>
        <v>2268000</v>
      </c>
      <c r="E697" s="37"/>
      <c r="F697" s="108" t="str">
        <f>+VLOOKUP(PROVEEDORES[[#This Row],[PROVEEDOR]],TERCEROS_INFO[[PROVEEDOR]:[CORREO]],5,FALSE)</f>
        <v>jessica.barrios@carpainternacional;girlesa.ruiz@servipilas.com;joriescobar64@gmail.com</v>
      </c>
      <c r="G697" s="143">
        <v>44503</v>
      </c>
      <c r="H697" s="57" t="s">
        <v>949</v>
      </c>
      <c r="I697" s="30">
        <v>44500</v>
      </c>
      <c r="J697" s="58" t="s">
        <v>918</v>
      </c>
      <c r="K697" s="32">
        <f>148.6*3849</f>
        <v>571961.4</v>
      </c>
      <c r="L697" s="32"/>
      <c r="M697" s="33">
        <f>(PROVEEDORES[[#This Row],[SUBTOTAL]]-PROVEEDORES[[#This Row],[descuento antes de IVA]])*VLOOKUP(PROVEEDORES[[#This Row],[PROVEEDOR]],TERCEROS_INFO[#All],3,FALSE)</f>
        <v>0</v>
      </c>
      <c r="N697" s="34"/>
      <c r="O697" s="33">
        <f>+PROVEEDORES[[#This Row],[Descuento sobre subtotal %]]*(PROVEEDORES[[#This Row],[SUBTOTAL]]-PROVEEDORES[[#This Row],[descuento antes de IVA]])</f>
        <v>0</v>
      </c>
      <c r="P6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97" s="33">
        <f>+(PROVEEDORES[[#This Row],[SUBTOTAL]]-PROVEEDORES[[#This Row],[descuento antes de IVA]])*PROVEEDORES[[#This Row],[Rete Fuente %]]</f>
        <v>0</v>
      </c>
      <c r="R697" s="32">
        <f>+PROVEEDORES[[#This Row],[SUBTOTAL]]+PROVEEDORES[[#This Row],[IVA 19%]]-PROVEEDORES[[#This Row],[descuento antes de IVA]]-PROVEEDORES[[#This Row],[Descuento sobre subtotal $]]-PROVEEDORES[[#This Row],[Rete Fuente $]]</f>
        <v>571961.4</v>
      </c>
      <c r="S697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7" s="40"/>
      <c r="U697" s="97"/>
      <c r="V697" s="36"/>
      <c r="W697" s="36"/>
      <c r="X697" s="36"/>
      <c r="Y697" s="36"/>
      <c r="Z697" s="41"/>
      <c r="AA697" s="42"/>
      <c r="AF697" s="36"/>
      <c r="AG697" s="36"/>
    </row>
    <row r="698" spans="1:33" ht="21.95" hidden="1" customHeight="1" x14ac:dyDescent="0.25">
      <c r="A698" s="167" t="str">
        <f>+IF(PROVEEDORES[[#This Row],[FECHA DE PAGO]]=PROVEEDORES[[#This Row],[FECHA DE FACTURACIÓN]],"DE CONTADO","CRÉDITO")</f>
        <v>CRÉDITO</v>
      </c>
      <c r="B698" s="70" t="b">
        <f>+IF((PROVEEDORES[[#This Row],[FECHA DE PAGO]]-PROVEEDORES[[#This Row],[FECHA DE FACTURACIÓN]])&gt;PROVEEDORES[[#This Row],[PLAZO Días]],"PAGO VENCIDO")</f>
        <v>0</v>
      </c>
      <c r="C698" s="27">
        <v>90</v>
      </c>
      <c r="D698" s="37">
        <f>+SUMIFS(PROVEEDORES[Total],PROVEEDORES[PROVEEDOR],PROVEEDORES[[#This Row],[PROVEEDOR]],PROVEEDORES[FECHA DE PAGO],"")</f>
        <v>2268000</v>
      </c>
      <c r="E698" s="37"/>
      <c r="F698" s="108" t="str">
        <f>+VLOOKUP(PROVEEDORES[[#This Row],[PROVEEDOR]],TERCEROS_INFO[[PROVEEDOR]:[CORREO]],5,FALSE)</f>
        <v>jessica.barrios@carpainternacional;girlesa.ruiz@servipilas.com;joriescobar64@gmail.com</v>
      </c>
      <c r="H698" s="57" t="s">
        <v>949</v>
      </c>
      <c r="I698" s="30">
        <v>44501</v>
      </c>
      <c r="J698" s="58" t="s">
        <v>1294</v>
      </c>
      <c r="K698" s="32">
        <f>56*4200</f>
        <v>235200</v>
      </c>
      <c r="L698" s="32"/>
      <c r="M698" s="33">
        <f>(PROVEEDORES[[#This Row],[SUBTOTAL]]-PROVEEDORES[[#This Row],[descuento antes de IVA]])*VLOOKUP(PROVEEDORES[[#This Row],[PROVEEDOR]],TERCEROS_INFO[#All],3,FALSE)</f>
        <v>0</v>
      </c>
      <c r="N698" s="34"/>
      <c r="O698" s="33">
        <f>+PROVEEDORES[[#This Row],[Descuento sobre subtotal %]]*(PROVEEDORES[[#This Row],[SUBTOTAL]]-PROVEEDORES[[#This Row],[descuento antes de IVA]])</f>
        <v>0</v>
      </c>
      <c r="P6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98" s="33">
        <f>+(PROVEEDORES[[#This Row],[SUBTOTAL]]-PROVEEDORES[[#This Row],[descuento antes de IVA]])*PROVEEDORES[[#This Row],[Rete Fuente %]]</f>
        <v>0</v>
      </c>
      <c r="R698" s="32">
        <f>+PROVEEDORES[[#This Row],[SUBTOTAL]]+PROVEEDORES[[#This Row],[IVA 19%]]-PROVEEDORES[[#This Row],[descuento antes de IVA]]-PROVEEDORES[[#This Row],[Descuento sobre subtotal $]]-PROVEEDORES[[#This Row],[Rete Fuente $]]</f>
        <v>235200</v>
      </c>
      <c r="S698" s="16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698" s="40"/>
      <c r="U698" s="97"/>
      <c r="V698" s="36"/>
      <c r="W698" s="36"/>
      <c r="X698" s="36"/>
      <c r="Y698" s="36"/>
      <c r="Z698" s="41"/>
      <c r="AA698" s="42"/>
      <c r="AF698" s="36"/>
      <c r="AG698" s="36"/>
    </row>
    <row r="699" spans="1:33" ht="21.95" hidden="1" customHeight="1" x14ac:dyDescent="0.25">
      <c r="A699" s="164" t="str">
        <f>+IF(PROVEEDORES[[#This Row],[FECHA DE PAGO]]=PROVEEDORES[[#This Row],[FECHA DE FACTURACIÓN]],"DE CONTADO","CRÉDITO")</f>
        <v>CRÉDITO</v>
      </c>
      <c r="B699" s="70" t="b">
        <f>+IF((PROVEEDORES[[#This Row],[FECHA DE PAGO]]-PROVEEDORES[[#This Row],[FECHA DE FACTURACIÓN]])&gt;PROVEEDORES[[#This Row],[PLAZO Días]],"PAGO VENCIDO")</f>
        <v>0</v>
      </c>
      <c r="C699" s="27">
        <v>90</v>
      </c>
      <c r="D699" s="37">
        <f>+SUMIFS(PROVEEDORES[Total],PROVEEDORES[PROVEEDOR],PROVEEDORES[[#This Row],[PROVEEDOR]],PROVEEDORES[FECHA DE PAGO],"")</f>
        <v>2268000</v>
      </c>
      <c r="E699" s="37"/>
      <c r="F699" s="108" t="str">
        <f>+VLOOKUP(PROVEEDORES[[#This Row],[PROVEEDOR]],TERCEROS_INFO[[PROVEEDOR]:[CORREO]],5,FALSE)</f>
        <v>jessica.barrios@carpainternacional;girlesa.ruiz@servipilas.com;joriescobar64@gmail.com</v>
      </c>
      <c r="H699" s="57" t="s">
        <v>949</v>
      </c>
      <c r="I699" s="30">
        <v>44510</v>
      </c>
      <c r="J699" s="58" t="s">
        <v>946</v>
      </c>
      <c r="K699" s="32">
        <f>68*4200</f>
        <v>285600</v>
      </c>
      <c r="L699" s="32"/>
      <c r="M699" s="33">
        <f>(PROVEEDORES[[#This Row],[SUBTOTAL]]-PROVEEDORES[[#This Row],[descuento antes de IVA]])*VLOOKUP(PROVEEDORES[[#This Row],[PROVEEDOR]],TERCEROS_INFO[#All],3,FALSE)</f>
        <v>0</v>
      </c>
      <c r="N699" s="34"/>
      <c r="O699" s="33">
        <f>+PROVEEDORES[[#This Row],[Descuento sobre subtotal %]]*(PROVEEDORES[[#This Row],[SUBTOTAL]]-PROVEEDORES[[#This Row],[descuento antes de IVA]])</f>
        <v>0</v>
      </c>
      <c r="P6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699" s="33">
        <f>+(PROVEEDORES[[#This Row],[SUBTOTAL]]-PROVEEDORES[[#This Row],[descuento antes de IVA]])*PROVEEDORES[[#This Row],[Rete Fuente %]]</f>
        <v>0</v>
      </c>
      <c r="R699" s="32">
        <f>+PROVEEDORES[[#This Row],[SUBTOTAL]]+PROVEEDORES[[#This Row],[IVA 19%]]-PROVEEDORES[[#This Row],[descuento antes de IVA]]-PROVEEDORES[[#This Row],[Descuento sobre subtotal $]]-PROVEEDORES[[#This Row],[Rete Fuente $]]</f>
        <v>285600</v>
      </c>
      <c r="S699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699" s="40"/>
      <c r="U699" s="97"/>
      <c r="V699" s="36"/>
      <c r="W699" s="36"/>
      <c r="X699" s="36"/>
      <c r="Y699" s="36"/>
      <c r="Z699" s="41"/>
      <c r="AA699" s="42"/>
      <c r="AF699" s="36"/>
      <c r="AG699" s="36"/>
    </row>
    <row r="700" spans="1:33" ht="21.95" hidden="1" customHeight="1" x14ac:dyDescent="0.25">
      <c r="A700" s="35" t="str">
        <f>+IF(PROVEEDORES[[#This Row],[FECHA DE PAGO]]=PROVEEDORES[[#This Row],[FECHA DE FACTURACIÓN]],"DE CONTADO","CRÉDITO")</f>
        <v>CRÉDITO</v>
      </c>
      <c r="B700" s="70" t="b">
        <f>+IF((PROVEEDORES[[#This Row],[FECHA DE PAGO]]-PROVEEDORES[[#This Row],[FECHA DE FACTURACIÓN]])&gt;PROVEEDORES[[#This Row],[PLAZO Días]],"PAGO VENCIDO")</f>
        <v>0</v>
      </c>
      <c r="C700" s="27">
        <f>+VLOOKUP(PROVEEDORES[[#This Row],[PROVEEDOR]],TERCEROS_INFO[#All],2,FALSE)</f>
        <v>60</v>
      </c>
      <c r="D700" s="37">
        <f>+SUMIFS(PROVEEDORES[Total],PROVEEDORES[PROVEEDOR],PROVEEDORES[[#This Row],[PROVEEDOR]],PROVEEDORES[FECHA DE PAGO],"")</f>
        <v>2268000</v>
      </c>
      <c r="E700" s="37"/>
      <c r="F700" s="108" t="str">
        <f>+VLOOKUP(PROVEEDORES[[#This Row],[PROVEEDOR]],TERCEROS_INFO[[PROVEEDOR]:[CORREO]],5,FALSE)</f>
        <v>jessica.barrios@carpainternacional;girlesa.ruiz@servipilas.com;joriescobar64@gmail.com</v>
      </c>
      <c r="H700" s="57" t="s">
        <v>949</v>
      </c>
      <c r="I700" s="30">
        <v>44533</v>
      </c>
      <c r="J700" s="58" t="s">
        <v>1315</v>
      </c>
      <c r="K700" s="32">
        <f>116*4200</f>
        <v>487200</v>
      </c>
      <c r="L700" s="32"/>
      <c r="M700" s="33">
        <f>(PROVEEDORES[[#This Row],[SUBTOTAL]]-PROVEEDORES[[#This Row],[descuento antes de IVA]])*VLOOKUP(PROVEEDORES[[#This Row],[PROVEEDOR]],TERCEROS_INFO[#All],3,FALSE)</f>
        <v>0</v>
      </c>
      <c r="N700" s="34"/>
      <c r="O700" s="33">
        <f>+PROVEEDORES[[#This Row],[Descuento sobre subtotal %]]*(PROVEEDORES[[#This Row],[SUBTOTAL]]-PROVEEDORES[[#This Row],[descuento antes de IVA]])</f>
        <v>0</v>
      </c>
      <c r="P7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0" s="33">
        <f>+(PROVEEDORES[[#This Row],[SUBTOTAL]]-PROVEEDORES[[#This Row],[descuento antes de IVA]])*PROVEEDORES[[#This Row],[Rete Fuente %]]</f>
        <v>0</v>
      </c>
      <c r="R700" s="32">
        <f>+PROVEEDORES[[#This Row],[SUBTOTAL]]+PROVEEDORES[[#This Row],[IVA 19%]]-PROVEEDORES[[#This Row],[descuento antes de IVA]]-PROVEEDORES[[#This Row],[Descuento sobre subtotal $]]-PROVEEDORES[[#This Row],[Rete Fuente $]]</f>
        <v>487200</v>
      </c>
      <c r="S700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00" s="40"/>
      <c r="U700" s="97"/>
      <c r="V700" s="36"/>
      <c r="W700" s="36"/>
      <c r="X700" s="36"/>
      <c r="Y700" s="36"/>
      <c r="Z700" s="41"/>
      <c r="AA700" s="42"/>
      <c r="AF700" s="36"/>
      <c r="AG700" s="36"/>
    </row>
    <row r="701" spans="1:33" ht="21.95" hidden="1" customHeight="1" x14ac:dyDescent="0.25">
      <c r="A701" s="35" t="str">
        <f>+IF(PROVEEDORES[[#This Row],[FECHA DE PAGO]]=PROVEEDORES[[#This Row],[FECHA DE FACTURACIÓN]],"DE CONTADO","CRÉDITO")</f>
        <v>CRÉDITO</v>
      </c>
      <c r="B701" s="70" t="b">
        <f>+IF((PROVEEDORES[[#This Row],[FECHA DE PAGO]]-PROVEEDORES[[#This Row],[FECHA DE FACTURACIÓN]])&gt;PROVEEDORES[[#This Row],[PLAZO Días]],"PAGO VENCIDO")</f>
        <v>0</v>
      </c>
      <c r="C701" s="27">
        <f>+VLOOKUP(PROVEEDORES[[#This Row],[PROVEEDOR]],TERCEROS_INFO[#All],2,FALSE)</f>
        <v>60</v>
      </c>
      <c r="D701" s="37">
        <f>+SUMIFS(PROVEEDORES[Total],PROVEEDORES[PROVEEDOR],PROVEEDORES[[#This Row],[PROVEEDOR]],PROVEEDORES[FECHA DE PAGO],"")</f>
        <v>2268000</v>
      </c>
      <c r="E701" s="37"/>
      <c r="F701" s="108" t="str">
        <f>+VLOOKUP(PROVEEDORES[[#This Row],[PROVEEDOR]],TERCEROS_INFO[[PROVEEDOR]:[CORREO]],5,FALSE)</f>
        <v>jessica.barrios@carpainternacional;girlesa.ruiz@servipilas.com;joriescobar64@gmail.com</v>
      </c>
      <c r="H701" s="57" t="s">
        <v>949</v>
      </c>
      <c r="I701" s="30">
        <v>44533</v>
      </c>
      <c r="J701" s="58" t="s">
        <v>1314</v>
      </c>
      <c r="K701" s="32">
        <f>48*4200</f>
        <v>201600</v>
      </c>
      <c r="L701" s="32"/>
      <c r="M701" s="33">
        <f>(PROVEEDORES[[#This Row],[SUBTOTAL]]-PROVEEDORES[[#This Row],[descuento antes de IVA]])*VLOOKUP(PROVEEDORES[[#This Row],[PROVEEDOR]],TERCEROS_INFO[#All],3,FALSE)</f>
        <v>0</v>
      </c>
      <c r="N701" s="34"/>
      <c r="O701" s="33">
        <f>+PROVEEDORES[[#This Row],[Descuento sobre subtotal %]]*(PROVEEDORES[[#This Row],[SUBTOTAL]]-PROVEEDORES[[#This Row],[descuento antes de IVA]])</f>
        <v>0</v>
      </c>
      <c r="P7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1" s="33">
        <f>+(PROVEEDORES[[#This Row],[SUBTOTAL]]-PROVEEDORES[[#This Row],[descuento antes de IVA]])*PROVEEDORES[[#This Row],[Rete Fuente %]]</f>
        <v>0</v>
      </c>
      <c r="R701" s="32">
        <f>+PROVEEDORES[[#This Row],[SUBTOTAL]]+PROVEEDORES[[#This Row],[IVA 19%]]-PROVEEDORES[[#This Row],[descuento antes de IVA]]-PROVEEDORES[[#This Row],[Descuento sobre subtotal $]]-PROVEEDORES[[#This Row],[Rete Fuente $]]</f>
        <v>201600</v>
      </c>
      <c r="S701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01" s="40"/>
      <c r="U701" s="97"/>
      <c r="V701" s="36"/>
      <c r="W701" s="36"/>
      <c r="X701" s="36"/>
      <c r="Y701" s="36"/>
      <c r="Z701" s="41"/>
      <c r="AA701" s="42"/>
      <c r="AF701" s="36"/>
      <c r="AG701" s="36"/>
    </row>
    <row r="702" spans="1:33" ht="21.95" hidden="1" customHeight="1" x14ac:dyDescent="0.25">
      <c r="A702" s="35" t="str">
        <f>+IF(PROVEEDORES[[#This Row],[FECHA DE PAGO]]=PROVEEDORES[[#This Row],[FECHA DE FACTURACIÓN]],"DE CONTADO","CRÉDITO")</f>
        <v>CRÉDITO</v>
      </c>
      <c r="B702" s="70" t="b">
        <f>+IF((PROVEEDORES[[#This Row],[FECHA DE PAGO]]-PROVEEDORES[[#This Row],[FECHA DE FACTURACIÓN]])&gt;PROVEEDORES[[#This Row],[PLAZO Días]],"PAGO VENCIDO")</f>
        <v>0</v>
      </c>
      <c r="C702" s="27">
        <f>+VLOOKUP(PROVEEDORES[[#This Row],[PROVEEDOR]],TERCEROS_INFO[#All],2,FALSE)</f>
        <v>60</v>
      </c>
      <c r="D702" s="37">
        <f>+SUMIFS(PROVEEDORES[Total],PROVEEDORES[PROVEEDOR],PROVEEDORES[[#This Row],[PROVEEDOR]],PROVEEDORES[FECHA DE PAGO],"")</f>
        <v>2268000</v>
      </c>
      <c r="E702" s="37"/>
      <c r="F702" s="108" t="str">
        <f>+VLOOKUP(PROVEEDORES[[#This Row],[PROVEEDOR]],TERCEROS_INFO[[PROVEEDOR]:[CORREO]],5,FALSE)</f>
        <v>jessica.barrios@carpainternacional;girlesa.ruiz@servipilas.com;joriescobar64@gmail.com</v>
      </c>
      <c r="H702" s="57" t="s">
        <v>949</v>
      </c>
      <c r="I702" s="30">
        <v>44537</v>
      </c>
      <c r="J702" s="58" t="s">
        <v>1318</v>
      </c>
      <c r="K702" s="32">
        <f>60*4200</f>
        <v>252000</v>
      </c>
      <c r="L702" s="32"/>
      <c r="M702" s="33">
        <f>(PROVEEDORES[[#This Row],[SUBTOTAL]]-PROVEEDORES[[#This Row],[descuento antes de IVA]])*VLOOKUP(PROVEEDORES[[#This Row],[PROVEEDOR]],TERCEROS_INFO[#All],3,FALSE)</f>
        <v>0</v>
      </c>
      <c r="N702" s="34"/>
      <c r="O702" s="33">
        <f>+PROVEEDORES[[#This Row],[Descuento sobre subtotal %]]*(PROVEEDORES[[#This Row],[SUBTOTAL]]-PROVEEDORES[[#This Row],[descuento antes de IVA]])</f>
        <v>0</v>
      </c>
      <c r="P7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2" s="33">
        <f>+(PROVEEDORES[[#This Row],[SUBTOTAL]]-PROVEEDORES[[#This Row],[descuento antes de IVA]])*PROVEEDORES[[#This Row],[Rete Fuente %]]</f>
        <v>0</v>
      </c>
      <c r="R702" s="32">
        <f>+PROVEEDORES[[#This Row],[SUBTOTAL]]+PROVEEDORES[[#This Row],[IVA 19%]]-PROVEEDORES[[#This Row],[descuento antes de IVA]]-PROVEEDORES[[#This Row],[Descuento sobre subtotal $]]-PROVEEDORES[[#This Row],[Rete Fuente $]]</f>
        <v>252000</v>
      </c>
      <c r="S702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02" s="40"/>
      <c r="U702" s="97"/>
      <c r="V702" s="36"/>
      <c r="W702" s="36"/>
      <c r="X702" s="36"/>
      <c r="Y702" s="36"/>
      <c r="Z702" s="41"/>
      <c r="AA702" s="42"/>
      <c r="AF702" s="36"/>
      <c r="AG702" s="36"/>
    </row>
    <row r="703" spans="1:33" ht="21.95" hidden="1" customHeight="1" x14ac:dyDescent="0.25">
      <c r="A703" s="35" t="str">
        <f>+IF(PROVEEDORES[[#This Row],[FECHA DE PAGO]]=PROVEEDORES[[#This Row],[FECHA DE FACTURACIÓN]],"DE CONTADO","CRÉDITO")</f>
        <v>CRÉDITO</v>
      </c>
      <c r="B703" s="70" t="b">
        <f>+IF((PROVEEDORES[[#This Row],[FECHA DE PAGO]]-PROVEEDORES[[#This Row],[FECHA DE FACTURACIÓN]])&gt;PROVEEDORES[[#This Row],[PLAZO Días]],"PAGO VENCIDO")</f>
        <v>0</v>
      </c>
      <c r="C703" s="27">
        <f>+VLOOKUP(PROVEEDORES[[#This Row],[PROVEEDOR]],TERCEROS_INFO[#All],2,FALSE)</f>
        <v>60</v>
      </c>
      <c r="D703" s="37">
        <f>+SUMIFS(PROVEEDORES[Total],PROVEEDORES[PROVEEDOR],PROVEEDORES[[#This Row],[PROVEEDOR]],PROVEEDORES[FECHA DE PAGO],"")</f>
        <v>2268000</v>
      </c>
      <c r="E703" s="37"/>
      <c r="F703" s="108" t="str">
        <f>+VLOOKUP(PROVEEDORES[[#This Row],[PROVEEDOR]],TERCEROS_INFO[[PROVEEDOR]:[CORREO]],5,FALSE)</f>
        <v>jessica.barrios@carpainternacional;girlesa.ruiz@servipilas.com;joriescobar64@gmail.com</v>
      </c>
      <c r="H703" s="57" t="s">
        <v>949</v>
      </c>
      <c r="I703" s="30">
        <v>44552</v>
      </c>
      <c r="J703" s="58" t="s">
        <v>1339</v>
      </c>
      <c r="K703" s="32">
        <f>76*4200</f>
        <v>319200</v>
      </c>
      <c r="L703" s="32"/>
      <c r="M703" s="33">
        <f>(PROVEEDORES[[#This Row],[SUBTOTAL]]-PROVEEDORES[[#This Row],[descuento antes de IVA]])*VLOOKUP(PROVEEDORES[[#This Row],[PROVEEDOR]],TERCEROS_INFO[#All],3,FALSE)</f>
        <v>0</v>
      </c>
      <c r="N703" s="34"/>
      <c r="O703" s="33">
        <f>+PROVEEDORES[[#This Row],[Descuento sobre subtotal %]]*(PROVEEDORES[[#This Row],[SUBTOTAL]]-PROVEEDORES[[#This Row],[descuento antes de IVA]])</f>
        <v>0</v>
      </c>
      <c r="P7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3" s="33">
        <f>+(PROVEEDORES[[#This Row],[SUBTOTAL]]-PROVEEDORES[[#This Row],[descuento antes de IVA]])*PROVEEDORES[[#This Row],[Rete Fuente %]]</f>
        <v>0</v>
      </c>
      <c r="R703" s="32">
        <f>+PROVEEDORES[[#This Row],[SUBTOTAL]]+PROVEEDORES[[#This Row],[IVA 19%]]-PROVEEDORES[[#This Row],[descuento antes de IVA]]-PROVEEDORES[[#This Row],[Descuento sobre subtotal $]]-PROVEEDORES[[#This Row],[Rete Fuente $]]</f>
        <v>319200</v>
      </c>
      <c r="S703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03" s="40"/>
      <c r="U703" s="97"/>
      <c r="V703" s="36"/>
      <c r="W703" s="36"/>
      <c r="X703" s="36"/>
      <c r="Y703" s="36"/>
      <c r="Z703" s="41"/>
      <c r="AA703" s="42"/>
      <c r="AF703" s="36"/>
      <c r="AG703" s="36"/>
    </row>
    <row r="704" spans="1:33" ht="21.95" hidden="1" customHeight="1" x14ac:dyDescent="0.25">
      <c r="A704" s="175" t="str">
        <f>+IF(PROVEEDORES[[#This Row],[FECHA DE PAGO]]=PROVEEDORES[[#This Row],[FECHA DE FACTURACIÓN]],"DE CONTADO","CRÉDITO")</f>
        <v>CRÉDITO</v>
      </c>
      <c r="B704" s="70" t="b">
        <f>+IF((PROVEEDORES[[#This Row],[FECHA DE PAGO]]-PROVEEDORES[[#This Row],[FECHA DE FACTURACIÓN]])&gt;PROVEEDORES[[#This Row],[PLAZO Días]],"PAGO VENCIDO")</f>
        <v>0</v>
      </c>
      <c r="C704" s="27">
        <f>+VLOOKUP(PROVEEDORES[[#This Row],[PROVEEDOR]],TERCEROS_INFO[#All],2,FALSE)</f>
        <v>60</v>
      </c>
      <c r="D704" s="37">
        <f>+SUMIFS(PROVEEDORES[Total],PROVEEDORES[PROVEEDOR],PROVEEDORES[[#This Row],[PROVEEDOR]],PROVEEDORES[FECHA DE PAGO],"")</f>
        <v>2268000</v>
      </c>
      <c r="E704" s="37"/>
      <c r="F704" s="108" t="str">
        <f>+VLOOKUP(PROVEEDORES[[#This Row],[PROVEEDOR]],TERCEROS_INFO[[PROVEEDOR]:[CORREO]],5,FALSE)</f>
        <v>jessica.barrios@carpainternacional;girlesa.ruiz@servipilas.com;joriescobar64@gmail.com</v>
      </c>
      <c r="H704" s="146" t="s">
        <v>949</v>
      </c>
      <c r="I704" s="30">
        <v>44557</v>
      </c>
      <c r="J704" s="58">
        <v>1294</v>
      </c>
      <c r="K704" s="32">
        <f>60*4200</f>
        <v>252000</v>
      </c>
      <c r="L704" s="32"/>
      <c r="M704" s="33">
        <f>(PROVEEDORES[[#This Row],[SUBTOTAL]]-PROVEEDORES[[#This Row],[descuento antes de IVA]])*VLOOKUP(PROVEEDORES[[#This Row],[PROVEEDOR]],TERCEROS_INFO[#All],3,FALSE)</f>
        <v>0</v>
      </c>
      <c r="N704" s="34"/>
      <c r="O704" s="33">
        <f>+PROVEEDORES[[#This Row],[Descuento sobre subtotal %]]*(PROVEEDORES[[#This Row],[SUBTOTAL]]-PROVEEDORES[[#This Row],[descuento antes de IVA]])</f>
        <v>0</v>
      </c>
      <c r="P7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4" s="33">
        <f>+(PROVEEDORES[[#This Row],[SUBTOTAL]]-PROVEEDORES[[#This Row],[descuento antes de IVA]])*PROVEEDORES[[#This Row],[Rete Fuente %]]</f>
        <v>0</v>
      </c>
      <c r="R704" s="32">
        <f>+PROVEEDORES[[#This Row],[SUBTOTAL]]+PROVEEDORES[[#This Row],[IVA 19%]]-PROVEEDORES[[#This Row],[descuento antes de IVA]]-PROVEEDORES[[#This Row],[Descuento sobre subtotal $]]-PROVEEDORES[[#This Row],[Rete Fuente $]]</f>
        <v>252000</v>
      </c>
      <c r="S704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04" s="40"/>
      <c r="U704" s="97"/>
      <c r="V704" s="36"/>
      <c r="W704" s="36"/>
      <c r="X704" s="36"/>
      <c r="Y704" s="36"/>
      <c r="Z704" s="41"/>
      <c r="AA704" s="42"/>
      <c r="AF704" s="36"/>
      <c r="AG704" s="36"/>
    </row>
    <row r="705" spans="1:33" ht="21.95" hidden="1" customHeight="1" x14ac:dyDescent="0.25">
      <c r="A705" s="175" t="str">
        <f>+IF(PROVEEDORES[[#This Row],[FECHA DE PAGO]]=PROVEEDORES[[#This Row],[FECHA DE FACTURACIÓN]],"DE CONTADO","CRÉDITO")</f>
        <v>CRÉDITO</v>
      </c>
      <c r="B705" s="70" t="b">
        <f>+IF((PROVEEDORES[[#This Row],[FECHA DE PAGO]]-PROVEEDORES[[#This Row],[FECHA DE FACTURACIÓN]])&gt;PROVEEDORES[[#This Row],[PLAZO Días]],"PAGO VENCIDO")</f>
        <v>0</v>
      </c>
      <c r="C705" s="27">
        <f>+VLOOKUP(PROVEEDORES[[#This Row],[PROVEEDOR]],TERCEROS_INFO[#All],2,FALSE)</f>
        <v>60</v>
      </c>
      <c r="D705" s="37">
        <f>+SUMIFS(PROVEEDORES[Total],PROVEEDORES[PROVEEDOR],PROVEEDORES[[#This Row],[PROVEEDOR]],PROVEEDORES[FECHA DE PAGO],"")</f>
        <v>2268000</v>
      </c>
      <c r="E705" s="37"/>
      <c r="F705" s="108" t="str">
        <f>+VLOOKUP(PROVEEDORES[[#This Row],[PROVEEDOR]],TERCEROS_INFO[[PROVEEDOR]:[CORREO]],5,FALSE)</f>
        <v>jessica.barrios@carpainternacional;girlesa.ruiz@servipilas.com;joriescobar64@gmail.com</v>
      </c>
      <c r="H705" s="146" t="s">
        <v>949</v>
      </c>
      <c r="I705" s="30">
        <v>44557</v>
      </c>
      <c r="J705" s="58">
        <v>1293</v>
      </c>
      <c r="K705" s="32">
        <f>56*4200</f>
        <v>235200</v>
      </c>
      <c r="L705" s="32"/>
      <c r="M705" s="33">
        <f>(PROVEEDORES[[#This Row],[SUBTOTAL]]-PROVEEDORES[[#This Row],[descuento antes de IVA]])*VLOOKUP(PROVEEDORES[[#This Row],[PROVEEDOR]],TERCEROS_INFO[#All],3,FALSE)</f>
        <v>0</v>
      </c>
      <c r="N705" s="34"/>
      <c r="O705" s="33">
        <f>+PROVEEDORES[[#This Row],[Descuento sobre subtotal %]]*(PROVEEDORES[[#This Row],[SUBTOTAL]]-PROVEEDORES[[#This Row],[descuento antes de IVA]])</f>
        <v>0</v>
      </c>
      <c r="P7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5" s="33">
        <f>+(PROVEEDORES[[#This Row],[SUBTOTAL]]-PROVEEDORES[[#This Row],[descuento antes de IVA]])*PROVEEDORES[[#This Row],[Rete Fuente %]]</f>
        <v>0</v>
      </c>
      <c r="R705" s="32">
        <f>+PROVEEDORES[[#This Row],[SUBTOTAL]]+PROVEEDORES[[#This Row],[IVA 19%]]-PROVEEDORES[[#This Row],[descuento antes de IVA]]-PROVEEDORES[[#This Row],[Descuento sobre subtotal $]]-PROVEEDORES[[#This Row],[Rete Fuente $]]</f>
        <v>235200</v>
      </c>
      <c r="S705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05" s="40"/>
      <c r="U705" s="97"/>
      <c r="V705" s="36"/>
      <c r="W705" s="36"/>
      <c r="X705" s="36"/>
      <c r="Y705" s="36"/>
      <c r="Z705" s="41"/>
      <c r="AA705" s="42"/>
      <c r="AF705" s="36"/>
      <c r="AG705" s="36"/>
    </row>
    <row r="706" spans="1:33" ht="21.95" hidden="1" customHeight="1" x14ac:dyDescent="0.25">
      <c r="A706" s="164" t="str">
        <f>+IF(PROVEEDORES[[#This Row],[FECHA DE PAGO]]=PROVEEDORES[[#This Row],[FECHA DE FACTURACIÓN]],"DE CONTADO","CRÉDITO")</f>
        <v>DE CONTADO</v>
      </c>
      <c r="B706" s="70" t="b">
        <f>+IF((PROVEEDORES[[#This Row],[FECHA DE PAGO]]-PROVEEDORES[[#This Row],[FECHA DE FACTURACIÓN]])&gt;PROVEEDORES[[#This Row],[PLAZO Días]],"PAGO VENCIDO")</f>
        <v>0</v>
      </c>
      <c r="C706" s="27">
        <f>+VLOOKUP(PROVEEDORES[[#This Row],[PROVEEDOR]],TERCEROS_INFO[#All],2,FALSE)</f>
        <v>45</v>
      </c>
      <c r="D706" s="37">
        <f>+SUMIFS(PROVEEDORES[Total],PROVEEDORES[PROVEEDOR],PROVEEDORES[[#This Row],[PROVEEDOR]],PROVEEDORES[FECHA DE PAGO],"")</f>
        <v>0</v>
      </c>
      <c r="E706" s="37"/>
      <c r="F706" s="108" t="str">
        <f>+VLOOKUP(PROVEEDORES[[#This Row],[PROVEEDOR]],TERCEROS_INFO[[PROVEEDOR]:[CORREO]],5,FALSE)</f>
        <v>jessica.barrios@carpainternacional;girlesa.ruiz@servipilas.com;joriescobar64@gmail.com</v>
      </c>
      <c r="G706" s="143">
        <v>44517</v>
      </c>
      <c r="H706" s="38" t="s">
        <v>950</v>
      </c>
      <c r="I706" s="30">
        <v>44517</v>
      </c>
      <c r="J706" s="58" t="s">
        <v>952</v>
      </c>
      <c r="K706" s="32">
        <v>2471127</v>
      </c>
      <c r="L706" s="32"/>
      <c r="M706" s="33">
        <f>(PROVEEDORES[[#This Row],[SUBTOTAL]]-PROVEEDORES[[#This Row],[descuento antes de IVA]])*VLOOKUP(PROVEEDORES[[#This Row],[PROVEEDOR]],TERCEROS_INFO[#All],3,FALSE)</f>
        <v>0</v>
      </c>
      <c r="N706" s="34"/>
      <c r="O706" s="33">
        <f>+PROVEEDORES[[#This Row],[Descuento sobre subtotal %]]*(PROVEEDORES[[#This Row],[SUBTOTAL]]-PROVEEDORES[[#This Row],[descuento antes de IVA]])</f>
        <v>0</v>
      </c>
      <c r="P7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6" s="33">
        <f>+(PROVEEDORES[[#This Row],[SUBTOTAL]]-PROVEEDORES[[#This Row],[descuento antes de IVA]])*PROVEEDORES[[#This Row],[Rete Fuente %]]</f>
        <v>0</v>
      </c>
      <c r="R706" s="32">
        <f>+PROVEEDORES[[#This Row],[SUBTOTAL]]+PROVEEDORES[[#This Row],[IVA 19%]]-PROVEEDORES[[#This Row],[descuento antes de IVA]]-PROVEEDORES[[#This Row],[Descuento sobre subtotal $]]-PROVEEDORES[[#This Row],[Rete Fuente $]]</f>
        <v>2471127</v>
      </c>
      <c r="S706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6" s="40"/>
      <c r="U706" s="97"/>
      <c r="V706" s="36"/>
      <c r="W706" s="36"/>
      <c r="X706" s="36"/>
      <c r="Y706" s="36"/>
      <c r="Z706" s="41"/>
      <c r="AA706" s="42"/>
      <c r="AF706" s="36"/>
      <c r="AG706" s="36"/>
    </row>
    <row r="707" spans="1:33" ht="21.95" hidden="1" customHeight="1" x14ac:dyDescent="0.25">
      <c r="A707" s="175" t="str">
        <f>+IF(PROVEEDORES[[#This Row],[FECHA DE PAGO]]=PROVEEDORES[[#This Row],[FECHA DE FACTURACIÓN]],"DE CONTADO","CRÉDITO")</f>
        <v>CRÉDITO</v>
      </c>
      <c r="B707" s="70" t="b">
        <f>+IF((PROVEEDORES[[#This Row],[FECHA DE PAGO]]-PROVEEDORES[[#This Row],[FECHA DE FACTURACIÓN]])&gt;PROVEEDORES[[#This Row],[PLAZO Días]],"PAGO VENCIDO")</f>
        <v>0</v>
      </c>
      <c r="C707" s="27">
        <f>+VLOOKUP(PROVEEDORES[[#This Row],[PROVEEDOR]],TERCEROS_INFO[#All],2,FALSE)</f>
        <v>45</v>
      </c>
      <c r="D707" s="37">
        <f>+SUMIFS(PROVEEDORES[Total],PROVEEDORES[PROVEEDOR],PROVEEDORES[[#This Row],[PROVEEDOR]],PROVEEDORES[FECHA DE PAGO],"")</f>
        <v>2919000</v>
      </c>
      <c r="E707" s="37"/>
      <c r="F707" s="108" t="str">
        <f>+VLOOKUP(PROVEEDORES[[#This Row],[PROVEEDOR]],TERCEROS_INFO[[PROVEEDOR]:[CORREO]],5,FALSE)</f>
        <v>jessica.barrios@carpainternacional;girlesa.ruiz@servipilas.com;joriescobar64@gmail.com</v>
      </c>
      <c r="H707" s="146" t="s">
        <v>1371</v>
      </c>
      <c r="I707" s="30">
        <v>44557</v>
      </c>
      <c r="J707" s="58" t="s">
        <v>1372</v>
      </c>
      <c r="K707" s="32">
        <f>695*4200</f>
        <v>2919000</v>
      </c>
      <c r="L707" s="32"/>
      <c r="M707" s="33">
        <f>(PROVEEDORES[[#This Row],[SUBTOTAL]]-PROVEEDORES[[#This Row],[descuento antes de IVA]])*VLOOKUP(PROVEEDORES[[#This Row],[PROVEEDOR]],TERCEROS_INFO[#All],3,FALSE)</f>
        <v>0</v>
      </c>
      <c r="N707" s="34"/>
      <c r="O707" s="33">
        <f>+PROVEEDORES[[#This Row],[Descuento sobre subtotal %]]*(PROVEEDORES[[#This Row],[SUBTOTAL]]-PROVEEDORES[[#This Row],[descuento antes de IVA]])</f>
        <v>0</v>
      </c>
      <c r="P7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7" s="33">
        <f>+(PROVEEDORES[[#This Row],[SUBTOTAL]]-PROVEEDORES[[#This Row],[descuento antes de IVA]])*PROVEEDORES[[#This Row],[Rete Fuente %]]</f>
        <v>0</v>
      </c>
      <c r="R707" s="32">
        <f>+PROVEEDORES[[#This Row],[SUBTOTAL]]+PROVEEDORES[[#This Row],[IVA 19%]]-PROVEEDORES[[#This Row],[descuento antes de IVA]]-PROVEEDORES[[#This Row],[Descuento sobre subtotal $]]-PROVEEDORES[[#This Row],[Rete Fuente $]]</f>
        <v>2919000</v>
      </c>
      <c r="S707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07" s="40"/>
      <c r="U707" s="97"/>
      <c r="V707" s="36"/>
      <c r="W707" s="36"/>
      <c r="X707" s="36"/>
      <c r="Y707" s="36"/>
      <c r="Z707" s="41"/>
      <c r="AA707" s="42"/>
      <c r="AF707" s="36"/>
      <c r="AG707" s="36"/>
    </row>
    <row r="708" spans="1:33" ht="21.95" hidden="1" customHeight="1" x14ac:dyDescent="0.25">
      <c r="A708" s="157" t="str">
        <f>+IF(PROVEEDORES[[#This Row],[FECHA DE PAGO]]=PROVEEDORES[[#This Row],[FECHA DE FACTURACIÓN]],"DE CONTADO","CRÉDITO")</f>
        <v>CRÉDITO</v>
      </c>
      <c r="B708" s="70" t="b">
        <f>+IF((PROVEEDORES[[#This Row],[FECHA DE PAGO]]-PROVEEDORES[[#This Row],[FECHA DE FACTURACIÓN]])&gt;PROVEEDORES[[#This Row],[PLAZO Días]],"PAGO VENCIDO")</f>
        <v>0</v>
      </c>
      <c r="C708" s="27">
        <f>+VLOOKUP(PROVEEDORES[[#This Row],[PROVEEDOR]],TERCEROS_INFO[#All],2,FALSE)</f>
        <v>45</v>
      </c>
      <c r="D708" s="37">
        <f>+SUMIFS(PROVEEDORES[Total],PROVEEDORES[PROVEEDOR],PROVEEDORES[[#This Row],[PROVEEDOR]],PROVEEDORES[FECHA DE PAGO],"")</f>
        <v>2352000</v>
      </c>
      <c r="E708" s="37"/>
      <c r="F708" s="108" t="str">
        <f>+VLOOKUP(PROVEEDORES[[#This Row],[PROVEEDOR]],TERCEROS_INFO[[PROVEEDOR]:[CORREO]],5,FALSE)</f>
        <v>jessica.barrios@carpainternacional;girlesa.ruiz@servipilas.com;joriescobar64@gmail.com</v>
      </c>
      <c r="G708" s="143">
        <v>44503</v>
      </c>
      <c r="H708" s="57" t="s">
        <v>951</v>
      </c>
      <c r="I708" s="30">
        <v>44490</v>
      </c>
      <c r="J708" s="58" t="s">
        <v>904</v>
      </c>
      <c r="K708" s="32">
        <f>425.14*3849</f>
        <v>1636363.8599999999</v>
      </c>
      <c r="L708" s="32"/>
      <c r="M708" s="33">
        <f>(PROVEEDORES[[#This Row],[SUBTOTAL]]-PROVEEDORES[[#This Row],[descuento antes de IVA]])*VLOOKUP(PROVEEDORES[[#This Row],[PROVEEDOR]],TERCEROS_INFO[#All],3,FALSE)</f>
        <v>0</v>
      </c>
      <c r="N708" s="34"/>
      <c r="O708" s="33">
        <f>+PROVEEDORES[[#This Row],[Descuento sobre subtotal %]]*(PROVEEDORES[[#This Row],[SUBTOTAL]]-PROVEEDORES[[#This Row],[descuento antes de IVA]])</f>
        <v>0</v>
      </c>
      <c r="P7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8" s="33">
        <f>+(PROVEEDORES[[#This Row],[SUBTOTAL]]-PROVEEDORES[[#This Row],[descuento antes de IVA]])*PROVEEDORES[[#This Row],[Rete Fuente %]]</f>
        <v>0</v>
      </c>
      <c r="R708" s="32">
        <f>+PROVEEDORES[[#This Row],[SUBTOTAL]]+PROVEEDORES[[#This Row],[IVA 19%]]-PROVEEDORES[[#This Row],[descuento antes de IVA]]-PROVEEDORES[[#This Row],[Descuento sobre subtotal $]]-PROVEEDORES[[#This Row],[Rete Fuente $]]</f>
        <v>1636363.8599999999</v>
      </c>
      <c r="S708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8" s="40"/>
      <c r="U708" s="97"/>
      <c r="V708" s="36"/>
      <c r="W708" s="36"/>
      <c r="X708" s="36"/>
      <c r="Y708" s="36"/>
      <c r="Z708" s="41"/>
      <c r="AA708" s="42"/>
      <c r="AF708" s="36"/>
      <c r="AG708" s="36"/>
    </row>
    <row r="709" spans="1:33" ht="21.95" hidden="1" customHeight="1" x14ac:dyDescent="0.25">
      <c r="A709" s="159" t="str">
        <f>+IF(PROVEEDORES[[#This Row],[FECHA DE PAGO]]=PROVEEDORES[[#This Row],[FECHA DE FACTURACIÓN]],"DE CONTADO","CRÉDITO")</f>
        <v>CRÉDITO</v>
      </c>
      <c r="B709" s="70" t="b">
        <f>+IF((PROVEEDORES[[#This Row],[FECHA DE PAGO]]-PROVEEDORES[[#This Row],[FECHA DE FACTURACIÓN]])&gt;PROVEEDORES[[#This Row],[PLAZO Días]],"PAGO VENCIDO")</f>
        <v>0</v>
      </c>
      <c r="C709" s="27">
        <f>+VLOOKUP(PROVEEDORES[[#This Row],[PROVEEDOR]],TERCEROS_INFO[#All],2,FALSE)</f>
        <v>45</v>
      </c>
      <c r="D709" s="37">
        <f>+SUMIFS(PROVEEDORES[Total],PROVEEDORES[PROVEEDOR],PROVEEDORES[[#This Row],[PROVEEDOR]],PROVEEDORES[FECHA DE PAGO],"")</f>
        <v>2352000</v>
      </c>
      <c r="E709" s="37"/>
      <c r="F709" s="108" t="str">
        <f>+VLOOKUP(PROVEEDORES[[#This Row],[PROVEEDOR]],TERCEROS_INFO[[PROVEEDOR]:[CORREO]],5,FALSE)</f>
        <v>jessica.barrios@carpainternacional;girlesa.ruiz@servipilas.com;joriescobar64@gmail.com</v>
      </c>
      <c r="G709" s="143">
        <v>44503</v>
      </c>
      <c r="H709" s="57" t="s">
        <v>951</v>
      </c>
      <c r="I709" s="30">
        <v>44495</v>
      </c>
      <c r="J709" s="58" t="s">
        <v>908</v>
      </c>
      <c r="K709" s="32">
        <f>630*3849</f>
        <v>2424870</v>
      </c>
      <c r="L709" s="32"/>
      <c r="M709" s="33">
        <f>(PROVEEDORES[[#This Row],[SUBTOTAL]]-PROVEEDORES[[#This Row],[descuento antes de IVA]])*VLOOKUP(PROVEEDORES[[#This Row],[PROVEEDOR]],TERCEROS_INFO[#All],3,FALSE)</f>
        <v>0</v>
      </c>
      <c r="N709" s="34"/>
      <c r="O709" s="33">
        <f>+PROVEEDORES[[#This Row],[Descuento sobre subtotal %]]*(PROVEEDORES[[#This Row],[SUBTOTAL]]-PROVEEDORES[[#This Row],[descuento antes de IVA]])</f>
        <v>0</v>
      </c>
      <c r="P7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09" s="33">
        <f>+(PROVEEDORES[[#This Row],[SUBTOTAL]]-PROVEEDORES[[#This Row],[descuento antes de IVA]])*PROVEEDORES[[#This Row],[Rete Fuente %]]</f>
        <v>0</v>
      </c>
      <c r="R709" s="32">
        <f>+PROVEEDORES[[#This Row],[SUBTOTAL]]+PROVEEDORES[[#This Row],[IVA 19%]]-PROVEEDORES[[#This Row],[descuento antes de IVA]]-PROVEEDORES[[#This Row],[Descuento sobre subtotal $]]-PROVEEDORES[[#This Row],[Rete Fuente $]]</f>
        <v>2424870</v>
      </c>
      <c r="S709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9" s="40"/>
      <c r="U709" s="97"/>
      <c r="V709" s="36"/>
      <c r="W709" s="36"/>
      <c r="X709" s="36"/>
      <c r="Y709" s="36"/>
      <c r="Z709" s="41"/>
      <c r="AA709" s="42"/>
      <c r="AF709" s="36"/>
      <c r="AG709" s="36"/>
    </row>
    <row r="710" spans="1:33" ht="21.95" hidden="1" customHeight="1" x14ac:dyDescent="0.25">
      <c r="A710" s="35" t="str">
        <f>+IF(PROVEEDORES[[#This Row],[FECHA DE PAGO]]=PROVEEDORES[[#This Row],[FECHA DE FACTURACIÓN]],"DE CONTADO","CRÉDITO")</f>
        <v>CRÉDITO</v>
      </c>
      <c r="B710" s="70" t="b">
        <f>+IF((PROVEEDORES[[#This Row],[FECHA DE PAGO]]-PROVEEDORES[[#This Row],[FECHA DE FACTURACIÓN]])&gt;PROVEEDORES[[#This Row],[PLAZO Días]],"PAGO VENCIDO")</f>
        <v>0</v>
      </c>
      <c r="C710" s="27">
        <f>+VLOOKUP(PROVEEDORES[[#This Row],[PROVEEDOR]],TERCEROS_INFO[#All],2,FALSE)</f>
        <v>45</v>
      </c>
      <c r="D710" s="37">
        <f>+SUMIFS(PROVEEDORES[Total],PROVEEDORES[PROVEEDOR],PROVEEDORES[[#This Row],[PROVEEDOR]],PROVEEDORES[FECHA DE PAGO],"")</f>
        <v>2352000</v>
      </c>
      <c r="E710" s="37"/>
      <c r="F710" s="108" t="str">
        <f>+VLOOKUP(PROVEEDORES[[#This Row],[PROVEEDOR]],TERCEROS_INFO[[PROVEEDOR]:[CORREO]],5,FALSE)</f>
        <v>jessica.barrios@carpainternacional;girlesa.ruiz@servipilas.com;joriescobar64@gmail.com</v>
      </c>
      <c r="H710" s="57" t="s">
        <v>951</v>
      </c>
      <c r="I710" s="30">
        <v>44539</v>
      </c>
      <c r="J710" s="58" t="s">
        <v>1014</v>
      </c>
      <c r="K710" s="32">
        <f>560*4200</f>
        <v>2352000</v>
      </c>
      <c r="L710" s="32"/>
      <c r="M710" s="33">
        <f>(PROVEEDORES[[#This Row],[SUBTOTAL]]-PROVEEDORES[[#This Row],[descuento antes de IVA]])*VLOOKUP(PROVEEDORES[[#This Row],[PROVEEDOR]],TERCEROS_INFO[#All],3,FALSE)</f>
        <v>0</v>
      </c>
      <c r="N710" s="34"/>
      <c r="O710" s="33">
        <f>+PROVEEDORES[[#This Row],[Descuento sobre subtotal %]]*(PROVEEDORES[[#This Row],[SUBTOTAL]]-PROVEEDORES[[#This Row],[descuento antes de IVA]])</f>
        <v>0</v>
      </c>
      <c r="P7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0" s="33">
        <f>+(PROVEEDORES[[#This Row],[SUBTOTAL]]-PROVEEDORES[[#This Row],[descuento antes de IVA]])*PROVEEDORES[[#This Row],[Rete Fuente %]]</f>
        <v>0</v>
      </c>
      <c r="R710" s="32">
        <f>+PROVEEDORES[[#This Row],[SUBTOTAL]]+PROVEEDORES[[#This Row],[IVA 19%]]-PROVEEDORES[[#This Row],[descuento antes de IVA]]-PROVEEDORES[[#This Row],[Descuento sobre subtotal $]]-PROVEEDORES[[#This Row],[Rete Fuente $]]</f>
        <v>2352000</v>
      </c>
      <c r="S710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10" s="40"/>
      <c r="U710" s="97"/>
      <c r="V710" s="36"/>
      <c r="W710" s="36"/>
      <c r="X710" s="36"/>
      <c r="Y710" s="36"/>
      <c r="Z710" s="41"/>
      <c r="AA710" s="42"/>
      <c r="AF710" s="36"/>
      <c r="AG710" s="36"/>
    </row>
    <row r="711" spans="1:33" ht="21.95" hidden="1" customHeight="1" x14ac:dyDescent="0.25">
      <c r="A711" s="39" t="str">
        <f>+IF(PROVEEDORES[[#This Row],[FECHA DE PAGO]]=PROVEEDORES[[#This Row],[FECHA DE FACTURACIÓN]],"DE CONTADO","CRÉDITO")</f>
        <v>DE CONTADO</v>
      </c>
      <c r="B711" s="67" t="b">
        <f>+IF((PROVEEDORES[[#This Row],[FECHA DE PAGO]]-PROVEEDORES[[#This Row],[FECHA DE FACTURACIÓN]])&gt;PROVEEDORES[[#This Row],[PLAZO Días]],"PAGO VENCIDO")</f>
        <v>0</v>
      </c>
      <c r="C711" s="27">
        <f>+VLOOKUP(PROVEEDORES[[#This Row],[PROVEEDOR]],TERCEROS_INFO[#All],2,FALSE)</f>
        <v>30</v>
      </c>
      <c r="D711" s="37">
        <f>+SUMIFS(PROVEEDORES[Total],PROVEEDORES[PROVEEDOR],PROVEEDORES[[#This Row],[PROVEEDOR]],PROVEEDORES[FECHA DE PAGO],"")</f>
        <v>0</v>
      </c>
      <c r="E711" s="37"/>
      <c r="F711" s="108" t="str">
        <f>+VLOOKUP(PROVEEDORES[[#This Row],[PROVEEDOR]],TERCEROS_INFO[[PROVEEDOR]:[CORREO]],5,FALSE)</f>
        <v/>
      </c>
      <c r="G711" s="143">
        <v>44146</v>
      </c>
      <c r="H711" s="38" t="s">
        <v>193</v>
      </c>
      <c r="I711" s="30">
        <v>44146</v>
      </c>
      <c r="J711" s="58" t="s">
        <v>194</v>
      </c>
      <c r="K711" s="32">
        <v>35004.201680672268</v>
      </c>
      <c r="L711" s="32"/>
      <c r="M711" s="33">
        <f>(PROVEEDORES[[#This Row],[SUBTOTAL]]-PROVEEDORES[[#This Row],[descuento antes de IVA]])*VLOOKUP(PROVEEDORES[[#This Row],[PROVEEDOR]],TERCEROS_INFO[#All],3,FALSE)</f>
        <v>6650.7983193277305</v>
      </c>
      <c r="N711" s="34"/>
      <c r="O711" s="33">
        <f>+PROVEEDORES[[#This Row],[Descuento sobre subtotal %]]*(PROVEEDORES[[#This Row],[SUBTOTAL]]-PROVEEDORES[[#This Row],[descuento antes de IVA]])</f>
        <v>0</v>
      </c>
      <c r="P7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1" s="33">
        <f>+(PROVEEDORES[[#This Row],[SUBTOTAL]]-PROVEEDORES[[#This Row],[descuento antes de IVA]])*PROVEEDORES[[#This Row],[Rete Fuente %]]</f>
        <v>0</v>
      </c>
      <c r="R711" s="32">
        <f>+PROVEEDORES[[#This Row],[SUBTOTAL]]+PROVEEDORES[[#This Row],[IVA 19%]]-PROVEEDORES[[#This Row],[descuento antes de IVA]]-PROVEEDORES[[#This Row],[Descuento sobre subtotal $]]-PROVEEDORES[[#This Row],[Rete Fuente $]]</f>
        <v>41655</v>
      </c>
      <c r="S7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1" s="40"/>
      <c r="U711" s="97"/>
      <c r="V711" s="36"/>
      <c r="W711" s="36"/>
      <c r="X711" s="36"/>
      <c r="Y711" s="36"/>
      <c r="Z711" s="41"/>
      <c r="AA711" s="42"/>
      <c r="AF711" s="36"/>
      <c r="AG711" s="36"/>
    </row>
    <row r="712" spans="1:33" ht="21.95" hidden="1" customHeight="1" x14ac:dyDescent="0.25">
      <c r="A712" s="142" t="str">
        <f>+IF(PROVEEDORES[[#This Row],[FECHA DE PAGO]]=PROVEEDORES[[#This Row],[FECHA DE FACTURACIÓN]],"DE CONTADO","CRÉDITO")</f>
        <v>CRÉDITO</v>
      </c>
      <c r="B712" s="70" t="b">
        <f>+IF((PROVEEDORES[[#This Row],[FECHA DE PAGO]]-PROVEEDORES[[#This Row],[FECHA DE FACTURACIÓN]])&gt;PROVEEDORES[[#This Row],[PLAZO Días]],"PAGO VENCIDO")</f>
        <v>0</v>
      </c>
      <c r="C712" s="27">
        <f>+VLOOKUP(PROVEEDORES[[#This Row],[PROVEEDOR]],TERCEROS_INFO[#All],2,FALSE)</f>
        <v>30</v>
      </c>
      <c r="D712" s="37">
        <f>+SUMIFS(PROVEEDORES[Total],PROVEEDORES[PROVEEDOR],PROVEEDORES[[#This Row],[PROVEEDOR]],PROVEEDORES[FECHA DE PAGO],"")</f>
        <v>0</v>
      </c>
      <c r="E712" s="37"/>
      <c r="F712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12" s="143">
        <v>44435</v>
      </c>
      <c r="H712" s="146" t="s">
        <v>913</v>
      </c>
      <c r="I712" s="30">
        <v>44427</v>
      </c>
      <c r="J712" s="58" t="s">
        <v>802</v>
      </c>
      <c r="K712" s="32">
        <v>2278232</v>
      </c>
      <c r="L712" s="32"/>
      <c r="M712" s="33">
        <f>(PROVEEDORES[[#This Row],[SUBTOTAL]]-PROVEEDORES[[#This Row],[descuento antes de IVA]])*VLOOKUP(PROVEEDORES[[#This Row],[PROVEEDOR]],TERCEROS_INFO[#All],3,FALSE)</f>
        <v>432864.08</v>
      </c>
      <c r="N712" s="34"/>
      <c r="O712" s="33">
        <f>+PROVEEDORES[[#This Row],[Descuento sobre subtotal %]]*(PROVEEDORES[[#This Row],[SUBTOTAL]]-PROVEEDORES[[#This Row],[descuento antes de IVA]])</f>
        <v>0</v>
      </c>
      <c r="P7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2" s="33">
        <f>+(PROVEEDORES[[#This Row],[SUBTOTAL]]-PROVEEDORES[[#This Row],[descuento antes de IVA]])*PROVEEDORES[[#This Row],[Rete Fuente %]]</f>
        <v>0</v>
      </c>
      <c r="R712" s="32">
        <f>+PROVEEDORES[[#This Row],[SUBTOTAL]]+PROVEEDORES[[#This Row],[IVA 19%]]-PROVEEDORES[[#This Row],[descuento antes de IVA]]-PROVEEDORES[[#This Row],[Descuento sobre subtotal $]]-PROVEEDORES[[#This Row],[Rete Fuente $]]</f>
        <v>2711096.08</v>
      </c>
      <c r="S712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2" s="40"/>
      <c r="U712" s="97"/>
      <c r="V712" s="36"/>
      <c r="W712" s="36"/>
      <c r="X712" s="36"/>
      <c r="Y712" s="36"/>
      <c r="Z712" s="41"/>
      <c r="AA712" s="42"/>
      <c r="AF712" s="36"/>
      <c r="AG712" s="36"/>
    </row>
    <row r="713" spans="1:33" ht="21.95" hidden="1" customHeight="1" x14ac:dyDescent="0.25">
      <c r="A713" s="155" t="str">
        <f>+IF(PROVEEDORES[[#This Row],[FECHA DE PAGO]]=PROVEEDORES[[#This Row],[FECHA DE FACTURACIÓN]],"DE CONTADO","CRÉDITO")</f>
        <v>CRÉDITO</v>
      </c>
      <c r="B713" s="70" t="str">
        <f>+IF((PROVEEDORES[[#This Row],[FECHA DE PAGO]]-PROVEEDORES[[#This Row],[FECHA DE FACTURACIÓN]])&gt;PROVEEDORES[[#This Row],[PLAZO Días]],"PAGO VENCIDO")</f>
        <v>PAGO VENCIDO</v>
      </c>
      <c r="C713" s="27">
        <f>+VLOOKUP(PROVEEDORES[[#This Row],[PROVEEDOR]],TERCEROS_INFO[#All],2,FALSE)</f>
        <v>30</v>
      </c>
      <c r="D713" s="37">
        <f>+SUMIFS(PROVEEDORES[Total],PROVEEDORES[PROVEEDOR],PROVEEDORES[[#This Row],[PROVEEDOR]],PROVEEDORES[FECHA DE PAGO],"")</f>
        <v>0</v>
      </c>
      <c r="E713" s="37"/>
      <c r="F713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13" s="143">
        <v>44510</v>
      </c>
      <c r="H713" s="146" t="s">
        <v>913</v>
      </c>
      <c r="I713" s="30">
        <v>44474</v>
      </c>
      <c r="J713" s="58" t="s">
        <v>885</v>
      </c>
      <c r="K713" s="32">
        <v>2312400</v>
      </c>
      <c r="L713" s="32"/>
      <c r="M713" s="33">
        <f>(PROVEEDORES[[#This Row],[SUBTOTAL]]-PROVEEDORES[[#This Row],[descuento antes de IVA]])*VLOOKUP(PROVEEDORES[[#This Row],[PROVEEDOR]],TERCEROS_INFO[#All],3,FALSE)</f>
        <v>439356</v>
      </c>
      <c r="N713" s="34"/>
      <c r="O713" s="33">
        <f>+PROVEEDORES[[#This Row],[Descuento sobre subtotal %]]*(PROVEEDORES[[#This Row],[SUBTOTAL]]-PROVEEDORES[[#This Row],[descuento antes de IVA]])</f>
        <v>0</v>
      </c>
      <c r="P7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3" s="33">
        <f>+(PROVEEDORES[[#This Row],[SUBTOTAL]]-PROVEEDORES[[#This Row],[descuento antes de IVA]])*PROVEEDORES[[#This Row],[Rete Fuente %]]</f>
        <v>0</v>
      </c>
      <c r="R713" s="32">
        <f>+PROVEEDORES[[#This Row],[SUBTOTAL]]+PROVEEDORES[[#This Row],[IVA 19%]]-PROVEEDORES[[#This Row],[descuento antes de IVA]]-PROVEEDORES[[#This Row],[Descuento sobre subtotal $]]-PROVEEDORES[[#This Row],[Rete Fuente $]]</f>
        <v>2751756</v>
      </c>
      <c r="S713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3" s="40"/>
      <c r="U713" s="97"/>
      <c r="V713" s="36"/>
      <c r="W713" s="36"/>
      <c r="X713" s="36"/>
      <c r="Y713" s="36"/>
      <c r="Z713" s="41"/>
      <c r="AA713" s="42"/>
      <c r="AF713" s="36"/>
      <c r="AG713" s="36"/>
    </row>
    <row r="714" spans="1:33" ht="21.95" hidden="1" customHeight="1" x14ac:dyDescent="0.25">
      <c r="A714" s="161" t="str">
        <f>+IF(PROVEEDORES[[#This Row],[FECHA DE PAGO]]=PROVEEDORES[[#This Row],[FECHA DE FACTURACIÓN]],"DE CONTADO","CRÉDITO")</f>
        <v>CRÉDITO</v>
      </c>
      <c r="B714" s="70" t="str">
        <f>+IF((PROVEEDORES[[#This Row],[FECHA DE PAGO]]-PROVEEDORES[[#This Row],[FECHA DE FACTURACIÓN]])&gt;PROVEEDORES[[#This Row],[PLAZO Días]],"PAGO VENCIDO")</f>
        <v>PAGO VENCIDO</v>
      </c>
      <c r="C714" s="27">
        <f>+VLOOKUP(PROVEEDORES[[#This Row],[PROVEEDOR]],TERCEROS_INFO[#All],2,FALSE)</f>
        <v>30</v>
      </c>
      <c r="D714" s="37">
        <f>+SUMIFS(PROVEEDORES[Total],PROVEEDORES[PROVEEDOR],PROVEEDORES[[#This Row],[PROVEEDOR]],PROVEEDORES[FECHA DE PAGO],"")</f>
        <v>0</v>
      </c>
      <c r="E714" s="37"/>
      <c r="F714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14" s="143">
        <v>44530</v>
      </c>
      <c r="H714" s="57" t="s">
        <v>913</v>
      </c>
      <c r="I714" s="30">
        <v>44494</v>
      </c>
      <c r="J714" s="58" t="s">
        <v>914</v>
      </c>
      <c r="K714" s="32">
        <v>1152264</v>
      </c>
      <c r="L714" s="32"/>
      <c r="M714" s="33">
        <f>(PROVEEDORES[[#This Row],[SUBTOTAL]]-PROVEEDORES[[#This Row],[descuento antes de IVA]])*VLOOKUP(PROVEEDORES[[#This Row],[PROVEEDOR]],TERCEROS_INFO[#All],3,FALSE)</f>
        <v>218930.16</v>
      </c>
      <c r="N714" s="34"/>
      <c r="O714" s="33">
        <f>+PROVEEDORES[[#This Row],[Descuento sobre subtotal %]]*(PROVEEDORES[[#This Row],[SUBTOTAL]]-PROVEEDORES[[#This Row],[descuento antes de IVA]])</f>
        <v>0</v>
      </c>
      <c r="P7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4" s="33">
        <f>+(PROVEEDORES[[#This Row],[SUBTOTAL]]-PROVEEDORES[[#This Row],[descuento antes de IVA]])*PROVEEDORES[[#This Row],[Rete Fuente %]]</f>
        <v>0</v>
      </c>
      <c r="R714" s="32">
        <f>+PROVEEDORES[[#This Row],[SUBTOTAL]]+PROVEEDORES[[#This Row],[IVA 19%]]-PROVEEDORES[[#This Row],[descuento antes de IVA]]-PROVEEDORES[[#This Row],[Descuento sobre subtotal $]]-PROVEEDORES[[#This Row],[Rete Fuente $]]</f>
        <v>1371194.16</v>
      </c>
      <c r="S714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4" s="40"/>
      <c r="U714" s="97"/>
      <c r="V714" s="36"/>
      <c r="W714" s="36"/>
      <c r="X714" s="36"/>
      <c r="Y714" s="36"/>
      <c r="Z714" s="41"/>
      <c r="AA714" s="42"/>
      <c r="AF714" s="36"/>
      <c r="AG714" s="36"/>
    </row>
    <row r="715" spans="1:33" ht="21.95" hidden="1" customHeight="1" x14ac:dyDescent="0.25">
      <c r="A715" s="35" t="str">
        <f>+IF(PROVEEDORES[[#This Row],[FECHA DE PAGO]]=PROVEEDORES[[#This Row],[FECHA DE FACTURACIÓN]],"DE CONTADO","CRÉDITO")</f>
        <v>CRÉDITO</v>
      </c>
      <c r="B715" s="70" t="b">
        <f>+IF((PROVEEDORES[[#This Row],[FECHA DE PAGO]]-PROVEEDORES[[#This Row],[FECHA DE FACTURACIÓN]])&gt;PROVEEDORES[[#This Row],[PLAZO Días]],"PAGO VENCIDO")</f>
        <v>0</v>
      </c>
      <c r="C715" s="27">
        <f>+VLOOKUP(PROVEEDORES[[#This Row],[PROVEEDOR]],TERCEROS_INFO[#All],2,FALSE)</f>
        <v>30</v>
      </c>
      <c r="D715" s="37">
        <f>+SUMIFS(PROVEEDORES[Total],PROVEEDORES[PROVEEDOR],PROVEEDORES[[#This Row],[PROVEEDOR]],PROVEEDORES[FECHA DE PAGO],"")</f>
        <v>0</v>
      </c>
      <c r="E715" s="37"/>
      <c r="F715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15" s="143">
        <v>44558</v>
      </c>
      <c r="H715" s="57" t="s">
        <v>913</v>
      </c>
      <c r="I715" s="30">
        <v>44530</v>
      </c>
      <c r="J715" s="58" t="s">
        <v>991</v>
      </c>
      <c r="K715" s="32">
        <v>8804052</v>
      </c>
      <c r="L715" s="32"/>
      <c r="M715" s="33">
        <f>(PROVEEDORES[[#This Row],[SUBTOTAL]]-PROVEEDORES[[#This Row],[descuento antes de IVA]])*VLOOKUP(PROVEEDORES[[#This Row],[PROVEEDOR]],TERCEROS_INFO[#All],3,FALSE)</f>
        <v>1672769.8800000001</v>
      </c>
      <c r="N715" s="34"/>
      <c r="O715" s="33">
        <f>+PROVEEDORES[[#This Row],[Descuento sobre subtotal %]]*(PROVEEDORES[[#This Row],[SUBTOTAL]]-PROVEEDORES[[#This Row],[descuento antes de IVA]])</f>
        <v>0</v>
      </c>
      <c r="P7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5" s="33">
        <f>+(PROVEEDORES[[#This Row],[SUBTOTAL]]-PROVEEDORES[[#This Row],[descuento antes de IVA]])*PROVEEDORES[[#This Row],[Rete Fuente %]]</f>
        <v>0</v>
      </c>
      <c r="R715" s="32">
        <f>+PROVEEDORES[[#This Row],[SUBTOTAL]]+PROVEEDORES[[#This Row],[IVA 19%]]-PROVEEDORES[[#This Row],[descuento antes de IVA]]-PROVEEDORES[[#This Row],[Descuento sobre subtotal $]]-PROVEEDORES[[#This Row],[Rete Fuente $]]</f>
        <v>10476821.880000001</v>
      </c>
      <c r="S71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5" s="40"/>
      <c r="U715" s="97"/>
      <c r="V715" s="36"/>
      <c r="W715" s="36"/>
      <c r="X715" s="36"/>
      <c r="Y715" s="36"/>
      <c r="Z715" s="41"/>
      <c r="AA715" s="42"/>
      <c r="AF715" s="36"/>
      <c r="AG715" s="36"/>
    </row>
    <row r="716" spans="1:33" ht="21.95" hidden="1" customHeight="1" x14ac:dyDescent="0.25">
      <c r="A716" s="142" t="str">
        <f>+IF(PROVEEDORES[[#This Row],[FECHA DE PAGO]]=PROVEEDORES[[#This Row],[FECHA DE FACTURACIÓN]],"DE CONTADO","CRÉDITO")</f>
        <v>CRÉDITO</v>
      </c>
      <c r="B716" s="70" t="b">
        <f>+IF((PROVEEDORES[[#This Row],[FECHA DE PAGO]]-PROVEEDORES[[#This Row],[FECHA DE FACTURACIÓN]])&gt;PROVEEDORES[[#This Row],[PLAZO Días]],"PAGO VENCIDO")</f>
        <v>0</v>
      </c>
      <c r="C716" s="27">
        <f>+VLOOKUP(PROVEEDORES[[#This Row],[PROVEEDOR]],TERCEROS_INFO[#All],2,FALSE)</f>
        <v>30</v>
      </c>
      <c r="D716" s="37">
        <f>+SUMIFS(PROVEEDORES[Total],PROVEEDORES[PROVEEDOR],PROVEEDORES[[#This Row],[PROVEEDOR]],PROVEEDORES[FECHA DE PAGO],"")</f>
        <v>10842787.34</v>
      </c>
      <c r="E716" s="37"/>
      <c r="F716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16" s="143">
        <v>44377</v>
      </c>
      <c r="H716" s="57" t="s">
        <v>847</v>
      </c>
      <c r="I716" s="30">
        <v>44369</v>
      </c>
      <c r="J716" s="58" t="s">
        <v>820</v>
      </c>
      <c r="K716" s="32">
        <v>2888005</v>
      </c>
      <c r="L716" s="32"/>
      <c r="M716" s="33">
        <f>(PROVEEDORES[[#This Row],[SUBTOTAL]]-PROVEEDORES[[#This Row],[descuento antes de IVA]])*VLOOKUP(PROVEEDORES[[#This Row],[PROVEEDOR]],TERCEROS_INFO[#All],3,FALSE)</f>
        <v>548720.94999999995</v>
      </c>
      <c r="N716" s="34"/>
      <c r="O716" s="33">
        <f>+PROVEEDORES[[#This Row],[Descuento sobre subtotal %]]*(PROVEEDORES[[#This Row],[SUBTOTAL]]-PROVEEDORES[[#This Row],[descuento antes de IVA]])</f>
        <v>0</v>
      </c>
      <c r="P7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6" s="33">
        <f>+(PROVEEDORES[[#This Row],[SUBTOTAL]]-PROVEEDORES[[#This Row],[descuento antes de IVA]])*PROVEEDORES[[#This Row],[Rete Fuente %]]</f>
        <v>0</v>
      </c>
      <c r="R716" s="32">
        <f>+PROVEEDORES[[#This Row],[SUBTOTAL]]+PROVEEDORES[[#This Row],[IVA 19%]]-PROVEEDORES[[#This Row],[descuento antes de IVA]]-PROVEEDORES[[#This Row],[Descuento sobre subtotal $]]-PROVEEDORES[[#This Row],[Rete Fuente $]]</f>
        <v>3436725.95</v>
      </c>
      <c r="S716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6" s="40"/>
      <c r="U716" s="97"/>
      <c r="V716" s="36"/>
      <c r="W716" s="36"/>
      <c r="X716" s="36"/>
      <c r="Y716" s="36"/>
      <c r="Z716" s="41"/>
      <c r="AA716" s="42"/>
      <c r="AF716" s="36"/>
      <c r="AG716" s="36"/>
    </row>
    <row r="717" spans="1:33" ht="21.95" hidden="1" customHeight="1" x14ac:dyDescent="0.25">
      <c r="A717" s="142" t="str">
        <f>+IF(PROVEEDORES[[#This Row],[FECHA DE PAGO]]=PROVEEDORES[[#This Row],[FECHA DE FACTURACIÓN]],"DE CONTADO","CRÉDITO")</f>
        <v>CRÉDITO</v>
      </c>
      <c r="B717" s="70" t="str">
        <f>+IF((PROVEEDORES[[#This Row],[FECHA DE PAGO]]-PROVEEDORES[[#This Row],[FECHA DE FACTURACIÓN]])&gt;PROVEEDORES[[#This Row],[PLAZO Días]],"PAGO VENCIDO")</f>
        <v>PAGO VENCIDO</v>
      </c>
      <c r="C717" s="27">
        <f>+VLOOKUP(PROVEEDORES[[#This Row],[PROVEEDOR]],TERCEROS_INFO[#All],2,FALSE)</f>
        <v>30</v>
      </c>
      <c r="D717" s="37">
        <f>+SUMIFS(PROVEEDORES[Total],PROVEEDORES[PROVEEDOR],PROVEEDORES[[#This Row],[PROVEEDOR]],PROVEEDORES[FECHA DE PAGO],"")</f>
        <v>10842787.34</v>
      </c>
      <c r="E717" s="37"/>
      <c r="F717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17" s="143">
        <v>44429</v>
      </c>
      <c r="H717" s="57" t="s">
        <v>847</v>
      </c>
      <c r="I717" s="30">
        <v>44376</v>
      </c>
      <c r="J717" s="58" t="s">
        <v>822</v>
      </c>
      <c r="K717" s="32">
        <v>2378140</v>
      </c>
      <c r="L717" s="32"/>
      <c r="M717" s="33">
        <f>(PROVEEDORES[[#This Row],[SUBTOTAL]]-PROVEEDORES[[#This Row],[descuento antes de IVA]])*VLOOKUP(PROVEEDORES[[#This Row],[PROVEEDOR]],TERCEROS_INFO[#All],3,FALSE)</f>
        <v>451846.6</v>
      </c>
      <c r="N717" s="34"/>
      <c r="O717" s="33">
        <f>+PROVEEDORES[[#This Row],[Descuento sobre subtotal %]]*(PROVEEDORES[[#This Row],[SUBTOTAL]]-PROVEEDORES[[#This Row],[descuento antes de IVA]])</f>
        <v>0</v>
      </c>
      <c r="P7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7" s="33">
        <f>+(PROVEEDORES[[#This Row],[SUBTOTAL]]-PROVEEDORES[[#This Row],[descuento antes de IVA]])*PROVEEDORES[[#This Row],[Rete Fuente %]]</f>
        <v>0</v>
      </c>
      <c r="R717" s="32">
        <f>+PROVEEDORES[[#This Row],[SUBTOTAL]]+PROVEEDORES[[#This Row],[IVA 19%]]-PROVEEDORES[[#This Row],[descuento antes de IVA]]-PROVEEDORES[[#This Row],[Descuento sobre subtotal $]]-PROVEEDORES[[#This Row],[Rete Fuente $]]</f>
        <v>2829986.6</v>
      </c>
      <c r="S717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7" s="40"/>
      <c r="U717" s="97"/>
      <c r="V717" s="36"/>
      <c r="W717" s="36"/>
      <c r="X717" s="36"/>
      <c r="Y717" s="36"/>
      <c r="Z717" s="41"/>
      <c r="AA717" s="42"/>
      <c r="AF717" s="36"/>
      <c r="AG717" s="36"/>
    </row>
    <row r="718" spans="1:33" ht="21.95" hidden="1" customHeight="1" x14ac:dyDescent="0.25">
      <c r="A718" s="142" t="str">
        <f>+IF(PROVEEDORES[[#This Row],[FECHA DE PAGO]]=PROVEEDORES[[#This Row],[FECHA DE FACTURACIÓN]],"DE CONTADO","CRÉDITO")</f>
        <v>CRÉDITO</v>
      </c>
      <c r="B718" s="70" t="b">
        <f>+IF((PROVEEDORES[[#This Row],[FECHA DE PAGO]]-PROVEEDORES[[#This Row],[FECHA DE FACTURACIÓN]])&gt;PROVEEDORES[[#This Row],[PLAZO Días]],"PAGO VENCIDO")</f>
        <v>0</v>
      </c>
      <c r="C718" s="27">
        <f>+VLOOKUP(PROVEEDORES[[#This Row],[PROVEEDOR]],TERCEROS_INFO[#All],2,FALSE)</f>
        <v>30</v>
      </c>
      <c r="D718" s="37">
        <f>+SUMIFS(PROVEEDORES[Total],PROVEEDORES[PROVEEDOR],PROVEEDORES[[#This Row],[PROVEEDOR]],PROVEEDORES[FECHA DE PAGO],"")</f>
        <v>10842787.34</v>
      </c>
      <c r="E718" s="37"/>
      <c r="F718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18" s="143">
        <v>44404</v>
      </c>
      <c r="H718" s="57" t="s">
        <v>847</v>
      </c>
      <c r="I718" s="30">
        <v>44379</v>
      </c>
      <c r="J718" s="58" t="s">
        <v>821</v>
      </c>
      <c r="K718" s="32">
        <v>4672109</v>
      </c>
      <c r="L718" s="32">
        <v>132825</v>
      </c>
      <c r="M718" s="33">
        <f>(PROVEEDORES[[#This Row],[SUBTOTAL]]-PROVEEDORES[[#This Row],[descuento antes de IVA]])*VLOOKUP(PROVEEDORES[[#This Row],[PROVEEDOR]],TERCEROS_INFO[#All],3,FALSE)</f>
        <v>862463.96</v>
      </c>
      <c r="N718" s="34"/>
      <c r="O718" s="33">
        <f>+PROVEEDORES[[#This Row],[Descuento sobre subtotal %]]*(PROVEEDORES[[#This Row],[SUBTOTAL]]-PROVEEDORES[[#This Row],[descuento antes de IVA]])</f>
        <v>0</v>
      </c>
      <c r="P7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8" s="33">
        <f>+(PROVEEDORES[[#This Row],[SUBTOTAL]]-PROVEEDORES[[#This Row],[descuento antes de IVA]])*PROVEEDORES[[#This Row],[Rete Fuente %]]</f>
        <v>0</v>
      </c>
      <c r="R718" s="32">
        <f>+PROVEEDORES[[#This Row],[SUBTOTAL]]+PROVEEDORES[[#This Row],[IVA 19%]]-PROVEEDORES[[#This Row],[descuento antes de IVA]]-PROVEEDORES[[#This Row],[Descuento sobre subtotal $]]-PROVEEDORES[[#This Row],[Rete Fuente $]]</f>
        <v>5401747.96</v>
      </c>
      <c r="S718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8" s="40"/>
      <c r="U718" s="97"/>
      <c r="V718" s="36"/>
      <c r="W718" s="36"/>
      <c r="X718" s="36"/>
      <c r="Y718" s="36"/>
      <c r="Z718" s="41"/>
      <c r="AA718" s="42"/>
      <c r="AF718" s="36"/>
      <c r="AG718" s="36"/>
    </row>
    <row r="719" spans="1:33" ht="21.95" hidden="1" customHeight="1" x14ac:dyDescent="0.25">
      <c r="A719" s="142" t="str">
        <f>+IF(PROVEEDORES[[#This Row],[FECHA DE PAGO]]=PROVEEDORES[[#This Row],[FECHA DE FACTURACIÓN]],"DE CONTADO","CRÉDITO")</f>
        <v>CRÉDITO</v>
      </c>
      <c r="B719" s="70" t="b">
        <f>+IF((PROVEEDORES[[#This Row],[FECHA DE PAGO]]-PROVEEDORES[[#This Row],[FECHA DE FACTURACIÓN]])&gt;PROVEEDORES[[#This Row],[PLAZO Días]],"PAGO VENCIDO")</f>
        <v>0</v>
      </c>
      <c r="C719" s="27">
        <f>+VLOOKUP(PROVEEDORES[[#This Row],[PROVEEDOR]],TERCEROS_INFO[#All],2,FALSE)</f>
        <v>30</v>
      </c>
      <c r="D719" s="37">
        <f>+SUMIFS(PROVEEDORES[Total],PROVEEDORES[PROVEEDOR],PROVEEDORES[[#This Row],[PROVEEDOR]],PROVEEDORES[FECHA DE PAGO],"")</f>
        <v>10842787.34</v>
      </c>
      <c r="E719" s="37"/>
      <c r="F719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19" s="143">
        <v>44429</v>
      </c>
      <c r="H719" s="57" t="s">
        <v>847</v>
      </c>
      <c r="I719" s="30">
        <v>44407</v>
      </c>
      <c r="J719" s="58" t="s">
        <v>823</v>
      </c>
      <c r="K719" s="32">
        <v>3519330</v>
      </c>
      <c r="L719" s="32"/>
      <c r="M719" s="33">
        <f>(PROVEEDORES[[#This Row],[SUBTOTAL]]-PROVEEDORES[[#This Row],[descuento antes de IVA]])*VLOOKUP(PROVEEDORES[[#This Row],[PROVEEDOR]],TERCEROS_INFO[#All],3,FALSE)</f>
        <v>668672.69999999995</v>
      </c>
      <c r="N719" s="34"/>
      <c r="O719" s="33">
        <f>+PROVEEDORES[[#This Row],[Descuento sobre subtotal %]]*(PROVEEDORES[[#This Row],[SUBTOTAL]]-PROVEEDORES[[#This Row],[descuento antes de IVA]])</f>
        <v>0</v>
      </c>
      <c r="P7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19" s="33">
        <f>+(PROVEEDORES[[#This Row],[SUBTOTAL]]-PROVEEDORES[[#This Row],[descuento antes de IVA]])*PROVEEDORES[[#This Row],[Rete Fuente %]]</f>
        <v>0</v>
      </c>
      <c r="R719" s="32">
        <f>+PROVEEDORES[[#This Row],[SUBTOTAL]]+PROVEEDORES[[#This Row],[IVA 19%]]-PROVEEDORES[[#This Row],[descuento antes de IVA]]-PROVEEDORES[[#This Row],[Descuento sobre subtotal $]]-PROVEEDORES[[#This Row],[Rete Fuente $]]</f>
        <v>4188002.7</v>
      </c>
      <c r="S719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9" s="40"/>
      <c r="U719" s="97"/>
      <c r="V719" s="36"/>
      <c r="W719" s="36"/>
      <c r="X719" s="36"/>
      <c r="Y719" s="36"/>
      <c r="Z719" s="41"/>
      <c r="AA719" s="42"/>
      <c r="AF719" s="36"/>
      <c r="AG719" s="36"/>
    </row>
    <row r="720" spans="1:33" ht="21.95" hidden="1" customHeight="1" x14ac:dyDescent="0.25">
      <c r="A720" s="141" t="str">
        <f>+IF(PROVEEDORES[[#This Row],[FECHA DE PAGO]]=PROVEEDORES[[#This Row],[FECHA DE FACTURACIÓN]],"DE CONTADO","CRÉDITO")</f>
        <v>CRÉDITO</v>
      </c>
      <c r="B720" s="70" t="str">
        <f>+IF((PROVEEDORES[[#This Row],[FECHA DE PAGO]]-PROVEEDORES[[#This Row],[FECHA DE FACTURACIÓN]])&gt;PROVEEDORES[[#This Row],[PLAZO Días]],"PAGO VENCIDO")</f>
        <v>PAGO VENCIDO</v>
      </c>
      <c r="C720" s="27">
        <f>+VLOOKUP(PROVEEDORES[[#This Row],[PROVEEDOR]],TERCEROS_INFO[#All],2,FALSE)</f>
        <v>30</v>
      </c>
      <c r="D720" s="37">
        <f>+SUMIFS(PROVEEDORES[Total],PROVEEDORES[PROVEEDOR],PROVEEDORES[[#This Row],[PROVEEDOR]],PROVEEDORES[FECHA DE PAGO],"")</f>
        <v>10842787.34</v>
      </c>
      <c r="E720" s="37" t="s">
        <v>824</v>
      </c>
      <c r="F720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20" s="143">
        <v>44473</v>
      </c>
      <c r="H720" s="57" t="s">
        <v>847</v>
      </c>
      <c r="I720" s="30">
        <v>44414</v>
      </c>
      <c r="J720" s="58" t="s">
        <v>791</v>
      </c>
      <c r="K720" s="32">
        <v>6178310</v>
      </c>
      <c r="L720" s="32"/>
      <c r="M720" s="33">
        <f>(PROVEEDORES[[#This Row],[SUBTOTAL]]-PROVEEDORES[[#This Row],[descuento antes de IVA]])*VLOOKUP(PROVEEDORES[[#This Row],[PROVEEDOR]],TERCEROS_INFO[#All],3,FALSE)</f>
        <v>1173878.8999999999</v>
      </c>
      <c r="N720" s="34"/>
      <c r="O720" s="33">
        <f>+PROVEEDORES[[#This Row],[Descuento sobre subtotal %]]*(PROVEEDORES[[#This Row],[SUBTOTAL]]-PROVEEDORES[[#This Row],[descuento antes de IVA]])</f>
        <v>0</v>
      </c>
      <c r="P7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0" s="33">
        <f>+(PROVEEDORES[[#This Row],[SUBTOTAL]]-PROVEEDORES[[#This Row],[descuento antes de IVA]])*PROVEEDORES[[#This Row],[Rete Fuente %]]</f>
        <v>0</v>
      </c>
      <c r="R720" s="32">
        <f>+PROVEEDORES[[#This Row],[SUBTOTAL]]+PROVEEDORES[[#This Row],[IVA 19%]]-PROVEEDORES[[#This Row],[descuento antes de IVA]]-PROVEEDORES[[#This Row],[Descuento sobre subtotal $]]-PROVEEDORES[[#This Row],[Rete Fuente $]]</f>
        <v>7352188.9000000004</v>
      </c>
      <c r="S720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0" s="40"/>
      <c r="U720" s="97"/>
      <c r="V720" s="36"/>
      <c r="W720" s="36"/>
      <c r="X720" s="36"/>
      <c r="Y720" s="36"/>
      <c r="Z720" s="41"/>
      <c r="AA720" s="42"/>
      <c r="AF720" s="36"/>
      <c r="AG720" s="36"/>
    </row>
    <row r="721" spans="1:33" ht="21.95" hidden="1" customHeight="1" x14ac:dyDescent="0.25">
      <c r="A721" s="141" t="str">
        <f>+IF(PROVEEDORES[[#This Row],[FECHA DE PAGO]]=PROVEEDORES[[#This Row],[FECHA DE FACTURACIÓN]],"DE CONTADO","CRÉDITO")</f>
        <v>CRÉDITO</v>
      </c>
      <c r="B721" s="70" t="str">
        <f>+IF((PROVEEDORES[[#This Row],[FECHA DE PAGO]]-PROVEEDORES[[#This Row],[FECHA DE FACTURACIÓN]])&gt;PROVEEDORES[[#This Row],[PLAZO Días]],"PAGO VENCIDO")</f>
        <v>PAGO VENCIDO</v>
      </c>
      <c r="C721" s="27">
        <f>+VLOOKUP(PROVEEDORES[[#This Row],[PROVEEDOR]],TERCEROS_INFO[#All],2,FALSE)</f>
        <v>30</v>
      </c>
      <c r="D721" s="37">
        <f>+SUMIFS(PROVEEDORES[Total],PROVEEDORES[PROVEEDOR],PROVEEDORES[[#This Row],[PROVEEDOR]],PROVEEDORES[FECHA DE PAGO],"")</f>
        <v>10842787.34</v>
      </c>
      <c r="E721" s="37" t="s">
        <v>824</v>
      </c>
      <c r="F721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21" s="143">
        <v>44461</v>
      </c>
      <c r="H721" s="57" t="s">
        <v>847</v>
      </c>
      <c r="I721" s="30">
        <v>44414</v>
      </c>
      <c r="J721" s="58" t="s">
        <v>790</v>
      </c>
      <c r="K721" s="32">
        <v>1545262</v>
      </c>
      <c r="L721" s="32"/>
      <c r="M721" s="33">
        <f>(PROVEEDORES[[#This Row],[SUBTOTAL]]-PROVEEDORES[[#This Row],[descuento antes de IVA]])*VLOOKUP(PROVEEDORES[[#This Row],[PROVEEDOR]],TERCEROS_INFO[#All],3,FALSE)</f>
        <v>293599.78000000003</v>
      </c>
      <c r="N721" s="34"/>
      <c r="O721" s="33">
        <f>+PROVEEDORES[[#This Row],[Descuento sobre subtotal %]]*(PROVEEDORES[[#This Row],[SUBTOTAL]]-PROVEEDORES[[#This Row],[descuento antes de IVA]])</f>
        <v>0</v>
      </c>
      <c r="P7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1" s="33">
        <f>+(PROVEEDORES[[#This Row],[SUBTOTAL]]-PROVEEDORES[[#This Row],[descuento antes de IVA]])*PROVEEDORES[[#This Row],[Rete Fuente %]]</f>
        <v>0</v>
      </c>
      <c r="R721" s="32">
        <f>+PROVEEDORES[[#This Row],[SUBTOTAL]]+PROVEEDORES[[#This Row],[IVA 19%]]-PROVEEDORES[[#This Row],[descuento antes de IVA]]-PROVEEDORES[[#This Row],[Descuento sobre subtotal $]]-PROVEEDORES[[#This Row],[Rete Fuente $]]</f>
        <v>1838861.78</v>
      </c>
      <c r="S721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1" s="40"/>
      <c r="U721" s="97"/>
      <c r="V721" s="36"/>
      <c r="W721" s="36"/>
      <c r="X721" s="36"/>
      <c r="Y721" s="36"/>
      <c r="Z721" s="41"/>
      <c r="AA721" s="42"/>
      <c r="AF721" s="36"/>
      <c r="AG721" s="36"/>
    </row>
    <row r="722" spans="1:33" ht="21.95" hidden="1" customHeight="1" x14ac:dyDescent="0.25">
      <c r="A722" s="148" t="str">
        <f>+IF(PROVEEDORES[[#This Row],[FECHA DE PAGO]]=PROVEEDORES[[#This Row],[FECHA DE FACTURACIÓN]],"DE CONTADO","CRÉDITO")</f>
        <v>CRÉDITO</v>
      </c>
      <c r="B722" s="70" t="str">
        <f>+IF((PROVEEDORES[[#This Row],[FECHA DE PAGO]]-PROVEEDORES[[#This Row],[FECHA DE FACTURACIÓN]])&gt;PROVEEDORES[[#This Row],[PLAZO Días]],"PAGO VENCIDO")</f>
        <v>PAGO VENCIDO</v>
      </c>
      <c r="C722" s="27">
        <f>+VLOOKUP(PROVEEDORES[[#This Row],[PROVEEDOR]],TERCEROS_INFO[#All],2,FALSE)</f>
        <v>30</v>
      </c>
      <c r="D722" s="37">
        <f>+SUMIFS(PROVEEDORES[Total],PROVEEDORES[PROVEEDOR],PROVEEDORES[[#This Row],[PROVEEDOR]],PROVEEDORES[FECHA DE PAGO],"")</f>
        <v>10842787.34</v>
      </c>
      <c r="E722" s="37"/>
      <c r="F722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22" s="143">
        <v>44502</v>
      </c>
      <c r="H722" s="57" t="s">
        <v>847</v>
      </c>
      <c r="I722" s="30">
        <v>44440</v>
      </c>
      <c r="J722" s="58" t="s">
        <v>854</v>
      </c>
      <c r="K722" s="32">
        <v>2267904</v>
      </c>
      <c r="L722" s="32"/>
      <c r="M722" s="33">
        <f>(PROVEEDORES[[#This Row],[SUBTOTAL]]-PROVEEDORES[[#This Row],[descuento antes de IVA]])*VLOOKUP(PROVEEDORES[[#This Row],[PROVEEDOR]],TERCEROS_INFO[#All],3,FALSE)</f>
        <v>430901.76000000001</v>
      </c>
      <c r="N722" s="34"/>
      <c r="O722" s="33">
        <f>+PROVEEDORES[[#This Row],[Descuento sobre subtotal %]]*(PROVEEDORES[[#This Row],[SUBTOTAL]]-PROVEEDORES[[#This Row],[descuento antes de IVA]])</f>
        <v>0</v>
      </c>
      <c r="P7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2" s="33">
        <f>+(PROVEEDORES[[#This Row],[SUBTOTAL]]-PROVEEDORES[[#This Row],[descuento antes de IVA]])*PROVEEDORES[[#This Row],[Rete Fuente %]]</f>
        <v>0</v>
      </c>
      <c r="R722" s="32">
        <f>+PROVEEDORES[[#This Row],[SUBTOTAL]]+PROVEEDORES[[#This Row],[IVA 19%]]-PROVEEDORES[[#This Row],[descuento antes de IVA]]-PROVEEDORES[[#This Row],[Descuento sobre subtotal $]]-PROVEEDORES[[#This Row],[Rete Fuente $]]</f>
        <v>2698805.76</v>
      </c>
      <c r="S722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2" s="40"/>
      <c r="U722" s="97"/>
      <c r="V722" s="36"/>
      <c r="W722" s="36"/>
      <c r="X722" s="36"/>
      <c r="Y722" s="36"/>
      <c r="Z722" s="41"/>
      <c r="AA722" s="42"/>
      <c r="AF722" s="36"/>
      <c r="AG722" s="36"/>
    </row>
    <row r="723" spans="1:33" ht="21.95" hidden="1" customHeight="1" x14ac:dyDescent="0.25">
      <c r="A723" s="155" t="str">
        <f>+IF(PROVEEDORES[[#This Row],[FECHA DE PAGO]]=PROVEEDORES[[#This Row],[FECHA DE FACTURACIÓN]],"DE CONTADO","CRÉDITO")</f>
        <v>CRÉDITO</v>
      </c>
      <c r="B723" s="70" t="str">
        <f>+IF((PROVEEDORES[[#This Row],[FECHA DE PAGO]]-PROVEEDORES[[#This Row],[FECHA DE FACTURACIÓN]])&gt;PROVEEDORES[[#This Row],[PLAZO Días]],"PAGO VENCIDO")</f>
        <v>PAGO VENCIDO</v>
      </c>
      <c r="C723" s="27">
        <f>+VLOOKUP(PROVEEDORES[[#This Row],[PROVEEDOR]],TERCEROS_INFO[#All],2,FALSE)</f>
        <v>30</v>
      </c>
      <c r="D723" s="37">
        <f>+SUMIFS(PROVEEDORES[Total],PROVEEDORES[PROVEEDOR],PROVEEDORES[[#This Row],[PROVEEDOR]],PROVEEDORES[FECHA DE PAGO],"")</f>
        <v>10842787.34</v>
      </c>
      <c r="E723" s="37"/>
      <c r="F723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23" s="143">
        <v>44519</v>
      </c>
      <c r="H723" s="57" t="s">
        <v>847</v>
      </c>
      <c r="I723" s="30">
        <v>44470</v>
      </c>
      <c r="J723" s="58" t="s">
        <v>886</v>
      </c>
      <c r="K723" s="32">
        <v>2433607</v>
      </c>
      <c r="L723" s="32"/>
      <c r="M723" s="33">
        <f>(PROVEEDORES[[#This Row],[SUBTOTAL]]-PROVEEDORES[[#This Row],[descuento antes de IVA]])*VLOOKUP(PROVEEDORES[[#This Row],[PROVEEDOR]],TERCEROS_INFO[#All],3,FALSE)</f>
        <v>462385.33</v>
      </c>
      <c r="N723" s="34"/>
      <c r="O723" s="33">
        <f>+PROVEEDORES[[#This Row],[Descuento sobre subtotal %]]*(PROVEEDORES[[#This Row],[SUBTOTAL]]-PROVEEDORES[[#This Row],[descuento antes de IVA]])</f>
        <v>0</v>
      </c>
      <c r="P7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3" s="33">
        <f>+(PROVEEDORES[[#This Row],[SUBTOTAL]]-PROVEEDORES[[#This Row],[descuento antes de IVA]])*PROVEEDORES[[#This Row],[Rete Fuente %]]</f>
        <v>0</v>
      </c>
      <c r="R723" s="32">
        <f>+PROVEEDORES[[#This Row],[SUBTOTAL]]+PROVEEDORES[[#This Row],[IVA 19%]]-PROVEEDORES[[#This Row],[descuento antes de IVA]]-PROVEEDORES[[#This Row],[Descuento sobre subtotal $]]-PROVEEDORES[[#This Row],[Rete Fuente $]]</f>
        <v>2895992.33</v>
      </c>
      <c r="S723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3" s="40"/>
      <c r="U723" s="97"/>
      <c r="V723" s="36"/>
      <c r="W723" s="36"/>
      <c r="X723" s="36"/>
      <c r="Y723" s="36"/>
      <c r="Z723" s="41"/>
      <c r="AA723" s="42"/>
      <c r="AF723" s="36"/>
      <c r="AG723" s="36"/>
    </row>
    <row r="724" spans="1:33" ht="21.95" hidden="1" customHeight="1" x14ac:dyDescent="0.25">
      <c r="A724" s="161" t="str">
        <f>+IF(PROVEEDORES[[#This Row],[FECHA DE PAGO]]=PROVEEDORES[[#This Row],[FECHA DE FACTURACIÓN]],"DE CONTADO","CRÉDITO")</f>
        <v>CRÉDITO</v>
      </c>
      <c r="B724" s="70" t="str">
        <f>+IF((PROVEEDORES[[#This Row],[FECHA DE PAGO]]-PROVEEDORES[[#This Row],[FECHA DE FACTURACIÓN]])&gt;PROVEEDORES[[#This Row],[PLAZO Días]],"PAGO VENCIDO")</f>
        <v>PAGO VENCIDO</v>
      </c>
      <c r="C724" s="27">
        <f>+VLOOKUP(PROVEEDORES[[#This Row],[PROVEEDOR]],TERCEROS_INFO[#All],2,FALSE)</f>
        <v>30</v>
      </c>
      <c r="D724" s="37">
        <f>+SUMIFS(PROVEEDORES[Total],PROVEEDORES[PROVEEDOR],PROVEEDORES[[#This Row],[PROVEEDOR]],PROVEEDORES[FECHA DE PAGO],"")</f>
        <v>10842787.34</v>
      </c>
      <c r="E724" s="37"/>
      <c r="F724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G724" s="143">
        <v>44530</v>
      </c>
      <c r="H724" s="57" t="s">
        <v>847</v>
      </c>
      <c r="I724" s="30">
        <v>44489</v>
      </c>
      <c r="J724" s="58" t="s">
        <v>916</v>
      </c>
      <c r="K724" s="32">
        <v>3176062</v>
      </c>
      <c r="L724" s="32"/>
      <c r="M724" s="33">
        <f>(PROVEEDORES[[#This Row],[SUBTOTAL]]-PROVEEDORES[[#This Row],[descuento antes de IVA]])*VLOOKUP(PROVEEDORES[[#This Row],[PROVEEDOR]],TERCEROS_INFO[#All],3,FALSE)</f>
        <v>603451.78</v>
      </c>
      <c r="N724" s="34"/>
      <c r="O724" s="33">
        <f>+PROVEEDORES[[#This Row],[Descuento sobre subtotal %]]*(PROVEEDORES[[#This Row],[SUBTOTAL]]-PROVEEDORES[[#This Row],[descuento antes de IVA]])</f>
        <v>0</v>
      </c>
      <c r="P7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4" s="33">
        <f>+(PROVEEDORES[[#This Row],[SUBTOTAL]]-PROVEEDORES[[#This Row],[descuento antes de IVA]])*PROVEEDORES[[#This Row],[Rete Fuente %]]</f>
        <v>0</v>
      </c>
      <c r="R724" s="32">
        <f>+PROVEEDORES[[#This Row],[SUBTOTAL]]+PROVEEDORES[[#This Row],[IVA 19%]]-PROVEEDORES[[#This Row],[descuento antes de IVA]]-PROVEEDORES[[#This Row],[Descuento sobre subtotal $]]-PROVEEDORES[[#This Row],[Rete Fuente $]]</f>
        <v>3779513.7800000003</v>
      </c>
      <c r="S724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4" s="40"/>
      <c r="U724" s="97"/>
      <c r="V724" s="36"/>
      <c r="W724" s="36"/>
      <c r="X724" s="36"/>
      <c r="Y724" s="36"/>
      <c r="Z724" s="41"/>
      <c r="AA724" s="42"/>
      <c r="AF724" s="36"/>
      <c r="AG724" s="36"/>
    </row>
    <row r="725" spans="1:33" ht="21.95" hidden="1" customHeight="1" x14ac:dyDescent="0.25">
      <c r="A725" s="165" t="str">
        <f>+IF(PROVEEDORES[[#This Row],[FECHA DE PAGO]]=PROVEEDORES[[#This Row],[FECHA DE FACTURACIÓN]],"DE CONTADO","CRÉDITO")</f>
        <v>CRÉDITO</v>
      </c>
      <c r="B725" s="70" t="b">
        <f>+IF((PROVEEDORES[[#This Row],[FECHA DE PAGO]]-PROVEEDORES[[#This Row],[FECHA DE FACTURACIÓN]])&gt;PROVEEDORES[[#This Row],[PLAZO Días]],"PAGO VENCIDO")</f>
        <v>0</v>
      </c>
      <c r="C725" s="27">
        <f>+VLOOKUP(PROVEEDORES[[#This Row],[PROVEEDOR]],TERCEROS_INFO[#All],2,FALSE)</f>
        <v>30</v>
      </c>
      <c r="D725" s="37">
        <f>+SUMIFS(PROVEEDORES[Total],PROVEEDORES[PROVEEDOR],PROVEEDORES[[#This Row],[PROVEEDOR]],PROVEEDORES[FECHA DE PAGO],"")</f>
        <v>10842787.34</v>
      </c>
      <c r="E725" s="37"/>
      <c r="F725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H725" s="57" t="s">
        <v>847</v>
      </c>
      <c r="I725" s="30">
        <v>44516</v>
      </c>
      <c r="J725" s="58" t="s">
        <v>967</v>
      </c>
      <c r="K725" s="32">
        <v>2576302</v>
      </c>
      <c r="L725" s="32"/>
      <c r="M725" s="33">
        <f>(PROVEEDORES[[#This Row],[SUBTOTAL]]-PROVEEDORES[[#This Row],[descuento antes de IVA]])*VLOOKUP(PROVEEDORES[[#This Row],[PROVEEDOR]],TERCEROS_INFO[#All],3,FALSE)</f>
        <v>489497.38</v>
      </c>
      <c r="N725" s="34"/>
      <c r="O725" s="33">
        <f>+PROVEEDORES[[#This Row],[Descuento sobre subtotal %]]*(PROVEEDORES[[#This Row],[SUBTOTAL]]-PROVEEDORES[[#This Row],[descuento antes de IVA]])</f>
        <v>0</v>
      </c>
      <c r="P7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5" s="33">
        <f>+(PROVEEDORES[[#This Row],[SUBTOTAL]]-PROVEEDORES[[#This Row],[descuento antes de IVA]])*PROVEEDORES[[#This Row],[Rete Fuente %]]</f>
        <v>0</v>
      </c>
      <c r="R725" s="32">
        <f>+PROVEEDORES[[#This Row],[SUBTOTAL]]+PROVEEDORES[[#This Row],[IVA 19%]]-PROVEEDORES[[#This Row],[descuento antes de IVA]]-PROVEEDORES[[#This Row],[Descuento sobre subtotal $]]-PROVEEDORES[[#This Row],[Rete Fuente $]]</f>
        <v>3065799.38</v>
      </c>
      <c r="S725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25" s="40"/>
      <c r="U725" s="97"/>
      <c r="V725" s="36"/>
      <c r="W725" s="36"/>
      <c r="X725" s="36"/>
      <c r="Y725" s="36"/>
      <c r="Z725" s="41"/>
      <c r="AA725" s="42"/>
      <c r="AF725" s="36"/>
      <c r="AG725" s="36"/>
    </row>
    <row r="726" spans="1:33" ht="21.95" hidden="1" customHeight="1" x14ac:dyDescent="0.25">
      <c r="A726" s="165" t="str">
        <f>+IF(PROVEEDORES[[#This Row],[FECHA DE PAGO]]=PROVEEDORES[[#This Row],[FECHA DE FACTURACIÓN]],"DE CONTADO","CRÉDITO")</f>
        <v>CRÉDITO</v>
      </c>
      <c r="B726" s="70" t="b">
        <f>+IF((PROVEEDORES[[#This Row],[FECHA DE PAGO]]-PROVEEDORES[[#This Row],[FECHA DE FACTURACIÓN]])&gt;PROVEEDORES[[#This Row],[PLAZO Días]],"PAGO VENCIDO")</f>
        <v>0</v>
      </c>
      <c r="C726" s="27">
        <f>+VLOOKUP(PROVEEDORES[[#This Row],[PROVEEDOR]],TERCEROS_INFO[#All],2,FALSE)</f>
        <v>30</v>
      </c>
      <c r="D726" s="37">
        <f>+SUMIFS(PROVEEDORES[Total],PROVEEDORES[PROVEEDOR],PROVEEDORES[[#This Row],[PROVEEDOR]],PROVEEDORES[FECHA DE PAGO],"")</f>
        <v>10842787.34</v>
      </c>
      <c r="E726" s="37"/>
      <c r="F726" s="108" t="str">
        <f>+VLOOKUP(PROVEEDORES[[#This Row],[PROVEEDOR]],TERCEROS_INFO[[PROVEEDOR]:[CORREO]],5,FALSE)</f>
        <v xml:space="preserve"> bateriasindustrialesbogota2@coexito.com.co;girlesa.ruiz@servipilas.com;joriescobar64@gmail.com</v>
      </c>
      <c r="H726" s="57" t="s">
        <v>847</v>
      </c>
      <c r="I726" s="30">
        <v>44519</v>
      </c>
      <c r="J726" s="58" t="s">
        <v>966</v>
      </c>
      <c r="K726" s="32">
        <v>6535284</v>
      </c>
      <c r="L726" s="32"/>
      <c r="M726" s="33">
        <f>(PROVEEDORES[[#This Row],[SUBTOTAL]]-PROVEEDORES[[#This Row],[descuento antes de IVA]])*VLOOKUP(PROVEEDORES[[#This Row],[PROVEEDOR]],TERCEROS_INFO[#All],3,FALSE)</f>
        <v>1241703.96</v>
      </c>
      <c r="N726" s="34"/>
      <c r="O726" s="33">
        <f>+PROVEEDORES[[#This Row],[Descuento sobre subtotal %]]*(PROVEEDORES[[#This Row],[SUBTOTAL]]-PROVEEDORES[[#This Row],[descuento antes de IVA]])</f>
        <v>0</v>
      </c>
      <c r="P7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6" s="33">
        <f>+(PROVEEDORES[[#This Row],[SUBTOTAL]]-PROVEEDORES[[#This Row],[descuento antes de IVA]])*PROVEEDORES[[#This Row],[Rete Fuente %]]</f>
        <v>0</v>
      </c>
      <c r="R726" s="32">
        <f>+PROVEEDORES[[#This Row],[SUBTOTAL]]+PROVEEDORES[[#This Row],[IVA 19%]]-PROVEEDORES[[#This Row],[descuento antes de IVA]]-PROVEEDORES[[#This Row],[Descuento sobre subtotal $]]-PROVEEDORES[[#This Row],[Rete Fuente $]]</f>
        <v>7776987.96</v>
      </c>
      <c r="S726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26" s="40"/>
      <c r="U726" s="97"/>
      <c r="V726" s="36"/>
      <c r="W726" s="36"/>
      <c r="X726" s="36"/>
      <c r="Y726" s="36"/>
      <c r="Z726" s="41"/>
      <c r="AA726" s="42"/>
      <c r="AF726" s="36"/>
      <c r="AG726" s="36"/>
    </row>
    <row r="727" spans="1:33" ht="21.95" hidden="1" customHeight="1" x14ac:dyDescent="0.25">
      <c r="A727" s="39" t="str">
        <f>+IF(PROVEEDORES[[#This Row],[FECHA DE PAGO]]=PROVEEDORES[[#This Row],[FECHA DE FACTURACIÓN]],"DE CONTADO","CRÉDITO")</f>
        <v>CRÉDITO</v>
      </c>
      <c r="B727" s="67" t="str">
        <f>+IF((PROVEEDORES[[#This Row],[FECHA DE PAGO]]-PROVEEDORES[[#This Row],[FECHA DE FACTURACIÓN]])&gt;PROVEEDORES[[#This Row],[PLAZO Días]],"PAGO VENCIDO")</f>
        <v>PAGO VENCIDO</v>
      </c>
      <c r="C727" s="27">
        <f>+VLOOKUP(PROVEEDORES[[#This Row],[PROVEEDOR]],TERCEROS_INFO[#All],2,FALSE)</f>
        <v>30</v>
      </c>
      <c r="D727" s="37">
        <f>+SUMIFS(PROVEEDORES[Total],PROVEEDORES[PROVEEDOR],PROVEEDORES[[#This Row],[PROVEEDOR]],PROVEEDORES[FECHA DE PAGO],"")</f>
        <v>0</v>
      </c>
      <c r="E727" s="37"/>
      <c r="F727" s="108" t="str">
        <f>+VLOOKUP(PROVEEDORES[[#This Row],[PROVEEDOR]],TERCEROS_INFO[[PROVEEDOR]:[CORREO]],5,FALSE)</f>
        <v>ventasmegamundo@yahoo.es;girlesa.ruiz@servipilas.com;joriescobar64@gmail.com</v>
      </c>
      <c r="G727" s="143">
        <v>43999</v>
      </c>
      <c r="H727" s="38" t="s">
        <v>915</v>
      </c>
      <c r="I727" s="30">
        <v>43872</v>
      </c>
      <c r="J727" s="58">
        <v>9551</v>
      </c>
      <c r="K727" s="32">
        <v>2640868.0672268909</v>
      </c>
      <c r="L727" s="32"/>
      <c r="M727" s="33">
        <f>(PROVEEDORES[[#This Row],[SUBTOTAL]]-PROVEEDORES[[#This Row],[descuento antes de IVA]])*VLOOKUP(PROVEEDORES[[#This Row],[PROVEEDOR]],TERCEROS_INFO[#All],3,FALSE)</f>
        <v>501764.93277310929</v>
      </c>
      <c r="N727" s="34"/>
      <c r="O727" s="33">
        <f>+PROVEEDORES[[#This Row],[Descuento sobre subtotal %]]*(PROVEEDORES[[#This Row],[SUBTOTAL]]-PROVEEDORES[[#This Row],[descuento antes de IVA]])</f>
        <v>0</v>
      </c>
      <c r="P7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27" s="33">
        <f>+(PROVEEDORES[[#This Row],[SUBTOTAL]]-PROVEEDORES[[#This Row],[descuento antes de IVA]])*PROVEEDORES[[#This Row],[Rete Fuente %]]</f>
        <v>66021.701680672282</v>
      </c>
      <c r="R727" s="32">
        <f>+PROVEEDORES[[#This Row],[SUBTOTAL]]+PROVEEDORES[[#This Row],[IVA 19%]]-PROVEEDORES[[#This Row],[descuento antes de IVA]]-PROVEEDORES[[#This Row],[Descuento sobre subtotal $]]-PROVEEDORES[[#This Row],[Rete Fuente $]]</f>
        <v>3076611.2983193276</v>
      </c>
      <c r="S72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7" s="40"/>
      <c r="U727" s="97"/>
      <c r="V727" s="36"/>
      <c r="W727" s="36"/>
      <c r="X727" s="36"/>
      <c r="Y727" s="36"/>
      <c r="Z727" s="41"/>
      <c r="AA727" s="42"/>
      <c r="AF727" s="36"/>
      <c r="AG727" s="36"/>
    </row>
    <row r="728" spans="1:33" ht="21.95" hidden="1" customHeight="1" x14ac:dyDescent="0.25">
      <c r="A728" s="39" t="str">
        <f>+IF(PROVEEDORES[[#This Row],[FECHA DE PAGO]]=PROVEEDORES[[#This Row],[FECHA DE FACTURACIÓN]],"DE CONTADO","CRÉDITO")</f>
        <v>CRÉDITO</v>
      </c>
      <c r="B728" s="67" t="str">
        <f>+IF((PROVEEDORES[[#This Row],[FECHA DE PAGO]]-PROVEEDORES[[#This Row],[FECHA DE FACTURACIÓN]])&gt;PROVEEDORES[[#This Row],[PLAZO Días]],"PAGO VENCIDO")</f>
        <v>PAGO VENCIDO</v>
      </c>
      <c r="C728" s="27">
        <f>+VLOOKUP(PROVEEDORES[[#This Row],[PROVEEDOR]],TERCEROS_INFO[#All],2,FALSE)</f>
        <v>30</v>
      </c>
      <c r="D728" s="37">
        <f>+SUMIFS(PROVEEDORES[Total],PROVEEDORES[PROVEEDOR],PROVEEDORES[[#This Row],[PROVEEDOR]],PROVEEDORES[FECHA DE PAGO],"")</f>
        <v>0</v>
      </c>
      <c r="E728" s="37"/>
      <c r="F728" s="108" t="str">
        <f>+VLOOKUP(PROVEEDORES[[#This Row],[PROVEEDOR]],TERCEROS_INFO[[PROVEEDOR]:[CORREO]],5,FALSE)</f>
        <v>ventasmegamundo@yahoo.es;girlesa.ruiz@servipilas.com;joriescobar64@gmail.com</v>
      </c>
      <c r="G728" s="143">
        <v>44007</v>
      </c>
      <c r="H728" s="38" t="s">
        <v>915</v>
      </c>
      <c r="I728" s="30">
        <v>43893</v>
      </c>
      <c r="J728" s="58">
        <v>9596</v>
      </c>
      <c r="K728" s="32">
        <v>521900</v>
      </c>
      <c r="L728" s="32"/>
      <c r="M728" s="33">
        <f>(PROVEEDORES[[#This Row],[SUBTOTAL]]-PROVEEDORES[[#This Row],[descuento antes de IVA]])*VLOOKUP(PROVEEDORES[[#This Row],[PROVEEDOR]],TERCEROS_INFO[#All],3,FALSE)</f>
        <v>99161</v>
      </c>
      <c r="N728" s="34"/>
      <c r="O728" s="33">
        <f>+PROVEEDORES[[#This Row],[Descuento sobre subtotal %]]*(PROVEEDORES[[#This Row],[SUBTOTAL]]-PROVEEDORES[[#This Row],[descuento antes de IVA]])</f>
        <v>0</v>
      </c>
      <c r="P7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8" s="33">
        <f>+(PROVEEDORES[[#This Row],[SUBTOTAL]]-PROVEEDORES[[#This Row],[descuento antes de IVA]])*PROVEEDORES[[#This Row],[Rete Fuente %]]</f>
        <v>0</v>
      </c>
      <c r="R728" s="32">
        <f>+PROVEEDORES[[#This Row],[SUBTOTAL]]+PROVEEDORES[[#This Row],[IVA 19%]]-PROVEEDORES[[#This Row],[descuento antes de IVA]]-PROVEEDORES[[#This Row],[Descuento sobre subtotal $]]-PROVEEDORES[[#This Row],[Rete Fuente $]]</f>
        <v>621061</v>
      </c>
      <c r="S72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8" s="40"/>
      <c r="U728" s="97"/>
      <c r="V728" s="36"/>
      <c r="W728" s="36"/>
      <c r="X728" s="36"/>
      <c r="Y728" s="36"/>
      <c r="Z728" s="41"/>
      <c r="AA728" s="42"/>
      <c r="AF728" s="36"/>
      <c r="AG728" s="36"/>
    </row>
    <row r="729" spans="1:33" ht="21.95" hidden="1" customHeight="1" x14ac:dyDescent="0.25">
      <c r="A729" s="39" t="str">
        <f>+IF(PROVEEDORES[[#This Row],[FECHA DE PAGO]]=PROVEEDORES[[#This Row],[FECHA DE FACTURACIÓN]],"DE CONTADO","CRÉDITO")</f>
        <v>CRÉDITO</v>
      </c>
      <c r="B729" s="67" t="b">
        <f>+IF((PROVEEDORES[[#This Row],[FECHA DE PAGO]]-PROVEEDORES[[#This Row],[FECHA DE FACTURACIÓN]])&gt;PROVEEDORES[[#This Row],[PLAZO Días]],"PAGO VENCIDO")</f>
        <v>0</v>
      </c>
      <c r="C729" s="27">
        <f>+VLOOKUP(PROVEEDORES[[#This Row],[PROVEEDOR]],TERCEROS_INFO[#All],2,FALSE)</f>
        <v>30</v>
      </c>
      <c r="D729" s="37">
        <f>+SUMIFS(PROVEEDORES[Total],PROVEEDORES[PROVEEDOR],PROVEEDORES[[#This Row],[PROVEEDOR]],PROVEEDORES[FECHA DE PAGO],"")</f>
        <v>0</v>
      </c>
      <c r="E729" s="37"/>
      <c r="F729" s="108" t="str">
        <f>+VLOOKUP(PROVEEDORES[[#This Row],[PROVEEDOR]],TERCEROS_INFO[[PROVEEDOR]:[CORREO]],5,FALSE)</f>
        <v>ventasmegamundo@yahoo.es;girlesa.ruiz@servipilas.com;joriescobar64@gmail.com</v>
      </c>
      <c r="G729" s="143">
        <v>44013</v>
      </c>
      <c r="H729" s="38" t="s">
        <v>915</v>
      </c>
      <c r="I729" s="30">
        <v>43999</v>
      </c>
      <c r="J729" s="58">
        <v>9777</v>
      </c>
      <c r="K729" s="32">
        <v>631934</v>
      </c>
      <c r="L729" s="32"/>
      <c r="M729" s="33">
        <f>(PROVEEDORES[[#This Row],[SUBTOTAL]]-PROVEEDORES[[#This Row],[descuento antes de IVA]])*VLOOKUP(PROVEEDORES[[#This Row],[PROVEEDOR]],TERCEROS_INFO[#All],3,FALSE)</f>
        <v>120067.46</v>
      </c>
      <c r="N729" s="34"/>
      <c r="O729" s="33">
        <f>+PROVEEDORES[[#This Row],[Descuento sobre subtotal %]]*(PROVEEDORES[[#This Row],[SUBTOTAL]]-PROVEEDORES[[#This Row],[descuento antes de IVA]])</f>
        <v>0</v>
      </c>
      <c r="P7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29" s="33">
        <f>+(PROVEEDORES[[#This Row],[SUBTOTAL]]-PROVEEDORES[[#This Row],[descuento antes de IVA]])*PROVEEDORES[[#This Row],[Rete Fuente %]]</f>
        <v>0</v>
      </c>
      <c r="R729" s="32">
        <f>+PROVEEDORES[[#This Row],[SUBTOTAL]]+PROVEEDORES[[#This Row],[IVA 19%]]-PROVEEDORES[[#This Row],[descuento antes de IVA]]-PROVEEDORES[[#This Row],[Descuento sobre subtotal $]]-PROVEEDORES[[#This Row],[Rete Fuente $]]</f>
        <v>752001.46</v>
      </c>
      <c r="S72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9" s="40"/>
      <c r="U729" s="97"/>
      <c r="V729" s="36"/>
      <c r="W729" s="36"/>
      <c r="X729" s="36"/>
      <c r="Y729" s="36"/>
      <c r="Z729" s="41"/>
      <c r="AA729" s="42"/>
      <c r="AF729" s="36"/>
      <c r="AG729" s="36"/>
    </row>
    <row r="730" spans="1:33" ht="21.95" hidden="1" customHeight="1" x14ac:dyDescent="0.25">
      <c r="A730" s="39" t="str">
        <f>+IF(PROVEEDORES[[#This Row],[FECHA DE PAGO]]=PROVEEDORES[[#This Row],[FECHA DE FACTURACIÓN]],"DE CONTADO","CRÉDITO")</f>
        <v>CRÉDITO</v>
      </c>
      <c r="B730" s="67" t="str">
        <f>+IF((PROVEEDORES[[#This Row],[FECHA DE PAGO]]-PROVEEDORES[[#This Row],[FECHA DE FACTURACIÓN]])&gt;PROVEEDORES[[#This Row],[PLAZO Días]],"PAGO VENCIDO")</f>
        <v>PAGO VENCIDO</v>
      </c>
      <c r="C730" s="27">
        <f>+VLOOKUP(PROVEEDORES[[#This Row],[PROVEEDOR]],TERCEROS_INFO[#All],2,FALSE)</f>
        <v>30</v>
      </c>
      <c r="D730" s="37">
        <f>+SUMIFS(PROVEEDORES[Total],PROVEEDORES[PROVEEDOR],PROVEEDORES[[#This Row],[PROVEEDOR]],PROVEEDORES[FECHA DE PAGO],"")</f>
        <v>0</v>
      </c>
      <c r="E730" s="37"/>
      <c r="F730" s="108" t="str">
        <f>+VLOOKUP(PROVEEDORES[[#This Row],[PROVEEDOR]],TERCEROS_INFO[[PROVEEDOR]:[CORREO]],5,FALSE)</f>
        <v>ventasmegamundo@yahoo.es;girlesa.ruiz@servipilas.com;joriescobar64@gmail.com</v>
      </c>
      <c r="G730" s="143">
        <v>44068</v>
      </c>
      <c r="H730" s="38" t="s">
        <v>915</v>
      </c>
      <c r="I730" s="30">
        <v>44019</v>
      </c>
      <c r="J730" s="58">
        <v>9827</v>
      </c>
      <c r="K730" s="32">
        <v>2155443.218487395</v>
      </c>
      <c r="L730" s="32"/>
      <c r="M730" s="33">
        <f>(PROVEEDORES[[#This Row],[SUBTOTAL]]-PROVEEDORES[[#This Row],[descuento antes de IVA]])*VLOOKUP(PROVEEDORES[[#This Row],[PROVEEDOR]],TERCEROS_INFO[#All],3,FALSE)</f>
        <v>409534.21151260508</v>
      </c>
      <c r="N730" s="34"/>
      <c r="O730" s="33">
        <f>+PROVEEDORES[[#This Row],[Descuento sobre subtotal %]]*(PROVEEDORES[[#This Row],[SUBTOTAL]]-PROVEEDORES[[#This Row],[descuento antes de IVA]])</f>
        <v>0</v>
      </c>
      <c r="P7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30" s="33">
        <f>+(PROVEEDORES[[#This Row],[SUBTOTAL]]-PROVEEDORES[[#This Row],[descuento antes de IVA]])*PROVEEDORES[[#This Row],[Rete Fuente %]]</f>
        <v>53886.08046218488</v>
      </c>
      <c r="R730" s="32">
        <f>+PROVEEDORES[[#This Row],[SUBTOTAL]]+PROVEEDORES[[#This Row],[IVA 19%]]-PROVEEDORES[[#This Row],[descuento antes de IVA]]-PROVEEDORES[[#This Row],[Descuento sobre subtotal $]]-PROVEEDORES[[#This Row],[Rete Fuente $]]</f>
        <v>2511091.3495378154</v>
      </c>
      <c r="S73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0" s="40"/>
      <c r="U730" s="97"/>
      <c r="V730" s="36"/>
      <c r="W730" s="36"/>
      <c r="X730" s="36"/>
      <c r="Y730" s="36"/>
      <c r="Z730" s="41"/>
      <c r="AA730" s="42"/>
      <c r="AF730" s="36"/>
      <c r="AG730" s="36"/>
    </row>
    <row r="731" spans="1:33" ht="21.95" hidden="1" customHeight="1" x14ac:dyDescent="0.25">
      <c r="A731" s="39" t="str">
        <f>+IF(PROVEEDORES[[#This Row],[FECHA DE PAGO]]=PROVEEDORES[[#This Row],[FECHA DE FACTURACIÓN]],"DE CONTADO","CRÉDITO")</f>
        <v>CRÉDITO</v>
      </c>
      <c r="B731" s="67" t="str">
        <f>+IF((PROVEEDORES[[#This Row],[FECHA DE PAGO]]-PROVEEDORES[[#This Row],[FECHA DE FACTURACIÓN]])&gt;PROVEEDORES[[#This Row],[PLAZO Días]],"PAGO VENCIDO")</f>
        <v>PAGO VENCIDO</v>
      </c>
      <c r="C731" s="27">
        <f>+VLOOKUP(PROVEEDORES[[#This Row],[PROVEEDOR]],TERCEROS_INFO[#All],2,FALSE)</f>
        <v>30</v>
      </c>
      <c r="D731" s="37">
        <f>+SUMIFS(PROVEEDORES[Total],PROVEEDORES[PROVEEDOR],PROVEEDORES[[#This Row],[PROVEEDOR]],PROVEEDORES[FECHA DE PAGO],"")</f>
        <v>0</v>
      </c>
      <c r="E731" s="37"/>
      <c r="F731" s="108" t="str">
        <f>+VLOOKUP(PROVEEDORES[[#This Row],[PROVEEDOR]],TERCEROS_INFO[[PROVEEDOR]:[CORREO]],5,FALSE)</f>
        <v>ventasmegamundo@yahoo.es;girlesa.ruiz@servipilas.com;joriescobar64@gmail.com</v>
      </c>
      <c r="G731" s="143">
        <v>44118</v>
      </c>
      <c r="H731" s="38" t="s">
        <v>915</v>
      </c>
      <c r="I731" s="30">
        <v>44067</v>
      </c>
      <c r="J731" s="58">
        <v>9955</v>
      </c>
      <c r="K731" s="32">
        <v>571706</v>
      </c>
      <c r="L731" s="32"/>
      <c r="M731" s="33">
        <f>(PROVEEDORES[[#This Row],[SUBTOTAL]]-PROVEEDORES[[#This Row],[descuento antes de IVA]])*VLOOKUP(PROVEEDORES[[#This Row],[PROVEEDOR]],TERCEROS_INFO[#All],3,FALSE)</f>
        <v>108624.14</v>
      </c>
      <c r="N731" s="34"/>
      <c r="O731" s="33">
        <f>+PROVEEDORES[[#This Row],[Descuento sobre subtotal %]]*(PROVEEDORES[[#This Row],[SUBTOTAL]]-PROVEEDORES[[#This Row],[descuento antes de IVA]])</f>
        <v>0</v>
      </c>
      <c r="P7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31" s="33">
        <f>+(PROVEEDORES[[#This Row],[SUBTOTAL]]-PROVEEDORES[[#This Row],[descuento antes de IVA]])*PROVEEDORES[[#This Row],[Rete Fuente %]]</f>
        <v>0</v>
      </c>
      <c r="R731" s="32">
        <f>+PROVEEDORES[[#This Row],[SUBTOTAL]]+PROVEEDORES[[#This Row],[IVA 19%]]-PROVEEDORES[[#This Row],[descuento antes de IVA]]-PROVEEDORES[[#This Row],[Descuento sobre subtotal $]]-PROVEEDORES[[#This Row],[Rete Fuente $]]</f>
        <v>680330.14</v>
      </c>
      <c r="S73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1" s="40"/>
      <c r="U731" s="97"/>
      <c r="V731" s="36"/>
      <c r="W731" s="36"/>
      <c r="X731" s="36"/>
      <c r="Y731" s="36"/>
      <c r="Z731" s="41"/>
      <c r="AA731" s="42"/>
      <c r="AF731" s="36"/>
      <c r="AG731" s="36"/>
    </row>
    <row r="732" spans="1:33" ht="21.95" hidden="1" customHeight="1" x14ac:dyDescent="0.25">
      <c r="A732" s="39" t="str">
        <f>+IF(PROVEEDORES[[#This Row],[FECHA DE PAGO]]=PROVEEDORES[[#This Row],[FECHA DE FACTURACIÓN]],"DE CONTADO","CRÉDITO")</f>
        <v>CRÉDITO</v>
      </c>
      <c r="B732" s="67" t="str">
        <f>+IF((PROVEEDORES[[#This Row],[FECHA DE PAGO]]-PROVEEDORES[[#This Row],[FECHA DE FACTURACIÓN]])&gt;PROVEEDORES[[#This Row],[PLAZO Días]],"PAGO VENCIDO")</f>
        <v>PAGO VENCIDO</v>
      </c>
      <c r="C732" s="27">
        <f>+VLOOKUP(PROVEEDORES[[#This Row],[PROVEEDOR]],TERCEROS_INFO[#All],2,FALSE)</f>
        <v>30</v>
      </c>
      <c r="D732" s="37">
        <f>+SUMIFS(PROVEEDORES[Total],PROVEEDORES[PROVEEDOR],PROVEEDORES[[#This Row],[PROVEEDOR]],PROVEEDORES[FECHA DE PAGO],"")</f>
        <v>0</v>
      </c>
      <c r="E732" s="37"/>
      <c r="F732" s="108" t="str">
        <f>+VLOOKUP(PROVEEDORES[[#This Row],[PROVEEDOR]],TERCEROS_INFO[[PROVEEDOR]:[CORREO]],5,FALSE)</f>
        <v>ventasmegamundo@yahoo.es;girlesa.ruiz@servipilas.com;joriescobar64@gmail.com</v>
      </c>
      <c r="G732" s="143">
        <v>44118</v>
      </c>
      <c r="H732" s="38" t="s">
        <v>915</v>
      </c>
      <c r="I732" s="30">
        <v>44071</v>
      </c>
      <c r="J732" s="58">
        <v>9960</v>
      </c>
      <c r="K732" s="32">
        <v>210100</v>
      </c>
      <c r="L732" s="32"/>
      <c r="M732" s="33">
        <f>(PROVEEDORES[[#This Row],[SUBTOTAL]]-PROVEEDORES[[#This Row],[descuento antes de IVA]])*VLOOKUP(PROVEEDORES[[#This Row],[PROVEEDOR]],TERCEROS_INFO[#All],3,FALSE)</f>
        <v>39919</v>
      </c>
      <c r="N732" s="34"/>
      <c r="O732" s="33">
        <f>+PROVEEDORES[[#This Row],[Descuento sobre subtotal %]]*(PROVEEDORES[[#This Row],[SUBTOTAL]]-PROVEEDORES[[#This Row],[descuento antes de IVA]])</f>
        <v>0</v>
      </c>
      <c r="P7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32" s="33">
        <f>+(PROVEEDORES[[#This Row],[SUBTOTAL]]-PROVEEDORES[[#This Row],[descuento antes de IVA]])*PROVEEDORES[[#This Row],[Rete Fuente %]]</f>
        <v>0</v>
      </c>
      <c r="R732" s="32">
        <f>+PROVEEDORES[[#This Row],[SUBTOTAL]]+PROVEEDORES[[#This Row],[IVA 19%]]-PROVEEDORES[[#This Row],[descuento antes de IVA]]-PROVEEDORES[[#This Row],[Descuento sobre subtotal $]]-PROVEEDORES[[#This Row],[Rete Fuente $]]</f>
        <v>250019</v>
      </c>
      <c r="S73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2" s="40"/>
      <c r="U732" s="97"/>
      <c r="V732" s="36"/>
      <c r="W732" s="36"/>
      <c r="X732" s="36"/>
      <c r="Y732" s="36"/>
      <c r="Z732" s="41"/>
      <c r="AA732" s="42"/>
      <c r="AF732" s="36"/>
      <c r="AG732" s="36"/>
    </row>
    <row r="733" spans="1:33" ht="21.95" hidden="1" customHeight="1" x14ac:dyDescent="0.25">
      <c r="A733" s="39" t="str">
        <f>+IF(PROVEEDORES[[#This Row],[FECHA DE PAGO]]=PROVEEDORES[[#This Row],[FECHA DE FACTURACIÓN]],"DE CONTADO","CRÉDITO")</f>
        <v>CRÉDITO</v>
      </c>
      <c r="B733" s="67" t="str">
        <f>+IF((PROVEEDORES[[#This Row],[FECHA DE PAGO]]-PROVEEDORES[[#This Row],[FECHA DE FACTURACIÓN]])&gt;PROVEEDORES[[#This Row],[PLAZO Días]],"PAGO VENCIDO")</f>
        <v>PAGO VENCIDO</v>
      </c>
      <c r="C733" s="27">
        <f>+VLOOKUP(PROVEEDORES[[#This Row],[PROVEEDOR]],TERCEROS_INFO[#All],2,FALSE)</f>
        <v>30</v>
      </c>
      <c r="D733" s="37">
        <f>+SUMIFS(PROVEEDORES[Total],PROVEEDORES[PROVEEDOR],PROVEEDORES[[#This Row],[PROVEEDOR]],PROVEEDORES[FECHA DE PAGO],"")</f>
        <v>0</v>
      </c>
      <c r="E733" s="37"/>
      <c r="F733" s="108" t="str">
        <f>+VLOOKUP(PROVEEDORES[[#This Row],[PROVEEDOR]],TERCEROS_INFO[[PROVEEDOR]:[CORREO]],5,FALSE)</f>
        <v>ventasmegamundo@yahoo.es;girlesa.ruiz@servipilas.com;joriescobar64@gmail.com</v>
      </c>
      <c r="G733" s="143">
        <v>44138</v>
      </c>
      <c r="H733" s="38" t="s">
        <v>915</v>
      </c>
      <c r="I733" s="30">
        <v>44075</v>
      </c>
      <c r="J733" s="58">
        <v>9965</v>
      </c>
      <c r="K733" s="32">
        <v>2012287.6470588234</v>
      </c>
      <c r="L733" s="32"/>
      <c r="M733" s="33">
        <f>(PROVEEDORES[[#This Row],[SUBTOTAL]]-PROVEEDORES[[#This Row],[descuento antes de IVA]])*VLOOKUP(PROVEEDORES[[#This Row],[PROVEEDOR]],TERCEROS_INFO[#All],3,FALSE)</f>
        <v>382334.65294117643</v>
      </c>
      <c r="N733" s="34"/>
      <c r="O733" s="33">
        <f>+PROVEEDORES[[#This Row],[Descuento sobre subtotal %]]*(PROVEEDORES[[#This Row],[SUBTOTAL]]-PROVEEDORES[[#This Row],[descuento antes de IVA]])</f>
        <v>0</v>
      </c>
      <c r="P7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33" s="33">
        <f>+(PROVEEDORES[[#This Row],[SUBTOTAL]]-PROVEEDORES[[#This Row],[descuento antes de IVA]])*PROVEEDORES[[#This Row],[Rete Fuente %]]</f>
        <v>50307.191176470587</v>
      </c>
      <c r="R733" s="32">
        <f>+PROVEEDORES[[#This Row],[SUBTOTAL]]+PROVEEDORES[[#This Row],[IVA 19%]]-PROVEEDORES[[#This Row],[descuento antes de IVA]]-PROVEEDORES[[#This Row],[Descuento sobre subtotal $]]-PROVEEDORES[[#This Row],[Rete Fuente $]]</f>
        <v>2344315.1088235294</v>
      </c>
      <c r="S73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3" s="40"/>
      <c r="U733" s="97"/>
      <c r="V733" s="36"/>
      <c r="W733" s="36"/>
      <c r="X733" s="36"/>
      <c r="Y733" s="36"/>
      <c r="Z733" s="41"/>
      <c r="AA733" s="42"/>
      <c r="AF733" s="36"/>
      <c r="AG733" s="36"/>
    </row>
    <row r="734" spans="1:33" ht="21.95" hidden="1" customHeight="1" x14ac:dyDescent="0.25">
      <c r="A734" s="39" t="str">
        <f>+IF(PROVEEDORES[[#This Row],[FECHA DE PAGO]]=PROVEEDORES[[#This Row],[FECHA DE FACTURACIÓN]],"DE CONTADO","CRÉDITO")</f>
        <v>CRÉDITO</v>
      </c>
      <c r="B734" s="67" t="str">
        <f>+IF((PROVEEDORES[[#This Row],[FECHA DE PAGO]]-PROVEEDORES[[#This Row],[FECHA DE FACTURACIÓN]])&gt;PROVEEDORES[[#This Row],[PLAZO Días]],"PAGO VENCIDO")</f>
        <v>PAGO VENCIDO</v>
      </c>
      <c r="C734" s="27">
        <f>+VLOOKUP(PROVEEDORES[[#This Row],[PROVEEDOR]],TERCEROS_INFO[#All],2,FALSE)</f>
        <v>30</v>
      </c>
      <c r="D734" s="37">
        <f>+SUMIFS(PROVEEDORES[Total],PROVEEDORES[PROVEEDOR],PROVEEDORES[[#This Row],[PROVEEDOR]],PROVEEDORES[FECHA DE PAGO],"")</f>
        <v>0</v>
      </c>
      <c r="E734" s="37"/>
      <c r="F734" s="108" t="str">
        <f>+VLOOKUP(PROVEEDORES[[#This Row],[PROVEEDOR]],TERCEROS_INFO[[PROVEEDOR]:[CORREO]],5,FALSE)</f>
        <v>ventasmegamundo@yahoo.es;girlesa.ruiz@servipilas.com;joriescobar64@gmail.com</v>
      </c>
      <c r="G734" s="143">
        <v>44138</v>
      </c>
      <c r="H734" s="38" t="s">
        <v>915</v>
      </c>
      <c r="I734" s="30">
        <v>44089</v>
      </c>
      <c r="J734" s="58" t="s">
        <v>143</v>
      </c>
      <c r="K734" s="32">
        <v>544540</v>
      </c>
      <c r="L734" s="32"/>
      <c r="M734" s="33">
        <f>(PROVEEDORES[[#This Row],[SUBTOTAL]]-PROVEEDORES[[#This Row],[descuento antes de IVA]])*VLOOKUP(PROVEEDORES[[#This Row],[PROVEEDOR]],TERCEROS_INFO[#All],3,FALSE)</f>
        <v>103462.6</v>
      </c>
      <c r="N734" s="34"/>
      <c r="O734" s="33">
        <f>+PROVEEDORES[[#This Row],[Descuento sobre subtotal %]]*(PROVEEDORES[[#This Row],[SUBTOTAL]]-PROVEEDORES[[#This Row],[descuento antes de IVA]])</f>
        <v>0</v>
      </c>
      <c r="P7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34" s="33">
        <f>+(PROVEEDORES[[#This Row],[SUBTOTAL]]-PROVEEDORES[[#This Row],[descuento antes de IVA]])*PROVEEDORES[[#This Row],[Rete Fuente %]]</f>
        <v>0</v>
      </c>
      <c r="R734" s="32">
        <f>+PROVEEDORES[[#This Row],[SUBTOTAL]]+PROVEEDORES[[#This Row],[IVA 19%]]-PROVEEDORES[[#This Row],[descuento antes de IVA]]-PROVEEDORES[[#This Row],[Descuento sobre subtotal $]]-PROVEEDORES[[#This Row],[Rete Fuente $]]</f>
        <v>648002.6</v>
      </c>
      <c r="S73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4" s="40"/>
      <c r="U734" s="97"/>
      <c r="V734" s="36"/>
      <c r="W734" s="36"/>
      <c r="X734" s="36"/>
      <c r="Y734" s="36"/>
      <c r="Z734" s="41"/>
      <c r="AA734" s="42"/>
      <c r="AF734" s="36"/>
      <c r="AG734" s="36"/>
    </row>
    <row r="735" spans="1:33" ht="21.95" hidden="1" customHeight="1" x14ac:dyDescent="0.25">
      <c r="A735" s="39" t="str">
        <f>+IF(PROVEEDORES[[#This Row],[FECHA DE PAGO]]=PROVEEDORES[[#This Row],[FECHA DE FACTURACIÓN]],"DE CONTADO","CRÉDITO")</f>
        <v>CRÉDITO</v>
      </c>
      <c r="B735" s="67" t="str">
        <f>+IF((PROVEEDORES[[#This Row],[FECHA DE PAGO]]-PROVEEDORES[[#This Row],[FECHA DE FACTURACIÓN]])&gt;PROVEEDORES[[#This Row],[PLAZO Días]],"PAGO VENCIDO")</f>
        <v>PAGO VENCIDO</v>
      </c>
      <c r="C735" s="27">
        <f>+VLOOKUP(PROVEEDORES[[#This Row],[PROVEEDOR]],TERCEROS_INFO[#All],2,FALSE)</f>
        <v>30</v>
      </c>
      <c r="D735" s="37">
        <f>+SUMIFS(PROVEEDORES[Total],PROVEEDORES[PROVEEDOR],PROVEEDORES[[#This Row],[PROVEEDOR]],PROVEEDORES[FECHA DE PAGO],"")</f>
        <v>0</v>
      </c>
      <c r="E735" s="37"/>
      <c r="F735" s="108" t="str">
        <f>+VLOOKUP(PROVEEDORES[[#This Row],[PROVEEDOR]],TERCEROS_INFO[[PROVEEDOR]:[CORREO]],5,FALSE)</f>
        <v>ventasmegamundo@yahoo.es;girlesa.ruiz@servipilas.com;joriescobar64@gmail.com</v>
      </c>
      <c r="G735" s="143">
        <v>44168</v>
      </c>
      <c r="H735" s="38" t="s">
        <v>915</v>
      </c>
      <c r="I735" s="30">
        <v>44124</v>
      </c>
      <c r="J735" s="58">
        <v>204</v>
      </c>
      <c r="K735" s="32">
        <v>1813193.2773109244</v>
      </c>
      <c r="L735" s="32"/>
      <c r="M735" s="33">
        <f>(PROVEEDORES[[#This Row],[SUBTOTAL]]-PROVEEDORES[[#This Row],[descuento antes de IVA]])*VLOOKUP(PROVEEDORES[[#This Row],[PROVEEDOR]],TERCEROS_INFO[#All],3,FALSE)</f>
        <v>344506.72268907563</v>
      </c>
      <c r="N735" s="34"/>
      <c r="O735" s="33">
        <f>+PROVEEDORES[[#This Row],[Descuento sobre subtotal %]]*(PROVEEDORES[[#This Row],[SUBTOTAL]]-PROVEEDORES[[#This Row],[descuento antes de IVA]])</f>
        <v>0</v>
      </c>
      <c r="P7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35" s="33">
        <f>+(PROVEEDORES[[#This Row],[SUBTOTAL]]-PROVEEDORES[[#This Row],[descuento antes de IVA]])*PROVEEDORES[[#This Row],[Rete Fuente %]]</f>
        <v>45329.831932773115</v>
      </c>
      <c r="R735" s="32">
        <f>+PROVEEDORES[[#This Row],[SUBTOTAL]]+PROVEEDORES[[#This Row],[IVA 19%]]-PROVEEDORES[[#This Row],[descuento antes de IVA]]-PROVEEDORES[[#This Row],[Descuento sobre subtotal $]]-PROVEEDORES[[#This Row],[Rete Fuente $]]</f>
        <v>2112370.1680672271</v>
      </c>
      <c r="S73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5" s="40"/>
      <c r="U735" s="97"/>
      <c r="V735" s="36"/>
      <c r="W735" s="36"/>
      <c r="X735" s="36"/>
      <c r="Y735" s="36"/>
      <c r="Z735" s="41"/>
      <c r="AA735" s="42"/>
      <c r="AF735" s="36"/>
      <c r="AG735" s="36"/>
    </row>
    <row r="736" spans="1:33" ht="21.95" hidden="1" customHeight="1" x14ac:dyDescent="0.25">
      <c r="A736" s="39" t="str">
        <f>+IF(PROVEEDORES[[#This Row],[FECHA DE PAGO]]=PROVEEDORES[[#This Row],[FECHA DE FACTURACIÓN]],"DE CONTADO","CRÉDITO")</f>
        <v>CRÉDITO</v>
      </c>
      <c r="B736" s="67" t="str">
        <f>+IF((PROVEEDORES[[#This Row],[FECHA DE PAGO]]-PROVEEDORES[[#This Row],[FECHA DE FACTURACIÓN]])&gt;PROVEEDORES[[#This Row],[PLAZO Días]],"PAGO VENCIDO")</f>
        <v>PAGO VENCIDO</v>
      </c>
      <c r="C736" s="27">
        <f>+VLOOKUP(PROVEEDORES[[#This Row],[PROVEEDOR]],TERCEROS_INFO[#All],2,FALSE)</f>
        <v>30</v>
      </c>
      <c r="D736" s="37">
        <f>+SUMIFS(PROVEEDORES[Total],PROVEEDORES[PROVEEDOR],PROVEEDORES[[#This Row],[PROVEEDOR]],PROVEEDORES[FECHA DE PAGO],"")</f>
        <v>0</v>
      </c>
      <c r="E736" s="37"/>
      <c r="F736" s="108" t="str">
        <f>+VLOOKUP(PROVEEDORES[[#This Row],[PROVEEDOR]],TERCEROS_INFO[[PROVEEDOR]:[CORREO]],5,FALSE)</f>
        <v>ventasmegamundo@yahoo.es;girlesa.ruiz@servipilas.com;joriescobar64@gmail.com</v>
      </c>
      <c r="G736" s="143">
        <v>44180</v>
      </c>
      <c r="H736" s="38" t="s">
        <v>915</v>
      </c>
      <c r="I736" s="30">
        <v>44127</v>
      </c>
      <c r="J736" s="58">
        <v>224</v>
      </c>
      <c r="K736" s="32">
        <v>1008404.2016806724</v>
      </c>
      <c r="L736" s="32"/>
      <c r="M736" s="33">
        <f>(PROVEEDORES[[#This Row],[SUBTOTAL]]-PROVEEDORES[[#This Row],[descuento antes de IVA]])*VLOOKUP(PROVEEDORES[[#This Row],[PROVEEDOR]],TERCEROS_INFO[#All],3,FALSE)</f>
        <v>191596.79831932776</v>
      </c>
      <c r="N736" s="34"/>
      <c r="O736" s="33">
        <f>+PROVEEDORES[[#This Row],[Descuento sobre subtotal %]]*(PROVEEDORES[[#This Row],[SUBTOTAL]]-PROVEEDORES[[#This Row],[descuento antes de IVA]])</f>
        <v>0</v>
      </c>
      <c r="P7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36" s="33">
        <f>+(PROVEEDORES[[#This Row],[SUBTOTAL]]-PROVEEDORES[[#This Row],[descuento antes de IVA]])*PROVEEDORES[[#This Row],[Rete Fuente %]]</f>
        <v>25210.10504201681</v>
      </c>
      <c r="R736" s="32">
        <f>+PROVEEDORES[[#This Row],[SUBTOTAL]]+PROVEEDORES[[#This Row],[IVA 19%]]-PROVEEDORES[[#This Row],[descuento antes de IVA]]-PROVEEDORES[[#This Row],[Descuento sobre subtotal $]]-PROVEEDORES[[#This Row],[Rete Fuente $]]</f>
        <v>1174790.8949579832</v>
      </c>
      <c r="S73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6" s="40"/>
      <c r="U736" s="97"/>
      <c r="V736" s="36"/>
      <c r="W736" s="36"/>
      <c r="X736" s="36"/>
      <c r="Y736" s="36"/>
      <c r="Z736" s="41"/>
      <c r="AA736" s="42"/>
      <c r="AF736" s="36"/>
      <c r="AG736" s="36"/>
    </row>
    <row r="737" spans="1:33" ht="21.95" hidden="1" customHeight="1" x14ac:dyDescent="0.25">
      <c r="A737" s="39" t="str">
        <f>+IF(PROVEEDORES[[#This Row],[FECHA DE PAGO]]=PROVEEDORES[[#This Row],[FECHA DE FACTURACIÓN]],"DE CONTADO","CRÉDITO")</f>
        <v>CRÉDITO</v>
      </c>
      <c r="B737" s="67" t="str">
        <f>+IF((PROVEEDORES[[#This Row],[FECHA DE PAGO]]-PROVEEDORES[[#This Row],[FECHA DE FACTURACIÓN]])&gt;PROVEEDORES[[#This Row],[PLAZO Días]],"PAGO VENCIDO")</f>
        <v>PAGO VENCIDO</v>
      </c>
      <c r="C737" s="27">
        <f>+VLOOKUP(PROVEEDORES[[#This Row],[PROVEEDOR]],TERCEROS_INFO[#All],2,FALSE)</f>
        <v>30</v>
      </c>
      <c r="D737" s="37">
        <f>+SUMIFS(PROVEEDORES[Total],PROVEEDORES[PROVEEDOR],PROVEEDORES[[#This Row],[PROVEEDOR]],PROVEEDORES[FECHA DE PAGO],"")</f>
        <v>0</v>
      </c>
      <c r="E737" s="37"/>
      <c r="F737" s="108" t="str">
        <f>+VLOOKUP(PROVEEDORES[[#This Row],[PROVEEDOR]],TERCEROS_INFO[[PROVEEDOR]:[CORREO]],5,FALSE)</f>
        <v>ventasmegamundo@yahoo.es;girlesa.ruiz@servipilas.com;joriescobar64@gmail.com</v>
      </c>
      <c r="G737" s="143">
        <v>44195</v>
      </c>
      <c r="H737" s="38" t="s">
        <v>915</v>
      </c>
      <c r="I737" s="30">
        <v>44140</v>
      </c>
      <c r="J737" s="58">
        <v>280</v>
      </c>
      <c r="K737" s="32">
        <v>974961.3445378152</v>
      </c>
      <c r="L737" s="32"/>
      <c r="M737" s="33">
        <f>(PROVEEDORES[[#This Row],[SUBTOTAL]]-PROVEEDORES[[#This Row],[descuento antes de IVA]])*VLOOKUP(PROVEEDORES[[#This Row],[PROVEEDOR]],TERCEROS_INFO[#All],3,FALSE)</f>
        <v>185242.65546218489</v>
      </c>
      <c r="N737" s="34"/>
      <c r="O737" s="33">
        <f>+PROVEEDORES[[#This Row],[Descuento sobre subtotal %]]*(PROVEEDORES[[#This Row],[SUBTOTAL]]-PROVEEDORES[[#This Row],[descuento antes de IVA]])</f>
        <v>0</v>
      </c>
      <c r="P7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37" s="33">
        <f>+(PROVEEDORES[[#This Row],[SUBTOTAL]]-PROVEEDORES[[#This Row],[descuento antes de IVA]])*PROVEEDORES[[#This Row],[Rete Fuente %]]</f>
        <v>0</v>
      </c>
      <c r="R737" s="32">
        <f>+PROVEEDORES[[#This Row],[SUBTOTAL]]+PROVEEDORES[[#This Row],[IVA 19%]]-PROVEEDORES[[#This Row],[descuento antes de IVA]]-PROVEEDORES[[#This Row],[Descuento sobre subtotal $]]-PROVEEDORES[[#This Row],[Rete Fuente $]]</f>
        <v>1160204</v>
      </c>
      <c r="S73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7" s="40"/>
      <c r="U737" s="97"/>
      <c r="V737" s="36"/>
      <c r="W737" s="36"/>
      <c r="X737" s="36"/>
      <c r="Y737" s="36"/>
      <c r="Z737" s="41"/>
      <c r="AA737" s="42"/>
      <c r="AF737" s="36"/>
      <c r="AG737" s="36"/>
    </row>
    <row r="738" spans="1:33" ht="21.95" hidden="1" customHeight="1" x14ac:dyDescent="0.25">
      <c r="A738" s="39" t="str">
        <f>+IF(PROVEEDORES[[#This Row],[FECHA DE PAGO]]=PROVEEDORES[[#This Row],[FECHA DE FACTURACIÓN]],"DE CONTADO","CRÉDITO")</f>
        <v>CRÉDITO</v>
      </c>
      <c r="B738" s="67" t="str">
        <f>+IF((PROVEEDORES[[#This Row],[FECHA DE PAGO]]-PROVEEDORES[[#This Row],[FECHA DE FACTURACIÓN]])&gt;PROVEEDORES[[#This Row],[PLAZO Días]],"PAGO VENCIDO")</f>
        <v>PAGO VENCIDO</v>
      </c>
      <c r="C738" s="27">
        <f>+VLOOKUP(PROVEEDORES[[#This Row],[PROVEEDOR]],TERCEROS_INFO[#All],2,FALSE)</f>
        <v>30</v>
      </c>
      <c r="D738" s="37">
        <f>+SUMIFS(PROVEEDORES[Total],PROVEEDORES[PROVEEDOR],PROVEEDORES[[#This Row],[PROVEEDOR]],PROVEEDORES[FECHA DE PAGO],"")</f>
        <v>0</v>
      </c>
      <c r="E738" s="37"/>
      <c r="F738" s="108" t="str">
        <f>+VLOOKUP(PROVEEDORES[[#This Row],[PROVEEDOR]],TERCEROS_INFO[[PROVEEDOR]:[CORREO]],5,FALSE)</f>
        <v>ventasmegamundo@yahoo.es;girlesa.ruiz@servipilas.com;joriescobar64@gmail.com</v>
      </c>
      <c r="G738" s="143">
        <v>44195</v>
      </c>
      <c r="H738" s="38" t="s">
        <v>915</v>
      </c>
      <c r="I738" s="30">
        <v>44158</v>
      </c>
      <c r="J738" s="58">
        <v>376</v>
      </c>
      <c r="K738" s="32">
        <v>1392806.7226890756</v>
      </c>
      <c r="L738" s="32"/>
      <c r="M738" s="33">
        <f>(PROVEEDORES[[#This Row],[SUBTOTAL]]-PROVEEDORES[[#This Row],[descuento antes de IVA]])*VLOOKUP(PROVEEDORES[[#This Row],[PROVEEDOR]],TERCEROS_INFO[#All],3,FALSE)</f>
        <v>264633.27731092437</v>
      </c>
      <c r="N738" s="34"/>
      <c r="O738" s="33">
        <f>+PROVEEDORES[[#This Row],[Descuento sobre subtotal %]]*(PROVEEDORES[[#This Row],[SUBTOTAL]]-PROVEEDORES[[#This Row],[descuento antes de IVA]])</f>
        <v>0</v>
      </c>
      <c r="P7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38" s="33">
        <f>+(PROVEEDORES[[#This Row],[SUBTOTAL]]-PROVEEDORES[[#This Row],[descuento antes de IVA]])*PROVEEDORES[[#This Row],[Rete Fuente %]]</f>
        <v>34820.168067226892</v>
      </c>
      <c r="R738" s="32">
        <f>+PROVEEDORES[[#This Row],[SUBTOTAL]]+PROVEEDORES[[#This Row],[IVA 19%]]-PROVEEDORES[[#This Row],[descuento antes de IVA]]-PROVEEDORES[[#This Row],[Descuento sobre subtotal $]]-PROVEEDORES[[#This Row],[Rete Fuente $]]</f>
        <v>1622619.8319327731</v>
      </c>
      <c r="S73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8" s="40"/>
      <c r="U738" s="97"/>
      <c r="V738" s="36"/>
      <c r="W738" s="36"/>
      <c r="X738" s="36"/>
      <c r="Y738" s="36"/>
      <c r="Z738" s="41"/>
      <c r="AA738" s="42"/>
      <c r="AF738" s="36"/>
      <c r="AG738" s="36"/>
    </row>
    <row r="739" spans="1:33" ht="21.95" hidden="1" customHeight="1" x14ac:dyDescent="0.25">
      <c r="A739" s="39" t="str">
        <f>+IF(PROVEEDORES[[#This Row],[FECHA DE PAGO]]=PROVEEDORES[[#This Row],[FECHA DE FACTURACIÓN]],"DE CONTADO","CRÉDITO")</f>
        <v>CRÉDITO</v>
      </c>
      <c r="B739" s="67" t="str">
        <f>+IF((PROVEEDORES[[#This Row],[FECHA DE PAGO]]-PROVEEDORES[[#This Row],[FECHA DE FACTURACIÓN]])&gt;PROVEEDORES[[#This Row],[PLAZO Días]],"PAGO VENCIDO")</f>
        <v>PAGO VENCIDO</v>
      </c>
      <c r="C739" s="27">
        <f>+VLOOKUP(PROVEEDORES[[#This Row],[PROVEEDOR]],TERCEROS_INFO[#All],2,FALSE)</f>
        <v>30</v>
      </c>
      <c r="D739" s="37">
        <f>+SUMIFS(PROVEEDORES[Total],PROVEEDORES[PROVEEDOR],PROVEEDORES[[#This Row],[PROVEEDOR]],PROVEEDORES[FECHA DE PAGO],"")</f>
        <v>0</v>
      </c>
      <c r="E739" s="37"/>
      <c r="F739" s="108" t="str">
        <f>+VLOOKUP(PROVEEDORES[[#This Row],[PROVEEDOR]],TERCEROS_INFO[[PROVEEDOR]:[CORREO]],5,FALSE)</f>
        <v>ventasmegamundo@yahoo.es;girlesa.ruiz@servipilas.com;joriescobar64@gmail.com</v>
      </c>
      <c r="G739" s="143">
        <v>44214</v>
      </c>
      <c r="H739" s="38" t="s">
        <v>915</v>
      </c>
      <c r="I739" s="30">
        <v>44169</v>
      </c>
      <c r="J739" s="58">
        <v>470</v>
      </c>
      <c r="K739" s="32">
        <v>7478183.1932773115</v>
      </c>
      <c r="L739" s="32"/>
      <c r="M739" s="33">
        <f>(PROVEEDORES[[#This Row],[SUBTOTAL]]-PROVEEDORES[[#This Row],[descuento antes de IVA]])*VLOOKUP(PROVEEDORES[[#This Row],[PROVEEDOR]],TERCEROS_INFO[#All],3,FALSE)</f>
        <v>1420854.8067226892</v>
      </c>
      <c r="N739" s="34"/>
      <c r="O739" s="33">
        <f>+PROVEEDORES[[#This Row],[Descuento sobre subtotal %]]*(PROVEEDORES[[#This Row],[SUBTOTAL]]-PROVEEDORES[[#This Row],[descuento antes de IVA]])</f>
        <v>0</v>
      </c>
      <c r="P7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39" s="33">
        <f>+(PROVEEDORES[[#This Row],[SUBTOTAL]]-PROVEEDORES[[#This Row],[descuento antes de IVA]])*PROVEEDORES[[#This Row],[Rete Fuente %]]</f>
        <v>186954.57983193279</v>
      </c>
      <c r="R739" s="32">
        <f>+PROVEEDORES[[#This Row],[SUBTOTAL]]+PROVEEDORES[[#This Row],[IVA 19%]]-PROVEEDORES[[#This Row],[descuento antes de IVA]]-PROVEEDORES[[#This Row],[Descuento sobre subtotal $]]-PROVEEDORES[[#This Row],[Rete Fuente $]]</f>
        <v>8712083.4201680664</v>
      </c>
      <c r="S73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9" s="40"/>
      <c r="U739" s="97"/>
      <c r="V739" s="36"/>
      <c r="W739" s="36"/>
      <c r="X739" s="36"/>
      <c r="Y739" s="36"/>
      <c r="Z739" s="41"/>
      <c r="AA739" s="42"/>
      <c r="AF739" s="36"/>
      <c r="AG739" s="36"/>
    </row>
    <row r="740" spans="1:33" ht="21.95" hidden="1" customHeight="1" x14ac:dyDescent="0.25">
      <c r="A740" s="39" t="str">
        <f>+IF(PROVEEDORES[[#This Row],[FECHA DE PAGO]]=PROVEEDORES[[#This Row],[FECHA DE FACTURACIÓN]],"DE CONTADO","CRÉDITO")</f>
        <v>CRÉDITO</v>
      </c>
      <c r="B740" s="67" t="str">
        <f>+IF((PROVEEDORES[[#This Row],[FECHA DE PAGO]]-PROVEEDORES[[#This Row],[FECHA DE FACTURACIÓN]])&gt;PROVEEDORES[[#This Row],[PLAZO Días]],"PAGO VENCIDO")</f>
        <v>PAGO VENCIDO</v>
      </c>
      <c r="C740" s="27">
        <f>+VLOOKUP(PROVEEDORES[[#This Row],[PROVEEDOR]],TERCEROS_INFO[#All],2,FALSE)</f>
        <v>30</v>
      </c>
      <c r="D740" s="37">
        <f>+SUMIFS(PROVEEDORES[Total],PROVEEDORES[PROVEEDOR],PROVEEDORES[[#This Row],[PROVEEDOR]],PROVEEDORES[FECHA DE PAGO],"")</f>
        <v>0</v>
      </c>
      <c r="E740" s="37"/>
      <c r="F740" s="108" t="str">
        <f>+VLOOKUP(PROVEEDORES[[#This Row],[PROVEEDOR]],TERCEROS_INFO[[PROVEEDOR]:[CORREO]],5,FALSE)</f>
        <v>ventasmegamundo@yahoo.es;girlesa.ruiz@servipilas.com;joriescobar64@gmail.com</v>
      </c>
      <c r="G740" s="143">
        <v>44239</v>
      </c>
      <c r="H740" s="38" t="s">
        <v>915</v>
      </c>
      <c r="I740" s="30">
        <v>44179</v>
      </c>
      <c r="J740" s="58">
        <v>528</v>
      </c>
      <c r="K740" s="32">
        <v>630252.9411764706</v>
      </c>
      <c r="L740" s="32"/>
      <c r="M740" s="33">
        <f>(PROVEEDORES[[#This Row],[SUBTOTAL]]-PROVEEDORES[[#This Row],[descuento antes de IVA]])*VLOOKUP(PROVEEDORES[[#This Row],[PROVEEDOR]],TERCEROS_INFO[#All],3,FALSE)</f>
        <v>119748.05882352941</v>
      </c>
      <c r="N740" s="34"/>
      <c r="O740" s="33">
        <f>+PROVEEDORES[[#This Row],[Descuento sobre subtotal %]]*(PROVEEDORES[[#This Row],[SUBTOTAL]]-PROVEEDORES[[#This Row],[descuento antes de IVA]])</f>
        <v>0</v>
      </c>
      <c r="P7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40" s="33">
        <f>+(PROVEEDORES[[#This Row],[SUBTOTAL]]-PROVEEDORES[[#This Row],[descuento antes de IVA]])*PROVEEDORES[[#This Row],[Rete Fuente %]]</f>
        <v>0</v>
      </c>
      <c r="R740" s="32">
        <f>+PROVEEDORES[[#This Row],[SUBTOTAL]]+PROVEEDORES[[#This Row],[IVA 19%]]-PROVEEDORES[[#This Row],[descuento antes de IVA]]-PROVEEDORES[[#This Row],[Descuento sobre subtotal $]]-PROVEEDORES[[#This Row],[Rete Fuente $]]</f>
        <v>750001</v>
      </c>
      <c r="S7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0" s="40"/>
      <c r="U740" s="97"/>
      <c r="V740" s="36"/>
      <c r="W740" s="36"/>
      <c r="X740" s="36"/>
      <c r="Y740" s="36"/>
      <c r="Z740" s="41"/>
      <c r="AA740" s="42"/>
      <c r="AF740" s="36"/>
      <c r="AG740" s="36"/>
    </row>
    <row r="741" spans="1:33" ht="21.95" hidden="1" customHeight="1" x14ac:dyDescent="0.25">
      <c r="A741" s="39" t="str">
        <f>+IF(PROVEEDORES[[#This Row],[FECHA DE PAGO]]=PROVEEDORES[[#This Row],[FECHA DE FACTURACIÓN]],"DE CONTADO","CRÉDITO")</f>
        <v>CRÉDITO</v>
      </c>
      <c r="B741" s="67" t="b">
        <f>+IF((PROVEEDORES[[#This Row],[FECHA DE PAGO]]-PROVEEDORES[[#This Row],[FECHA DE FACTURACIÓN]])&gt;PROVEEDORES[[#This Row],[PLAZO Días]],"PAGO VENCIDO")</f>
        <v>0</v>
      </c>
      <c r="C741" s="27">
        <f>+VLOOKUP(PROVEEDORES[[#This Row],[PROVEEDOR]],TERCEROS_INFO[#All],2,FALSE)</f>
        <v>30</v>
      </c>
      <c r="D741" s="37">
        <f>+SUMIFS(PROVEEDORES[Total],PROVEEDORES[PROVEEDOR],PROVEEDORES[[#This Row],[PROVEEDOR]],PROVEEDORES[FECHA DE PAGO],"")</f>
        <v>0</v>
      </c>
      <c r="E741" s="37"/>
      <c r="F741" s="108" t="str">
        <f>+VLOOKUP(PROVEEDORES[[#This Row],[PROVEEDOR]],TERCEROS_INFO[[PROVEEDOR]:[CORREO]],5,FALSE)</f>
        <v>ventasmegamundo@yahoo.es;girlesa.ruiz@servipilas.com;joriescobar64@gmail.com</v>
      </c>
      <c r="G741" s="143">
        <v>44239</v>
      </c>
      <c r="H741" s="38" t="s">
        <v>915</v>
      </c>
      <c r="I741" s="30">
        <v>44217</v>
      </c>
      <c r="J741" s="58">
        <v>729</v>
      </c>
      <c r="K741" s="32">
        <v>311764.71000000002</v>
      </c>
      <c r="L741" s="32"/>
      <c r="M741" s="33">
        <f>(PROVEEDORES[[#This Row],[SUBTOTAL]]-PROVEEDORES[[#This Row],[descuento antes de IVA]])*VLOOKUP(PROVEEDORES[[#This Row],[PROVEEDOR]],TERCEROS_INFO[#All],3,FALSE)</f>
        <v>59235.294900000008</v>
      </c>
      <c r="N741" s="34"/>
      <c r="O741" s="33">
        <f>+PROVEEDORES[[#This Row],[Descuento sobre subtotal %]]*(PROVEEDORES[[#This Row],[SUBTOTAL]]-PROVEEDORES[[#This Row],[descuento antes de IVA]])</f>
        <v>0</v>
      </c>
      <c r="P7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41" s="33">
        <f>+(PROVEEDORES[[#This Row],[SUBTOTAL]]-PROVEEDORES[[#This Row],[descuento antes de IVA]])*PROVEEDORES[[#This Row],[Rete Fuente %]]</f>
        <v>0</v>
      </c>
      <c r="R741" s="32">
        <f>+PROVEEDORES[[#This Row],[SUBTOTAL]]+PROVEEDORES[[#This Row],[IVA 19%]]-PROVEEDORES[[#This Row],[descuento antes de IVA]]-PROVEEDORES[[#This Row],[Descuento sobre subtotal $]]-PROVEEDORES[[#This Row],[Rete Fuente $]]</f>
        <v>371000.00490000006</v>
      </c>
      <c r="S7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1" s="40"/>
      <c r="U741" s="97"/>
      <c r="V741" s="36"/>
      <c r="W741" s="36"/>
      <c r="X741" s="36"/>
      <c r="Y741" s="36"/>
      <c r="Z741" s="41"/>
      <c r="AA741" s="42"/>
      <c r="AF741" s="36"/>
      <c r="AG741" s="36"/>
    </row>
    <row r="742" spans="1:33" ht="21.95" hidden="1" customHeight="1" x14ac:dyDescent="0.25">
      <c r="A742" s="35" t="str">
        <f>+IF(PROVEEDORES[[#This Row],[FECHA DE PAGO]]=PROVEEDORES[[#This Row],[FECHA DE FACTURACIÓN]],"DE CONTADO","CRÉDITO")</f>
        <v>CRÉDITO</v>
      </c>
      <c r="B742" s="67" t="str">
        <f>+IF((PROVEEDORES[[#This Row],[FECHA DE PAGO]]-PROVEEDORES[[#This Row],[FECHA DE FACTURACIÓN]])&gt;PROVEEDORES[[#This Row],[PLAZO Días]],"PAGO VENCIDO")</f>
        <v>PAGO VENCIDO</v>
      </c>
      <c r="C742" s="27">
        <f>+VLOOKUP(PROVEEDORES[[#This Row],[PROVEEDOR]],TERCEROS_INFO[#All],2,FALSE)</f>
        <v>30</v>
      </c>
      <c r="D742" s="37">
        <f>+SUMIFS(PROVEEDORES[Total],PROVEEDORES[PROVEEDOR],PROVEEDORES[[#This Row],[PROVEEDOR]],PROVEEDORES[FECHA DE PAGO],"")</f>
        <v>0</v>
      </c>
      <c r="E742" s="37"/>
      <c r="F742" s="108" t="str">
        <f>+VLOOKUP(PROVEEDORES[[#This Row],[PROVEEDOR]],TERCEROS_INFO[[PROVEEDOR]:[CORREO]],5,FALSE)</f>
        <v>ventasmegamundo@yahoo.es;girlesa.ruiz@servipilas.com;joriescobar64@gmail.com</v>
      </c>
      <c r="G742" s="143">
        <v>44328</v>
      </c>
      <c r="H742" s="38" t="s">
        <v>915</v>
      </c>
      <c r="I742" s="30">
        <v>44225</v>
      </c>
      <c r="J742" s="58">
        <v>769</v>
      </c>
      <c r="K742" s="32">
        <v>2547058.81</v>
      </c>
      <c r="L742" s="32"/>
      <c r="M742" s="33">
        <f>(PROVEEDORES[[#This Row],[SUBTOTAL]]-PROVEEDORES[[#This Row],[descuento antes de IVA]])*VLOOKUP(PROVEEDORES[[#This Row],[PROVEEDOR]],TERCEROS_INFO[#All],3,FALSE)</f>
        <v>483941.17389999999</v>
      </c>
      <c r="N742" s="34"/>
      <c r="O742" s="33">
        <f>+PROVEEDORES[[#This Row],[Descuento sobre subtotal %]]*(PROVEEDORES[[#This Row],[SUBTOTAL]]-PROVEEDORES[[#This Row],[descuento antes de IVA]])</f>
        <v>0</v>
      </c>
      <c r="P7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42" s="33">
        <f>+(PROVEEDORES[[#This Row],[SUBTOTAL]]-PROVEEDORES[[#This Row],[descuento antes de IVA]])*PROVEEDORES[[#This Row],[Rete Fuente %]]</f>
        <v>63676.470250000006</v>
      </c>
      <c r="R742" s="32">
        <f>+PROVEEDORES[[#This Row],[SUBTOTAL]]+PROVEEDORES[[#This Row],[IVA 19%]]-PROVEEDORES[[#This Row],[descuento antes de IVA]]-PROVEEDORES[[#This Row],[Descuento sobre subtotal $]]-PROVEEDORES[[#This Row],[Rete Fuente $]]</f>
        <v>2967323.5136500001</v>
      </c>
      <c r="S74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2" s="40"/>
      <c r="U742" s="97"/>
      <c r="V742" s="36"/>
      <c r="W742" s="36"/>
      <c r="X742" s="36"/>
      <c r="Y742" s="36"/>
      <c r="Z742" s="41"/>
      <c r="AA742" s="42"/>
      <c r="AF742" s="36"/>
      <c r="AG742" s="36"/>
    </row>
    <row r="743" spans="1:33" ht="21.95" hidden="1" customHeight="1" x14ac:dyDescent="0.25">
      <c r="A743" s="88" t="str">
        <f>+IF(PROVEEDORES[[#This Row],[FECHA DE PAGO]]=PROVEEDORES[[#This Row],[FECHA DE FACTURACIÓN]],"DE CONTADO","CRÉDITO")</f>
        <v>CRÉDITO</v>
      </c>
      <c r="B743" s="70" t="str">
        <f>+IF((PROVEEDORES[[#This Row],[FECHA DE PAGO]]-PROVEEDORES[[#This Row],[FECHA DE FACTURACIÓN]])&gt;PROVEEDORES[[#This Row],[PLAZO Días]],"PAGO VENCIDO")</f>
        <v>PAGO VENCIDO</v>
      </c>
      <c r="C743" s="27">
        <f>+VLOOKUP(PROVEEDORES[[#This Row],[PROVEEDOR]],TERCEROS_INFO[#All],2,FALSE)</f>
        <v>30</v>
      </c>
      <c r="D743" s="37">
        <f>+SUMIFS(PROVEEDORES[Total],PROVEEDORES[PROVEEDOR],PROVEEDORES[[#This Row],[PROVEEDOR]],PROVEEDORES[FECHA DE PAGO],"")</f>
        <v>0</v>
      </c>
      <c r="E743" s="37"/>
      <c r="F743" s="108" t="str">
        <f>+VLOOKUP(PROVEEDORES[[#This Row],[PROVEEDOR]],TERCEROS_INFO[[PROVEEDOR]:[CORREO]],5,FALSE)</f>
        <v>ventasmegamundo@yahoo.es;girlesa.ruiz@servipilas.com;joriescobar64@gmail.com</v>
      </c>
      <c r="G743" s="143">
        <v>44328</v>
      </c>
      <c r="H743" s="38" t="s">
        <v>915</v>
      </c>
      <c r="I743" s="30">
        <v>44243</v>
      </c>
      <c r="J743" s="58" t="s">
        <v>652</v>
      </c>
      <c r="K743" s="32">
        <v>-95798.32</v>
      </c>
      <c r="L743" s="32"/>
      <c r="M743" s="33">
        <f>(PROVEEDORES[[#This Row],[SUBTOTAL]]-PROVEEDORES[[#This Row],[descuento antes de IVA]])*VLOOKUP(PROVEEDORES[[#This Row],[PROVEEDOR]],TERCEROS_INFO[#All],3,FALSE)</f>
        <v>-18201.680800000002</v>
      </c>
      <c r="N743" s="34"/>
      <c r="O743" s="33">
        <f>+PROVEEDORES[[#This Row],[Descuento sobre subtotal %]]*(PROVEEDORES[[#This Row],[SUBTOTAL]]-PROVEEDORES[[#This Row],[descuento antes de IVA]])</f>
        <v>0</v>
      </c>
      <c r="P743" s="34">
        <v>2.5000000000000001E-2</v>
      </c>
      <c r="Q743" s="33">
        <f>+(PROVEEDORES[[#This Row],[SUBTOTAL]]-PROVEEDORES[[#This Row],[descuento antes de IVA]])*PROVEEDORES[[#This Row],[Rete Fuente %]]</f>
        <v>-2394.9580000000001</v>
      </c>
      <c r="R743" s="32">
        <f>+PROVEEDORES[[#This Row],[SUBTOTAL]]+PROVEEDORES[[#This Row],[IVA 19%]]-PROVEEDORES[[#This Row],[descuento antes de IVA]]-PROVEEDORES[[#This Row],[Descuento sobre subtotal $]]-PROVEEDORES[[#This Row],[Rete Fuente $]]</f>
        <v>-111605.04280000001</v>
      </c>
      <c r="S74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3" s="40"/>
      <c r="U743" s="97"/>
      <c r="V743" s="36"/>
      <c r="W743" s="36"/>
      <c r="X743" s="36"/>
      <c r="Y743" s="36"/>
      <c r="Z743" s="41"/>
      <c r="AA743" s="42"/>
      <c r="AF743" s="36"/>
      <c r="AG743" s="36"/>
    </row>
    <row r="744" spans="1:33" ht="21.95" hidden="1" customHeight="1" x14ac:dyDescent="0.25">
      <c r="A744" s="88" t="str">
        <f>+IF(PROVEEDORES[[#This Row],[FECHA DE PAGO]]=PROVEEDORES[[#This Row],[FECHA DE FACTURACIÓN]],"DE CONTADO","CRÉDITO")</f>
        <v>CRÉDITO</v>
      </c>
      <c r="B744" s="70" t="str">
        <f>+IF((PROVEEDORES[[#This Row],[FECHA DE PAGO]]-PROVEEDORES[[#This Row],[FECHA DE FACTURACIÓN]])&gt;PROVEEDORES[[#This Row],[PLAZO Días]],"PAGO VENCIDO")</f>
        <v>PAGO VENCIDO</v>
      </c>
      <c r="C744" s="27">
        <f>+VLOOKUP(PROVEEDORES[[#This Row],[PROVEEDOR]],TERCEROS_INFO[#All],2,FALSE)</f>
        <v>30</v>
      </c>
      <c r="D744" s="37">
        <f>+SUMIFS(PROVEEDORES[Total],PROVEEDORES[PROVEEDOR],PROVEEDORES[[#This Row],[PROVEEDOR]],PROVEEDORES[FECHA DE PAGO],"")</f>
        <v>0</v>
      </c>
      <c r="E744" s="37"/>
      <c r="F744" s="108" t="str">
        <f>+VLOOKUP(PROVEEDORES[[#This Row],[PROVEEDOR]],TERCEROS_INFO[[PROVEEDOR]:[CORREO]],5,FALSE)</f>
        <v>ventasmegamundo@yahoo.es;girlesa.ruiz@servipilas.com;joriescobar64@gmail.com</v>
      </c>
      <c r="G744" s="143">
        <v>44348</v>
      </c>
      <c r="H744" s="38" t="s">
        <v>915</v>
      </c>
      <c r="I744" s="30">
        <v>44244</v>
      </c>
      <c r="J744" s="58">
        <v>830</v>
      </c>
      <c r="K744" s="32">
        <v>738655.46</v>
      </c>
      <c r="L744" s="32"/>
      <c r="M744" s="33">
        <f>(PROVEEDORES[[#This Row],[SUBTOTAL]]-PROVEEDORES[[#This Row],[descuento antes de IVA]])*VLOOKUP(PROVEEDORES[[#This Row],[PROVEEDOR]],TERCEROS_INFO[#All],3,FALSE)</f>
        <v>140344.5374</v>
      </c>
      <c r="N744" s="34"/>
      <c r="O744" s="33">
        <f>+PROVEEDORES[[#This Row],[Descuento sobre subtotal %]]*(PROVEEDORES[[#This Row],[SUBTOTAL]]-PROVEEDORES[[#This Row],[descuento antes de IVA]])</f>
        <v>0</v>
      </c>
      <c r="P7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44" s="33">
        <f>+(PROVEEDORES[[#This Row],[SUBTOTAL]]-PROVEEDORES[[#This Row],[descuento antes de IVA]])*PROVEEDORES[[#This Row],[Rete Fuente %]]</f>
        <v>0</v>
      </c>
      <c r="R744" s="32">
        <f>+PROVEEDORES[[#This Row],[SUBTOTAL]]+PROVEEDORES[[#This Row],[IVA 19%]]-PROVEEDORES[[#This Row],[descuento antes de IVA]]-PROVEEDORES[[#This Row],[Descuento sobre subtotal $]]-PROVEEDORES[[#This Row],[Rete Fuente $]]</f>
        <v>878999.99739999999</v>
      </c>
      <c r="S744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4" s="40"/>
      <c r="U744" s="97"/>
      <c r="V744" s="36"/>
      <c r="W744" s="36"/>
      <c r="X744" s="36"/>
      <c r="Y744" s="36"/>
      <c r="Z744" s="41"/>
      <c r="AA744" s="42"/>
      <c r="AF744" s="36"/>
      <c r="AG744" s="36"/>
    </row>
    <row r="745" spans="1:33" ht="21.95" hidden="1" customHeight="1" x14ac:dyDescent="0.25">
      <c r="A745" s="35" t="str">
        <f>+IF(PROVEEDORES[[#This Row],[FECHA DE PAGO]]=PROVEEDORES[[#This Row],[FECHA DE FACTURACIÓN]],"DE CONTADO","CRÉDITO")</f>
        <v>CRÉDITO</v>
      </c>
      <c r="B745" s="70" t="str">
        <f>+IF((PROVEEDORES[[#This Row],[FECHA DE PAGO]]-PROVEEDORES[[#This Row],[FECHA DE FACTURACIÓN]])&gt;PROVEEDORES[[#This Row],[PLAZO Días]],"PAGO VENCIDO")</f>
        <v>PAGO VENCIDO</v>
      </c>
      <c r="C745" s="27">
        <f>+VLOOKUP(PROVEEDORES[[#This Row],[PROVEEDOR]],TERCEROS_INFO[#All],2,FALSE)</f>
        <v>30</v>
      </c>
      <c r="D745" s="37">
        <f>+SUMIFS(PROVEEDORES[Total],PROVEEDORES[PROVEEDOR],PROVEEDORES[[#This Row],[PROVEEDOR]],PROVEEDORES[FECHA DE PAGO],"")</f>
        <v>0</v>
      </c>
      <c r="E745" s="37"/>
      <c r="F745" s="108" t="str">
        <f>+VLOOKUP(PROVEEDORES[[#This Row],[PROVEEDOR]],TERCEROS_INFO[[PROVEEDOR]:[CORREO]],5,FALSE)</f>
        <v>ventasmegamundo@yahoo.es;girlesa.ruiz@servipilas.com;joriescobar64@gmail.com</v>
      </c>
      <c r="G745" s="143">
        <v>44389</v>
      </c>
      <c r="H745" s="38" t="s">
        <v>915</v>
      </c>
      <c r="I745" s="30">
        <v>44337</v>
      </c>
      <c r="J745" s="58">
        <v>1205</v>
      </c>
      <c r="K745" s="32">
        <v>2181344.5299999998</v>
      </c>
      <c r="L745" s="32"/>
      <c r="M745" s="33">
        <f>(PROVEEDORES[[#This Row],[SUBTOTAL]]-PROVEEDORES[[#This Row],[descuento antes de IVA]])*VLOOKUP(PROVEEDORES[[#This Row],[PROVEEDOR]],TERCEROS_INFO[#All],3,FALSE)</f>
        <v>414455.46069999994</v>
      </c>
      <c r="N745" s="34"/>
      <c r="O745" s="33">
        <f>+PROVEEDORES[[#This Row],[Descuento sobre subtotal %]]*(PROVEEDORES[[#This Row],[SUBTOTAL]]-PROVEEDORES[[#This Row],[descuento antes de IVA]])</f>
        <v>0</v>
      </c>
      <c r="P7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45" s="33">
        <f>+(PROVEEDORES[[#This Row],[SUBTOTAL]]-PROVEEDORES[[#This Row],[descuento antes de IVA]])*PROVEEDORES[[#This Row],[Rete Fuente %]]</f>
        <v>54533.613249999995</v>
      </c>
      <c r="R745" s="32">
        <f>+PROVEEDORES[[#This Row],[SUBTOTAL]]+PROVEEDORES[[#This Row],[IVA 19%]]-PROVEEDORES[[#This Row],[descuento antes de IVA]]-PROVEEDORES[[#This Row],[Descuento sobre subtotal $]]-PROVEEDORES[[#This Row],[Rete Fuente $]]</f>
        <v>2541266.37745</v>
      </c>
      <c r="S74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5" s="40"/>
      <c r="U745" s="97"/>
      <c r="V745" s="36"/>
      <c r="W745" s="36"/>
      <c r="X745" s="36"/>
      <c r="Y745" s="36"/>
      <c r="Z745" s="41"/>
      <c r="AA745" s="42"/>
      <c r="AF745" s="36"/>
      <c r="AG745" s="36"/>
    </row>
    <row r="746" spans="1:33" ht="21.95" hidden="1" customHeight="1" x14ac:dyDescent="0.25">
      <c r="A746" s="35" t="str">
        <f>+IF(PROVEEDORES[[#This Row],[FECHA DE PAGO]]=PROVEEDORES[[#This Row],[FECHA DE FACTURACIÓN]],"DE CONTADO","CRÉDITO")</f>
        <v>CRÉDITO</v>
      </c>
      <c r="B746" s="70" t="str">
        <f>+IF((PROVEEDORES[[#This Row],[FECHA DE PAGO]]-PROVEEDORES[[#This Row],[FECHA DE FACTURACIÓN]])&gt;PROVEEDORES[[#This Row],[PLAZO Días]],"PAGO VENCIDO")</f>
        <v>PAGO VENCIDO</v>
      </c>
      <c r="C746" s="27">
        <f>+VLOOKUP(PROVEEDORES[[#This Row],[PROVEEDOR]],TERCEROS_INFO[#All],2,FALSE)</f>
        <v>30</v>
      </c>
      <c r="D746" s="37">
        <f>+SUMIFS(PROVEEDORES[Total],PROVEEDORES[PROVEEDOR],PROVEEDORES[[#This Row],[PROVEEDOR]],PROVEEDORES[FECHA DE PAGO],"")</f>
        <v>0</v>
      </c>
      <c r="E746" s="37"/>
      <c r="F746" s="108" t="str">
        <f>+VLOOKUP(PROVEEDORES[[#This Row],[PROVEEDOR]],TERCEROS_INFO[[PROVEEDOR]:[CORREO]],5,FALSE)</f>
        <v>ventasmegamundo@yahoo.es;girlesa.ruiz@servipilas.com;joriescobar64@gmail.com</v>
      </c>
      <c r="G746" s="143">
        <v>44389</v>
      </c>
      <c r="H746" s="38" t="s">
        <v>915</v>
      </c>
      <c r="I746" s="30">
        <v>44341</v>
      </c>
      <c r="J746" s="58">
        <v>1216</v>
      </c>
      <c r="K746" s="32">
        <v>182352.94</v>
      </c>
      <c r="L746" s="32"/>
      <c r="M746" s="33">
        <f>(PROVEEDORES[[#This Row],[SUBTOTAL]]-PROVEEDORES[[#This Row],[descuento antes de IVA]])*VLOOKUP(PROVEEDORES[[#This Row],[PROVEEDOR]],TERCEROS_INFO[#All],3,FALSE)</f>
        <v>34647.058600000004</v>
      </c>
      <c r="N746" s="34"/>
      <c r="O746" s="33">
        <f>+PROVEEDORES[[#This Row],[Descuento sobre subtotal %]]*(PROVEEDORES[[#This Row],[SUBTOTAL]]-PROVEEDORES[[#This Row],[descuento antes de IVA]])</f>
        <v>0</v>
      </c>
      <c r="P7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46" s="33">
        <f>+(PROVEEDORES[[#This Row],[SUBTOTAL]]-PROVEEDORES[[#This Row],[descuento antes de IVA]])*PROVEEDORES[[#This Row],[Rete Fuente %]]</f>
        <v>0</v>
      </c>
      <c r="R746" s="32">
        <f>+PROVEEDORES[[#This Row],[SUBTOTAL]]+PROVEEDORES[[#This Row],[IVA 19%]]-PROVEEDORES[[#This Row],[descuento antes de IVA]]-PROVEEDORES[[#This Row],[Descuento sobre subtotal $]]-PROVEEDORES[[#This Row],[Rete Fuente $]]</f>
        <v>216999.99859999999</v>
      </c>
      <c r="S74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6" s="40"/>
      <c r="U746" s="97"/>
      <c r="V746" s="36"/>
      <c r="W746" s="36"/>
      <c r="X746" s="36"/>
      <c r="Y746" s="36"/>
      <c r="Z746" s="41"/>
      <c r="AA746" s="42"/>
      <c r="AF746" s="36"/>
      <c r="AG746" s="36"/>
    </row>
    <row r="747" spans="1:33" ht="21.95" hidden="1" customHeight="1" x14ac:dyDescent="0.25">
      <c r="A747" s="39" t="str">
        <f>+IF(PROVEEDORES[[#This Row],[FECHA DE PAGO]]=PROVEEDORES[[#This Row],[FECHA DE FACTURACIÓN]],"DE CONTADO","CRÉDITO")</f>
        <v>CRÉDITO</v>
      </c>
      <c r="B747" s="67" t="b">
        <f>+IF((PROVEEDORES[[#This Row],[FECHA DE PAGO]]-PROVEEDORES[[#This Row],[FECHA DE FACTURACIÓN]])&gt;PROVEEDORES[[#This Row],[PLAZO Días]],"PAGO VENCIDO")</f>
        <v>0</v>
      </c>
      <c r="C747" s="27">
        <f>+VLOOKUP(PROVEEDORES[[#This Row],[PROVEEDOR]],TERCEROS_INFO[#All],2,FALSE)</f>
        <v>30</v>
      </c>
      <c r="D747" s="37">
        <f>+SUMIFS(PROVEEDORES[Total],PROVEEDORES[PROVEEDOR],PROVEEDORES[[#This Row],[PROVEEDOR]],PROVEEDORES[FECHA DE PAGO],"")</f>
        <v>0</v>
      </c>
      <c r="E747" s="37"/>
      <c r="F747" s="108" t="str">
        <f>+VLOOKUP(PROVEEDORES[[#This Row],[PROVEEDOR]],TERCEROS_INFO[[PROVEEDOR]:[CORREO]],5,FALSE)</f>
        <v>ventasmegamundo@yahoo.es;girlesa.ruiz@servipilas.com;joriescobar64@gmail.com</v>
      </c>
      <c r="G747" s="143">
        <v>44328</v>
      </c>
      <c r="H747" s="38" t="s">
        <v>915</v>
      </c>
      <c r="I747" s="30">
        <v>44344</v>
      </c>
      <c r="J747" s="58">
        <v>23</v>
      </c>
      <c r="K747" s="32">
        <v>-100842</v>
      </c>
      <c r="L747" s="32"/>
      <c r="M747" s="33">
        <f>(PROVEEDORES[[#This Row],[SUBTOTAL]]-PROVEEDORES[[#This Row],[descuento antes de IVA]])*VLOOKUP(PROVEEDORES[[#This Row],[PROVEEDOR]],TERCEROS_INFO[#All],3,FALSE)</f>
        <v>-19159.98</v>
      </c>
      <c r="N747" s="34"/>
      <c r="O747" s="33">
        <f>+PROVEEDORES[[#This Row],[Descuento sobre subtotal %]]*(PROVEEDORES[[#This Row],[SUBTOTAL]]-PROVEEDORES[[#This Row],[descuento antes de IVA]])</f>
        <v>0</v>
      </c>
      <c r="P7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47" s="33">
        <f>+(PROVEEDORES[[#This Row],[SUBTOTAL]]-PROVEEDORES[[#This Row],[descuento antes de IVA]])*PROVEEDORES[[#This Row],[Rete Fuente %]]</f>
        <v>0</v>
      </c>
      <c r="R747" s="32">
        <f>+PROVEEDORES[[#This Row],[SUBTOTAL]]+PROVEEDORES[[#This Row],[IVA 19%]]-PROVEEDORES[[#This Row],[descuento antes de IVA]]-PROVEEDORES[[#This Row],[Descuento sobre subtotal $]]-PROVEEDORES[[#This Row],[Rete Fuente $]]</f>
        <v>-120001.98</v>
      </c>
      <c r="S7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7" s="40"/>
      <c r="U747" s="97"/>
      <c r="V747" s="36"/>
      <c r="W747" s="36"/>
      <c r="X747" s="36"/>
      <c r="Y747" s="36"/>
      <c r="Z747" s="41"/>
      <c r="AA747" s="42"/>
      <c r="AF747" s="36"/>
      <c r="AG747" s="36"/>
    </row>
    <row r="748" spans="1:33" ht="21.95" hidden="1" customHeight="1" x14ac:dyDescent="0.25">
      <c r="A748" s="124" t="str">
        <f>+IF(PROVEEDORES[[#This Row],[FECHA DE PAGO]]=PROVEEDORES[[#This Row],[FECHA DE FACTURACIÓN]],"DE CONTADO","CRÉDITO")</f>
        <v>CRÉDITO</v>
      </c>
      <c r="B748" s="70" t="str">
        <f>+IF((PROVEEDORES[[#This Row],[FECHA DE PAGO]]-PROVEEDORES[[#This Row],[FECHA DE FACTURACIÓN]])&gt;PROVEEDORES[[#This Row],[PLAZO Días]],"PAGO VENCIDO")</f>
        <v>PAGO VENCIDO</v>
      </c>
      <c r="C748" s="27">
        <f>+VLOOKUP(PROVEEDORES[[#This Row],[PROVEEDOR]],TERCEROS_INFO[#All],2,FALSE)</f>
        <v>30</v>
      </c>
      <c r="D748" s="37">
        <f>+SUMIFS(PROVEEDORES[Total],PROVEEDORES[PROVEEDOR],PROVEEDORES[[#This Row],[PROVEEDOR]],PROVEEDORES[FECHA DE PAGO],"")</f>
        <v>0</v>
      </c>
      <c r="E748" s="37"/>
      <c r="F748" s="108" t="str">
        <f>+VLOOKUP(PROVEEDORES[[#This Row],[PROVEEDOR]],TERCEROS_INFO[[PROVEEDOR]:[CORREO]],5,FALSE)</f>
        <v>ventasmegamundo@yahoo.es;girlesa.ruiz@servipilas.com;joriescobar64@gmail.com</v>
      </c>
      <c r="G748" s="143">
        <v>44418</v>
      </c>
      <c r="H748" s="38" t="s">
        <v>915</v>
      </c>
      <c r="I748" s="30">
        <v>44357</v>
      </c>
      <c r="J748" s="58">
        <v>1265</v>
      </c>
      <c r="K748" s="32">
        <v>1199159.68</v>
      </c>
      <c r="L748" s="32"/>
      <c r="M748" s="33">
        <f>(PROVEEDORES[[#This Row],[SUBTOTAL]]-PROVEEDORES[[#This Row],[descuento antes de IVA]])*VLOOKUP(PROVEEDORES[[#This Row],[PROVEEDOR]],TERCEROS_INFO[#All],3,FALSE)</f>
        <v>227840.33919999999</v>
      </c>
      <c r="N748" s="34"/>
      <c r="O748" s="33">
        <f>+PROVEEDORES[[#This Row],[Descuento sobre subtotal %]]*(PROVEEDORES[[#This Row],[SUBTOTAL]]-PROVEEDORES[[#This Row],[descuento antes de IVA]])</f>
        <v>0</v>
      </c>
      <c r="P7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48" s="33">
        <f>+(PROVEEDORES[[#This Row],[SUBTOTAL]]-PROVEEDORES[[#This Row],[descuento antes de IVA]])*PROVEEDORES[[#This Row],[Rete Fuente %]]</f>
        <v>29978.991999999998</v>
      </c>
      <c r="R748" s="32">
        <f>+PROVEEDORES[[#This Row],[SUBTOTAL]]+PROVEEDORES[[#This Row],[IVA 19%]]-PROVEEDORES[[#This Row],[descuento antes de IVA]]-PROVEEDORES[[#This Row],[Descuento sobre subtotal $]]-PROVEEDORES[[#This Row],[Rete Fuente $]]</f>
        <v>1397021.0271999999</v>
      </c>
      <c r="S748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8" s="40"/>
      <c r="U748" s="97"/>
      <c r="V748" s="36"/>
      <c r="W748" s="36"/>
      <c r="X748" s="36"/>
      <c r="Y748" s="36"/>
      <c r="Z748" s="41"/>
      <c r="AA748" s="42"/>
      <c r="AF748" s="36"/>
      <c r="AG748" s="36"/>
    </row>
    <row r="749" spans="1:33" ht="21.95" hidden="1" customHeight="1" x14ac:dyDescent="0.25">
      <c r="A749" s="35" t="str">
        <f>+IF(PROVEEDORES[[#This Row],[FECHA DE PAGO]]=PROVEEDORES[[#This Row],[FECHA DE FACTURACIÓN]],"DE CONTADO","CRÉDITO")</f>
        <v>CRÉDITO</v>
      </c>
      <c r="B749" s="70" t="str">
        <f>+IF((PROVEEDORES[[#This Row],[FECHA DE PAGO]]-PROVEEDORES[[#This Row],[FECHA DE FACTURACIÓN]])&gt;PROVEEDORES[[#This Row],[PLAZO Días]],"PAGO VENCIDO")</f>
        <v>PAGO VENCIDO</v>
      </c>
      <c r="C749" s="27">
        <f>+VLOOKUP(PROVEEDORES[[#This Row],[PROVEEDOR]],TERCEROS_INFO[#All],2,FALSE)</f>
        <v>30</v>
      </c>
      <c r="D749" s="37">
        <f>+SUMIFS(PROVEEDORES[Total],PROVEEDORES[PROVEEDOR],PROVEEDORES[[#This Row],[PROVEEDOR]],PROVEEDORES[FECHA DE PAGO],"")</f>
        <v>0</v>
      </c>
      <c r="E749" s="37"/>
      <c r="F749" s="108" t="str">
        <f>+VLOOKUP(PROVEEDORES[[#This Row],[PROVEEDOR]],TERCEROS_INFO[[PROVEEDOR]:[CORREO]],5,FALSE)</f>
        <v>ventasmegamundo@yahoo.es;girlesa.ruiz@servipilas.com;joriescobar64@gmail.com</v>
      </c>
      <c r="G749" s="143">
        <v>44418</v>
      </c>
      <c r="H749" s="38" t="s">
        <v>915</v>
      </c>
      <c r="I749" s="30">
        <v>44364</v>
      </c>
      <c r="J749" s="58">
        <v>1288</v>
      </c>
      <c r="K749" s="32">
        <v>226890.76</v>
      </c>
      <c r="L749" s="32"/>
      <c r="M749" s="33">
        <f>(PROVEEDORES[[#This Row],[SUBTOTAL]]-PROVEEDORES[[#This Row],[descuento antes de IVA]])*VLOOKUP(PROVEEDORES[[#This Row],[PROVEEDOR]],TERCEROS_INFO[#All],3,FALSE)</f>
        <v>43109.244400000003</v>
      </c>
      <c r="N749" s="34"/>
      <c r="O749" s="33">
        <f>+PROVEEDORES[[#This Row],[Descuento sobre subtotal %]]*(PROVEEDORES[[#This Row],[SUBTOTAL]]-PROVEEDORES[[#This Row],[descuento antes de IVA]])</f>
        <v>0</v>
      </c>
      <c r="P7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49" s="33">
        <f>+(PROVEEDORES[[#This Row],[SUBTOTAL]]-PROVEEDORES[[#This Row],[descuento antes de IVA]])*PROVEEDORES[[#This Row],[Rete Fuente %]]</f>
        <v>0</v>
      </c>
      <c r="R749" s="32">
        <f>+PROVEEDORES[[#This Row],[SUBTOTAL]]+PROVEEDORES[[#This Row],[IVA 19%]]-PROVEEDORES[[#This Row],[descuento antes de IVA]]-PROVEEDORES[[#This Row],[Descuento sobre subtotal $]]-PROVEEDORES[[#This Row],[Rete Fuente $]]</f>
        <v>270000.00440000003</v>
      </c>
      <c r="S74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9" s="40"/>
      <c r="U749" s="97"/>
      <c r="V749" s="36"/>
      <c r="W749" s="36"/>
      <c r="X749" s="36"/>
      <c r="Y749" s="36"/>
      <c r="Z749" s="41"/>
      <c r="AA749" s="42"/>
      <c r="AF749" s="36"/>
      <c r="AG749" s="36"/>
    </row>
    <row r="750" spans="1:33" ht="21.95" hidden="1" customHeight="1" x14ac:dyDescent="0.25">
      <c r="A750" s="134" t="str">
        <f>+IF(PROVEEDORES[[#This Row],[FECHA DE PAGO]]=PROVEEDORES[[#This Row],[FECHA DE FACTURACIÓN]],"DE CONTADO","CRÉDITO")</f>
        <v>CRÉDITO</v>
      </c>
      <c r="B750" s="70" t="str">
        <f>+IF((PROVEEDORES[[#This Row],[FECHA DE PAGO]]-PROVEEDORES[[#This Row],[FECHA DE FACTURACIÓN]])&gt;PROVEEDORES[[#This Row],[PLAZO Días]],"PAGO VENCIDO")</f>
        <v>PAGO VENCIDO</v>
      </c>
      <c r="C750" s="27">
        <f>+VLOOKUP(PROVEEDORES[[#This Row],[PROVEEDOR]],TERCEROS_INFO[#All],2,FALSE)</f>
        <v>30</v>
      </c>
      <c r="D750" s="37">
        <f>+SUMIFS(PROVEEDORES[Total],PROVEEDORES[PROVEEDOR],PROVEEDORES[[#This Row],[PROVEEDOR]],PROVEEDORES[FECHA DE PAGO],"")</f>
        <v>0</v>
      </c>
      <c r="E750" s="37"/>
      <c r="F750" s="108" t="str">
        <f>+VLOOKUP(PROVEEDORES[[#This Row],[PROVEEDOR]],TERCEROS_INFO[[PROVEEDOR]:[CORREO]],5,FALSE)</f>
        <v>ventasmegamundo@yahoo.es;girlesa.ruiz@servipilas.com;joriescobar64@gmail.com</v>
      </c>
      <c r="G750" s="143">
        <v>44442</v>
      </c>
      <c r="H750" s="38" t="s">
        <v>915</v>
      </c>
      <c r="I750" s="30">
        <v>44392</v>
      </c>
      <c r="J750" s="58">
        <v>1416</v>
      </c>
      <c r="K750" s="32">
        <v>2333613.44</v>
      </c>
      <c r="L750" s="32"/>
      <c r="M750" s="33">
        <f>(PROVEEDORES[[#This Row],[SUBTOTAL]]-PROVEEDORES[[#This Row],[descuento antes de IVA]])*VLOOKUP(PROVEEDORES[[#This Row],[PROVEEDOR]],TERCEROS_INFO[#All],3,FALSE)</f>
        <v>443386.55359999998</v>
      </c>
      <c r="N750" s="34"/>
      <c r="O750" s="33">
        <f>+PROVEEDORES[[#This Row],[Descuento sobre subtotal %]]*(PROVEEDORES[[#This Row],[SUBTOTAL]]-PROVEEDORES[[#This Row],[descuento antes de IVA]])</f>
        <v>0</v>
      </c>
      <c r="P7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50" s="33">
        <f>+(PROVEEDORES[[#This Row],[SUBTOTAL]]-PROVEEDORES[[#This Row],[descuento antes de IVA]])*PROVEEDORES[[#This Row],[Rete Fuente %]]</f>
        <v>58340.336000000003</v>
      </c>
      <c r="R750" s="32">
        <f>+PROVEEDORES[[#This Row],[SUBTOTAL]]+PROVEEDORES[[#This Row],[IVA 19%]]-PROVEEDORES[[#This Row],[descuento antes de IVA]]-PROVEEDORES[[#This Row],[Descuento sobre subtotal $]]-PROVEEDORES[[#This Row],[Rete Fuente $]]</f>
        <v>2718659.6575999996</v>
      </c>
      <c r="S750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0" s="40"/>
      <c r="U750" s="97"/>
      <c r="V750" s="36"/>
      <c r="W750" s="36"/>
      <c r="X750" s="36"/>
      <c r="Y750" s="36"/>
      <c r="Z750" s="41"/>
      <c r="AA750" s="42"/>
      <c r="AF750" s="36"/>
      <c r="AG750" s="36"/>
    </row>
    <row r="751" spans="1:33" ht="21.95" hidden="1" customHeight="1" x14ac:dyDescent="0.25">
      <c r="A751" s="139" t="str">
        <f>+IF(PROVEEDORES[[#This Row],[FECHA DE PAGO]]=PROVEEDORES[[#This Row],[FECHA DE FACTURACIÓN]],"DE CONTADO","CRÉDITO")</f>
        <v>CRÉDITO</v>
      </c>
      <c r="B751" s="70" t="str">
        <f>+IF((PROVEEDORES[[#This Row],[FECHA DE PAGO]]-PROVEEDORES[[#This Row],[FECHA DE FACTURACIÓN]])&gt;PROVEEDORES[[#This Row],[PLAZO Días]],"PAGO VENCIDO")</f>
        <v>PAGO VENCIDO</v>
      </c>
      <c r="C751" s="27">
        <f>+VLOOKUP(PROVEEDORES[[#This Row],[PROVEEDOR]],TERCEROS_INFO[#All],2,FALSE)</f>
        <v>30</v>
      </c>
      <c r="D751" s="37">
        <f>+SUMIFS(PROVEEDORES[Total],PROVEEDORES[PROVEEDOR],PROVEEDORES[[#This Row],[PROVEEDOR]],PROVEEDORES[FECHA DE PAGO],"")</f>
        <v>0</v>
      </c>
      <c r="E751" s="37"/>
      <c r="F751" s="108" t="str">
        <f>+VLOOKUP(PROVEEDORES[[#This Row],[PROVEEDOR]],TERCEROS_INFO[[PROVEEDOR]:[CORREO]],5,FALSE)</f>
        <v>ventasmegamundo@yahoo.es;girlesa.ruiz@servipilas.com;joriescobar64@gmail.com</v>
      </c>
      <c r="G751" s="143">
        <v>44452</v>
      </c>
      <c r="H751" s="38" t="s">
        <v>915</v>
      </c>
      <c r="I751" s="30">
        <v>44412</v>
      </c>
      <c r="J751" s="58">
        <v>1525</v>
      </c>
      <c r="K751" s="32">
        <v>1556722.69</v>
      </c>
      <c r="L751" s="32"/>
      <c r="M751" s="33">
        <f>(PROVEEDORES[[#This Row],[SUBTOTAL]]-PROVEEDORES[[#This Row],[descuento antes de IVA]])*VLOOKUP(PROVEEDORES[[#This Row],[PROVEEDOR]],TERCEROS_INFO[#All],3,FALSE)</f>
        <v>295777.31109999999</v>
      </c>
      <c r="N751" s="34"/>
      <c r="O751" s="33">
        <f>+PROVEEDORES[[#This Row],[Descuento sobre subtotal %]]*(PROVEEDORES[[#This Row],[SUBTOTAL]]-PROVEEDORES[[#This Row],[descuento antes de IVA]])</f>
        <v>0</v>
      </c>
      <c r="P7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51" s="33">
        <f>+(PROVEEDORES[[#This Row],[SUBTOTAL]]-PROVEEDORES[[#This Row],[descuento antes de IVA]])*PROVEEDORES[[#This Row],[Rete Fuente %]]</f>
        <v>38918.06725</v>
      </c>
      <c r="R751" s="32">
        <f>+PROVEEDORES[[#This Row],[SUBTOTAL]]+PROVEEDORES[[#This Row],[IVA 19%]]-PROVEEDORES[[#This Row],[descuento antes de IVA]]-PROVEEDORES[[#This Row],[Descuento sobre subtotal $]]-PROVEEDORES[[#This Row],[Rete Fuente $]]</f>
        <v>1813581.9338499999</v>
      </c>
      <c r="S751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1" s="40"/>
      <c r="U751" s="97"/>
      <c r="V751" s="36"/>
      <c r="W751" s="36"/>
      <c r="X751" s="36"/>
      <c r="Y751" s="36"/>
      <c r="Z751" s="41"/>
      <c r="AA751" s="42"/>
      <c r="AF751" s="36"/>
      <c r="AG751" s="36"/>
    </row>
    <row r="752" spans="1:33" ht="21.95" hidden="1" customHeight="1" x14ac:dyDescent="0.25">
      <c r="A752" s="142" t="str">
        <f>+IF(PROVEEDORES[[#This Row],[FECHA DE PAGO]]=PROVEEDORES[[#This Row],[FECHA DE FACTURACIÓN]],"DE CONTADO","CRÉDITO")</f>
        <v>CRÉDITO</v>
      </c>
      <c r="B752" s="70" t="str">
        <f>+IF((PROVEEDORES[[#This Row],[FECHA DE PAGO]]-PROVEEDORES[[#This Row],[FECHA DE FACTURACIÓN]])&gt;PROVEEDORES[[#This Row],[PLAZO Días]],"PAGO VENCIDO")</f>
        <v>PAGO VENCIDO</v>
      </c>
      <c r="C752" s="27">
        <v>-1</v>
      </c>
      <c r="D752" s="37">
        <f>+SUMIFS(PROVEEDORES[Total],PROVEEDORES[PROVEEDOR],PROVEEDORES[[#This Row],[PROVEEDOR]],PROVEEDORES[FECHA DE PAGO],"")</f>
        <v>0</v>
      </c>
      <c r="E752" s="37"/>
      <c r="F752" s="108" t="str">
        <f>+VLOOKUP(PROVEEDORES[[#This Row],[PROVEEDOR]],TERCEROS_INFO[[PROVEEDOR]:[CORREO]],5,FALSE)</f>
        <v>ventasmegamundo@yahoo.es;girlesa.ruiz@servipilas.com;joriescobar64@gmail.com</v>
      </c>
      <c r="G752" s="143">
        <v>44442</v>
      </c>
      <c r="H752" s="38" t="s">
        <v>915</v>
      </c>
      <c r="I752" s="30">
        <v>44433</v>
      </c>
      <c r="J752" s="58" t="s">
        <v>836</v>
      </c>
      <c r="K752" s="32">
        <v>-95378.15</v>
      </c>
      <c r="L752" s="32"/>
      <c r="M752" s="33">
        <f>(PROVEEDORES[[#This Row],[SUBTOTAL]]-PROVEEDORES[[#This Row],[descuento antes de IVA]])*VLOOKUP(PROVEEDORES[[#This Row],[PROVEEDOR]],TERCEROS_INFO[#All],3,FALSE)</f>
        <v>-18121.8485</v>
      </c>
      <c r="N752" s="34"/>
      <c r="O752" s="33">
        <f>+PROVEEDORES[[#This Row],[Descuento sobre subtotal %]]*(PROVEEDORES[[#This Row],[SUBTOTAL]]-PROVEEDORES[[#This Row],[descuento antes de IVA]])</f>
        <v>0</v>
      </c>
      <c r="P752" s="34">
        <v>0</v>
      </c>
      <c r="Q752" s="33">
        <f>+(PROVEEDORES[[#This Row],[SUBTOTAL]]-PROVEEDORES[[#This Row],[descuento antes de IVA]])*PROVEEDORES[[#This Row],[Rete Fuente %]]</f>
        <v>0</v>
      </c>
      <c r="R752" s="32">
        <f>+PROVEEDORES[[#This Row],[SUBTOTAL]]+PROVEEDORES[[#This Row],[IVA 19%]]-PROVEEDORES[[#This Row],[descuento antes de IVA]]-PROVEEDORES[[#This Row],[Descuento sobre subtotal $]]-PROVEEDORES[[#This Row],[Rete Fuente $]]</f>
        <v>-113499.99849999999</v>
      </c>
      <c r="S752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2" s="40"/>
      <c r="U752" s="97"/>
      <c r="V752" s="36"/>
      <c r="W752" s="36"/>
      <c r="X752" s="36"/>
      <c r="Y752" s="36"/>
      <c r="Z752" s="41"/>
      <c r="AA752" s="42"/>
      <c r="AF752" s="36"/>
      <c r="AG752" s="36"/>
    </row>
    <row r="753" spans="1:33" ht="21.95" hidden="1" customHeight="1" x14ac:dyDescent="0.25">
      <c r="A753" s="153" t="str">
        <f>+IF(PROVEEDORES[[#This Row],[FECHA DE PAGO]]=PROVEEDORES[[#This Row],[FECHA DE FACTURACIÓN]],"DE CONTADO","CRÉDITO")</f>
        <v>CRÉDITO</v>
      </c>
      <c r="B753" s="70" t="str">
        <f>+IF((PROVEEDORES[[#This Row],[FECHA DE PAGO]]-PROVEEDORES[[#This Row],[FECHA DE FACTURACIÓN]])&gt;PROVEEDORES[[#This Row],[PLAZO Días]],"PAGO VENCIDO")</f>
        <v>PAGO VENCIDO</v>
      </c>
      <c r="C753" s="27">
        <f>+VLOOKUP(PROVEEDORES[[#This Row],[PROVEEDOR]],TERCEROS_INFO[#All],2,FALSE)</f>
        <v>30</v>
      </c>
      <c r="D753" s="37">
        <f>+SUMIFS(PROVEEDORES[Total],PROVEEDORES[PROVEEDOR],PROVEEDORES[[#This Row],[PROVEEDOR]],PROVEEDORES[FECHA DE PAGO],"")</f>
        <v>0</v>
      </c>
      <c r="E753" s="37"/>
      <c r="F753" s="108" t="str">
        <f>+VLOOKUP(PROVEEDORES[[#This Row],[PROVEEDOR]],TERCEROS_INFO[[PROVEEDOR]:[CORREO]],5,FALSE)</f>
        <v>ventasmegamundo@yahoo.es;girlesa.ruiz@servipilas.com;joriescobar64@gmail.com</v>
      </c>
      <c r="G753" s="143">
        <v>44523</v>
      </c>
      <c r="H753" s="38" t="s">
        <v>915</v>
      </c>
      <c r="I753" s="30">
        <v>44460</v>
      </c>
      <c r="J753" s="58">
        <v>1759</v>
      </c>
      <c r="K753" s="32">
        <v>2299075.62</v>
      </c>
      <c r="L753" s="32"/>
      <c r="M753" s="33">
        <f>(PROVEEDORES[[#This Row],[SUBTOTAL]]-PROVEEDORES[[#This Row],[descuento antes de IVA]])*VLOOKUP(PROVEEDORES[[#This Row],[PROVEEDOR]],TERCEROS_INFO[#All],3,FALSE)</f>
        <v>436824.36780000001</v>
      </c>
      <c r="N753" s="34"/>
      <c r="O753" s="33">
        <f>+PROVEEDORES[[#This Row],[Descuento sobre subtotal %]]*(PROVEEDORES[[#This Row],[SUBTOTAL]]-PROVEEDORES[[#This Row],[descuento antes de IVA]])</f>
        <v>0</v>
      </c>
      <c r="P7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53" s="33">
        <f>+(PROVEEDORES[[#This Row],[SUBTOTAL]]-PROVEEDORES[[#This Row],[descuento antes de IVA]])*PROVEEDORES[[#This Row],[Rete Fuente %]]</f>
        <v>57476.890500000009</v>
      </c>
      <c r="R753" s="32">
        <f>+PROVEEDORES[[#This Row],[SUBTOTAL]]+PROVEEDORES[[#This Row],[IVA 19%]]-PROVEEDORES[[#This Row],[descuento antes de IVA]]-PROVEEDORES[[#This Row],[Descuento sobre subtotal $]]-PROVEEDORES[[#This Row],[Rete Fuente $]]</f>
        <v>2678423.0973</v>
      </c>
      <c r="S753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3" s="40"/>
      <c r="U753" s="97"/>
      <c r="V753" s="36"/>
      <c r="W753" s="36"/>
      <c r="X753" s="36"/>
      <c r="Y753" s="36"/>
      <c r="Z753" s="41"/>
      <c r="AA753" s="42"/>
      <c r="AF753" s="36"/>
      <c r="AG753" s="36"/>
    </row>
    <row r="754" spans="1:33" ht="21.95" hidden="1" customHeight="1" x14ac:dyDescent="0.25">
      <c r="A754" s="154" t="str">
        <f>+IF(PROVEEDORES[[#This Row],[FECHA DE PAGO]]=PROVEEDORES[[#This Row],[FECHA DE FACTURACIÓN]],"DE CONTADO","CRÉDITO")</f>
        <v>CRÉDITO</v>
      </c>
      <c r="B754" s="70" t="str">
        <f>+IF((PROVEEDORES[[#This Row],[FECHA DE PAGO]]-PROVEEDORES[[#This Row],[FECHA DE FACTURACIÓN]])&gt;PROVEEDORES[[#This Row],[PLAZO Días]],"PAGO VENCIDO")</f>
        <v>PAGO VENCIDO</v>
      </c>
      <c r="C754" s="27">
        <f>+VLOOKUP(PROVEEDORES[[#This Row],[PROVEEDOR]],TERCEROS_INFO[#All],2,FALSE)</f>
        <v>30</v>
      </c>
      <c r="D754" s="37">
        <f>+SUMIFS(PROVEEDORES[Total],PROVEEDORES[PROVEEDOR],PROVEEDORES[[#This Row],[PROVEEDOR]],PROVEEDORES[FECHA DE PAGO],"")</f>
        <v>0</v>
      </c>
      <c r="E754" s="37"/>
      <c r="F754" s="108" t="str">
        <f>+VLOOKUP(PROVEEDORES[[#This Row],[PROVEEDOR]],TERCEROS_INFO[[PROVEEDOR]:[CORREO]],5,FALSE)</f>
        <v>ventasmegamundo@yahoo.es;girlesa.ruiz@servipilas.com;joriescobar64@gmail.com</v>
      </c>
      <c r="G754" s="143">
        <v>44523</v>
      </c>
      <c r="H754" s="38" t="s">
        <v>915</v>
      </c>
      <c r="I754" s="30">
        <v>44471</v>
      </c>
      <c r="J754" s="58" t="s">
        <v>878</v>
      </c>
      <c r="K754" s="32">
        <v>56302.52</v>
      </c>
      <c r="L754" s="32"/>
      <c r="M754" s="33">
        <f>(PROVEEDORES[[#This Row],[SUBTOTAL]]-PROVEEDORES[[#This Row],[descuento antes de IVA]])*VLOOKUP(PROVEEDORES[[#This Row],[PROVEEDOR]],TERCEROS_INFO[#All],3,FALSE)</f>
        <v>10697.478799999999</v>
      </c>
      <c r="N754" s="34"/>
      <c r="O754" s="33">
        <f>+PROVEEDORES[[#This Row],[Descuento sobre subtotal %]]*(PROVEEDORES[[#This Row],[SUBTOTAL]]-PROVEEDORES[[#This Row],[descuento antes de IVA]])</f>
        <v>0</v>
      </c>
      <c r="P754" s="34">
        <v>2.5000000000000001E-2</v>
      </c>
      <c r="Q754" s="33">
        <f>+(PROVEEDORES[[#This Row],[SUBTOTAL]]-PROVEEDORES[[#This Row],[descuento antes de IVA]])*PROVEEDORES[[#This Row],[Rete Fuente %]]</f>
        <v>1407.5630000000001</v>
      </c>
      <c r="R754" s="32">
        <f>+PROVEEDORES[[#This Row],[SUBTOTAL]]+PROVEEDORES[[#This Row],[IVA 19%]]-PROVEEDORES[[#This Row],[descuento antes de IVA]]-PROVEEDORES[[#This Row],[Descuento sobre subtotal $]]-PROVEEDORES[[#This Row],[Rete Fuente $]]</f>
        <v>65592.435800000007</v>
      </c>
      <c r="S754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4" s="40"/>
      <c r="U754" s="97"/>
      <c r="V754" s="36"/>
      <c r="W754" s="36"/>
      <c r="X754" s="36"/>
      <c r="Y754" s="36"/>
      <c r="Z754" s="41"/>
      <c r="AA754" s="42"/>
      <c r="AF754" s="36"/>
      <c r="AG754" s="36"/>
    </row>
    <row r="755" spans="1:33" ht="21.95" hidden="1" customHeight="1" x14ac:dyDescent="0.25">
      <c r="A755" s="161" t="str">
        <f>+IF(PROVEEDORES[[#This Row],[FECHA DE PAGO]]=PROVEEDORES[[#This Row],[FECHA DE FACTURACIÓN]],"DE CONTADO","CRÉDITO")</f>
        <v>CRÉDITO</v>
      </c>
      <c r="B755" s="70" t="str">
        <f>+IF((PROVEEDORES[[#This Row],[FECHA DE PAGO]]-PROVEEDORES[[#This Row],[FECHA DE FACTURACIÓN]])&gt;PROVEEDORES[[#This Row],[PLAZO Días]],"PAGO VENCIDO")</f>
        <v>PAGO VENCIDO</v>
      </c>
      <c r="C755" s="27">
        <f>+VLOOKUP(PROVEEDORES[[#This Row],[PROVEEDOR]],TERCEROS_INFO[#All],2,FALSE)</f>
        <v>30</v>
      </c>
      <c r="D755" s="37">
        <f>+SUMIFS(PROVEEDORES[Total],PROVEEDORES[PROVEEDOR],PROVEEDORES[[#This Row],[PROVEEDOR]],PROVEEDORES[FECHA DE PAGO],"")</f>
        <v>0</v>
      </c>
      <c r="E755" s="37"/>
      <c r="F755" s="108" t="str">
        <f>+VLOOKUP(PROVEEDORES[[#This Row],[PROVEEDOR]],TERCEROS_INFO[[PROVEEDOR]:[CORREO]],5,FALSE)</f>
        <v>ventasmegamundo@yahoo.es;girlesa.ruiz@servipilas.com;joriescobar64@gmail.com</v>
      </c>
      <c r="G755" s="143">
        <v>44543</v>
      </c>
      <c r="H755" s="38" t="s">
        <v>915</v>
      </c>
      <c r="I755" s="30">
        <v>44495</v>
      </c>
      <c r="J755" s="58">
        <v>144</v>
      </c>
      <c r="K755" s="32">
        <v>1340840.3400000001</v>
      </c>
      <c r="L755" s="32"/>
      <c r="M755" s="33">
        <f>(PROVEEDORES[[#This Row],[SUBTOTAL]]-PROVEEDORES[[#This Row],[descuento antes de IVA]])*VLOOKUP(PROVEEDORES[[#This Row],[PROVEEDOR]],TERCEROS_INFO[#All],3,FALSE)</f>
        <v>254759.66460000002</v>
      </c>
      <c r="N755" s="34"/>
      <c r="O755" s="33">
        <f>+PROVEEDORES[[#This Row],[Descuento sobre subtotal %]]*(PROVEEDORES[[#This Row],[SUBTOTAL]]-PROVEEDORES[[#This Row],[descuento antes de IVA]])</f>
        <v>0</v>
      </c>
      <c r="P7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55" s="33">
        <f>+(PROVEEDORES[[#This Row],[SUBTOTAL]]-PROVEEDORES[[#This Row],[descuento antes de IVA]])*PROVEEDORES[[#This Row],[Rete Fuente %]]</f>
        <v>33521.008500000004</v>
      </c>
      <c r="R755" s="32">
        <f>+PROVEEDORES[[#This Row],[SUBTOTAL]]+PROVEEDORES[[#This Row],[IVA 19%]]-PROVEEDORES[[#This Row],[descuento antes de IVA]]-PROVEEDORES[[#This Row],[Descuento sobre subtotal $]]-PROVEEDORES[[#This Row],[Rete Fuente $]]</f>
        <v>1562078.9961000001</v>
      </c>
      <c r="S755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5" s="40"/>
      <c r="U755" s="97"/>
      <c r="V755" s="36"/>
      <c r="W755" s="36"/>
      <c r="X755" s="36"/>
      <c r="Y755" s="36"/>
      <c r="Z755" s="41"/>
      <c r="AA755" s="42"/>
      <c r="AF755" s="36"/>
      <c r="AG755" s="36"/>
    </row>
    <row r="756" spans="1:33" ht="21.95" hidden="1" customHeight="1" x14ac:dyDescent="0.25">
      <c r="A756" s="164" t="str">
        <f>+IF(PROVEEDORES[[#This Row],[FECHA DE PAGO]]=PROVEEDORES[[#This Row],[FECHA DE FACTURACIÓN]],"DE CONTADO","CRÉDITO")</f>
        <v>CRÉDITO</v>
      </c>
      <c r="B756" s="70" t="b">
        <f>+IF((PROVEEDORES[[#This Row],[FECHA DE PAGO]]-PROVEEDORES[[#This Row],[FECHA DE FACTURACIÓN]])&gt;PROVEEDORES[[#This Row],[PLAZO Días]],"PAGO VENCIDO")</f>
        <v>0</v>
      </c>
      <c r="C756" s="27">
        <v>60</v>
      </c>
      <c r="D756" s="37">
        <f>+SUMIFS(PROVEEDORES[Total],PROVEEDORES[PROVEEDOR],PROVEEDORES[[#This Row],[PROVEEDOR]],PROVEEDORES[FECHA DE PAGO],"")</f>
        <v>0</v>
      </c>
      <c r="E756" s="37"/>
      <c r="F756" s="108" t="str">
        <f>+VLOOKUP(PROVEEDORES[[#This Row],[PROVEEDOR]],TERCEROS_INFO[[PROVEEDOR]:[CORREO]],5,FALSE)</f>
        <v>ventasmegamundo@yahoo.es;girlesa.ruiz@servipilas.com;joriescobar64@gmail.com</v>
      </c>
      <c r="G756" s="143">
        <v>44558</v>
      </c>
      <c r="H756" s="38" t="s">
        <v>915</v>
      </c>
      <c r="I756" s="30">
        <v>44510</v>
      </c>
      <c r="J756" s="58">
        <v>252</v>
      </c>
      <c r="K756" s="32">
        <v>428571.43</v>
      </c>
      <c r="L756" s="32"/>
      <c r="M756" s="33">
        <f>(PROVEEDORES[[#This Row],[SUBTOTAL]]-PROVEEDORES[[#This Row],[descuento antes de IVA]])*VLOOKUP(PROVEEDORES[[#This Row],[PROVEEDOR]],TERCEROS_INFO[#All],3,FALSE)</f>
        <v>81428.5717</v>
      </c>
      <c r="N756" s="34"/>
      <c r="O756" s="33">
        <f>+PROVEEDORES[[#This Row],[Descuento sobre subtotal %]]*(PROVEEDORES[[#This Row],[SUBTOTAL]]-PROVEEDORES[[#This Row],[descuento antes de IVA]])</f>
        <v>0</v>
      </c>
      <c r="P7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56" s="33">
        <f>+(PROVEEDORES[[#This Row],[SUBTOTAL]]-PROVEEDORES[[#This Row],[descuento antes de IVA]])*PROVEEDORES[[#This Row],[Rete Fuente %]]</f>
        <v>0</v>
      </c>
      <c r="R756" s="32">
        <f>+PROVEEDORES[[#This Row],[SUBTOTAL]]+PROVEEDORES[[#This Row],[IVA 19%]]-PROVEEDORES[[#This Row],[descuento antes de IVA]]-PROVEEDORES[[#This Row],[Descuento sobre subtotal $]]-PROVEEDORES[[#This Row],[Rete Fuente $]]</f>
        <v>510000.00170000002</v>
      </c>
      <c r="S756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6" s="40"/>
      <c r="U756" s="97"/>
      <c r="V756" s="36"/>
      <c r="W756" s="36"/>
      <c r="X756" s="36"/>
      <c r="Y756" s="36"/>
      <c r="Z756" s="41"/>
      <c r="AA756" s="42"/>
      <c r="AF756" s="36"/>
      <c r="AG756" s="36"/>
    </row>
    <row r="757" spans="1:33" ht="21.95" hidden="1" customHeight="1" x14ac:dyDescent="0.25">
      <c r="A757" s="142" t="str">
        <f>+IF(PROVEEDORES[[#This Row],[FECHA DE PAGO]]=PROVEEDORES[[#This Row],[FECHA DE FACTURACIÓN]],"DE CONTADO","CRÉDITO")</f>
        <v>DE CONTADO</v>
      </c>
      <c r="B757" s="70" t="b">
        <f>+IF((PROVEEDORES[[#This Row],[FECHA DE PAGO]]-PROVEEDORES[[#This Row],[FECHA DE FACTURACIÓN]])&gt;PROVEEDORES[[#This Row],[PLAZO Días]],"PAGO VENCIDO")</f>
        <v>0</v>
      </c>
      <c r="C757" s="27">
        <f>+VLOOKUP(PROVEEDORES[[#This Row],[PROVEEDOR]],TERCEROS_INFO[#All],2,FALSE)</f>
        <v>30</v>
      </c>
      <c r="D757" s="37">
        <f>+SUMIFS(PROVEEDORES[Total],PROVEEDORES[PROVEEDOR],PROVEEDORES[[#This Row],[PROVEEDOR]],PROVEEDORES[FECHA DE PAGO],"")</f>
        <v>0</v>
      </c>
      <c r="E757" s="37"/>
      <c r="F757" s="108">
        <f>+VLOOKUP(PROVEEDORES[[#This Row],[PROVEEDOR]],TERCEROS_INFO[[PROVEEDOR]:[CORREO]],5,FALSE)</f>
        <v>0</v>
      </c>
      <c r="G757" s="143">
        <v>44438</v>
      </c>
      <c r="H757" s="38" t="s">
        <v>829</v>
      </c>
      <c r="I757" s="30">
        <v>44438</v>
      </c>
      <c r="J757" s="58" t="s">
        <v>830</v>
      </c>
      <c r="K757" s="32">
        <v>1608000</v>
      </c>
      <c r="L757" s="32"/>
      <c r="M757" s="33">
        <f>(PROVEEDORES[[#This Row],[SUBTOTAL]]-PROVEEDORES[[#This Row],[descuento antes de IVA]])*VLOOKUP(PROVEEDORES[[#This Row],[PROVEEDOR]],TERCEROS_INFO[#All],3,FALSE)</f>
        <v>305520</v>
      </c>
      <c r="N757" s="34"/>
      <c r="O757" s="33">
        <f>+PROVEEDORES[[#This Row],[Descuento sobre subtotal %]]*(PROVEEDORES[[#This Row],[SUBTOTAL]]-PROVEEDORES[[#This Row],[descuento antes de IVA]])</f>
        <v>0</v>
      </c>
      <c r="P7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57" s="33">
        <f>+(PROVEEDORES[[#This Row],[SUBTOTAL]]-PROVEEDORES[[#This Row],[descuento antes de IVA]])*PROVEEDORES[[#This Row],[Rete Fuente %]]</f>
        <v>40200</v>
      </c>
      <c r="R757" s="32">
        <f>+PROVEEDORES[[#This Row],[SUBTOTAL]]+PROVEEDORES[[#This Row],[IVA 19%]]-PROVEEDORES[[#This Row],[descuento antes de IVA]]-PROVEEDORES[[#This Row],[Descuento sobre subtotal $]]-PROVEEDORES[[#This Row],[Rete Fuente $]]</f>
        <v>1873320</v>
      </c>
      <c r="S757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7" s="40"/>
      <c r="U757" s="97"/>
      <c r="V757" s="36"/>
      <c r="W757" s="36"/>
      <c r="X757" s="36"/>
      <c r="Y757" s="36"/>
      <c r="Z757" s="41"/>
      <c r="AA757" s="42"/>
      <c r="AF757" s="36"/>
      <c r="AG757" s="36"/>
    </row>
    <row r="758" spans="1:33" ht="21.95" hidden="1" customHeight="1" x14ac:dyDescent="0.25">
      <c r="A758" s="35" t="str">
        <f>+IF(PROVEEDORES[[#This Row],[FECHA DE PAGO]]=PROVEEDORES[[#This Row],[FECHA DE FACTURACIÓN]],"DE CONTADO","CRÉDITO")</f>
        <v>DE CONTADO</v>
      </c>
      <c r="B758" s="70" t="b">
        <f>+IF((PROVEEDORES[[#This Row],[FECHA DE PAGO]]-PROVEEDORES[[#This Row],[FECHA DE FACTURACIÓN]])&gt;PROVEEDORES[[#This Row],[PLAZO Días]],"PAGO VENCIDO")</f>
        <v>0</v>
      </c>
      <c r="C758" s="27">
        <f>+VLOOKUP(PROVEEDORES[[#This Row],[PROVEEDOR]],TERCEROS_INFO[#All],2,FALSE)</f>
        <v>30</v>
      </c>
      <c r="D758" s="37">
        <f>+SUMIFS(PROVEEDORES[Total],PROVEEDORES[PROVEEDOR],PROVEEDORES[[#This Row],[PROVEEDOR]],PROVEEDORES[FECHA DE PAGO],"")</f>
        <v>0</v>
      </c>
      <c r="E758" s="37"/>
      <c r="F758" s="108">
        <f>+VLOOKUP(PROVEEDORES[[#This Row],[PROVEEDOR]],TERCEROS_INFO[[PROVEEDOR]:[CORREO]],5,FALSE)</f>
        <v>0</v>
      </c>
      <c r="G758" s="143">
        <v>44545</v>
      </c>
      <c r="H758" s="38" t="s">
        <v>829</v>
      </c>
      <c r="I758" s="143">
        <v>44545</v>
      </c>
      <c r="J758" s="58" t="s">
        <v>1011</v>
      </c>
      <c r="K758" s="32">
        <v>4470000</v>
      </c>
      <c r="L758" s="32"/>
      <c r="M758" s="33">
        <f>(PROVEEDORES[[#This Row],[SUBTOTAL]]-PROVEEDORES[[#This Row],[descuento antes de IVA]])*VLOOKUP(PROVEEDORES[[#This Row],[PROVEEDOR]],TERCEROS_INFO[#All],3,FALSE)</f>
        <v>849300</v>
      </c>
      <c r="N758" s="34"/>
      <c r="O758" s="33">
        <f>+PROVEEDORES[[#This Row],[Descuento sobre subtotal %]]*(PROVEEDORES[[#This Row],[SUBTOTAL]]-PROVEEDORES[[#This Row],[descuento antes de IVA]])</f>
        <v>0</v>
      </c>
      <c r="P7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58" s="33">
        <f>+(PROVEEDORES[[#This Row],[SUBTOTAL]]-PROVEEDORES[[#This Row],[descuento antes de IVA]])*PROVEEDORES[[#This Row],[Rete Fuente %]]</f>
        <v>111750</v>
      </c>
      <c r="R758" s="32">
        <f>+PROVEEDORES[[#This Row],[SUBTOTAL]]+PROVEEDORES[[#This Row],[IVA 19%]]-PROVEEDORES[[#This Row],[descuento antes de IVA]]-PROVEEDORES[[#This Row],[Descuento sobre subtotal $]]-PROVEEDORES[[#This Row],[Rete Fuente $]]</f>
        <v>5207550</v>
      </c>
      <c r="S75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8" s="40"/>
      <c r="U758" s="97"/>
      <c r="V758" s="36"/>
      <c r="W758" s="36"/>
      <c r="X758" s="36"/>
      <c r="Y758" s="36"/>
      <c r="Z758" s="41"/>
      <c r="AA758" s="42"/>
      <c r="AF758" s="36"/>
      <c r="AG758" s="36"/>
    </row>
    <row r="759" spans="1:33" ht="21.95" hidden="1" customHeight="1" x14ac:dyDescent="0.25">
      <c r="A759" s="39" t="str">
        <f>+IF(PROVEEDORES[[#This Row],[FECHA DE PAGO]]=PROVEEDORES[[#This Row],[FECHA DE FACTURACIÓN]],"DE CONTADO","CRÉDITO")</f>
        <v>CRÉDITO</v>
      </c>
      <c r="B759" s="67" t="b">
        <f>+IF((PROVEEDORES[[#This Row],[FECHA DE PAGO]]-PROVEEDORES[[#This Row],[FECHA DE FACTURACIÓN]])&gt;PROVEEDORES[[#This Row],[PLAZO Días]],"PAGO VENCIDO")</f>
        <v>0</v>
      </c>
      <c r="C759" s="27">
        <f>+VLOOKUP(PROVEEDORES[[#This Row],[PROVEEDOR]],TERCEROS_INFO[#All],2,FALSE)</f>
        <v>30</v>
      </c>
      <c r="D759" s="37">
        <f>+SUMIFS(PROVEEDORES[Total],PROVEEDORES[PROVEEDOR],PROVEEDORES[[#This Row],[PROVEEDOR]],PROVEEDORES[FECHA DE PAGO],"")</f>
        <v>0</v>
      </c>
      <c r="E759" s="37"/>
      <c r="F759" s="108" t="str">
        <f>+VLOOKUP(PROVEEDORES[[#This Row],[PROVEEDOR]],TERCEROS_INFO[[PROVEEDOR]:[CORREO]],5,FALSE)</f>
        <v>juan.suarez@cosostenible.com;girlesa.ruiz@servipilas.com;joriescobar64@gmail.com</v>
      </c>
      <c r="G759" s="143">
        <v>43893</v>
      </c>
      <c r="H759" s="38" t="s">
        <v>55</v>
      </c>
      <c r="I759" s="30">
        <v>43889</v>
      </c>
      <c r="J759" s="58">
        <v>709</v>
      </c>
      <c r="K759" s="32">
        <v>904500</v>
      </c>
      <c r="L759" s="32"/>
      <c r="M759" s="33">
        <f>(PROVEEDORES[[#This Row],[SUBTOTAL]]-PROVEEDORES[[#This Row],[descuento antes de IVA]])*VLOOKUP(PROVEEDORES[[#This Row],[PROVEEDOR]],TERCEROS_INFO[#All],3,FALSE)</f>
        <v>171855</v>
      </c>
      <c r="N759" s="34"/>
      <c r="O759" s="33">
        <f>+PROVEEDORES[[#This Row],[Descuento sobre subtotal %]]*(PROVEEDORES[[#This Row],[SUBTOTAL]]-PROVEEDORES[[#This Row],[descuento antes de IVA]])</f>
        <v>0</v>
      </c>
      <c r="P7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59" s="33">
        <f>+(PROVEEDORES[[#This Row],[SUBTOTAL]]-PROVEEDORES[[#This Row],[descuento antes de IVA]])*PROVEEDORES[[#This Row],[Rete Fuente %]]</f>
        <v>0</v>
      </c>
      <c r="R759" s="32">
        <f>+PROVEEDORES[[#This Row],[SUBTOTAL]]+PROVEEDORES[[#This Row],[IVA 19%]]-PROVEEDORES[[#This Row],[descuento antes de IVA]]-PROVEEDORES[[#This Row],[Descuento sobre subtotal $]]-PROVEEDORES[[#This Row],[Rete Fuente $]]</f>
        <v>1076355</v>
      </c>
      <c r="S75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9" s="40"/>
      <c r="U759" s="97"/>
      <c r="V759" s="36"/>
      <c r="W759" s="36"/>
      <c r="X759" s="36"/>
      <c r="Y759" s="36"/>
      <c r="Z759" s="41"/>
      <c r="AA759" s="42"/>
      <c r="AF759" s="36"/>
      <c r="AG759" s="36"/>
    </row>
    <row r="760" spans="1:33" ht="21.95" hidden="1" customHeight="1" x14ac:dyDescent="0.25">
      <c r="A760" s="39" t="str">
        <f>+IF(PROVEEDORES[[#This Row],[FECHA DE PAGO]]=PROVEEDORES[[#This Row],[FECHA DE FACTURACIÓN]],"DE CONTADO","CRÉDITO")</f>
        <v>CRÉDITO</v>
      </c>
      <c r="B760" s="67" t="b">
        <f>+IF((PROVEEDORES[[#This Row],[FECHA DE PAGO]]-PROVEEDORES[[#This Row],[FECHA DE FACTURACIÓN]])&gt;PROVEEDORES[[#This Row],[PLAZO Días]],"PAGO VENCIDO")</f>
        <v>0</v>
      </c>
      <c r="C760" s="27">
        <f>+VLOOKUP(PROVEEDORES[[#This Row],[PROVEEDOR]],TERCEROS_INFO[#All],2,FALSE)</f>
        <v>30</v>
      </c>
      <c r="D760" s="37">
        <f>+SUMIFS(PROVEEDORES[Total],PROVEEDORES[PROVEEDOR],PROVEEDORES[[#This Row],[PROVEEDOR]],PROVEEDORES[FECHA DE PAGO],"")</f>
        <v>0</v>
      </c>
      <c r="E760" s="37"/>
      <c r="F760" s="108" t="str">
        <f>+VLOOKUP(PROVEEDORES[[#This Row],[PROVEEDOR]],TERCEROS_INFO[[PROVEEDOR]:[CORREO]],5,FALSE)</f>
        <v>juan.suarez@cosostenible.com;girlesa.ruiz@servipilas.com;joriescobar64@gmail.com</v>
      </c>
      <c r="G760" s="143">
        <v>43880</v>
      </c>
      <c r="H760" s="38" t="s">
        <v>55</v>
      </c>
      <c r="I760" s="30">
        <v>43903</v>
      </c>
      <c r="J760" s="58">
        <v>1614636</v>
      </c>
      <c r="K760" s="32">
        <v>606743.69747899158</v>
      </c>
      <c r="L760" s="32"/>
      <c r="M760" s="33">
        <f>(PROVEEDORES[[#This Row],[SUBTOTAL]]-PROVEEDORES[[#This Row],[descuento antes de IVA]])*VLOOKUP(PROVEEDORES[[#This Row],[PROVEEDOR]],TERCEROS_INFO[#All],3,FALSE)</f>
        <v>115281.3025210084</v>
      </c>
      <c r="N760" s="34"/>
      <c r="O760" s="33">
        <f>+PROVEEDORES[[#This Row],[Descuento sobre subtotal %]]*(PROVEEDORES[[#This Row],[SUBTOTAL]]-PROVEEDORES[[#This Row],[descuento antes de IVA]])</f>
        <v>0</v>
      </c>
      <c r="P7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60" s="33">
        <f>+(PROVEEDORES[[#This Row],[SUBTOTAL]]-PROVEEDORES[[#This Row],[descuento antes de IVA]])*PROVEEDORES[[#This Row],[Rete Fuente %]]</f>
        <v>0</v>
      </c>
      <c r="R760" s="32">
        <f>+PROVEEDORES[[#This Row],[SUBTOTAL]]+PROVEEDORES[[#This Row],[IVA 19%]]-PROVEEDORES[[#This Row],[descuento antes de IVA]]-PROVEEDORES[[#This Row],[Descuento sobre subtotal $]]-PROVEEDORES[[#This Row],[Rete Fuente $]]</f>
        <v>722025</v>
      </c>
      <c r="S76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0" s="40"/>
      <c r="U760" s="97"/>
      <c r="V760" s="36"/>
      <c r="W760" s="36"/>
      <c r="X760" s="36"/>
      <c r="Y760" s="36"/>
      <c r="Z760" s="41"/>
      <c r="AA760" s="42"/>
      <c r="AF760" s="36"/>
      <c r="AG760" s="36"/>
    </row>
    <row r="761" spans="1:33" ht="21.95" hidden="1" customHeight="1" x14ac:dyDescent="0.25">
      <c r="A761" s="39" t="str">
        <f>+IF(PROVEEDORES[[#This Row],[FECHA DE PAGO]]=PROVEEDORES[[#This Row],[FECHA DE FACTURACIÓN]],"DE CONTADO","CRÉDITO")</f>
        <v>CRÉDITO</v>
      </c>
      <c r="B761" s="67" t="b">
        <f>+IF((PROVEEDORES[[#This Row],[FECHA DE PAGO]]-PROVEEDORES[[#This Row],[FECHA DE FACTURACIÓN]])&gt;PROVEEDORES[[#This Row],[PLAZO Días]],"PAGO VENCIDO")</f>
        <v>0</v>
      </c>
      <c r="C761" s="27">
        <f>+VLOOKUP(PROVEEDORES[[#This Row],[PROVEEDOR]],TERCEROS_INFO[#All],2,FALSE)</f>
        <v>30</v>
      </c>
      <c r="D761" s="37">
        <f>+SUMIFS(PROVEEDORES[Total],PROVEEDORES[PROVEEDOR],PROVEEDORES[[#This Row],[PROVEEDOR]],PROVEEDORES[FECHA DE PAGO],"")</f>
        <v>0</v>
      </c>
      <c r="E761" s="37"/>
      <c r="F761" s="108" t="str">
        <f>+VLOOKUP(PROVEEDORES[[#This Row],[PROVEEDOR]],TERCEROS_INFO[[PROVEEDOR]:[CORREO]],5,FALSE)</f>
        <v>juan.suarez@cosostenible.com;girlesa.ruiz@servipilas.com;joriescobar64@gmail.com</v>
      </c>
      <c r="G761" s="143">
        <v>43983</v>
      </c>
      <c r="H761" s="38" t="s">
        <v>55</v>
      </c>
      <c r="I761" s="30">
        <v>43956</v>
      </c>
      <c r="J761" s="58">
        <v>816</v>
      </c>
      <c r="K761" s="32">
        <v>1189474.7899159663</v>
      </c>
      <c r="L761" s="32"/>
      <c r="M761" s="33">
        <f>(PROVEEDORES[[#This Row],[SUBTOTAL]]-PROVEEDORES[[#This Row],[descuento antes de IVA]])*VLOOKUP(PROVEEDORES[[#This Row],[PROVEEDOR]],TERCEROS_INFO[#All],3,FALSE)</f>
        <v>226000.21008403361</v>
      </c>
      <c r="N761" s="34"/>
      <c r="O761" s="33">
        <f>+PROVEEDORES[[#This Row],[Descuento sobre subtotal %]]*(PROVEEDORES[[#This Row],[SUBTOTAL]]-PROVEEDORES[[#This Row],[descuento antes de IVA]])</f>
        <v>0</v>
      </c>
      <c r="P7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61" s="33">
        <f>+(PROVEEDORES[[#This Row],[SUBTOTAL]]-PROVEEDORES[[#This Row],[descuento antes de IVA]])*PROVEEDORES[[#This Row],[Rete Fuente %]]</f>
        <v>29736.86974789916</v>
      </c>
      <c r="R761" s="32">
        <f>+PROVEEDORES[[#This Row],[SUBTOTAL]]+PROVEEDORES[[#This Row],[IVA 19%]]-PROVEEDORES[[#This Row],[descuento antes de IVA]]-PROVEEDORES[[#This Row],[Descuento sobre subtotal $]]-PROVEEDORES[[#This Row],[Rete Fuente $]]</f>
        <v>1385738.1302521008</v>
      </c>
      <c r="S76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1" s="40"/>
      <c r="U761" s="97"/>
      <c r="V761" s="36"/>
      <c r="W761" s="36"/>
      <c r="X761" s="36"/>
      <c r="Y761" s="36"/>
      <c r="Z761" s="41"/>
      <c r="AA761" s="42"/>
      <c r="AF761" s="36"/>
      <c r="AG761" s="36"/>
    </row>
    <row r="762" spans="1:33" ht="21.95" hidden="1" customHeight="1" x14ac:dyDescent="0.25">
      <c r="A762" s="39" t="str">
        <f>+IF(PROVEEDORES[[#This Row],[FECHA DE PAGO]]=PROVEEDORES[[#This Row],[FECHA DE FACTURACIÓN]],"DE CONTADO","CRÉDITO")</f>
        <v>CRÉDITO</v>
      </c>
      <c r="B762" s="67" t="str">
        <f>+IF((PROVEEDORES[[#This Row],[FECHA DE PAGO]]-PROVEEDORES[[#This Row],[FECHA DE FACTURACIÓN]])&gt;PROVEEDORES[[#This Row],[PLAZO Días]],"PAGO VENCIDO")</f>
        <v>PAGO VENCIDO</v>
      </c>
      <c r="C762" s="27">
        <f>+VLOOKUP(PROVEEDORES[[#This Row],[PROVEEDOR]],TERCEROS_INFO[#All],2,FALSE)</f>
        <v>30</v>
      </c>
      <c r="D762" s="37">
        <f>+SUMIFS(PROVEEDORES[Total],PROVEEDORES[PROVEEDOR],PROVEEDORES[[#This Row],[PROVEEDOR]],PROVEEDORES[FECHA DE PAGO],"")</f>
        <v>0</v>
      </c>
      <c r="E762" s="37"/>
      <c r="F762" s="108" t="str">
        <f>+VLOOKUP(PROVEEDORES[[#This Row],[PROVEEDOR]],TERCEROS_INFO[[PROVEEDOR]:[CORREO]],5,FALSE)</f>
        <v>juan.suarez@cosostenible.com;girlesa.ruiz@servipilas.com;joriescobar64@gmail.com</v>
      </c>
      <c r="G762" s="143">
        <v>43999</v>
      </c>
      <c r="H762" s="38" t="s">
        <v>55</v>
      </c>
      <c r="I762" s="30">
        <v>43957</v>
      </c>
      <c r="J762" s="58">
        <v>840</v>
      </c>
      <c r="K762" s="32">
        <v>1140000</v>
      </c>
      <c r="L762" s="32"/>
      <c r="M762" s="33">
        <f>(PROVEEDORES[[#This Row],[SUBTOTAL]]-PROVEEDORES[[#This Row],[descuento antes de IVA]])*VLOOKUP(PROVEEDORES[[#This Row],[PROVEEDOR]],TERCEROS_INFO[#All],3,FALSE)</f>
        <v>216600</v>
      </c>
      <c r="N762" s="34"/>
      <c r="O762" s="33">
        <f>+PROVEEDORES[[#This Row],[Descuento sobre subtotal %]]*(PROVEEDORES[[#This Row],[SUBTOTAL]]-PROVEEDORES[[#This Row],[descuento antes de IVA]])</f>
        <v>0</v>
      </c>
      <c r="P7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62" s="33">
        <f>+(PROVEEDORES[[#This Row],[SUBTOTAL]]-PROVEEDORES[[#This Row],[descuento antes de IVA]])*PROVEEDORES[[#This Row],[Rete Fuente %]]</f>
        <v>28500</v>
      </c>
      <c r="R762" s="32">
        <f>+PROVEEDORES[[#This Row],[SUBTOTAL]]+PROVEEDORES[[#This Row],[IVA 19%]]-PROVEEDORES[[#This Row],[descuento antes de IVA]]-PROVEEDORES[[#This Row],[Descuento sobre subtotal $]]-PROVEEDORES[[#This Row],[Rete Fuente $]]</f>
        <v>1328100</v>
      </c>
      <c r="S76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2" s="40"/>
      <c r="U762" s="97"/>
      <c r="V762" s="36"/>
      <c r="W762" s="36"/>
      <c r="X762" s="36"/>
      <c r="Y762" s="36"/>
      <c r="Z762" s="41"/>
      <c r="AA762" s="42"/>
      <c r="AF762" s="36"/>
      <c r="AG762" s="36"/>
    </row>
    <row r="763" spans="1:33" ht="21.95" hidden="1" customHeight="1" x14ac:dyDescent="0.25">
      <c r="A763" s="39" t="str">
        <f>+IF(PROVEEDORES[[#This Row],[FECHA DE PAGO]]=PROVEEDORES[[#This Row],[FECHA DE FACTURACIÓN]],"DE CONTADO","CRÉDITO")</f>
        <v>CRÉDITO</v>
      </c>
      <c r="B763" s="67" t="str">
        <f>+IF((PROVEEDORES[[#This Row],[FECHA DE PAGO]]-PROVEEDORES[[#This Row],[FECHA DE FACTURACIÓN]])&gt;PROVEEDORES[[#This Row],[PLAZO Días]],"PAGO VENCIDO")</f>
        <v>PAGO VENCIDO</v>
      </c>
      <c r="C763" s="27">
        <f>+VLOOKUP(PROVEEDORES[[#This Row],[PROVEEDOR]],TERCEROS_INFO[#All],2,FALSE)</f>
        <v>30</v>
      </c>
      <c r="D763" s="37">
        <f>+SUMIFS(PROVEEDORES[Total],PROVEEDORES[PROVEEDOR],PROVEEDORES[[#This Row],[PROVEEDOR]],PROVEEDORES[FECHA DE PAGO],"")</f>
        <v>0</v>
      </c>
      <c r="E763" s="37"/>
      <c r="F763" s="108" t="str">
        <f>+VLOOKUP(PROVEEDORES[[#This Row],[PROVEEDOR]],TERCEROS_INFO[[PROVEEDOR]:[CORREO]],5,FALSE)</f>
        <v>juan.suarez@cosostenible.com;girlesa.ruiz@servipilas.com;joriescobar64@gmail.com</v>
      </c>
      <c r="G763" s="143">
        <v>44053</v>
      </c>
      <c r="H763" s="38" t="s">
        <v>55</v>
      </c>
      <c r="I763" s="30">
        <v>44013</v>
      </c>
      <c r="J763" s="58">
        <v>1256</v>
      </c>
      <c r="K763" s="32">
        <v>1189474.7899159663</v>
      </c>
      <c r="L763" s="32"/>
      <c r="M763" s="33">
        <f>(PROVEEDORES[[#This Row],[SUBTOTAL]]-PROVEEDORES[[#This Row],[descuento antes de IVA]])*VLOOKUP(PROVEEDORES[[#This Row],[PROVEEDOR]],TERCEROS_INFO[#All],3,FALSE)</f>
        <v>226000.21008403361</v>
      </c>
      <c r="N763" s="34"/>
      <c r="O763" s="33">
        <f>+PROVEEDORES[[#This Row],[Descuento sobre subtotal %]]*(PROVEEDORES[[#This Row],[SUBTOTAL]]-PROVEEDORES[[#This Row],[descuento antes de IVA]])</f>
        <v>0</v>
      </c>
      <c r="P7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63" s="33">
        <f>+(PROVEEDORES[[#This Row],[SUBTOTAL]]-PROVEEDORES[[#This Row],[descuento antes de IVA]])*PROVEEDORES[[#This Row],[Rete Fuente %]]</f>
        <v>29736.86974789916</v>
      </c>
      <c r="R763" s="32">
        <f>+PROVEEDORES[[#This Row],[SUBTOTAL]]+PROVEEDORES[[#This Row],[IVA 19%]]-PROVEEDORES[[#This Row],[descuento antes de IVA]]-PROVEEDORES[[#This Row],[Descuento sobre subtotal $]]-PROVEEDORES[[#This Row],[Rete Fuente $]]</f>
        <v>1385738.1302521008</v>
      </c>
      <c r="S76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3" s="40"/>
      <c r="U763" s="97"/>
      <c r="V763" s="36"/>
      <c r="W763" s="36"/>
      <c r="X763" s="36"/>
      <c r="Y763" s="36"/>
      <c r="Z763" s="41"/>
      <c r="AA763" s="42"/>
      <c r="AF763" s="36"/>
      <c r="AG763" s="36"/>
    </row>
    <row r="764" spans="1:33" ht="21.95" hidden="1" customHeight="1" x14ac:dyDescent="0.25">
      <c r="A764" s="39" t="str">
        <f>+IF(PROVEEDORES[[#This Row],[FECHA DE PAGO]]=PROVEEDORES[[#This Row],[FECHA DE FACTURACIÓN]],"DE CONTADO","CRÉDITO")</f>
        <v>CRÉDITO</v>
      </c>
      <c r="B764" s="67" t="b">
        <f>+IF((PROVEEDORES[[#This Row],[FECHA DE PAGO]]-PROVEEDORES[[#This Row],[FECHA DE FACTURACIÓN]])&gt;PROVEEDORES[[#This Row],[PLAZO Días]],"PAGO VENCIDO")</f>
        <v>0</v>
      </c>
      <c r="C764" s="27">
        <f>+VLOOKUP(PROVEEDORES[[#This Row],[PROVEEDOR]],TERCEROS_INFO[#All],2,FALSE)</f>
        <v>30</v>
      </c>
      <c r="D764" s="37">
        <f>+SUMIFS(PROVEEDORES[Total],PROVEEDORES[PROVEEDOR],PROVEEDORES[[#This Row],[PROVEEDOR]],PROVEEDORES[FECHA DE PAGO],"")</f>
        <v>0</v>
      </c>
      <c r="E764" s="37"/>
      <c r="F764" s="108" t="str">
        <f>+VLOOKUP(PROVEEDORES[[#This Row],[PROVEEDOR]],TERCEROS_INFO[[PROVEEDOR]:[CORREO]],5,FALSE)</f>
        <v>juan.suarez@cosostenible.com;girlesa.ruiz@servipilas.com;joriescobar64@gmail.com</v>
      </c>
      <c r="G764" s="143">
        <v>44095</v>
      </c>
      <c r="H764" s="38" t="s">
        <v>55</v>
      </c>
      <c r="I764" s="30">
        <v>44070</v>
      </c>
      <c r="J764" s="58">
        <v>1615</v>
      </c>
      <c r="K764" s="32">
        <v>2378949.5798319327</v>
      </c>
      <c r="L764" s="32"/>
      <c r="M764" s="33">
        <f>(PROVEEDORES[[#This Row],[SUBTOTAL]]-PROVEEDORES[[#This Row],[descuento antes de IVA]])*VLOOKUP(PROVEEDORES[[#This Row],[PROVEEDOR]],TERCEROS_INFO[#All],3,FALSE)</f>
        <v>452000.42016806721</v>
      </c>
      <c r="N764" s="34"/>
      <c r="O764" s="33">
        <f>+PROVEEDORES[[#This Row],[Descuento sobre subtotal %]]*(PROVEEDORES[[#This Row],[SUBTOTAL]]-PROVEEDORES[[#This Row],[descuento antes de IVA]])</f>
        <v>0</v>
      </c>
      <c r="P7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64" s="33">
        <f>+(PROVEEDORES[[#This Row],[SUBTOTAL]]-PROVEEDORES[[#This Row],[descuento antes de IVA]])*PROVEEDORES[[#This Row],[Rete Fuente %]]</f>
        <v>59473.73949579832</v>
      </c>
      <c r="R764" s="32">
        <f>+PROVEEDORES[[#This Row],[SUBTOTAL]]+PROVEEDORES[[#This Row],[IVA 19%]]-PROVEEDORES[[#This Row],[descuento antes de IVA]]-PROVEEDORES[[#This Row],[Descuento sobre subtotal $]]-PROVEEDORES[[#This Row],[Rete Fuente $]]</f>
        <v>2771476.2605042015</v>
      </c>
      <c r="S76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4" s="40"/>
      <c r="U764" s="97"/>
      <c r="V764" s="36"/>
      <c r="W764" s="36"/>
      <c r="X764" s="36"/>
      <c r="Y764" s="36"/>
      <c r="Z764" s="41"/>
      <c r="AA764" s="42"/>
      <c r="AF764" s="36"/>
      <c r="AG764" s="36"/>
    </row>
    <row r="765" spans="1:33" ht="21.95" hidden="1" customHeight="1" x14ac:dyDescent="0.25">
      <c r="A765" s="39" t="str">
        <f>+IF(PROVEEDORES[[#This Row],[FECHA DE PAGO]]=PROVEEDORES[[#This Row],[FECHA DE FACTURACIÓN]],"DE CONTADO","CRÉDITO")</f>
        <v>CRÉDITO</v>
      </c>
      <c r="B765" s="67" t="str">
        <f>+IF((PROVEEDORES[[#This Row],[FECHA DE PAGO]]-PROVEEDORES[[#This Row],[FECHA DE FACTURACIÓN]])&gt;PROVEEDORES[[#This Row],[PLAZO Días]],"PAGO VENCIDO")</f>
        <v>PAGO VENCIDO</v>
      </c>
      <c r="C765" s="27">
        <f>+VLOOKUP(PROVEEDORES[[#This Row],[PROVEEDOR]],TERCEROS_INFO[#All],2,FALSE)</f>
        <v>30</v>
      </c>
      <c r="D765" s="37">
        <f>+SUMIFS(PROVEEDORES[Total],PROVEEDORES[PROVEEDOR],PROVEEDORES[[#This Row],[PROVEEDOR]],PROVEEDORES[FECHA DE PAGO],"")</f>
        <v>0</v>
      </c>
      <c r="E765" s="37"/>
      <c r="F765" s="108" t="str">
        <f>+VLOOKUP(PROVEEDORES[[#This Row],[PROVEEDOR]],TERCEROS_INFO[[PROVEEDOR]:[CORREO]],5,FALSE)</f>
        <v>juan.suarez@cosostenible.com;girlesa.ruiz@servipilas.com;joriescobar64@gmail.com</v>
      </c>
      <c r="G765" s="143">
        <v>44118</v>
      </c>
      <c r="H765" s="38" t="s">
        <v>55</v>
      </c>
      <c r="I765" s="30">
        <v>44078</v>
      </c>
      <c r="J765" s="58">
        <v>56</v>
      </c>
      <c r="K765" s="32">
        <v>1151754.2436974791</v>
      </c>
      <c r="L765" s="32"/>
      <c r="M765" s="33">
        <f>(PROVEEDORES[[#This Row],[SUBTOTAL]]-PROVEEDORES[[#This Row],[descuento antes de IVA]])*VLOOKUP(PROVEEDORES[[#This Row],[PROVEEDOR]],TERCEROS_INFO[#All],3,FALSE)</f>
        <v>218833.30630252103</v>
      </c>
      <c r="N765" s="34"/>
      <c r="O765" s="33">
        <f>+PROVEEDORES[[#This Row],[Descuento sobre subtotal %]]*(PROVEEDORES[[#This Row],[SUBTOTAL]]-PROVEEDORES[[#This Row],[descuento antes de IVA]])</f>
        <v>0</v>
      </c>
      <c r="P7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65" s="33">
        <f>+(PROVEEDORES[[#This Row],[SUBTOTAL]]-PROVEEDORES[[#This Row],[descuento antes de IVA]])*PROVEEDORES[[#This Row],[Rete Fuente %]]</f>
        <v>28793.856092436981</v>
      </c>
      <c r="R765" s="32">
        <f>+PROVEEDORES[[#This Row],[SUBTOTAL]]+PROVEEDORES[[#This Row],[IVA 19%]]-PROVEEDORES[[#This Row],[descuento antes de IVA]]-PROVEEDORES[[#This Row],[Descuento sobre subtotal $]]-PROVEEDORES[[#This Row],[Rete Fuente $]]</f>
        <v>1341793.6939075633</v>
      </c>
      <c r="S76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5" s="40"/>
      <c r="U765" s="97"/>
      <c r="V765" s="36"/>
      <c r="W765" s="36"/>
      <c r="X765" s="36"/>
      <c r="Y765" s="36"/>
      <c r="Z765" s="41"/>
      <c r="AA765" s="42"/>
      <c r="AF765" s="36"/>
      <c r="AG765" s="36"/>
    </row>
    <row r="766" spans="1:33" ht="21.95" hidden="1" customHeight="1" x14ac:dyDescent="0.25">
      <c r="A766" s="39" t="str">
        <f>+IF(PROVEEDORES[[#This Row],[FECHA DE PAGO]]=PROVEEDORES[[#This Row],[FECHA DE FACTURACIÓN]],"DE CONTADO","CRÉDITO")</f>
        <v>CRÉDITO</v>
      </c>
      <c r="B766" s="67" t="str">
        <f>+IF((PROVEEDORES[[#This Row],[FECHA DE PAGO]]-PROVEEDORES[[#This Row],[FECHA DE FACTURACIÓN]])&gt;PROVEEDORES[[#This Row],[PLAZO Días]],"PAGO VENCIDO")</f>
        <v>PAGO VENCIDO</v>
      </c>
      <c r="C766" s="27">
        <f>+VLOOKUP(PROVEEDORES[[#This Row],[PROVEEDOR]],TERCEROS_INFO[#All],2,FALSE)</f>
        <v>30</v>
      </c>
      <c r="D766" s="37">
        <f>+SUMIFS(PROVEEDORES[Total],PROVEEDORES[PROVEEDOR],PROVEEDORES[[#This Row],[PROVEEDOR]],PROVEEDORES[FECHA DE PAGO],"")</f>
        <v>0</v>
      </c>
      <c r="E766" s="37"/>
      <c r="F766" s="108" t="str">
        <f>+VLOOKUP(PROVEEDORES[[#This Row],[PROVEEDOR]],TERCEROS_INFO[[PROVEEDOR]:[CORREO]],5,FALSE)</f>
        <v>juan.suarez@cosostenible.com;girlesa.ruiz@servipilas.com;joriescobar64@gmail.com</v>
      </c>
      <c r="G766" s="143">
        <v>44214</v>
      </c>
      <c r="H766" s="38" t="s">
        <v>55</v>
      </c>
      <c r="I766" s="30">
        <v>44166</v>
      </c>
      <c r="J766" s="58">
        <v>732</v>
      </c>
      <c r="K766" s="32">
        <v>1110619.9495798319</v>
      </c>
      <c r="L766" s="32"/>
      <c r="M766" s="33">
        <f>(PROVEEDORES[[#This Row],[SUBTOTAL]]-PROVEEDORES[[#This Row],[descuento antes de IVA]])*VLOOKUP(PROVEEDORES[[#This Row],[PROVEEDOR]],TERCEROS_INFO[#All],3,FALSE)</f>
        <v>211017.79042016808</v>
      </c>
      <c r="N766" s="34"/>
      <c r="O766" s="33">
        <f>+PROVEEDORES[[#This Row],[Descuento sobre subtotal %]]*(PROVEEDORES[[#This Row],[SUBTOTAL]]-PROVEEDORES[[#This Row],[descuento antes de IVA]])</f>
        <v>0</v>
      </c>
      <c r="P7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66" s="33">
        <f>+(PROVEEDORES[[#This Row],[SUBTOTAL]]-PROVEEDORES[[#This Row],[descuento antes de IVA]])*PROVEEDORES[[#This Row],[Rete Fuente %]]</f>
        <v>27765.498739495801</v>
      </c>
      <c r="R766" s="32">
        <f>+PROVEEDORES[[#This Row],[SUBTOTAL]]+PROVEEDORES[[#This Row],[IVA 19%]]-PROVEEDORES[[#This Row],[descuento antes de IVA]]-PROVEEDORES[[#This Row],[Descuento sobre subtotal $]]-PROVEEDORES[[#This Row],[Rete Fuente $]]</f>
        <v>1293872.2412605041</v>
      </c>
      <c r="S76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6" s="40"/>
      <c r="U766" s="97"/>
      <c r="V766" s="36"/>
      <c r="W766" s="36"/>
      <c r="X766" s="36"/>
      <c r="Y766" s="36"/>
      <c r="Z766" s="41"/>
      <c r="AA766" s="42"/>
      <c r="AF766" s="36"/>
      <c r="AG766" s="36"/>
    </row>
    <row r="767" spans="1:33" ht="21.95" hidden="1" customHeight="1" x14ac:dyDescent="0.25">
      <c r="A767" s="66" t="str">
        <f>+IF(PROVEEDORES[[#This Row],[FECHA DE PAGO]]=PROVEEDORES[[#This Row],[FECHA DE FACTURACIÓN]],"DE CONTADO","CRÉDITO")</f>
        <v>CRÉDITO</v>
      </c>
      <c r="B767" s="68" t="str">
        <f>+IF((PROVEEDORES[[#This Row],[FECHA DE PAGO]]-PROVEEDORES[[#This Row],[FECHA DE FACTURACIÓN]])&gt;PROVEEDORES[[#This Row],[PLAZO Días]],"PAGO VENCIDO")</f>
        <v>PAGO VENCIDO</v>
      </c>
      <c r="C767" s="27">
        <f>+VLOOKUP(PROVEEDORES[[#This Row],[PROVEEDOR]],TERCEROS_INFO[#All],2,FALSE)</f>
        <v>30</v>
      </c>
      <c r="D767" s="37">
        <f>+SUMIFS(PROVEEDORES[Total],PROVEEDORES[PROVEEDOR],PROVEEDORES[[#This Row],[PROVEEDOR]],PROVEEDORES[FECHA DE PAGO],"")</f>
        <v>0</v>
      </c>
      <c r="E767" s="37"/>
      <c r="F767" s="108" t="str">
        <f>+VLOOKUP(PROVEEDORES[[#This Row],[PROVEEDOR]],TERCEROS_INFO[[PROVEEDOR]:[CORREO]],5,FALSE)</f>
        <v>juan.suarez@cosostenible.com;girlesa.ruiz@servipilas.com;joriescobar64@gmail.com</v>
      </c>
      <c r="G767" s="143">
        <v>44278</v>
      </c>
      <c r="H767" s="38" t="s">
        <v>55</v>
      </c>
      <c r="I767" s="30">
        <v>44236</v>
      </c>
      <c r="J767" s="58">
        <v>1405</v>
      </c>
      <c r="K767" s="32">
        <v>2956953</v>
      </c>
      <c r="L767" s="32"/>
      <c r="M767" s="33">
        <f>(PROVEEDORES[[#This Row],[SUBTOTAL]]-PROVEEDORES[[#This Row],[descuento antes de IVA]])*VLOOKUP(PROVEEDORES[[#This Row],[PROVEEDOR]],TERCEROS_INFO[#All],3,FALSE)</f>
        <v>561821.06999999995</v>
      </c>
      <c r="N767" s="34"/>
      <c r="O767" s="33">
        <f>+PROVEEDORES[[#This Row],[Descuento sobre subtotal %]]*(PROVEEDORES[[#This Row],[SUBTOTAL]]-PROVEEDORES[[#This Row],[descuento antes de IVA]])</f>
        <v>0</v>
      </c>
      <c r="P7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67" s="33">
        <f>+(PROVEEDORES[[#This Row],[SUBTOTAL]]-PROVEEDORES[[#This Row],[descuento antes de IVA]])*PROVEEDORES[[#This Row],[Rete Fuente %]]</f>
        <v>73923.824999999997</v>
      </c>
      <c r="R767" s="32">
        <f>+PROVEEDORES[[#This Row],[SUBTOTAL]]+PROVEEDORES[[#This Row],[IVA 19%]]-PROVEEDORES[[#This Row],[descuento antes de IVA]]-PROVEEDORES[[#This Row],[Descuento sobre subtotal $]]-PROVEEDORES[[#This Row],[Rete Fuente $]]</f>
        <v>3444850.2449999996</v>
      </c>
      <c r="S767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7" s="40"/>
      <c r="U767" s="97"/>
      <c r="V767" s="36"/>
      <c r="W767" s="36"/>
      <c r="X767" s="36"/>
      <c r="Y767" s="36"/>
      <c r="Z767" s="41"/>
      <c r="AA767" s="42"/>
      <c r="AF767" s="36"/>
      <c r="AG767" s="36"/>
    </row>
    <row r="768" spans="1:33" ht="21.95" hidden="1" customHeight="1" x14ac:dyDescent="0.25">
      <c r="A768" s="88" t="str">
        <f>+IF(PROVEEDORES[[#This Row],[FECHA DE PAGO]]=PROVEEDORES[[#This Row],[FECHA DE FACTURACIÓN]],"DE CONTADO","CRÉDITO")</f>
        <v>CRÉDITO</v>
      </c>
      <c r="B768" s="70" t="str">
        <f>+IF((PROVEEDORES[[#This Row],[FECHA DE PAGO]]-PROVEEDORES[[#This Row],[FECHA DE FACTURACIÓN]])&gt;PROVEEDORES[[#This Row],[PLAZO Días]],"PAGO VENCIDO")</f>
        <v>PAGO VENCIDO</v>
      </c>
      <c r="C768" s="27">
        <f>+VLOOKUP(PROVEEDORES[[#This Row],[PROVEEDOR]],TERCEROS_INFO[#All],2,FALSE)</f>
        <v>30</v>
      </c>
      <c r="D768" s="37">
        <f>+SUMIFS(PROVEEDORES[Total],PROVEEDORES[PROVEEDOR],PROVEEDORES[[#This Row],[PROVEEDOR]],PROVEEDORES[FECHA DE PAGO],"")</f>
        <v>0</v>
      </c>
      <c r="E768" s="37"/>
      <c r="F768" s="108" t="str">
        <f>+VLOOKUP(PROVEEDORES[[#This Row],[PROVEEDOR]],TERCEROS_INFO[[PROVEEDOR]:[CORREO]],5,FALSE)</f>
        <v>juan.suarez@cosostenible.com;girlesa.ruiz@servipilas.com;joriescobar64@gmail.com</v>
      </c>
      <c r="G768" s="143">
        <v>44278</v>
      </c>
      <c r="H768" s="38" t="s">
        <v>55</v>
      </c>
      <c r="I768" s="30">
        <v>44242</v>
      </c>
      <c r="J768" s="58">
        <v>1462</v>
      </c>
      <c r="K768" s="32">
        <v>588235</v>
      </c>
      <c r="L768" s="32"/>
      <c r="M768" s="33">
        <f>(PROVEEDORES[[#This Row],[SUBTOTAL]]-PROVEEDORES[[#This Row],[descuento antes de IVA]])*VLOOKUP(PROVEEDORES[[#This Row],[PROVEEDOR]],TERCEROS_INFO[#All],3,FALSE)</f>
        <v>111764.65</v>
      </c>
      <c r="N768" s="34"/>
      <c r="O768" s="33">
        <f>+PROVEEDORES[[#This Row],[Descuento sobre subtotal %]]*(PROVEEDORES[[#This Row],[SUBTOTAL]]-PROVEEDORES[[#This Row],[descuento antes de IVA]])</f>
        <v>0</v>
      </c>
      <c r="P7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68" s="33">
        <f>+(PROVEEDORES[[#This Row],[SUBTOTAL]]-PROVEEDORES[[#This Row],[descuento antes de IVA]])*PROVEEDORES[[#This Row],[Rete Fuente %]]</f>
        <v>0</v>
      </c>
      <c r="R768" s="32">
        <f>+PROVEEDORES[[#This Row],[SUBTOTAL]]+PROVEEDORES[[#This Row],[IVA 19%]]-PROVEEDORES[[#This Row],[descuento antes de IVA]]-PROVEEDORES[[#This Row],[Descuento sobre subtotal $]]-PROVEEDORES[[#This Row],[Rete Fuente $]]</f>
        <v>699999.65</v>
      </c>
      <c r="S768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8" s="40"/>
      <c r="U768" s="97"/>
      <c r="V768" s="36"/>
      <c r="W768" s="36"/>
      <c r="X768" s="36"/>
      <c r="Y768" s="36"/>
      <c r="Z768" s="41"/>
      <c r="AA768" s="42"/>
      <c r="AF768" s="36"/>
      <c r="AG768" s="36"/>
    </row>
    <row r="769" spans="1:33" ht="21.95" hidden="1" customHeight="1" x14ac:dyDescent="0.25">
      <c r="A769" s="88" t="str">
        <f>+IF(PROVEEDORES[[#This Row],[FECHA DE PAGO]]=PROVEEDORES[[#This Row],[FECHA DE FACTURACIÓN]],"DE CONTADO","CRÉDITO")</f>
        <v>CRÉDITO</v>
      </c>
      <c r="B769" s="70" t="str">
        <f>+IF((PROVEEDORES[[#This Row],[FECHA DE PAGO]]-PROVEEDORES[[#This Row],[FECHA DE FACTURACIÓN]])&gt;PROVEEDORES[[#This Row],[PLAZO Días]],"PAGO VENCIDO")</f>
        <v>PAGO VENCIDO</v>
      </c>
      <c r="C769" s="27">
        <f>+VLOOKUP(PROVEEDORES[[#This Row],[PROVEEDOR]],TERCEROS_INFO[#All],2,FALSE)</f>
        <v>30</v>
      </c>
      <c r="D769" s="37">
        <f>+SUMIFS(PROVEEDORES[Total],PROVEEDORES[PROVEEDOR],PROVEEDORES[[#This Row],[PROVEEDOR]],PROVEEDORES[FECHA DE PAGO],"")</f>
        <v>0</v>
      </c>
      <c r="E769" s="37"/>
      <c r="F769" s="108" t="str">
        <f>+VLOOKUP(PROVEEDORES[[#This Row],[PROVEEDOR]],TERCEROS_INFO[[PROVEEDOR]:[CORREO]],5,FALSE)</f>
        <v>juan.suarez@cosostenible.com;girlesa.ruiz@servipilas.com;joriescobar64@gmail.com</v>
      </c>
      <c r="G769" s="143">
        <v>44335</v>
      </c>
      <c r="H769" s="38" t="s">
        <v>55</v>
      </c>
      <c r="I769" s="30">
        <v>44279</v>
      </c>
      <c r="J769" s="58">
        <v>1908</v>
      </c>
      <c r="K769" s="32">
        <v>2268906</v>
      </c>
      <c r="L769" s="32"/>
      <c r="M769" s="33">
        <f>(PROVEEDORES[[#This Row],[SUBTOTAL]]-PROVEEDORES[[#This Row],[descuento antes de IVA]])*VLOOKUP(PROVEEDORES[[#This Row],[PROVEEDOR]],TERCEROS_INFO[#All],3,FALSE)</f>
        <v>431092.14</v>
      </c>
      <c r="N769" s="34"/>
      <c r="O769" s="33">
        <f>+PROVEEDORES[[#This Row],[Descuento sobre subtotal %]]*(PROVEEDORES[[#This Row],[SUBTOTAL]]-PROVEEDORES[[#This Row],[descuento antes de IVA]])</f>
        <v>0</v>
      </c>
      <c r="P7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69" s="33">
        <f>+(PROVEEDORES[[#This Row],[SUBTOTAL]]-PROVEEDORES[[#This Row],[descuento antes de IVA]])*PROVEEDORES[[#This Row],[Rete Fuente %]]</f>
        <v>56722.65</v>
      </c>
      <c r="R769" s="32">
        <f>+PROVEEDORES[[#This Row],[SUBTOTAL]]+PROVEEDORES[[#This Row],[IVA 19%]]-PROVEEDORES[[#This Row],[descuento antes de IVA]]-PROVEEDORES[[#This Row],[Descuento sobre subtotal $]]-PROVEEDORES[[#This Row],[Rete Fuente $]]</f>
        <v>2643275.4900000002</v>
      </c>
      <c r="S76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9" s="40"/>
      <c r="U769" s="97"/>
      <c r="V769" s="36"/>
      <c r="W769" s="36"/>
      <c r="X769" s="36"/>
      <c r="Y769" s="36"/>
      <c r="Z769" s="41"/>
      <c r="AA769" s="42"/>
      <c r="AF769" s="36"/>
      <c r="AG769" s="36"/>
    </row>
    <row r="770" spans="1:33" ht="21.95" hidden="1" customHeight="1" x14ac:dyDescent="0.25">
      <c r="A770" s="103" t="str">
        <f>+IF(PROVEEDORES[[#This Row],[FECHA DE PAGO]]=PROVEEDORES[[#This Row],[FECHA DE FACTURACIÓN]],"DE CONTADO","CRÉDITO")</f>
        <v>CRÉDITO</v>
      </c>
      <c r="B770" s="70" t="str">
        <f>+IF((PROVEEDORES[[#This Row],[FECHA DE PAGO]]-PROVEEDORES[[#This Row],[FECHA DE FACTURACIÓN]])&gt;PROVEEDORES[[#This Row],[PLAZO Días]],"PAGO VENCIDO")</f>
        <v>PAGO VENCIDO</v>
      </c>
      <c r="C770" s="27">
        <f>+VLOOKUP(PROVEEDORES[[#This Row],[PROVEEDOR]],TERCEROS_INFO[#All],2,FALSE)</f>
        <v>30</v>
      </c>
      <c r="D770" s="37">
        <f>+SUMIFS(PROVEEDORES[Total],PROVEEDORES[PROVEEDOR],PROVEEDORES[[#This Row],[PROVEEDOR]],PROVEEDORES[FECHA DE PAGO],"")</f>
        <v>0</v>
      </c>
      <c r="E770" s="37"/>
      <c r="F770" s="108" t="str">
        <f>+VLOOKUP(PROVEEDORES[[#This Row],[PROVEEDOR]],TERCEROS_INFO[[PROVEEDOR]:[CORREO]],5,FALSE)</f>
        <v>juan.suarez@cosostenible.com;girlesa.ruiz@servipilas.com;joriescobar64@gmail.com</v>
      </c>
      <c r="G770" s="143">
        <v>44344</v>
      </c>
      <c r="H770" s="38" t="s">
        <v>55</v>
      </c>
      <c r="I770" s="30">
        <v>44299</v>
      </c>
      <c r="J770" s="58">
        <v>2131</v>
      </c>
      <c r="K770" s="32">
        <v>2891700</v>
      </c>
      <c r="L770" s="32"/>
      <c r="M770" s="33">
        <f>(PROVEEDORES[[#This Row],[SUBTOTAL]]-PROVEEDORES[[#This Row],[descuento antes de IVA]])*VLOOKUP(PROVEEDORES[[#This Row],[PROVEEDOR]],TERCEROS_INFO[#All],3,FALSE)</f>
        <v>549423</v>
      </c>
      <c r="N770" s="34"/>
      <c r="O770" s="33">
        <f>+PROVEEDORES[[#This Row],[Descuento sobre subtotal %]]*(PROVEEDORES[[#This Row],[SUBTOTAL]]-PROVEEDORES[[#This Row],[descuento antes de IVA]])</f>
        <v>0</v>
      </c>
      <c r="P7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70" s="33">
        <f>+(PROVEEDORES[[#This Row],[SUBTOTAL]]-PROVEEDORES[[#This Row],[descuento antes de IVA]])*PROVEEDORES[[#This Row],[Rete Fuente %]]</f>
        <v>72292.5</v>
      </c>
      <c r="R770" s="32">
        <f>+PROVEEDORES[[#This Row],[SUBTOTAL]]+PROVEEDORES[[#This Row],[IVA 19%]]-PROVEEDORES[[#This Row],[descuento antes de IVA]]-PROVEEDORES[[#This Row],[Descuento sobre subtotal $]]-PROVEEDORES[[#This Row],[Rete Fuente $]]</f>
        <v>3368830.5</v>
      </c>
      <c r="S770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0" s="40"/>
      <c r="U770" s="97"/>
      <c r="V770" s="36"/>
      <c r="W770" s="36"/>
      <c r="X770" s="36"/>
      <c r="Y770" s="36"/>
      <c r="Z770" s="41"/>
      <c r="AA770" s="42"/>
      <c r="AF770" s="36"/>
      <c r="AG770" s="36"/>
    </row>
    <row r="771" spans="1:33" ht="21.95" hidden="1" customHeight="1" x14ac:dyDescent="0.25">
      <c r="A771" s="127" t="str">
        <f>+IF(PROVEEDORES[[#This Row],[FECHA DE PAGO]]=PROVEEDORES[[#This Row],[FECHA DE FACTURACIÓN]],"DE CONTADO","CRÉDITO")</f>
        <v>CRÉDITO</v>
      </c>
      <c r="B771" s="70" t="str">
        <f>+IF((PROVEEDORES[[#This Row],[FECHA DE PAGO]]-PROVEEDORES[[#This Row],[FECHA DE FACTURACIÓN]])&gt;PROVEEDORES[[#This Row],[PLAZO Días]],"PAGO VENCIDO")</f>
        <v>PAGO VENCIDO</v>
      </c>
      <c r="C771" s="27">
        <f>+VLOOKUP(PROVEEDORES[[#This Row],[PROVEEDOR]],TERCEROS_INFO[#All],2,FALSE)</f>
        <v>30</v>
      </c>
      <c r="D771" s="37">
        <f>+SUMIFS(PROVEEDORES[Total],PROVEEDORES[PROVEEDOR],PROVEEDORES[[#This Row],[PROVEEDOR]],PROVEEDORES[FECHA DE PAGO],"")</f>
        <v>0</v>
      </c>
      <c r="E771" s="37"/>
      <c r="F771" s="108" t="str">
        <f>+VLOOKUP(PROVEEDORES[[#This Row],[PROVEEDOR]],TERCEROS_INFO[[PROVEEDOR]:[CORREO]],5,FALSE)</f>
        <v>juan.suarez@cosostenible.com;girlesa.ruiz@servipilas.com;joriescobar64@gmail.com</v>
      </c>
      <c r="G771" s="143">
        <v>44385</v>
      </c>
      <c r="H771" s="38" t="s">
        <v>55</v>
      </c>
      <c r="I771" s="30">
        <v>44342</v>
      </c>
      <c r="J771" s="58">
        <v>2568</v>
      </c>
      <c r="K771" s="32">
        <v>1134453</v>
      </c>
      <c r="L771" s="32"/>
      <c r="M771" s="33">
        <f>(PROVEEDORES[[#This Row],[SUBTOTAL]]-PROVEEDORES[[#This Row],[descuento antes de IVA]])*VLOOKUP(PROVEEDORES[[#This Row],[PROVEEDOR]],TERCEROS_INFO[#All],3,FALSE)</f>
        <v>215546.07</v>
      </c>
      <c r="N771" s="34"/>
      <c r="O771" s="33">
        <f>+PROVEEDORES[[#This Row],[Descuento sobre subtotal %]]*(PROVEEDORES[[#This Row],[SUBTOTAL]]-PROVEEDORES[[#This Row],[descuento antes de IVA]])</f>
        <v>0</v>
      </c>
      <c r="P7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71" s="33">
        <f>+(PROVEEDORES[[#This Row],[SUBTOTAL]]-PROVEEDORES[[#This Row],[descuento antes de IVA]])*PROVEEDORES[[#This Row],[Rete Fuente %]]</f>
        <v>28361.325000000001</v>
      </c>
      <c r="R771" s="32">
        <f>+PROVEEDORES[[#This Row],[SUBTOTAL]]+PROVEEDORES[[#This Row],[IVA 19%]]-PROVEEDORES[[#This Row],[descuento antes de IVA]]-PROVEEDORES[[#This Row],[Descuento sobre subtotal $]]-PROVEEDORES[[#This Row],[Rete Fuente $]]</f>
        <v>1321637.7450000001</v>
      </c>
      <c r="S771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1" s="40"/>
      <c r="U771" s="97"/>
      <c r="V771" s="36"/>
      <c r="W771" s="36"/>
      <c r="X771" s="36"/>
      <c r="Y771" s="36"/>
      <c r="Z771" s="41"/>
      <c r="AA771" s="42"/>
      <c r="AF771" s="36"/>
      <c r="AG771" s="36"/>
    </row>
    <row r="772" spans="1:33" ht="21.95" hidden="1" customHeight="1" x14ac:dyDescent="0.25">
      <c r="A772" s="35" t="str">
        <f>+IF(PROVEEDORES[[#This Row],[FECHA DE PAGO]]=PROVEEDORES[[#This Row],[FECHA DE FACTURACIÓN]],"DE CONTADO","CRÉDITO")</f>
        <v>CRÉDITO</v>
      </c>
      <c r="B772" s="70" t="str">
        <f>+IF((PROVEEDORES[[#This Row],[FECHA DE PAGO]]-PROVEEDORES[[#This Row],[FECHA DE FACTURACIÓN]])&gt;PROVEEDORES[[#This Row],[PLAZO Días]],"PAGO VENCIDO")</f>
        <v>PAGO VENCIDO</v>
      </c>
      <c r="C772" s="27">
        <f>+VLOOKUP(PROVEEDORES[[#This Row],[PROVEEDOR]],TERCEROS_INFO[#All],2,FALSE)</f>
        <v>30</v>
      </c>
      <c r="D772" s="37">
        <f>+SUMIFS(PROVEEDORES[Total],PROVEEDORES[PROVEEDOR],PROVEEDORES[[#This Row],[PROVEEDOR]],PROVEEDORES[FECHA DE PAGO],"")</f>
        <v>0</v>
      </c>
      <c r="E772" s="37"/>
      <c r="F772" s="108" t="str">
        <f>+VLOOKUP(PROVEEDORES[[#This Row],[PROVEEDOR]],TERCEROS_INFO[[PROVEEDOR]:[CORREO]],5,FALSE)</f>
        <v>juan.suarez@cosostenible.com;girlesa.ruiz@servipilas.com;joriescobar64@gmail.com</v>
      </c>
      <c r="G772" s="143">
        <v>44385</v>
      </c>
      <c r="H772" s="38" t="s">
        <v>55</v>
      </c>
      <c r="I772" s="30">
        <v>44343</v>
      </c>
      <c r="J772" s="58">
        <v>2575</v>
      </c>
      <c r="K772" s="32">
        <v>1080000</v>
      </c>
      <c r="L772" s="32"/>
      <c r="M772" s="33">
        <f>(PROVEEDORES[[#This Row],[SUBTOTAL]]-PROVEEDORES[[#This Row],[descuento antes de IVA]])*VLOOKUP(PROVEEDORES[[#This Row],[PROVEEDOR]],TERCEROS_INFO[#All],3,FALSE)</f>
        <v>205200</v>
      </c>
      <c r="N772" s="34"/>
      <c r="O772" s="33">
        <f>+PROVEEDORES[[#This Row],[Descuento sobre subtotal %]]*(PROVEEDORES[[#This Row],[SUBTOTAL]]-PROVEEDORES[[#This Row],[descuento antes de IVA]])</f>
        <v>0</v>
      </c>
      <c r="P7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72" s="33">
        <f>+(PROVEEDORES[[#This Row],[SUBTOTAL]]-PROVEEDORES[[#This Row],[descuento antes de IVA]])*PROVEEDORES[[#This Row],[Rete Fuente %]]</f>
        <v>27000</v>
      </c>
      <c r="R772" s="32">
        <f>+PROVEEDORES[[#This Row],[SUBTOTAL]]+PROVEEDORES[[#This Row],[IVA 19%]]-PROVEEDORES[[#This Row],[descuento antes de IVA]]-PROVEEDORES[[#This Row],[Descuento sobre subtotal $]]-PROVEEDORES[[#This Row],[Rete Fuente $]]</f>
        <v>1258200</v>
      </c>
      <c r="S77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2" s="40"/>
      <c r="U772" s="97"/>
      <c r="V772" s="36"/>
      <c r="W772" s="36"/>
      <c r="X772" s="36"/>
      <c r="Y772" s="36"/>
      <c r="Z772" s="41"/>
      <c r="AA772" s="42"/>
      <c r="AF772" s="36"/>
      <c r="AG772" s="36"/>
    </row>
    <row r="773" spans="1:33" ht="21.95" hidden="1" customHeight="1" x14ac:dyDescent="0.25">
      <c r="A773" s="35" t="str">
        <f>+IF(PROVEEDORES[[#This Row],[FECHA DE PAGO]]=PROVEEDORES[[#This Row],[FECHA DE FACTURACIÓN]],"DE CONTADO","CRÉDITO")</f>
        <v>CRÉDITO</v>
      </c>
      <c r="B773" s="70" t="str">
        <f>+IF((PROVEEDORES[[#This Row],[FECHA DE PAGO]]-PROVEEDORES[[#This Row],[FECHA DE FACTURACIÓN]])&gt;PROVEEDORES[[#This Row],[PLAZO Días]],"PAGO VENCIDO")</f>
        <v>PAGO VENCIDO</v>
      </c>
      <c r="C773" s="27">
        <f>+VLOOKUP(PROVEEDORES[[#This Row],[PROVEEDOR]],TERCEROS_INFO[#All],2,FALSE)</f>
        <v>30</v>
      </c>
      <c r="D773" s="37">
        <f>+SUMIFS(PROVEEDORES[Total],PROVEEDORES[PROVEEDOR],PROVEEDORES[[#This Row],[PROVEEDOR]],PROVEEDORES[FECHA DE PAGO],"")</f>
        <v>0</v>
      </c>
      <c r="E773" s="37"/>
      <c r="F773" s="108" t="str">
        <f>+VLOOKUP(PROVEEDORES[[#This Row],[PROVEEDOR]],TERCEROS_INFO[[PROVEEDOR]:[CORREO]],5,FALSE)</f>
        <v>juan.suarez@cosostenible.com;girlesa.ruiz@servipilas.com;joriescobar64@gmail.com</v>
      </c>
      <c r="G773" s="143">
        <v>44398</v>
      </c>
      <c r="H773" s="38" t="s">
        <v>55</v>
      </c>
      <c r="I773" s="30">
        <v>44357</v>
      </c>
      <c r="J773" s="58">
        <v>2717</v>
      </c>
      <c r="K773" s="32">
        <v>3240000</v>
      </c>
      <c r="L773" s="32"/>
      <c r="M773" s="33">
        <f>(PROVEEDORES[[#This Row],[SUBTOTAL]]-PROVEEDORES[[#This Row],[descuento antes de IVA]])*VLOOKUP(PROVEEDORES[[#This Row],[PROVEEDOR]],TERCEROS_INFO[#All],3,FALSE)</f>
        <v>615600</v>
      </c>
      <c r="N773" s="34"/>
      <c r="O773" s="33">
        <f>+PROVEEDORES[[#This Row],[Descuento sobre subtotal %]]*(PROVEEDORES[[#This Row],[SUBTOTAL]]-PROVEEDORES[[#This Row],[descuento antes de IVA]])</f>
        <v>0</v>
      </c>
      <c r="P7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73" s="33">
        <f>+(PROVEEDORES[[#This Row],[SUBTOTAL]]-PROVEEDORES[[#This Row],[descuento antes de IVA]])*PROVEEDORES[[#This Row],[Rete Fuente %]]</f>
        <v>81000</v>
      </c>
      <c r="R773" s="32">
        <f>+PROVEEDORES[[#This Row],[SUBTOTAL]]+PROVEEDORES[[#This Row],[IVA 19%]]-PROVEEDORES[[#This Row],[descuento antes de IVA]]-PROVEEDORES[[#This Row],[Descuento sobre subtotal $]]-PROVEEDORES[[#This Row],[Rete Fuente $]]</f>
        <v>3774600</v>
      </c>
      <c r="S77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3" s="40"/>
      <c r="U773" s="97"/>
      <c r="V773" s="36"/>
      <c r="W773" s="36"/>
      <c r="X773" s="36"/>
      <c r="Y773" s="36"/>
      <c r="Z773" s="41"/>
      <c r="AA773" s="42"/>
      <c r="AF773" s="36"/>
      <c r="AG773" s="36"/>
    </row>
    <row r="774" spans="1:33" ht="21.95" hidden="1" customHeight="1" x14ac:dyDescent="0.25">
      <c r="A774" s="148" t="str">
        <f>+IF(PROVEEDORES[[#This Row],[FECHA DE PAGO]]=PROVEEDORES[[#This Row],[FECHA DE FACTURACIÓN]],"DE CONTADO","CRÉDITO")</f>
        <v>CRÉDITO</v>
      </c>
      <c r="B774" s="70" t="b">
        <f>+IF((PROVEEDORES[[#This Row],[FECHA DE PAGO]]-PROVEEDORES[[#This Row],[FECHA DE FACTURACIÓN]])&gt;PROVEEDORES[[#This Row],[PLAZO Días]],"PAGO VENCIDO")</f>
        <v>0</v>
      </c>
      <c r="C774" s="27">
        <f>+VLOOKUP(PROVEEDORES[[#This Row],[PROVEEDOR]],TERCEROS_INFO[#All],2,FALSE)</f>
        <v>30</v>
      </c>
      <c r="D774" s="37">
        <f>+SUMIFS(PROVEEDORES[Total],PROVEEDORES[PROVEEDOR],PROVEEDORES[[#This Row],[PROVEEDOR]],PROVEEDORES[FECHA DE PAGO],"")</f>
        <v>0</v>
      </c>
      <c r="E774" s="37"/>
      <c r="F774" s="108" t="str">
        <f>+VLOOKUP(PROVEEDORES[[#This Row],[PROVEEDOR]],TERCEROS_INFO[[PROVEEDOR]:[CORREO]],5,FALSE)</f>
        <v>juan.suarez@cosostenible.com;girlesa.ruiz@servipilas.com;joriescobar64@gmail.com</v>
      </c>
      <c r="G774" s="143">
        <v>44476</v>
      </c>
      <c r="H774" s="38" t="s">
        <v>55</v>
      </c>
      <c r="I774" s="30">
        <v>44446</v>
      </c>
      <c r="J774" s="58">
        <v>3993</v>
      </c>
      <c r="K774" s="32">
        <v>840336</v>
      </c>
      <c r="L774" s="32"/>
      <c r="M774" s="33">
        <f>(PROVEEDORES[[#This Row],[SUBTOTAL]]-PROVEEDORES[[#This Row],[descuento antes de IVA]])*VLOOKUP(PROVEEDORES[[#This Row],[PROVEEDOR]],TERCEROS_INFO[#All],3,FALSE)</f>
        <v>159663.84</v>
      </c>
      <c r="N774" s="34"/>
      <c r="O774" s="33">
        <f>+PROVEEDORES[[#This Row],[Descuento sobre subtotal %]]*(PROVEEDORES[[#This Row],[SUBTOTAL]]-PROVEEDORES[[#This Row],[descuento antes de IVA]])</f>
        <v>0</v>
      </c>
      <c r="P7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74" s="33">
        <f>+(PROVEEDORES[[#This Row],[SUBTOTAL]]-PROVEEDORES[[#This Row],[descuento antes de IVA]])*PROVEEDORES[[#This Row],[Rete Fuente %]]</f>
        <v>0</v>
      </c>
      <c r="R774" s="32">
        <f>+PROVEEDORES[[#This Row],[SUBTOTAL]]+PROVEEDORES[[#This Row],[IVA 19%]]-PROVEEDORES[[#This Row],[descuento antes de IVA]]-PROVEEDORES[[#This Row],[Descuento sobre subtotal $]]-PROVEEDORES[[#This Row],[Rete Fuente $]]</f>
        <v>999999.84</v>
      </c>
      <c r="S774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4" s="40"/>
      <c r="U774" s="97"/>
      <c r="V774" s="36"/>
      <c r="W774" s="36"/>
      <c r="X774" s="36"/>
      <c r="Y774" s="36"/>
      <c r="Z774" s="41"/>
      <c r="AA774" s="42"/>
      <c r="AF774" s="36"/>
      <c r="AG774" s="36"/>
    </row>
    <row r="775" spans="1:33" ht="21.95" hidden="1" customHeight="1" x14ac:dyDescent="0.25">
      <c r="A775" s="155" t="str">
        <f>+IF(PROVEEDORES[[#This Row],[FECHA DE PAGO]]=PROVEEDORES[[#This Row],[FECHA DE FACTURACIÓN]],"DE CONTADO","CRÉDITO")</f>
        <v>CRÉDITO</v>
      </c>
      <c r="B775" s="70" t="str">
        <f>+IF((PROVEEDORES[[#This Row],[FECHA DE PAGO]]-PROVEEDORES[[#This Row],[FECHA DE FACTURACIÓN]])&gt;PROVEEDORES[[#This Row],[PLAZO Días]],"PAGO VENCIDO")</f>
        <v>PAGO VENCIDO</v>
      </c>
      <c r="C775" s="27">
        <f>+VLOOKUP(PROVEEDORES[[#This Row],[PROVEEDOR]],TERCEROS_INFO[#All],2,FALSE)</f>
        <v>30</v>
      </c>
      <c r="D775" s="37">
        <f>+SUMIFS(PROVEEDORES[Total],PROVEEDORES[PROVEEDOR],PROVEEDORES[[#This Row],[PROVEEDOR]],PROVEEDORES[FECHA DE PAGO],"")</f>
        <v>0</v>
      </c>
      <c r="E775" s="37"/>
      <c r="F775" s="108" t="str">
        <f>+VLOOKUP(PROVEEDORES[[#This Row],[PROVEEDOR]],TERCEROS_INFO[[PROVEEDOR]:[CORREO]],5,FALSE)</f>
        <v>juan.suarez@cosostenible.com;girlesa.ruiz@servipilas.com;joriescobar64@gmail.com</v>
      </c>
      <c r="G775" s="143">
        <v>44517</v>
      </c>
      <c r="H775" s="38" t="s">
        <v>55</v>
      </c>
      <c r="I775" s="30">
        <v>44474</v>
      </c>
      <c r="J775" s="58" t="s">
        <v>887</v>
      </c>
      <c r="K775" s="32">
        <v>2336134</v>
      </c>
      <c r="L775" s="32"/>
      <c r="M775" s="33">
        <f>(PROVEEDORES[[#This Row],[SUBTOTAL]]-PROVEEDORES[[#This Row],[descuento antes de IVA]])*VLOOKUP(PROVEEDORES[[#This Row],[PROVEEDOR]],TERCEROS_INFO[#All],3,FALSE)</f>
        <v>443865.46</v>
      </c>
      <c r="N775" s="34"/>
      <c r="O775" s="33">
        <f>+PROVEEDORES[[#This Row],[Descuento sobre subtotal %]]*(PROVEEDORES[[#This Row],[SUBTOTAL]]-PROVEEDORES[[#This Row],[descuento antes de IVA]])</f>
        <v>0</v>
      </c>
      <c r="P7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75" s="33">
        <f>+(PROVEEDORES[[#This Row],[SUBTOTAL]]-PROVEEDORES[[#This Row],[descuento antes de IVA]])*PROVEEDORES[[#This Row],[Rete Fuente %]]</f>
        <v>58403.350000000006</v>
      </c>
      <c r="R775" s="32">
        <f>+PROVEEDORES[[#This Row],[SUBTOTAL]]+PROVEEDORES[[#This Row],[IVA 19%]]-PROVEEDORES[[#This Row],[descuento antes de IVA]]-PROVEEDORES[[#This Row],[Descuento sobre subtotal $]]-PROVEEDORES[[#This Row],[Rete Fuente $]]</f>
        <v>2721596.11</v>
      </c>
      <c r="S775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5" s="40"/>
      <c r="U775" s="97"/>
      <c r="V775" s="36"/>
      <c r="W775" s="36"/>
      <c r="X775" s="36"/>
      <c r="Y775" s="36"/>
      <c r="Z775" s="41"/>
      <c r="AA775" s="42"/>
      <c r="AF775" s="36"/>
      <c r="AG775" s="36"/>
    </row>
    <row r="776" spans="1:33" ht="21.95" hidden="1" customHeight="1" x14ac:dyDescent="0.25">
      <c r="A776" s="161" t="str">
        <f>+IF(PROVEEDORES[[#This Row],[FECHA DE PAGO]]=PROVEEDORES[[#This Row],[FECHA DE FACTURACIÓN]],"DE CONTADO","CRÉDITO")</f>
        <v>CRÉDITO</v>
      </c>
      <c r="B776" s="70" t="str">
        <f>+IF((PROVEEDORES[[#This Row],[FECHA DE PAGO]]-PROVEEDORES[[#This Row],[FECHA DE FACTURACIÓN]])&gt;PROVEEDORES[[#This Row],[PLAZO Días]],"PAGO VENCIDO")</f>
        <v>PAGO VENCIDO</v>
      </c>
      <c r="C776" s="27">
        <f>+VLOOKUP(PROVEEDORES[[#This Row],[PROVEEDOR]],TERCEROS_INFO[#All],2,FALSE)</f>
        <v>30</v>
      </c>
      <c r="D776" s="37">
        <f>+SUMIFS(PROVEEDORES[Total],PROVEEDORES[PROVEEDOR],PROVEEDORES[[#This Row],[PROVEEDOR]],PROVEEDORES[FECHA DE PAGO],"")</f>
        <v>0</v>
      </c>
      <c r="E776" s="37"/>
      <c r="F776" s="108" t="str">
        <f>+VLOOKUP(PROVEEDORES[[#This Row],[PROVEEDOR]],TERCEROS_INFO[[PROVEEDOR]:[CORREO]],5,FALSE)</f>
        <v>juan.suarez@cosostenible.com;girlesa.ruiz@servipilas.com;joriescobar64@gmail.com</v>
      </c>
      <c r="G776" s="143">
        <v>44533</v>
      </c>
      <c r="H776" s="38" t="s">
        <v>55</v>
      </c>
      <c r="I776" s="30">
        <v>44494</v>
      </c>
      <c r="J776" s="58">
        <v>4554</v>
      </c>
      <c r="K776" s="32">
        <v>617646.41</v>
      </c>
      <c r="L776" s="32"/>
      <c r="M776" s="33">
        <f>(PROVEEDORES[[#This Row],[SUBTOTAL]]-PROVEEDORES[[#This Row],[descuento antes de IVA]])*VLOOKUP(PROVEEDORES[[#This Row],[PROVEEDOR]],TERCEROS_INFO[#All],3,FALSE)</f>
        <v>117352.81790000001</v>
      </c>
      <c r="N776" s="34"/>
      <c r="O776" s="33">
        <f>+PROVEEDORES[[#This Row],[Descuento sobre subtotal %]]*(PROVEEDORES[[#This Row],[SUBTOTAL]]-PROVEEDORES[[#This Row],[descuento antes de IVA]])</f>
        <v>0</v>
      </c>
      <c r="P7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76" s="33">
        <f>+(PROVEEDORES[[#This Row],[SUBTOTAL]]-PROVEEDORES[[#This Row],[descuento antes de IVA]])*PROVEEDORES[[#This Row],[Rete Fuente %]]</f>
        <v>0</v>
      </c>
      <c r="R776" s="32">
        <f>+PROVEEDORES[[#This Row],[SUBTOTAL]]+PROVEEDORES[[#This Row],[IVA 19%]]-PROVEEDORES[[#This Row],[descuento antes de IVA]]-PROVEEDORES[[#This Row],[Descuento sobre subtotal $]]-PROVEEDORES[[#This Row],[Rete Fuente $]]</f>
        <v>734999.22790000006</v>
      </c>
      <c r="S776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6" s="40"/>
      <c r="U776" s="97"/>
      <c r="V776" s="36"/>
      <c r="W776" s="36"/>
      <c r="X776" s="36"/>
      <c r="Y776" s="36"/>
      <c r="Z776" s="41"/>
      <c r="AA776" s="42"/>
      <c r="AF776" s="36"/>
      <c r="AG776" s="36"/>
    </row>
    <row r="777" spans="1:33" ht="21.95" hidden="1" customHeight="1" x14ac:dyDescent="0.25">
      <c r="A777" s="162" t="str">
        <f>+IF(PROVEEDORES[[#This Row],[FECHA DE PAGO]]=PROVEEDORES[[#This Row],[FECHA DE FACTURACIÓN]],"DE CONTADO","CRÉDITO")</f>
        <v>CRÉDITO</v>
      </c>
      <c r="B777" s="70" t="b">
        <f>+IF((PROVEEDORES[[#This Row],[FECHA DE PAGO]]-PROVEEDORES[[#This Row],[FECHA DE FACTURACIÓN]])&gt;PROVEEDORES[[#This Row],[PLAZO Días]],"PAGO VENCIDO")</f>
        <v>0</v>
      </c>
      <c r="C777" s="27">
        <f>+VLOOKUP(PROVEEDORES[[#This Row],[PROVEEDOR]],TERCEROS_INFO[#All],2,FALSE)</f>
        <v>30</v>
      </c>
      <c r="D777" s="37">
        <f>+SUMIFS(PROVEEDORES[Total],PROVEEDORES[PROVEEDOR],PROVEEDORES[[#This Row],[PROVEEDOR]],PROVEEDORES[FECHA DE PAGO],"")</f>
        <v>0</v>
      </c>
      <c r="E777" s="37"/>
      <c r="F777" s="108" t="str">
        <f>+VLOOKUP(PROVEEDORES[[#This Row],[PROVEEDOR]],TERCEROS_INFO[[PROVEEDOR]:[CORREO]],5,FALSE)</f>
        <v>juan.suarez@cosostenible.com;girlesa.ruiz@servipilas.com;joriescobar64@gmail.com</v>
      </c>
      <c r="G777" s="143">
        <v>44533</v>
      </c>
      <c r="H777" s="38" t="s">
        <v>55</v>
      </c>
      <c r="I777" s="30">
        <v>44503</v>
      </c>
      <c r="J777" s="58">
        <v>4693</v>
      </c>
      <c r="K777" s="32">
        <v>100840.4</v>
      </c>
      <c r="L777" s="32"/>
      <c r="M777" s="33">
        <f>(PROVEEDORES[[#This Row],[SUBTOTAL]]-PROVEEDORES[[#This Row],[descuento antes de IVA]])*VLOOKUP(PROVEEDORES[[#This Row],[PROVEEDOR]],TERCEROS_INFO[#All],3,FALSE)</f>
        <v>19159.675999999999</v>
      </c>
      <c r="N777" s="34"/>
      <c r="O777" s="33">
        <f>+PROVEEDORES[[#This Row],[Descuento sobre subtotal %]]*(PROVEEDORES[[#This Row],[SUBTOTAL]]-PROVEEDORES[[#This Row],[descuento antes de IVA]])</f>
        <v>0</v>
      </c>
      <c r="P7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77" s="33">
        <f>+(PROVEEDORES[[#This Row],[SUBTOTAL]]-PROVEEDORES[[#This Row],[descuento antes de IVA]])*PROVEEDORES[[#This Row],[Rete Fuente %]]</f>
        <v>0</v>
      </c>
      <c r="R777" s="32">
        <f>+PROVEEDORES[[#This Row],[SUBTOTAL]]+PROVEEDORES[[#This Row],[IVA 19%]]-PROVEEDORES[[#This Row],[descuento antes de IVA]]-PROVEEDORES[[#This Row],[Descuento sobre subtotal $]]-PROVEEDORES[[#This Row],[Rete Fuente $]]</f>
        <v>120000.076</v>
      </c>
      <c r="S777" s="16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7" s="40"/>
      <c r="U777" s="97"/>
      <c r="V777" s="36"/>
      <c r="W777" s="36"/>
      <c r="X777" s="36"/>
      <c r="Y777" s="36"/>
      <c r="Z777" s="41"/>
      <c r="AA777" s="42"/>
      <c r="AF777" s="36"/>
      <c r="AG777" s="36"/>
    </row>
    <row r="778" spans="1:33" ht="21.95" hidden="1" customHeight="1" x14ac:dyDescent="0.25">
      <c r="A778" s="165" t="str">
        <f>+IF(PROVEEDORES[[#This Row],[FECHA DE PAGO]]=PROVEEDORES[[#This Row],[FECHA DE FACTURACIÓN]],"DE CONTADO","CRÉDITO")</f>
        <v>CRÉDITO</v>
      </c>
      <c r="B778" s="70" t="str">
        <f>+IF((PROVEEDORES[[#This Row],[FECHA DE PAGO]]-PROVEEDORES[[#This Row],[FECHA DE FACTURACIÓN]])&gt;PROVEEDORES[[#This Row],[PLAZO Días]],"PAGO VENCIDO")</f>
        <v>PAGO VENCIDO</v>
      </c>
      <c r="C778" s="27">
        <f>+VLOOKUP(PROVEEDORES[[#This Row],[PROVEEDOR]],TERCEROS_INFO[#All],2,FALSE)</f>
        <v>30</v>
      </c>
      <c r="D778" s="37">
        <f>+SUMIFS(PROVEEDORES[Total],PROVEEDORES[PROVEEDOR],PROVEEDORES[[#This Row],[PROVEEDOR]],PROVEEDORES[FECHA DE PAGO],"")</f>
        <v>0</v>
      </c>
      <c r="E778" s="37"/>
      <c r="F778" s="108" t="str">
        <f>+VLOOKUP(PROVEEDORES[[#This Row],[PROVEEDOR]],TERCEROS_INFO[[PROVEEDOR]:[CORREO]],5,FALSE)</f>
        <v>juan.suarez@cosostenible.com;girlesa.ruiz@servipilas.com;joriescobar64@gmail.com</v>
      </c>
      <c r="G778" s="143">
        <v>44552</v>
      </c>
      <c r="H778" s="38" t="s">
        <v>55</v>
      </c>
      <c r="I778" s="30">
        <v>44518</v>
      </c>
      <c r="J778" s="58">
        <v>4887</v>
      </c>
      <c r="K778" s="32">
        <v>2336200</v>
      </c>
      <c r="L778" s="32"/>
      <c r="M778" s="33">
        <f>(PROVEEDORES[[#This Row],[SUBTOTAL]]-PROVEEDORES[[#This Row],[descuento antes de IVA]])*VLOOKUP(PROVEEDORES[[#This Row],[PROVEEDOR]],TERCEROS_INFO[#All],3,FALSE)</f>
        <v>443878</v>
      </c>
      <c r="N778" s="34"/>
      <c r="O778" s="33">
        <f>+PROVEEDORES[[#This Row],[Descuento sobre subtotal %]]*(PROVEEDORES[[#This Row],[SUBTOTAL]]-PROVEEDORES[[#This Row],[descuento antes de IVA]])</f>
        <v>0</v>
      </c>
      <c r="P7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78" s="33">
        <f>+(PROVEEDORES[[#This Row],[SUBTOTAL]]-PROVEEDORES[[#This Row],[descuento antes de IVA]])*PROVEEDORES[[#This Row],[Rete Fuente %]]</f>
        <v>58405</v>
      </c>
      <c r="R778" s="32">
        <f>+PROVEEDORES[[#This Row],[SUBTOTAL]]+PROVEEDORES[[#This Row],[IVA 19%]]-PROVEEDORES[[#This Row],[descuento antes de IVA]]-PROVEEDORES[[#This Row],[Descuento sobre subtotal $]]-PROVEEDORES[[#This Row],[Rete Fuente $]]</f>
        <v>2721673</v>
      </c>
      <c r="S778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8" s="40"/>
      <c r="U778" s="97"/>
      <c r="V778" s="36"/>
      <c r="W778" s="36"/>
      <c r="X778" s="36"/>
      <c r="Y778" s="36"/>
      <c r="Z778" s="41"/>
      <c r="AA778" s="42"/>
      <c r="AF778" s="36"/>
      <c r="AG778" s="36"/>
    </row>
    <row r="779" spans="1:33" ht="21.95" hidden="1" customHeight="1" x14ac:dyDescent="0.25">
      <c r="A779" s="39" t="str">
        <f>+IF(PROVEEDORES[[#This Row],[FECHA DE PAGO]]=PROVEEDORES[[#This Row],[FECHA DE FACTURACIÓN]],"DE CONTADO","CRÉDITO")</f>
        <v>CRÉDITO</v>
      </c>
      <c r="B779" s="67" t="b">
        <f>+IF((PROVEEDORES[[#This Row],[FECHA DE PAGO]]-PROVEEDORES[[#This Row],[FECHA DE FACTURACIÓN]])&gt;PROVEEDORES[[#This Row],[PLAZO Días]],"PAGO VENCIDO")</f>
        <v>0</v>
      </c>
      <c r="C779" s="27">
        <f>+VLOOKUP(PROVEEDORES[[#This Row],[PROVEEDOR]],TERCEROS_INFO[#All],2,FALSE)</f>
        <v>30</v>
      </c>
      <c r="D779" s="37">
        <f>+SUMIFS(PROVEEDORES[Total],PROVEEDORES[PROVEEDOR],PROVEEDORES[[#This Row],[PROVEEDOR]],PROVEEDORES[FECHA DE PAGO],"")</f>
        <v>-417303</v>
      </c>
      <c r="E779" s="37"/>
      <c r="F779" s="108" t="str">
        <f>+VLOOKUP(PROVEEDORES[[#This Row],[PROVEEDOR]],TERCEROS_INFO[[PROVEEDOR]:[CORREO]],5,FALSE)</f>
        <v>wruiz@tsqsa.com;venta1@disuiza.com;girlesa.ruiz@servipilas.com;joriescobar64@gmail.com</v>
      </c>
      <c r="G779" s="143">
        <v>44154</v>
      </c>
      <c r="H779" s="38" t="s">
        <v>185</v>
      </c>
      <c r="I779" s="30">
        <v>44152</v>
      </c>
      <c r="J779" s="58" t="s">
        <v>195</v>
      </c>
      <c r="K779" s="32">
        <v>4275000</v>
      </c>
      <c r="L779" s="32"/>
      <c r="M779" s="33">
        <f>(PROVEEDORES[[#This Row],[SUBTOTAL]]-PROVEEDORES[[#This Row],[descuento antes de IVA]])*VLOOKUP(PROVEEDORES[[#This Row],[PROVEEDOR]],TERCEROS_INFO[#All],3,FALSE)</f>
        <v>812250</v>
      </c>
      <c r="N779" s="34">
        <v>0.10818181818181834</v>
      </c>
      <c r="O779" s="33">
        <f>+PROVEEDORES[[#This Row],[Descuento sobre subtotal %]]*(PROVEEDORES[[#This Row],[SUBTOTAL]]-PROVEEDORES[[#This Row],[descuento antes de IVA]])</f>
        <v>462477.2727272734</v>
      </c>
      <c r="P7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79" s="33">
        <f>+(PROVEEDORES[[#This Row],[SUBTOTAL]]-PROVEEDORES[[#This Row],[descuento antes de IVA]])*PROVEEDORES[[#This Row],[Rete Fuente %]]</f>
        <v>106875</v>
      </c>
      <c r="R779" s="32">
        <f>+PROVEEDORES[[#This Row],[SUBTOTAL]]+PROVEEDORES[[#This Row],[IVA 19%]]-PROVEEDORES[[#This Row],[descuento antes de IVA]]-PROVEEDORES[[#This Row],[Descuento sobre subtotal $]]-PROVEEDORES[[#This Row],[Rete Fuente $]]</f>
        <v>4517897.7272727266</v>
      </c>
      <c r="S77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9" s="40"/>
      <c r="U779" s="97"/>
      <c r="V779" s="36"/>
      <c r="W779" s="36"/>
      <c r="X779" s="36"/>
      <c r="Y779" s="36"/>
      <c r="Z779" s="41"/>
      <c r="AA779" s="42"/>
      <c r="AF779" s="36"/>
      <c r="AG779" s="36"/>
    </row>
    <row r="780" spans="1:33" ht="21.95" hidden="1" customHeight="1" x14ac:dyDescent="0.25">
      <c r="A780" s="124" t="str">
        <f>+IF(PROVEEDORES[[#This Row],[FECHA DE PAGO]]=PROVEEDORES[[#This Row],[FECHA DE FACTURACIÓN]],"DE CONTADO","CRÉDITO")</f>
        <v>CRÉDITO</v>
      </c>
      <c r="B780" s="70" t="b">
        <f>+IF((PROVEEDORES[[#This Row],[FECHA DE PAGO]]-PROVEEDORES[[#This Row],[FECHA DE FACTURACIÓN]])&gt;PROVEEDORES[[#This Row],[PLAZO Días]],"PAGO VENCIDO")</f>
        <v>0</v>
      </c>
      <c r="C780" s="27">
        <f>+VLOOKUP(PROVEEDORES[[#This Row],[PROVEEDOR]],TERCEROS_INFO[#All],2,FALSE)</f>
        <v>30</v>
      </c>
      <c r="D780" s="37">
        <f>+SUMIFS(PROVEEDORES[Total],PROVEEDORES[PROVEEDOR],PROVEEDORES[[#This Row],[PROVEEDOR]],PROVEEDORES[FECHA DE PAGO],"")</f>
        <v>-417303</v>
      </c>
      <c r="E780" s="37"/>
      <c r="F780" s="108" t="str">
        <f>+VLOOKUP(PROVEEDORES[[#This Row],[PROVEEDOR]],TERCEROS_INFO[[PROVEEDOR]:[CORREO]],5,FALSE)</f>
        <v>wruiz@tsqsa.com;venta1@disuiza.com;girlesa.ruiz@servipilas.com;joriescobar64@gmail.com</v>
      </c>
      <c r="G780" s="143">
        <v>44363</v>
      </c>
      <c r="H780" s="38" t="s">
        <v>185</v>
      </c>
      <c r="I780" s="30">
        <v>44358</v>
      </c>
      <c r="J780" s="58" t="s">
        <v>705</v>
      </c>
      <c r="K780" s="32">
        <v>2549700</v>
      </c>
      <c r="L780" s="32"/>
      <c r="M780" s="33">
        <f>(PROVEEDORES[[#This Row],[SUBTOTAL]]-PROVEEDORES[[#This Row],[descuento antes de IVA]])*VLOOKUP(PROVEEDORES[[#This Row],[PROVEEDOR]],TERCEROS_INFO[#All],3,FALSE)</f>
        <v>484443</v>
      </c>
      <c r="N780" s="34"/>
      <c r="O780" s="33">
        <f>+PROVEEDORES[[#This Row],[Descuento sobre subtotal %]]*(PROVEEDORES[[#This Row],[SUBTOTAL]]-PROVEEDORES[[#This Row],[descuento antes de IVA]])</f>
        <v>0</v>
      </c>
      <c r="P7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80" s="33">
        <f>+(PROVEEDORES[[#This Row],[SUBTOTAL]]-PROVEEDORES[[#This Row],[descuento antes de IVA]])*PROVEEDORES[[#This Row],[Rete Fuente %]]</f>
        <v>63742.5</v>
      </c>
      <c r="R780" s="32">
        <f>+PROVEEDORES[[#This Row],[SUBTOTAL]]+PROVEEDORES[[#This Row],[IVA 19%]]-PROVEEDORES[[#This Row],[descuento antes de IVA]]-PROVEEDORES[[#This Row],[Descuento sobre subtotal $]]-PROVEEDORES[[#This Row],[Rete Fuente $]]</f>
        <v>2970400.5</v>
      </c>
      <c r="S780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0" s="40"/>
      <c r="U780" s="97"/>
      <c r="V780" s="36"/>
      <c r="W780" s="36"/>
      <c r="X780" s="36"/>
      <c r="Y780" s="36"/>
      <c r="Z780" s="41"/>
      <c r="AA780" s="42"/>
      <c r="AF780" s="36"/>
      <c r="AG780" s="36"/>
    </row>
    <row r="781" spans="1:33" ht="21.95" hidden="1" customHeight="1" x14ac:dyDescent="0.25">
      <c r="A781" s="135" t="str">
        <f>+IF(PROVEEDORES[[#This Row],[FECHA DE PAGO]]=PROVEEDORES[[#This Row],[FECHA DE FACTURACIÓN]],"DE CONTADO","CRÉDITO")</f>
        <v>DE CONTADO</v>
      </c>
      <c r="B781" s="70" t="b">
        <f>+IF((PROVEEDORES[[#This Row],[FECHA DE PAGO]]-PROVEEDORES[[#This Row],[FECHA DE FACTURACIÓN]])&gt;PROVEEDORES[[#This Row],[PLAZO Días]],"PAGO VENCIDO")</f>
        <v>0</v>
      </c>
      <c r="C781" s="27">
        <f>+VLOOKUP(PROVEEDORES[[#This Row],[PROVEEDOR]],TERCEROS_INFO[#All],2,FALSE)</f>
        <v>30</v>
      </c>
      <c r="D781" s="37">
        <f>+SUMIFS(PROVEEDORES[Total],PROVEEDORES[PROVEEDOR],PROVEEDORES[[#This Row],[PROVEEDOR]],PROVEEDORES[FECHA DE PAGO],"")</f>
        <v>-417303</v>
      </c>
      <c r="E781" s="37"/>
      <c r="F781" s="108" t="str">
        <f>+VLOOKUP(PROVEEDORES[[#This Row],[PROVEEDOR]],TERCEROS_INFO[[PROVEEDOR]:[CORREO]],5,FALSE)</f>
        <v>wruiz@tsqsa.com;venta1@disuiza.com;girlesa.ruiz@servipilas.com;joriescobar64@gmail.com</v>
      </c>
      <c r="G781" s="30">
        <v>44425</v>
      </c>
      <c r="H781" s="38" t="s">
        <v>185</v>
      </c>
      <c r="I781" s="30">
        <v>44425</v>
      </c>
      <c r="J781" s="58" t="s">
        <v>804</v>
      </c>
      <c r="K781" s="32">
        <v>3424000</v>
      </c>
      <c r="L781" s="32">
        <v>342400</v>
      </c>
      <c r="M781" s="33">
        <f>(PROVEEDORES[[#This Row],[SUBTOTAL]]-PROVEEDORES[[#This Row],[descuento antes de IVA]])*VLOOKUP(PROVEEDORES[[#This Row],[PROVEEDOR]],TERCEROS_INFO[#All],3,FALSE)</f>
        <v>585504</v>
      </c>
      <c r="N781" s="34"/>
      <c r="O781" s="33">
        <f>+PROVEEDORES[[#This Row],[Descuento sobre subtotal %]]*(PROVEEDORES[[#This Row],[SUBTOTAL]]-PROVEEDORES[[#This Row],[descuento antes de IVA]])</f>
        <v>0</v>
      </c>
      <c r="P7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81" s="33">
        <f>+(PROVEEDORES[[#This Row],[SUBTOTAL]]-PROVEEDORES[[#This Row],[descuento antes de IVA]])*PROVEEDORES[[#This Row],[Rete Fuente %]]</f>
        <v>77040</v>
      </c>
      <c r="R781" s="32">
        <f>+PROVEEDORES[[#This Row],[SUBTOTAL]]+PROVEEDORES[[#This Row],[IVA 19%]]-PROVEEDORES[[#This Row],[descuento antes de IVA]]-PROVEEDORES[[#This Row],[Descuento sobre subtotal $]]-PROVEEDORES[[#This Row],[Rete Fuente $]]</f>
        <v>3590064</v>
      </c>
      <c r="S781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1" s="40"/>
      <c r="U781" s="97"/>
      <c r="V781" s="36"/>
      <c r="W781" s="36"/>
      <c r="X781" s="36"/>
      <c r="Y781" s="36"/>
      <c r="Z781" s="41"/>
      <c r="AA781" s="42"/>
      <c r="AF781" s="36"/>
      <c r="AG781" s="36"/>
    </row>
    <row r="782" spans="1:33" ht="21.95" hidden="1" customHeight="1" x14ac:dyDescent="0.25">
      <c r="A782" s="142" t="str">
        <f>+IF(PROVEEDORES[[#This Row],[FECHA DE PAGO]]=PROVEEDORES[[#This Row],[FECHA DE FACTURACIÓN]],"DE CONTADO","CRÉDITO")</f>
        <v>CRÉDITO</v>
      </c>
      <c r="B782" s="70" t="b">
        <f>+IF((PROVEEDORES[[#This Row],[FECHA DE PAGO]]-PROVEEDORES[[#This Row],[FECHA DE FACTURACIÓN]])&gt;PROVEEDORES[[#This Row],[PLAZO Días]],"PAGO VENCIDO")</f>
        <v>0</v>
      </c>
      <c r="C782" s="27">
        <f>+VLOOKUP(PROVEEDORES[[#This Row],[PROVEEDOR]],TERCEROS_INFO[#All],2,FALSE)</f>
        <v>30</v>
      </c>
      <c r="D782" s="37">
        <f>+SUMIFS(PROVEEDORES[Total],PROVEEDORES[PROVEEDOR],PROVEEDORES[[#This Row],[PROVEEDOR]],PROVEEDORES[FECHA DE PAGO],"")</f>
        <v>-417303</v>
      </c>
      <c r="E782" s="37"/>
      <c r="F782" s="108" t="str">
        <f>+VLOOKUP(PROVEEDORES[[#This Row],[PROVEEDOR]],TERCEROS_INFO[[PROVEEDOR]:[CORREO]],5,FALSE)</f>
        <v>wruiz@tsqsa.com;venta1@disuiza.com;girlesa.ruiz@servipilas.com;joriescobar64@gmail.com</v>
      </c>
      <c r="H782" s="38" t="s">
        <v>185</v>
      </c>
      <c r="I782" s="30">
        <v>44425</v>
      </c>
      <c r="J782" s="58" t="s">
        <v>837</v>
      </c>
      <c r="K782" s="32">
        <v>-358200</v>
      </c>
      <c r="L782" s="32"/>
      <c r="M782" s="33">
        <f>(PROVEEDORES[[#This Row],[SUBTOTAL]]-PROVEEDORES[[#This Row],[descuento antes de IVA]])*VLOOKUP(PROVEEDORES[[#This Row],[PROVEEDOR]],TERCEROS_INFO[#All],3,FALSE)</f>
        <v>-68058</v>
      </c>
      <c r="N782" s="34"/>
      <c r="O782" s="33">
        <f>+PROVEEDORES[[#This Row],[Descuento sobre subtotal %]]*(PROVEEDORES[[#This Row],[SUBTOTAL]]-PROVEEDORES[[#This Row],[descuento antes de IVA]])</f>
        <v>0</v>
      </c>
      <c r="P782" s="34">
        <v>2.5000000000000001E-2</v>
      </c>
      <c r="Q782" s="33">
        <f>+(PROVEEDORES[[#This Row],[SUBTOTAL]]-PROVEEDORES[[#This Row],[descuento antes de IVA]])*PROVEEDORES[[#This Row],[Rete Fuente %]]</f>
        <v>-8955</v>
      </c>
      <c r="R782" s="32">
        <f>+PROVEEDORES[[#This Row],[SUBTOTAL]]+PROVEEDORES[[#This Row],[IVA 19%]]-PROVEEDORES[[#This Row],[descuento antes de IVA]]-PROVEEDORES[[#This Row],[Descuento sobre subtotal $]]-PROVEEDORES[[#This Row],[Rete Fuente $]]</f>
        <v>-417303</v>
      </c>
      <c r="S782" s="142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82" s="40"/>
      <c r="U782" s="97"/>
      <c r="V782" s="36"/>
      <c r="W782" s="36"/>
      <c r="X782" s="36"/>
      <c r="Y782" s="36"/>
      <c r="Z782" s="41"/>
      <c r="AA782" s="42"/>
      <c r="AF782" s="36"/>
      <c r="AG782" s="36"/>
    </row>
    <row r="783" spans="1:33" ht="21.95" hidden="1" customHeight="1" x14ac:dyDescent="0.25">
      <c r="A783" s="134" t="str">
        <f>+IF(PROVEEDORES[[#This Row],[FECHA DE PAGO]]=PROVEEDORES[[#This Row],[FECHA DE FACTURACIÓN]],"DE CONTADO","CRÉDITO")</f>
        <v>CRÉDITO</v>
      </c>
      <c r="B783" s="70" t="str">
        <f>+IF((PROVEEDORES[[#This Row],[FECHA DE PAGO]]-PROVEEDORES[[#This Row],[FECHA DE FACTURACIÓN]])&gt;PROVEEDORES[[#This Row],[PLAZO Días]],"PAGO VENCIDO")</f>
        <v>PAGO VENCIDO</v>
      </c>
      <c r="C783" s="27">
        <f>+VLOOKUP(PROVEEDORES[[#This Row],[PROVEEDOR]],TERCEROS_INFO[#All],2,FALSE)</f>
        <v>90</v>
      </c>
      <c r="D783" s="37">
        <f>+SUMIFS(PROVEEDORES[Total],PROVEEDORES[PROVEEDOR],PROVEEDORES[[#This Row],[PROVEEDOR]],PROVEEDORES[FECHA DE PAGO],"")</f>
        <v>0</v>
      </c>
      <c r="E783" s="37"/>
      <c r="F783" s="108" t="str">
        <f>+VLOOKUP(PROVEEDORES[[#This Row],[PROVEEDOR]],TERCEROS_INFO[[PROVEEDOR]:[CORREO]],5,FALSE)</f>
        <v>financiero@dmariocolombia.com;cartera@dmariocolombia.com.co;girlesa.ruiz@servipilas.com;joriescobar64@gmail.com</v>
      </c>
      <c r="G783" s="143">
        <v>44491</v>
      </c>
      <c r="H783" s="57" t="s">
        <v>759</v>
      </c>
      <c r="I783" s="30">
        <v>44396</v>
      </c>
      <c r="J783" s="58" t="s">
        <v>760</v>
      </c>
      <c r="K783" s="32">
        <v>4774790</v>
      </c>
      <c r="L783" s="32"/>
      <c r="M783" s="33">
        <f>(PROVEEDORES[[#This Row],[SUBTOTAL]]-PROVEEDORES[[#This Row],[descuento antes de IVA]])*VLOOKUP(PROVEEDORES[[#This Row],[PROVEEDOR]],TERCEROS_INFO[#All],3,FALSE)</f>
        <v>907210.1</v>
      </c>
      <c r="N783" s="34"/>
      <c r="O783" s="33">
        <f>+PROVEEDORES[[#This Row],[Descuento sobre subtotal %]]*(PROVEEDORES[[#This Row],[SUBTOTAL]]-PROVEEDORES[[#This Row],[descuento antes de IVA]])</f>
        <v>0</v>
      </c>
      <c r="P7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83" s="33">
        <f>+(PROVEEDORES[[#This Row],[SUBTOTAL]]-PROVEEDORES[[#This Row],[descuento antes de IVA]])*PROVEEDORES[[#This Row],[Rete Fuente %]]</f>
        <v>119369.75</v>
      </c>
      <c r="R783" s="32">
        <f>+PROVEEDORES[[#This Row],[SUBTOTAL]]+PROVEEDORES[[#This Row],[IVA 19%]]-PROVEEDORES[[#This Row],[descuento antes de IVA]]-PROVEEDORES[[#This Row],[Descuento sobre subtotal $]]-PROVEEDORES[[#This Row],[Rete Fuente $]]</f>
        <v>5562630.3499999996</v>
      </c>
      <c r="S783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3" s="40"/>
      <c r="U783" s="97"/>
      <c r="V783" s="36"/>
      <c r="W783" s="36"/>
      <c r="X783" s="36"/>
      <c r="Y783" s="36"/>
      <c r="Z783" s="41"/>
      <c r="AA783" s="42"/>
      <c r="AF783" s="36"/>
      <c r="AG783" s="36"/>
    </row>
    <row r="784" spans="1:33" ht="21.95" hidden="1" customHeight="1" x14ac:dyDescent="0.25">
      <c r="A784" s="39" t="str">
        <f>+IF(PROVEEDORES[[#This Row],[FECHA DE PAGO]]=PROVEEDORES[[#This Row],[FECHA DE FACTURACIÓN]],"DE CONTADO","CRÉDITO")</f>
        <v>CRÉDITO</v>
      </c>
      <c r="B784" s="67" t="str">
        <f>+IF((PROVEEDORES[[#This Row],[FECHA DE PAGO]]-PROVEEDORES[[#This Row],[FECHA DE FACTURACIÓN]])&gt;PROVEEDORES[[#This Row],[PLAZO Días]],"PAGO VENCIDO")</f>
        <v>PAGO VENCIDO</v>
      </c>
      <c r="C784" s="27">
        <f>+VLOOKUP(PROVEEDORES[[#This Row],[PROVEEDOR]],TERCEROS_INFO[#All],2,FALSE)</f>
        <v>30</v>
      </c>
      <c r="D784" s="37">
        <f>+SUMIFS(PROVEEDORES[Total],PROVEEDORES[PROVEEDOR],PROVEEDORES[[#This Row],[PROVEEDOR]],PROVEEDORES[FECHA DE PAGO],"")</f>
        <v>0</v>
      </c>
      <c r="E784" s="37"/>
      <c r="F784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84" s="143">
        <v>43948</v>
      </c>
      <c r="H784" s="38" t="s">
        <v>26</v>
      </c>
      <c r="I784" s="30">
        <v>43888</v>
      </c>
      <c r="J784" s="58">
        <v>5040128</v>
      </c>
      <c r="K784" s="32">
        <v>1161084.0336134455</v>
      </c>
      <c r="L784" s="32"/>
      <c r="M784" s="33">
        <f>(PROVEEDORES[[#This Row],[SUBTOTAL]]-PROVEEDORES[[#This Row],[descuento antes de IVA]])*VLOOKUP(PROVEEDORES[[#This Row],[PROVEEDOR]],TERCEROS_INFO[#All],3,FALSE)</f>
        <v>220605.96638655465</v>
      </c>
      <c r="N784" s="34"/>
      <c r="O784" s="33">
        <f>+PROVEEDORES[[#This Row],[Descuento sobre subtotal %]]*(PROVEEDORES[[#This Row],[SUBTOTAL]]-PROVEEDORES[[#This Row],[descuento antes de IVA]])</f>
        <v>0</v>
      </c>
      <c r="P7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84" s="33">
        <f>+(PROVEEDORES[[#This Row],[SUBTOTAL]]-PROVEEDORES[[#This Row],[descuento antes de IVA]])*PROVEEDORES[[#This Row],[Rete Fuente %]]</f>
        <v>29027.100840336137</v>
      </c>
      <c r="R784" s="32">
        <f>+PROVEEDORES[[#This Row],[SUBTOTAL]]+PROVEEDORES[[#This Row],[IVA 19%]]-PROVEEDORES[[#This Row],[descuento antes de IVA]]-PROVEEDORES[[#This Row],[Descuento sobre subtotal $]]-PROVEEDORES[[#This Row],[Rete Fuente $]]</f>
        <v>1352662.8991596638</v>
      </c>
      <c r="S78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4" s="40"/>
      <c r="U784" s="97"/>
      <c r="V784" s="36"/>
      <c r="W784" s="36"/>
      <c r="X784" s="36"/>
      <c r="Y784" s="36"/>
      <c r="Z784" s="41"/>
      <c r="AA784" s="42"/>
      <c r="AF784" s="36"/>
      <c r="AG784" s="36"/>
    </row>
    <row r="785" spans="1:33" ht="21.95" hidden="1" customHeight="1" x14ac:dyDescent="0.25">
      <c r="A785" s="39" t="str">
        <f>+IF(PROVEEDORES[[#This Row],[FECHA DE PAGO]]=PROVEEDORES[[#This Row],[FECHA DE FACTURACIÓN]],"DE CONTADO","CRÉDITO")</f>
        <v>CRÉDITO</v>
      </c>
      <c r="B785" s="67" t="str">
        <f>+IF((PROVEEDORES[[#This Row],[FECHA DE PAGO]]-PROVEEDORES[[#This Row],[FECHA DE FACTURACIÓN]])&gt;PROVEEDORES[[#This Row],[PLAZO Días]],"PAGO VENCIDO")</f>
        <v>PAGO VENCIDO</v>
      </c>
      <c r="C785" s="27">
        <f>+VLOOKUP(PROVEEDORES[[#This Row],[PROVEEDOR]],TERCEROS_INFO[#All],2,FALSE)</f>
        <v>30</v>
      </c>
      <c r="D785" s="37">
        <f>+SUMIFS(PROVEEDORES[Total],PROVEEDORES[PROVEEDOR],PROVEEDORES[[#This Row],[PROVEEDOR]],PROVEEDORES[FECHA DE PAGO],"")</f>
        <v>0</v>
      </c>
      <c r="E785" s="37"/>
      <c r="F785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85" s="143">
        <v>43956</v>
      </c>
      <c r="H785" s="38" t="s">
        <v>26</v>
      </c>
      <c r="I785" s="30">
        <v>43894</v>
      </c>
      <c r="J785" s="58">
        <v>5040135</v>
      </c>
      <c r="K785" s="32">
        <v>1855307.5630252101</v>
      </c>
      <c r="L785" s="32"/>
      <c r="M785" s="33">
        <f>(PROVEEDORES[[#This Row],[SUBTOTAL]]-PROVEEDORES[[#This Row],[descuento antes de IVA]])*VLOOKUP(PROVEEDORES[[#This Row],[PROVEEDOR]],TERCEROS_INFO[#All],3,FALSE)</f>
        <v>352508.43697478989</v>
      </c>
      <c r="N785" s="34"/>
      <c r="O785" s="33">
        <f>+PROVEEDORES[[#This Row],[Descuento sobre subtotal %]]*(PROVEEDORES[[#This Row],[SUBTOTAL]]-PROVEEDORES[[#This Row],[descuento antes de IVA]])</f>
        <v>0</v>
      </c>
      <c r="P7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85" s="33">
        <f>+(PROVEEDORES[[#This Row],[SUBTOTAL]]-PROVEEDORES[[#This Row],[descuento antes de IVA]])*PROVEEDORES[[#This Row],[Rete Fuente %]]</f>
        <v>46382.689075630253</v>
      </c>
      <c r="R785" s="32">
        <f>+PROVEEDORES[[#This Row],[SUBTOTAL]]+PROVEEDORES[[#This Row],[IVA 19%]]-PROVEEDORES[[#This Row],[descuento antes de IVA]]-PROVEEDORES[[#This Row],[Descuento sobre subtotal $]]-PROVEEDORES[[#This Row],[Rete Fuente $]]</f>
        <v>2161433.3109243698</v>
      </c>
      <c r="S78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5" s="40"/>
      <c r="U785" s="97"/>
      <c r="V785" s="36"/>
      <c r="W785" s="36"/>
      <c r="X785" s="36"/>
      <c r="Y785" s="36"/>
      <c r="Z785" s="41"/>
      <c r="AA785" s="42"/>
      <c r="AF785" s="36"/>
      <c r="AG785" s="36"/>
    </row>
    <row r="786" spans="1:33" ht="21.95" hidden="1" customHeight="1" x14ac:dyDescent="0.25">
      <c r="A786" s="39" t="str">
        <f>+IF(PROVEEDORES[[#This Row],[FECHA DE PAGO]]=PROVEEDORES[[#This Row],[FECHA DE FACTURACIÓN]],"DE CONTADO","CRÉDITO")</f>
        <v>CRÉDITO</v>
      </c>
      <c r="B786" s="67" t="str">
        <f>+IF((PROVEEDORES[[#This Row],[FECHA DE PAGO]]-PROVEEDORES[[#This Row],[FECHA DE FACTURACIÓN]])&gt;PROVEEDORES[[#This Row],[PLAZO Días]],"PAGO VENCIDO")</f>
        <v>PAGO VENCIDO</v>
      </c>
      <c r="C786" s="27">
        <f>+VLOOKUP(PROVEEDORES[[#This Row],[PROVEEDOR]],TERCEROS_INFO[#All],2,FALSE)</f>
        <v>30</v>
      </c>
      <c r="D786" s="37">
        <f>+SUMIFS(PROVEEDORES[Total],PROVEEDORES[PROVEEDOR],PROVEEDORES[[#This Row],[PROVEEDOR]],PROVEEDORES[FECHA DE PAGO],"")</f>
        <v>0</v>
      </c>
      <c r="E786" s="37"/>
      <c r="F786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86" s="143">
        <v>43973</v>
      </c>
      <c r="H786" s="38" t="s">
        <v>26</v>
      </c>
      <c r="I786" s="30">
        <v>43909</v>
      </c>
      <c r="J786" s="58">
        <v>5040169</v>
      </c>
      <c r="K786" s="32">
        <v>1871831.9327731093</v>
      </c>
      <c r="L786" s="32"/>
      <c r="M786" s="33">
        <f>(PROVEEDORES[[#This Row],[SUBTOTAL]]-PROVEEDORES[[#This Row],[descuento antes de IVA]])*VLOOKUP(PROVEEDORES[[#This Row],[PROVEEDOR]],TERCEROS_INFO[#All],3,FALSE)</f>
        <v>355648.06722689077</v>
      </c>
      <c r="N786" s="34"/>
      <c r="O786" s="33">
        <f>+PROVEEDORES[[#This Row],[Descuento sobre subtotal %]]*(PROVEEDORES[[#This Row],[SUBTOTAL]]-PROVEEDORES[[#This Row],[descuento antes de IVA]])</f>
        <v>0</v>
      </c>
      <c r="P7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86" s="33">
        <f>+(PROVEEDORES[[#This Row],[SUBTOTAL]]-PROVEEDORES[[#This Row],[descuento antes de IVA]])*PROVEEDORES[[#This Row],[Rete Fuente %]]</f>
        <v>46795.798319327732</v>
      </c>
      <c r="R786" s="32">
        <f>+PROVEEDORES[[#This Row],[SUBTOTAL]]+PROVEEDORES[[#This Row],[IVA 19%]]-PROVEEDORES[[#This Row],[descuento antes de IVA]]-PROVEEDORES[[#This Row],[Descuento sobre subtotal $]]-PROVEEDORES[[#This Row],[Rete Fuente $]]</f>
        <v>2180684.2016806724</v>
      </c>
      <c r="S78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6" s="40"/>
      <c r="U786" s="97"/>
      <c r="V786" s="36"/>
      <c r="W786" s="36"/>
      <c r="X786" s="36"/>
      <c r="Y786" s="36"/>
      <c r="Z786" s="41"/>
      <c r="AA786" s="42"/>
      <c r="AF786" s="36"/>
      <c r="AG786" s="36"/>
    </row>
    <row r="787" spans="1:33" ht="21.95" hidden="1" customHeight="1" x14ac:dyDescent="0.25">
      <c r="A787" s="39" t="str">
        <f>+IF(PROVEEDORES[[#This Row],[FECHA DE PAGO]]=PROVEEDORES[[#This Row],[FECHA DE FACTURACIÓN]],"DE CONTADO","CRÉDITO")</f>
        <v>CRÉDITO</v>
      </c>
      <c r="B787" s="67" t="str">
        <f>+IF((PROVEEDORES[[#This Row],[FECHA DE PAGO]]-PROVEEDORES[[#This Row],[FECHA DE FACTURACIÓN]])&gt;PROVEEDORES[[#This Row],[PLAZO Días]],"PAGO VENCIDO")</f>
        <v>PAGO VENCIDO</v>
      </c>
      <c r="C787" s="27">
        <f>+VLOOKUP(PROVEEDORES[[#This Row],[PROVEEDOR]],TERCEROS_INFO[#All],2,FALSE)</f>
        <v>30</v>
      </c>
      <c r="D787" s="37">
        <f>+SUMIFS(PROVEEDORES[Total],PROVEEDORES[PROVEEDOR],PROVEEDORES[[#This Row],[PROVEEDOR]],PROVEEDORES[FECHA DE PAGO],"")</f>
        <v>0</v>
      </c>
      <c r="E787" s="37"/>
      <c r="F787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87" s="143">
        <v>43973</v>
      </c>
      <c r="H787" s="38" t="s">
        <v>26</v>
      </c>
      <c r="I787" s="30">
        <v>43909</v>
      </c>
      <c r="J787" s="58">
        <v>5040170</v>
      </c>
      <c r="K787" s="32">
        <v>299474.78991596639</v>
      </c>
      <c r="L787" s="32"/>
      <c r="M787" s="33">
        <f>(PROVEEDORES[[#This Row],[SUBTOTAL]]-PROVEEDORES[[#This Row],[descuento antes de IVA]])*VLOOKUP(PROVEEDORES[[#This Row],[PROVEEDOR]],TERCEROS_INFO[#All],3,FALSE)</f>
        <v>56900.210084033613</v>
      </c>
      <c r="N787" s="34"/>
      <c r="O787" s="33">
        <f>+PROVEEDORES[[#This Row],[Descuento sobre subtotal %]]*(PROVEEDORES[[#This Row],[SUBTOTAL]]-PROVEEDORES[[#This Row],[descuento antes de IVA]])</f>
        <v>0</v>
      </c>
      <c r="P7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87" s="33">
        <f>+(PROVEEDORES[[#This Row],[SUBTOTAL]]-PROVEEDORES[[#This Row],[descuento antes de IVA]])*PROVEEDORES[[#This Row],[Rete Fuente %]]</f>
        <v>0</v>
      </c>
      <c r="R787" s="32">
        <f>+PROVEEDORES[[#This Row],[SUBTOTAL]]+PROVEEDORES[[#This Row],[IVA 19%]]-PROVEEDORES[[#This Row],[descuento antes de IVA]]-PROVEEDORES[[#This Row],[Descuento sobre subtotal $]]-PROVEEDORES[[#This Row],[Rete Fuente $]]</f>
        <v>356375</v>
      </c>
      <c r="S78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7" s="40"/>
      <c r="U787" s="97"/>
      <c r="V787" s="36"/>
      <c r="W787" s="36"/>
      <c r="X787" s="36"/>
      <c r="Y787" s="36"/>
      <c r="Z787" s="41"/>
      <c r="AA787" s="42"/>
      <c r="AF787" s="36"/>
      <c r="AG787" s="36"/>
    </row>
    <row r="788" spans="1:33" ht="21.95" hidden="1" customHeight="1" x14ac:dyDescent="0.25">
      <c r="A788" s="39" t="str">
        <f>+IF(PROVEEDORES[[#This Row],[FECHA DE PAGO]]=PROVEEDORES[[#This Row],[FECHA DE FACTURACIÓN]],"DE CONTADO","CRÉDITO")</f>
        <v>CRÉDITO</v>
      </c>
      <c r="B788" s="67" t="str">
        <f>+IF((PROVEEDORES[[#This Row],[FECHA DE PAGO]]-PROVEEDORES[[#This Row],[FECHA DE FACTURACIÓN]])&gt;PROVEEDORES[[#This Row],[PLAZO Días]],"PAGO VENCIDO")</f>
        <v>PAGO VENCIDO</v>
      </c>
      <c r="C788" s="27">
        <f>+VLOOKUP(PROVEEDORES[[#This Row],[PROVEEDOR]],TERCEROS_INFO[#All],2,FALSE)</f>
        <v>30</v>
      </c>
      <c r="D788" s="37">
        <f>+SUMIFS(PROVEEDORES[Total],PROVEEDORES[PROVEEDOR],PROVEEDORES[[#This Row],[PROVEEDOR]],PROVEEDORES[FECHA DE PAGO],"")</f>
        <v>0</v>
      </c>
      <c r="E788" s="37"/>
      <c r="F788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88" s="143">
        <v>44067</v>
      </c>
      <c r="H788" s="38" t="s">
        <v>26</v>
      </c>
      <c r="I788" s="30">
        <v>44006</v>
      </c>
      <c r="J788" s="58">
        <v>5040256</v>
      </c>
      <c r="K788" s="32">
        <v>1510166.3865546219</v>
      </c>
      <c r="L788" s="32"/>
      <c r="M788" s="33">
        <f>(PROVEEDORES[[#This Row],[SUBTOTAL]]-PROVEEDORES[[#This Row],[descuento antes de IVA]])*VLOOKUP(PROVEEDORES[[#This Row],[PROVEEDOR]],TERCEROS_INFO[#All],3,FALSE)</f>
        <v>286931.61344537814</v>
      </c>
      <c r="N788" s="34"/>
      <c r="O788" s="33">
        <f>+PROVEEDORES[[#This Row],[Descuento sobre subtotal %]]*(PROVEEDORES[[#This Row],[SUBTOTAL]]-PROVEEDORES[[#This Row],[descuento antes de IVA]])</f>
        <v>0</v>
      </c>
      <c r="P7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88" s="33">
        <f>+(PROVEEDORES[[#This Row],[SUBTOTAL]]-PROVEEDORES[[#This Row],[descuento antes de IVA]])*PROVEEDORES[[#This Row],[Rete Fuente %]]</f>
        <v>37754.159663865546</v>
      </c>
      <c r="R788" s="32">
        <f>+PROVEEDORES[[#This Row],[SUBTOTAL]]+PROVEEDORES[[#This Row],[IVA 19%]]-PROVEEDORES[[#This Row],[descuento antes de IVA]]-PROVEEDORES[[#This Row],[Descuento sobre subtotal $]]-PROVEEDORES[[#This Row],[Rete Fuente $]]</f>
        <v>1759343.8403361344</v>
      </c>
      <c r="S78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8" s="40"/>
      <c r="U788" s="97"/>
      <c r="V788" s="36"/>
      <c r="W788" s="36"/>
      <c r="X788" s="36"/>
      <c r="Y788" s="36"/>
      <c r="Z788" s="41"/>
      <c r="AA788" s="42"/>
      <c r="AF788" s="36"/>
      <c r="AG788" s="36"/>
    </row>
    <row r="789" spans="1:33" ht="21.95" hidden="1" customHeight="1" x14ac:dyDescent="0.25">
      <c r="A789" s="39" t="str">
        <f>+IF(PROVEEDORES[[#This Row],[FECHA DE PAGO]]=PROVEEDORES[[#This Row],[FECHA DE FACTURACIÓN]],"DE CONTADO","CRÉDITO")</f>
        <v>CRÉDITO</v>
      </c>
      <c r="B789" s="67" t="str">
        <f>+IF((PROVEEDORES[[#This Row],[FECHA DE PAGO]]-PROVEEDORES[[#This Row],[FECHA DE FACTURACIÓN]])&gt;PROVEEDORES[[#This Row],[PLAZO Días]],"PAGO VENCIDO")</f>
        <v>PAGO VENCIDO</v>
      </c>
      <c r="C789" s="27">
        <f>+VLOOKUP(PROVEEDORES[[#This Row],[PROVEEDOR]],TERCEROS_INFO[#All],2,FALSE)</f>
        <v>30</v>
      </c>
      <c r="D789" s="37">
        <f>+SUMIFS(PROVEEDORES[Total],PROVEEDORES[PROVEEDOR],PROVEEDORES[[#This Row],[PROVEEDOR]],PROVEEDORES[FECHA DE PAGO],"")</f>
        <v>0</v>
      </c>
      <c r="E789" s="37"/>
      <c r="F789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89" s="143">
        <v>44110</v>
      </c>
      <c r="H789" s="38" t="s">
        <v>26</v>
      </c>
      <c r="I789" s="30">
        <v>44070</v>
      </c>
      <c r="J789" s="58" t="s">
        <v>128</v>
      </c>
      <c r="K789" s="32">
        <v>660000</v>
      </c>
      <c r="L789" s="32"/>
      <c r="M789" s="33">
        <f>(PROVEEDORES[[#This Row],[SUBTOTAL]]-PROVEEDORES[[#This Row],[descuento antes de IVA]])*VLOOKUP(PROVEEDORES[[#This Row],[PROVEEDOR]],TERCEROS_INFO[#All],3,FALSE)</f>
        <v>125400</v>
      </c>
      <c r="N789" s="34"/>
      <c r="O789" s="33">
        <f>+PROVEEDORES[[#This Row],[Descuento sobre subtotal %]]*(PROVEEDORES[[#This Row],[SUBTOTAL]]-PROVEEDORES[[#This Row],[descuento antes de IVA]])</f>
        <v>0</v>
      </c>
      <c r="P7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89" s="33">
        <f>+(PROVEEDORES[[#This Row],[SUBTOTAL]]-PROVEEDORES[[#This Row],[descuento antes de IVA]])*PROVEEDORES[[#This Row],[Rete Fuente %]]</f>
        <v>0</v>
      </c>
      <c r="R789" s="32">
        <f>+PROVEEDORES[[#This Row],[SUBTOTAL]]+PROVEEDORES[[#This Row],[IVA 19%]]-PROVEEDORES[[#This Row],[descuento antes de IVA]]-PROVEEDORES[[#This Row],[Descuento sobre subtotal $]]-PROVEEDORES[[#This Row],[Rete Fuente $]]</f>
        <v>785400</v>
      </c>
      <c r="S7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9" s="40"/>
      <c r="U789" s="97"/>
      <c r="V789" s="36"/>
      <c r="W789" s="36"/>
      <c r="X789" s="36"/>
      <c r="Y789" s="36"/>
      <c r="Z789" s="41"/>
      <c r="AA789" s="42"/>
      <c r="AF789" s="36"/>
      <c r="AG789" s="36"/>
    </row>
    <row r="790" spans="1:33" ht="21.95" hidden="1" customHeight="1" x14ac:dyDescent="0.25">
      <c r="A790" s="39" t="str">
        <f>+IF(PROVEEDORES[[#This Row],[FECHA DE PAGO]]=PROVEEDORES[[#This Row],[FECHA DE FACTURACIÓN]],"DE CONTADO","CRÉDITO")</f>
        <v>CRÉDITO</v>
      </c>
      <c r="B790" s="67" t="str">
        <f>+IF((PROVEEDORES[[#This Row],[FECHA DE PAGO]]-PROVEEDORES[[#This Row],[FECHA DE FACTURACIÓN]])&gt;PROVEEDORES[[#This Row],[PLAZO Días]],"PAGO VENCIDO")</f>
        <v>PAGO VENCIDO</v>
      </c>
      <c r="C790" s="27">
        <f>+VLOOKUP(PROVEEDORES[[#This Row],[PROVEEDOR]],TERCEROS_INFO[#All],2,FALSE)</f>
        <v>30</v>
      </c>
      <c r="D790" s="37">
        <f>+SUMIFS(PROVEEDORES[Total],PROVEEDORES[PROVEEDOR],PROVEEDORES[[#This Row],[PROVEEDOR]],PROVEEDORES[FECHA DE PAGO],"")</f>
        <v>0</v>
      </c>
      <c r="E790" s="37"/>
      <c r="F790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0" s="143">
        <v>44110</v>
      </c>
      <c r="H790" s="38" t="s">
        <v>26</v>
      </c>
      <c r="I790" s="30">
        <v>44079</v>
      </c>
      <c r="J790" s="58" t="s">
        <v>136</v>
      </c>
      <c r="K790" s="32">
        <v>1370588.2352941176</v>
      </c>
      <c r="L790" s="32"/>
      <c r="M790" s="33">
        <f>(PROVEEDORES[[#This Row],[SUBTOTAL]]-PROVEEDORES[[#This Row],[descuento antes de IVA]])*VLOOKUP(PROVEEDORES[[#This Row],[PROVEEDOR]],TERCEROS_INFO[#All],3,FALSE)</f>
        <v>260411.76470588235</v>
      </c>
      <c r="N790" s="34"/>
      <c r="O790" s="33">
        <f>+PROVEEDORES[[#This Row],[Descuento sobre subtotal %]]*(PROVEEDORES[[#This Row],[SUBTOTAL]]-PROVEEDORES[[#This Row],[descuento antes de IVA]])</f>
        <v>0</v>
      </c>
      <c r="P7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90" s="33">
        <f>+(PROVEEDORES[[#This Row],[SUBTOTAL]]-PROVEEDORES[[#This Row],[descuento antes de IVA]])*PROVEEDORES[[#This Row],[Rete Fuente %]]</f>
        <v>34264.705882352944</v>
      </c>
      <c r="R790" s="32">
        <f>+PROVEEDORES[[#This Row],[SUBTOTAL]]+PROVEEDORES[[#This Row],[IVA 19%]]-PROVEEDORES[[#This Row],[descuento antes de IVA]]-PROVEEDORES[[#This Row],[Descuento sobre subtotal $]]-PROVEEDORES[[#This Row],[Rete Fuente $]]</f>
        <v>1596735.294117647</v>
      </c>
      <c r="S79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0" s="40"/>
      <c r="U790" s="97"/>
      <c r="V790" s="36"/>
      <c r="W790" s="36"/>
      <c r="X790" s="36"/>
      <c r="Y790" s="36"/>
      <c r="Z790" s="41"/>
      <c r="AA790" s="42"/>
      <c r="AF790" s="36"/>
      <c r="AG790" s="36"/>
    </row>
    <row r="791" spans="1:33" ht="21.95" hidden="1" customHeight="1" x14ac:dyDescent="0.25">
      <c r="A791" s="39" t="str">
        <f>+IF(PROVEEDORES[[#This Row],[FECHA DE PAGO]]=PROVEEDORES[[#This Row],[FECHA DE FACTURACIÓN]],"DE CONTADO","CRÉDITO")</f>
        <v>DE CONTADO</v>
      </c>
      <c r="B791" s="67" t="b">
        <f>+IF((PROVEEDORES[[#This Row],[FECHA DE PAGO]]-PROVEEDORES[[#This Row],[FECHA DE FACTURACIÓN]])&gt;PROVEEDORES[[#This Row],[PLAZO Días]],"PAGO VENCIDO")</f>
        <v>0</v>
      </c>
      <c r="C791" s="27">
        <f>+VLOOKUP(PROVEEDORES[[#This Row],[PROVEEDOR]],TERCEROS_INFO[#All],2,FALSE)</f>
        <v>30</v>
      </c>
      <c r="D791" s="37">
        <f>+SUMIFS(PROVEEDORES[Total],PROVEEDORES[PROVEEDOR],PROVEEDORES[[#This Row],[PROVEEDOR]],PROVEEDORES[FECHA DE PAGO],"")</f>
        <v>0</v>
      </c>
      <c r="E791" s="37"/>
      <c r="F791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1" s="143">
        <v>44119</v>
      </c>
      <c r="H791" s="38" t="s">
        <v>26</v>
      </c>
      <c r="I791" s="30">
        <v>44119</v>
      </c>
      <c r="J791" s="58" t="s">
        <v>158</v>
      </c>
      <c r="K791" s="32">
        <v>54400</v>
      </c>
      <c r="L791" s="32"/>
      <c r="M791" s="33">
        <f>(PROVEEDORES[[#This Row],[SUBTOTAL]]-PROVEEDORES[[#This Row],[descuento antes de IVA]])*VLOOKUP(PROVEEDORES[[#This Row],[PROVEEDOR]],TERCEROS_INFO[#All],3,FALSE)</f>
        <v>10336</v>
      </c>
      <c r="N791" s="34"/>
      <c r="O791" s="33">
        <f>+PROVEEDORES[[#This Row],[Descuento sobre subtotal %]]*(PROVEEDORES[[#This Row],[SUBTOTAL]]-PROVEEDORES[[#This Row],[descuento antes de IVA]])</f>
        <v>0</v>
      </c>
      <c r="P7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91" s="33">
        <f>+(PROVEEDORES[[#This Row],[SUBTOTAL]]-PROVEEDORES[[#This Row],[descuento antes de IVA]])*PROVEEDORES[[#This Row],[Rete Fuente %]]</f>
        <v>0</v>
      </c>
      <c r="R791" s="32">
        <f>+PROVEEDORES[[#This Row],[SUBTOTAL]]+PROVEEDORES[[#This Row],[IVA 19%]]-PROVEEDORES[[#This Row],[descuento antes de IVA]]-PROVEEDORES[[#This Row],[Descuento sobre subtotal $]]-PROVEEDORES[[#This Row],[Rete Fuente $]]</f>
        <v>64736</v>
      </c>
      <c r="S79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1" s="40"/>
      <c r="U791" s="97"/>
      <c r="V791" s="36"/>
      <c r="W791" s="36"/>
      <c r="X791" s="36"/>
      <c r="Y791" s="36"/>
      <c r="Z791" s="41"/>
      <c r="AA791" s="42"/>
      <c r="AF791" s="36"/>
      <c r="AG791" s="36"/>
    </row>
    <row r="792" spans="1:33" ht="21.95" hidden="1" customHeight="1" x14ac:dyDescent="0.25">
      <c r="A792" s="39" t="str">
        <f>+IF(PROVEEDORES[[#This Row],[FECHA DE PAGO]]=PROVEEDORES[[#This Row],[FECHA DE FACTURACIÓN]],"DE CONTADO","CRÉDITO")</f>
        <v>CRÉDITO</v>
      </c>
      <c r="B792" s="67" t="str">
        <f>+IF((PROVEEDORES[[#This Row],[FECHA DE PAGO]]-PROVEEDORES[[#This Row],[FECHA DE FACTURACIÓN]])&gt;PROVEEDORES[[#This Row],[PLAZO Días]],"PAGO VENCIDO")</f>
        <v>PAGO VENCIDO</v>
      </c>
      <c r="C792" s="27">
        <f>+VLOOKUP(PROVEEDORES[[#This Row],[PROVEEDOR]],TERCEROS_INFO[#All],2,FALSE)</f>
        <v>30</v>
      </c>
      <c r="D792" s="37">
        <f>+SUMIFS(PROVEEDORES[Total],PROVEEDORES[PROVEEDOR],PROVEEDORES[[#This Row],[PROVEEDOR]],PROVEEDORES[FECHA DE PAGO],"")</f>
        <v>0</v>
      </c>
      <c r="E792" s="37"/>
      <c r="F792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2" s="143">
        <v>44180</v>
      </c>
      <c r="H792" s="38" t="s">
        <v>26</v>
      </c>
      <c r="I792" s="30">
        <v>44134</v>
      </c>
      <c r="J792" s="58" t="s">
        <v>169</v>
      </c>
      <c r="K792" s="32">
        <v>1031832.7731092437</v>
      </c>
      <c r="L792" s="32"/>
      <c r="M792" s="33">
        <f>(PROVEEDORES[[#This Row],[SUBTOTAL]]-PROVEEDORES[[#This Row],[descuento antes de IVA]])*VLOOKUP(PROVEEDORES[[#This Row],[PROVEEDOR]],TERCEROS_INFO[#All],3,FALSE)</f>
        <v>196048.22689075631</v>
      </c>
      <c r="N792" s="34"/>
      <c r="O792" s="33">
        <f>+PROVEEDORES[[#This Row],[Descuento sobre subtotal %]]*(PROVEEDORES[[#This Row],[SUBTOTAL]]-PROVEEDORES[[#This Row],[descuento antes de IVA]])</f>
        <v>0</v>
      </c>
      <c r="P7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92" s="33">
        <f>+(PROVEEDORES[[#This Row],[SUBTOTAL]]-PROVEEDORES[[#This Row],[descuento antes de IVA]])*PROVEEDORES[[#This Row],[Rete Fuente %]]</f>
        <v>25795.819327731093</v>
      </c>
      <c r="R792" s="32">
        <f>+PROVEEDORES[[#This Row],[SUBTOTAL]]+PROVEEDORES[[#This Row],[IVA 19%]]-PROVEEDORES[[#This Row],[descuento antes de IVA]]-PROVEEDORES[[#This Row],[Descuento sobre subtotal $]]-PROVEEDORES[[#This Row],[Rete Fuente $]]</f>
        <v>1202085.1806722688</v>
      </c>
      <c r="S79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2" s="40"/>
      <c r="U792" s="97"/>
      <c r="V792" s="41"/>
      <c r="W792" s="36"/>
      <c r="X792" s="36"/>
      <c r="Y792" s="36"/>
      <c r="Z792" s="36"/>
      <c r="AB792" s="42"/>
      <c r="AF792" s="36"/>
      <c r="AG792" s="36"/>
    </row>
    <row r="793" spans="1:33" ht="21.95" hidden="1" customHeight="1" x14ac:dyDescent="0.25">
      <c r="A793" s="39" t="str">
        <f>+IF(PROVEEDORES[[#This Row],[FECHA DE PAGO]]=PROVEEDORES[[#This Row],[FECHA DE FACTURACIÓN]],"DE CONTADO","CRÉDITO")</f>
        <v>CRÉDITO</v>
      </c>
      <c r="B793" s="67" t="str">
        <f>+IF((PROVEEDORES[[#This Row],[FECHA DE PAGO]]-PROVEEDORES[[#This Row],[FECHA DE FACTURACIÓN]])&gt;PROVEEDORES[[#This Row],[PLAZO Días]],"PAGO VENCIDO")</f>
        <v>PAGO VENCIDO</v>
      </c>
      <c r="C793" s="27">
        <f>+VLOOKUP(PROVEEDORES[[#This Row],[PROVEEDOR]],TERCEROS_INFO[#All],2,FALSE)</f>
        <v>30</v>
      </c>
      <c r="D793" s="37">
        <f>+SUMIFS(PROVEEDORES[Total],PROVEEDORES[PROVEEDOR],PROVEEDORES[[#This Row],[PROVEEDOR]],PROVEEDORES[FECHA DE PAGO],"")</f>
        <v>0</v>
      </c>
      <c r="E793" s="37"/>
      <c r="F793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3" s="143">
        <v>44195</v>
      </c>
      <c r="H793" s="38" t="s">
        <v>26</v>
      </c>
      <c r="I793" s="30">
        <v>44148</v>
      </c>
      <c r="J793" s="58" t="s">
        <v>187</v>
      </c>
      <c r="K793" s="32">
        <v>1925319.3277310925</v>
      </c>
      <c r="L793" s="32"/>
      <c r="M793" s="33">
        <f>(PROVEEDORES[[#This Row],[SUBTOTAL]]-PROVEEDORES[[#This Row],[descuento antes de IVA]])*VLOOKUP(PROVEEDORES[[#This Row],[PROVEEDOR]],TERCEROS_INFO[#All],3,FALSE)</f>
        <v>365810.6722689076</v>
      </c>
      <c r="N793" s="34"/>
      <c r="O793" s="33">
        <f>+PROVEEDORES[[#This Row],[Descuento sobre subtotal %]]*(PROVEEDORES[[#This Row],[SUBTOTAL]]-PROVEEDORES[[#This Row],[descuento antes de IVA]])</f>
        <v>0</v>
      </c>
      <c r="P7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93" s="33">
        <f>+(PROVEEDORES[[#This Row],[SUBTOTAL]]-PROVEEDORES[[#This Row],[descuento antes de IVA]])*PROVEEDORES[[#This Row],[Rete Fuente %]]</f>
        <v>48132.983193277316</v>
      </c>
      <c r="R793" s="32">
        <f>+PROVEEDORES[[#This Row],[SUBTOTAL]]+PROVEEDORES[[#This Row],[IVA 19%]]-PROVEEDORES[[#This Row],[descuento antes de IVA]]-PROVEEDORES[[#This Row],[Descuento sobre subtotal $]]-PROVEEDORES[[#This Row],[Rete Fuente $]]</f>
        <v>2242997.0168067226</v>
      </c>
      <c r="S79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3" s="40"/>
      <c r="U793" s="97"/>
      <c r="V793" s="41"/>
      <c r="W793" s="36"/>
      <c r="X793" s="36"/>
      <c r="Y793" s="36"/>
      <c r="Z793" s="36"/>
      <c r="AB793" s="42"/>
      <c r="AF793" s="36"/>
      <c r="AG793" s="36"/>
    </row>
    <row r="794" spans="1:33" ht="21.95" hidden="1" customHeight="1" x14ac:dyDescent="0.25">
      <c r="A794" s="39" t="str">
        <f>+IF(PROVEEDORES[[#This Row],[FECHA DE PAGO]]=PROVEEDORES[[#This Row],[FECHA DE FACTURACIÓN]],"DE CONTADO","CRÉDITO")</f>
        <v>CRÉDITO</v>
      </c>
      <c r="B794" s="67" t="str">
        <f>+IF((PROVEEDORES[[#This Row],[FECHA DE PAGO]]-PROVEEDORES[[#This Row],[FECHA DE FACTURACIÓN]])&gt;PROVEEDORES[[#This Row],[PLAZO Días]],"PAGO VENCIDO")</f>
        <v>PAGO VENCIDO</v>
      </c>
      <c r="C794" s="27">
        <f>+VLOOKUP(PROVEEDORES[[#This Row],[PROVEEDOR]],TERCEROS_INFO[#All],2,FALSE)</f>
        <v>30</v>
      </c>
      <c r="D794" s="37">
        <f>+SUMIFS(PROVEEDORES[Total],PROVEEDORES[PROVEEDOR],PROVEEDORES[[#This Row],[PROVEEDOR]],PROVEEDORES[FECHA DE PAGO],"")</f>
        <v>0</v>
      </c>
      <c r="E794" s="37"/>
      <c r="F794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4" s="143">
        <v>44229</v>
      </c>
      <c r="H794" s="38" t="s">
        <v>26</v>
      </c>
      <c r="I794" s="30">
        <v>44176</v>
      </c>
      <c r="J794" s="58" t="s">
        <v>200</v>
      </c>
      <c r="K794" s="32">
        <v>2056764</v>
      </c>
      <c r="L794" s="32"/>
      <c r="M794" s="33">
        <f>(PROVEEDORES[[#This Row],[SUBTOTAL]]-PROVEEDORES[[#This Row],[descuento antes de IVA]])*VLOOKUP(PROVEEDORES[[#This Row],[PROVEEDOR]],TERCEROS_INFO[#All],3,FALSE)</f>
        <v>390785.16000000003</v>
      </c>
      <c r="N794" s="34"/>
      <c r="O794" s="33">
        <f>+PROVEEDORES[[#This Row],[Descuento sobre subtotal %]]*(PROVEEDORES[[#This Row],[SUBTOTAL]]-PROVEEDORES[[#This Row],[descuento antes de IVA]])</f>
        <v>0</v>
      </c>
      <c r="P7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94" s="33">
        <f>+(PROVEEDORES[[#This Row],[SUBTOTAL]]-PROVEEDORES[[#This Row],[descuento antes de IVA]])*PROVEEDORES[[#This Row],[Rete Fuente %]]</f>
        <v>51419.100000000006</v>
      </c>
      <c r="R794" s="32">
        <f>+PROVEEDORES[[#This Row],[SUBTOTAL]]+PROVEEDORES[[#This Row],[IVA 19%]]-PROVEEDORES[[#This Row],[descuento antes de IVA]]-PROVEEDORES[[#This Row],[Descuento sobre subtotal $]]-PROVEEDORES[[#This Row],[Rete Fuente $]]</f>
        <v>2396130.06</v>
      </c>
      <c r="S79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4" s="40"/>
      <c r="U794" s="97"/>
      <c r="V794" s="41"/>
      <c r="W794" s="36"/>
      <c r="X794" s="36"/>
      <c r="Y794" s="36"/>
      <c r="Z794" s="36"/>
      <c r="AB794" s="42"/>
      <c r="AF794" s="36"/>
      <c r="AG794" s="36"/>
    </row>
    <row r="795" spans="1:33" ht="21.95" hidden="1" customHeight="1" x14ac:dyDescent="0.25">
      <c r="A795" s="39" t="str">
        <f>+IF(PROVEEDORES[[#This Row],[FECHA DE PAGO]]=PROVEEDORES[[#This Row],[FECHA DE FACTURACIÓN]],"DE CONTADO","CRÉDITO")</f>
        <v>CRÉDITO</v>
      </c>
      <c r="B795" s="67" t="str">
        <f>+IF((PROVEEDORES[[#This Row],[FECHA DE PAGO]]-PROVEEDORES[[#This Row],[FECHA DE FACTURACIÓN]])&gt;PROVEEDORES[[#This Row],[PLAZO Días]],"PAGO VENCIDO")</f>
        <v>PAGO VENCIDO</v>
      </c>
      <c r="C795" s="27">
        <f>+VLOOKUP(PROVEEDORES[[#This Row],[PROVEEDOR]],TERCEROS_INFO[#All],2,FALSE)</f>
        <v>30</v>
      </c>
      <c r="D795" s="37">
        <f>+SUMIFS(PROVEEDORES[Total],PROVEEDORES[PROVEEDOR],PROVEEDORES[[#This Row],[PROVEEDOR]],PROVEEDORES[FECHA DE PAGO],"")</f>
        <v>0</v>
      </c>
      <c r="E795" s="37"/>
      <c r="F795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5" s="143">
        <v>44271</v>
      </c>
      <c r="H795" s="38" t="s">
        <v>26</v>
      </c>
      <c r="I795" s="30">
        <v>44211</v>
      </c>
      <c r="J795" s="58" t="s">
        <v>379</v>
      </c>
      <c r="K795" s="32">
        <v>555000</v>
      </c>
      <c r="L795" s="32"/>
      <c r="M795" s="33">
        <f>(PROVEEDORES[[#This Row],[SUBTOTAL]]-PROVEEDORES[[#This Row],[descuento antes de IVA]])*VLOOKUP(PROVEEDORES[[#This Row],[PROVEEDOR]],TERCEROS_INFO[#All],3,FALSE)</f>
        <v>105450</v>
      </c>
      <c r="N795" s="34"/>
      <c r="O795" s="33">
        <f>+PROVEEDORES[[#This Row],[Descuento sobre subtotal %]]*(PROVEEDORES[[#This Row],[SUBTOTAL]]-PROVEEDORES[[#This Row],[descuento antes de IVA]])</f>
        <v>0</v>
      </c>
      <c r="P7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95" s="33">
        <f>+(PROVEEDORES[[#This Row],[SUBTOTAL]]-PROVEEDORES[[#This Row],[descuento antes de IVA]])*PROVEEDORES[[#This Row],[Rete Fuente %]]</f>
        <v>0</v>
      </c>
      <c r="R795" s="32">
        <f>+PROVEEDORES[[#This Row],[SUBTOTAL]]+PROVEEDORES[[#This Row],[IVA 19%]]-PROVEEDORES[[#This Row],[descuento antes de IVA]]-PROVEEDORES[[#This Row],[Descuento sobre subtotal $]]-PROVEEDORES[[#This Row],[Rete Fuente $]]</f>
        <v>660450</v>
      </c>
      <c r="S79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5" s="40"/>
      <c r="U795" s="97"/>
      <c r="V795" s="41"/>
      <c r="W795" s="36"/>
      <c r="X795" s="36"/>
      <c r="Y795" s="36"/>
      <c r="Z795" s="36"/>
      <c r="AB795" s="42"/>
      <c r="AF795" s="36"/>
      <c r="AG795" s="36"/>
    </row>
    <row r="796" spans="1:33" ht="21.95" hidden="1" customHeight="1" x14ac:dyDescent="0.25">
      <c r="A796" s="66" t="str">
        <f>+IF(PROVEEDORES[[#This Row],[FECHA DE PAGO]]=PROVEEDORES[[#This Row],[FECHA DE FACTURACIÓN]],"DE CONTADO","CRÉDITO")</f>
        <v>CRÉDITO</v>
      </c>
      <c r="B796" s="68" t="str">
        <f>+IF((PROVEEDORES[[#This Row],[FECHA DE PAGO]]-PROVEEDORES[[#This Row],[FECHA DE FACTURACIÓN]])&gt;PROVEEDORES[[#This Row],[PLAZO Días]],"PAGO VENCIDO")</f>
        <v>PAGO VENCIDO</v>
      </c>
      <c r="C796" s="27">
        <f>+VLOOKUP(PROVEEDORES[[#This Row],[PROVEEDOR]],TERCEROS_INFO[#All],2,FALSE)</f>
        <v>30</v>
      </c>
      <c r="D796" s="37">
        <f>+SUMIFS(PROVEEDORES[Total],PROVEEDORES[PROVEEDOR],PROVEEDORES[[#This Row],[PROVEEDOR]],PROVEEDORES[FECHA DE PAGO],"")</f>
        <v>0</v>
      </c>
      <c r="E796" s="37"/>
      <c r="F796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6" s="143">
        <v>44271</v>
      </c>
      <c r="H796" s="38" t="s">
        <v>26</v>
      </c>
      <c r="I796" s="30">
        <v>44233</v>
      </c>
      <c r="J796" s="58" t="s">
        <v>439</v>
      </c>
      <c r="K796" s="32">
        <v>1542573</v>
      </c>
      <c r="L796" s="32"/>
      <c r="M796" s="33">
        <f>(PROVEEDORES[[#This Row],[SUBTOTAL]]-PROVEEDORES[[#This Row],[descuento antes de IVA]])*VLOOKUP(PROVEEDORES[[#This Row],[PROVEEDOR]],TERCEROS_INFO[#All],3,FALSE)</f>
        <v>293088.87</v>
      </c>
      <c r="N796" s="34"/>
      <c r="O796" s="33">
        <f>+PROVEEDORES[[#This Row],[Descuento sobre subtotal %]]*(PROVEEDORES[[#This Row],[SUBTOTAL]]-PROVEEDORES[[#This Row],[descuento antes de IVA]])</f>
        <v>0</v>
      </c>
      <c r="P7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96" s="33">
        <f>+(PROVEEDORES[[#This Row],[SUBTOTAL]]-PROVEEDORES[[#This Row],[descuento antes de IVA]])*PROVEEDORES[[#This Row],[Rete Fuente %]]</f>
        <v>38564.325000000004</v>
      </c>
      <c r="R796" s="32">
        <f>+PROVEEDORES[[#This Row],[SUBTOTAL]]+PROVEEDORES[[#This Row],[IVA 19%]]-PROVEEDORES[[#This Row],[descuento antes de IVA]]-PROVEEDORES[[#This Row],[Descuento sobre subtotal $]]-PROVEEDORES[[#This Row],[Rete Fuente $]]</f>
        <v>1797097.5450000002</v>
      </c>
      <c r="S796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6" s="40"/>
      <c r="U796" s="97"/>
      <c r="V796" s="41"/>
      <c r="W796" s="36"/>
      <c r="X796" s="36"/>
      <c r="Y796" s="36"/>
      <c r="Z796" s="36"/>
      <c r="AB796" s="42"/>
      <c r="AF796" s="36"/>
      <c r="AG796" s="36"/>
    </row>
    <row r="797" spans="1:33" ht="21.95" hidden="1" customHeight="1" x14ac:dyDescent="0.25">
      <c r="A797" s="88" t="str">
        <f>+IF(PROVEEDORES[[#This Row],[FECHA DE PAGO]]=PROVEEDORES[[#This Row],[FECHA DE FACTURACIÓN]],"DE CONTADO","CRÉDITO")</f>
        <v>CRÉDITO</v>
      </c>
      <c r="B797" s="70" t="str">
        <f>+IF((PROVEEDORES[[#This Row],[FECHA DE PAGO]]-PROVEEDORES[[#This Row],[FECHA DE FACTURACIÓN]])&gt;PROVEEDORES[[#This Row],[PLAZO Días]],"PAGO VENCIDO")</f>
        <v>PAGO VENCIDO</v>
      </c>
      <c r="C797" s="27">
        <f>+VLOOKUP(PROVEEDORES[[#This Row],[PROVEEDOR]],TERCEROS_INFO[#All],2,FALSE)</f>
        <v>30</v>
      </c>
      <c r="D797" s="37">
        <f>+SUMIFS(PROVEEDORES[Total],PROVEEDORES[PROVEEDOR],PROVEEDORES[[#This Row],[PROVEEDOR]],PROVEEDORES[FECHA DE PAGO],"")</f>
        <v>0</v>
      </c>
      <c r="E797" s="37"/>
      <c r="F797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7" s="143">
        <v>44321</v>
      </c>
      <c r="H797" s="38" t="s">
        <v>26</v>
      </c>
      <c r="I797" s="30">
        <v>44250</v>
      </c>
      <c r="J797" s="58" t="s">
        <v>518</v>
      </c>
      <c r="K797" s="32">
        <v>375000</v>
      </c>
      <c r="L797" s="32"/>
      <c r="M797" s="33">
        <f>(PROVEEDORES[[#This Row],[SUBTOTAL]]-PROVEEDORES[[#This Row],[descuento antes de IVA]])*VLOOKUP(PROVEEDORES[[#This Row],[PROVEEDOR]],TERCEROS_INFO[#All],3,FALSE)</f>
        <v>71250</v>
      </c>
      <c r="N797" s="34"/>
      <c r="O797" s="33">
        <f>+PROVEEDORES[[#This Row],[Descuento sobre subtotal %]]*(PROVEEDORES[[#This Row],[SUBTOTAL]]-PROVEEDORES[[#This Row],[descuento antes de IVA]])</f>
        <v>0</v>
      </c>
      <c r="P7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797" s="33">
        <f>+(PROVEEDORES[[#This Row],[SUBTOTAL]]-PROVEEDORES[[#This Row],[descuento antes de IVA]])*PROVEEDORES[[#This Row],[Rete Fuente %]]</f>
        <v>0</v>
      </c>
      <c r="R797" s="32">
        <f>+PROVEEDORES[[#This Row],[SUBTOTAL]]+PROVEEDORES[[#This Row],[IVA 19%]]-PROVEEDORES[[#This Row],[descuento antes de IVA]]-PROVEEDORES[[#This Row],[Descuento sobre subtotal $]]-PROVEEDORES[[#This Row],[Rete Fuente $]]</f>
        <v>446250</v>
      </c>
      <c r="S797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7" s="40"/>
      <c r="U797" s="97"/>
      <c r="V797" s="41"/>
      <c r="W797" s="36"/>
      <c r="X797" s="36"/>
      <c r="Y797" s="36"/>
      <c r="Z797" s="36"/>
      <c r="AB797" s="42"/>
      <c r="AF797" s="36"/>
      <c r="AG797" s="36"/>
    </row>
    <row r="798" spans="1:33" ht="21.95" hidden="1" customHeight="1" x14ac:dyDescent="0.25">
      <c r="A798" s="88" t="str">
        <f>+IF(PROVEEDORES[[#This Row],[FECHA DE PAGO]]=PROVEEDORES[[#This Row],[FECHA DE FACTURACIÓN]],"DE CONTADO","CRÉDITO")</f>
        <v>CRÉDITO</v>
      </c>
      <c r="B798" s="70" t="str">
        <f>+IF((PROVEEDORES[[#This Row],[FECHA DE PAGO]]-PROVEEDORES[[#This Row],[FECHA DE FACTURACIÓN]])&gt;PROVEEDORES[[#This Row],[PLAZO Días]],"PAGO VENCIDO")</f>
        <v>PAGO VENCIDO</v>
      </c>
      <c r="C798" s="27">
        <f>+VLOOKUP(PROVEEDORES[[#This Row],[PROVEEDOR]],TERCEROS_INFO[#All],2,FALSE)</f>
        <v>30</v>
      </c>
      <c r="D798" s="37">
        <f>+SUMIFS(PROVEEDORES[Total],PROVEEDORES[PROVEEDOR],PROVEEDORES[[#This Row],[PROVEEDOR]],PROVEEDORES[FECHA DE PAGO],"")</f>
        <v>0</v>
      </c>
      <c r="E798" s="37"/>
      <c r="F798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8" s="143">
        <v>44321</v>
      </c>
      <c r="H798" s="38" t="s">
        <v>26</v>
      </c>
      <c r="I798" s="30">
        <v>44273</v>
      </c>
      <c r="J798" s="58" t="s">
        <v>540</v>
      </c>
      <c r="K798" s="32">
        <v>3650562</v>
      </c>
      <c r="L798" s="32"/>
      <c r="M798" s="33">
        <f>(PROVEEDORES[[#This Row],[SUBTOTAL]]-PROVEEDORES[[#This Row],[descuento antes de IVA]])*VLOOKUP(PROVEEDORES[[#This Row],[PROVEEDOR]],TERCEROS_INFO[#All],3,FALSE)</f>
        <v>693606.78</v>
      </c>
      <c r="N798" s="34"/>
      <c r="O798" s="33">
        <f>+PROVEEDORES[[#This Row],[Descuento sobre subtotal %]]*(PROVEEDORES[[#This Row],[SUBTOTAL]]-PROVEEDORES[[#This Row],[descuento antes de IVA]])</f>
        <v>0</v>
      </c>
      <c r="P7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98" s="33">
        <f>+(PROVEEDORES[[#This Row],[SUBTOTAL]]-PROVEEDORES[[#This Row],[descuento antes de IVA]])*PROVEEDORES[[#This Row],[Rete Fuente %]]</f>
        <v>91264.05</v>
      </c>
      <c r="R798" s="32">
        <f>+PROVEEDORES[[#This Row],[SUBTOTAL]]+PROVEEDORES[[#This Row],[IVA 19%]]-PROVEEDORES[[#This Row],[descuento antes de IVA]]-PROVEEDORES[[#This Row],[Descuento sobre subtotal $]]-PROVEEDORES[[#This Row],[Rete Fuente $]]</f>
        <v>4252904.7300000004</v>
      </c>
      <c r="S798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8" s="40"/>
      <c r="U798" s="97"/>
      <c r="V798" s="41"/>
      <c r="W798" s="36"/>
      <c r="X798" s="36"/>
      <c r="Y798" s="36"/>
      <c r="Z798" s="36"/>
      <c r="AB798" s="42"/>
      <c r="AF798" s="36"/>
      <c r="AG798" s="36"/>
    </row>
    <row r="799" spans="1:33" ht="21.95" hidden="1" customHeight="1" x14ac:dyDescent="0.25">
      <c r="A799" s="111" t="str">
        <f>+IF(PROVEEDORES[[#This Row],[FECHA DE PAGO]]=PROVEEDORES[[#This Row],[FECHA DE FACTURACIÓN]],"DE CONTADO","CRÉDITO")</f>
        <v>CRÉDITO</v>
      </c>
      <c r="B799" s="70" t="str">
        <f>+IF((PROVEEDORES[[#This Row],[FECHA DE PAGO]]-PROVEEDORES[[#This Row],[FECHA DE FACTURACIÓN]])&gt;PROVEEDORES[[#This Row],[PLAZO Días]],"PAGO VENCIDO")</f>
        <v>PAGO VENCIDO</v>
      </c>
      <c r="C799" s="27">
        <f>+VLOOKUP(PROVEEDORES[[#This Row],[PROVEEDOR]],TERCEROS_INFO[#All],2,FALSE)</f>
        <v>30</v>
      </c>
      <c r="D799" s="37">
        <f>+SUMIFS(PROVEEDORES[Total],PROVEEDORES[PROVEEDOR],PROVEEDORES[[#This Row],[PROVEEDOR]],PROVEEDORES[FECHA DE PAGO],"")</f>
        <v>0</v>
      </c>
      <c r="E799" s="37"/>
      <c r="F799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799" s="143">
        <v>44385</v>
      </c>
      <c r="H799" s="38" t="s">
        <v>26</v>
      </c>
      <c r="I799" s="30">
        <v>44328</v>
      </c>
      <c r="J799" s="58" t="s">
        <v>679</v>
      </c>
      <c r="K799" s="32">
        <v>2274202</v>
      </c>
      <c r="L799" s="32"/>
      <c r="M799" s="33">
        <f>(PROVEEDORES[[#This Row],[SUBTOTAL]]-PROVEEDORES[[#This Row],[descuento antes de IVA]])*VLOOKUP(PROVEEDORES[[#This Row],[PROVEEDOR]],TERCEROS_INFO[#All],3,FALSE)</f>
        <v>432098.38</v>
      </c>
      <c r="N799" s="34"/>
      <c r="O799" s="33">
        <f>+PROVEEDORES[[#This Row],[Descuento sobre subtotal %]]*(PROVEEDORES[[#This Row],[SUBTOTAL]]-PROVEEDORES[[#This Row],[descuento antes de IVA]])</f>
        <v>0</v>
      </c>
      <c r="P7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799" s="33">
        <f>+(PROVEEDORES[[#This Row],[SUBTOTAL]]-PROVEEDORES[[#This Row],[descuento antes de IVA]])*PROVEEDORES[[#This Row],[Rete Fuente %]]</f>
        <v>56855.05</v>
      </c>
      <c r="R799" s="32">
        <f>+PROVEEDORES[[#This Row],[SUBTOTAL]]+PROVEEDORES[[#This Row],[IVA 19%]]-PROVEEDORES[[#This Row],[descuento antes de IVA]]-PROVEEDORES[[#This Row],[Descuento sobre subtotal $]]-PROVEEDORES[[#This Row],[Rete Fuente $]]</f>
        <v>2649445.33</v>
      </c>
      <c r="S799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9" s="40"/>
      <c r="U799" s="97"/>
      <c r="V799" s="41"/>
      <c r="W799" s="36"/>
      <c r="X799" s="36"/>
      <c r="Y799" s="36"/>
      <c r="Z799" s="36"/>
      <c r="AB799" s="42"/>
      <c r="AF799" s="36"/>
      <c r="AG799" s="36"/>
    </row>
    <row r="800" spans="1:33" ht="21.95" hidden="1" customHeight="1" x14ac:dyDescent="0.25">
      <c r="A800" s="35" t="str">
        <f>+IF(PROVEEDORES[[#This Row],[FECHA DE PAGO]]=PROVEEDORES[[#This Row],[FECHA DE FACTURACIÓN]],"DE CONTADO","CRÉDITO")</f>
        <v>CRÉDITO</v>
      </c>
      <c r="B800" s="70" t="str">
        <f>+IF((PROVEEDORES[[#This Row],[FECHA DE PAGO]]-PROVEEDORES[[#This Row],[FECHA DE FACTURACIÓN]])&gt;PROVEEDORES[[#This Row],[PLAZO Días]],"PAGO VENCIDO")</f>
        <v>PAGO VENCIDO</v>
      </c>
      <c r="C800" s="27">
        <f>+VLOOKUP(PROVEEDORES[[#This Row],[PROVEEDOR]],TERCEROS_INFO[#All],2,FALSE)</f>
        <v>30</v>
      </c>
      <c r="D800" s="37">
        <f>+SUMIFS(PROVEEDORES[Total],PROVEEDORES[PROVEEDOR],PROVEEDORES[[#This Row],[PROVEEDOR]],PROVEEDORES[FECHA DE PAGO],"")</f>
        <v>0</v>
      </c>
      <c r="E800" s="37"/>
      <c r="F800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0" s="143">
        <v>44385</v>
      </c>
      <c r="H800" s="38" t="s">
        <v>26</v>
      </c>
      <c r="I800" s="30">
        <v>44342</v>
      </c>
      <c r="J800" s="58" t="s">
        <v>691</v>
      </c>
      <c r="K800" s="32">
        <v>1976100</v>
      </c>
      <c r="L800" s="32"/>
      <c r="M800" s="33">
        <f>(PROVEEDORES[[#This Row],[SUBTOTAL]]-PROVEEDORES[[#This Row],[descuento antes de IVA]])*VLOOKUP(PROVEEDORES[[#This Row],[PROVEEDOR]],TERCEROS_INFO[#All],3,FALSE)</f>
        <v>375459</v>
      </c>
      <c r="N800" s="34"/>
      <c r="O800" s="33">
        <f>+PROVEEDORES[[#This Row],[Descuento sobre subtotal %]]*(PROVEEDORES[[#This Row],[SUBTOTAL]]-PROVEEDORES[[#This Row],[descuento antes de IVA]])</f>
        <v>0</v>
      </c>
      <c r="P8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00" s="33">
        <f>+(PROVEEDORES[[#This Row],[SUBTOTAL]]-PROVEEDORES[[#This Row],[descuento antes de IVA]])*PROVEEDORES[[#This Row],[Rete Fuente %]]</f>
        <v>49402.5</v>
      </c>
      <c r="R800" s="32">
        <f>+PROVEEDORES[[#This Row],[SUBTOTAL]]+PROVEEDORES[[#This Row],[IVA 19%]]-PROVEEDORES[[#This Row],[descuento antes de IVA]]-PROVEEDORES[[#This Row],[Descuento sobre subtotal $]]-PROVEEDORES[[#This Row],[Rete Fuente $]]</f>
        <v>2302156.5</v>
      </c>
      <c r="S80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0" s="40"/>
      <c r="U800" s="97"/>
      <c r="V800" s="41"/>
      <c r="W800" s="36"/>
      <c r="X800" s="36"/>
      <c r="Y800" s="36"/>
      <c r="Z800" s="36"/>
      <c r="AB800" s="42"/>
      <c r="AF800" s="36"/>
      <c r="AG800" s="36"/>
    </row>
    <row r="801" spans="1:33" ht="21.95" hidden="1" customHeight="1" x14ac:dyDescent="0.25">
      <c r="A801" s="119" t="str">
        <f>+IF(PROVEEDORES[[#This Row],[FECHA DE PAGO]]=PROVEEDORES[[#This Row],[FECHA DE FACTURACIÓN]],"DE CONTADO","CRÉDITO")</f>
        <v>CRÉDITO</v>
      </c>
      <c r="B801" s="70" t="str">
        <f>+IF((PROVEEDORES[[#This Row],[FECHA DE PAGO]]-PROVEEDORES[[#This Row],[FECHA DE FACTURACIÓN]])&gt;PROVEEDORES[[#This Row],[PLAZO Días]],"PAGO VENCIDO")</f>
        <v>PAGO VENCIDO</v>
      </c>
      <c r="C801" s="27">
        <f>+VLOOKUP(PROVEEDORES[[#This Row],[PROVEEDOR]],TERCEROS_INFO[#All],2,FALSE)</f>
        <v>30</v>
      </c>
      <c r="D801" s="37">
        <f>+SUMIFS(PROVEEDORES[Total],PROVEEDORES[PROVEEDOR],PROVEEDORES[[#This Row],[PROVEEDOR]],PROVEEDORES[FECHA DE PAGO],"")</f>
        <v>0</v>
      </c>
      <c r="E801" s="37"/>
      <c r="F801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1" s="143">
        <v>44396</v>
      </c>
      <c r="H801" s="38" t="s">
        <v>26</v>
      </c>
      <c r="I801" s="30">
        <v>44351</v>
      </c>
      <c r="J801" s="58" t="s">
        <v>698</v>
      </c>
      <c r="K801" s="32">
        <v>1106676</v>
      </c>
      <c r="L801" s="32"/>
      <c r="M801" s="33">
        <f>(PROVEEDORES[[#This Row],[SUBTOTAL]]-PROVEEDORES[[#This Row],[descuento antes de IVA]])*VLOOKUP(PROVEEDORES[[#This Row],[PROVEEDOR]],TERCEROS_INFO[#All],3,FALSE)</f>
        <v>210268.44</v>
      </c>
      <c r="N801" s="34"/>
      <c r="O801" s="33">
        <f>+PROVEEDORES[[#This Row],[Descuento sobre subtotal %]]*(PROVEEDORES[[#This Row],[SUBTOTAL]]-PROVEEDORES[[#This Row],[descuento antes de IVA]])</f>
        <v>0</v>
      </c>
      <c r="P8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01" s="33">
        <f>+(PROVEEDORES[[#This Row],[SUBTOTAL]]-PROVEEDORES[[#This Row],[descuento antes de IVA]])*PROVEEDORES[[#This Row],[Rete Fuente %]]</f>
        <v>27666.9</v>
      </c>
      <c r="R801" s="32">
        <f>+PROVEEDORES[[#This Row],[SUBTOTAL]]+PROVEEDORES[[#This Row],[IVA 19%]]-PROVEEDORES[[#This Row],[descuento antes de IVA]]-PROVEEDORES[[#This Row],[Descuento sobre subtotal $]]-PROVEEDORES[[#This Row],[Rete Fuente $]]</f>
        <v>1289277.54</v>
      </c>
      <c r="S801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1" s="40"/>
      <c r="U801" s="97"/>
      <c r="V801" s="41"/>
      <c r="W801" s="36"/>
      <c r="X801" s="36"/>
      <c r="Y801" s="36"/>
      <c r="Z801" s="36"/>
      <c r="AB801" s="42"/>
      <c r="AF801" s="36"/>
      <c r="AG801" s="36"/>
    </row>
    <row r="802" spans="1:33" ht="21.95" hidden="1" customHeight="1" x14ac:dyDescent="0.25">
      <c r="A802" s="134" t="str">
        <f>+IF(PROVEEDORES[[#This Row],[FECHA DE PAGO]]=PROVEEDORES[[#This Row],[FECHA DE FACTURACIÓN]],"DE CONTADO","CRÉDITO")</f>
        <v>CRÉDITO</v>
      </c>
      <c r="B802" s="70" t="str">
        <f>+IF((PROVEEDORES[[#This Row],[FECHA DE PAGO]]-PROVEEDORES[[#This Row],[FECHA DE FACTURACIÓN]])&gt;PROVEEDORES[[#This Row],[PLAZO Días]],"PAGO VENCIDO")</f>
        <v>PAGO VENCIDO</v>
      </c>
      <c r="C802" s="27">
        <f>+VLOOKUP(PROVEEDORES[[#This Row],[PROVEEDOR]],TERCEROS_INFO[#All],2,FALSE)</f>
        <v>30</v>
      </c>
      <c r="D802" s="37">
        <f>+SUMIFS(PROVEEDORES[Total],PROVEEDORES[PROVEEDOR],PROVEEDORES[[#This Row],[PROVEEDOR]],PROVEEDORES[FECHA DE PAGO],"")</f>
        <v>0</v>
      </c>
      <c r="E802" s="37"/>
      <c r="F802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2" s="143">
        <v>44442</v>
      </c>
      <c r="H802" s="38" t="s">
        <v>26</v>
      </c>
      <c r="I802" s="30">
        <v>44400</v>
      </c>
      <c r="J802" s="58" t="s">
        <v>762</v>
      </c>
      <c r="K802" s="32">
        <v>585000</v>
      </c>
      <c r="L802" s="32"/>
      <c r="M802" s="33">
        <f>(PROVEEDORES[[#This Row],[SUBTOTAL]]-PROVEEDORES[[#This Row],[descuento antes de IVA]])*VLOOKUP(PROVEEDORES[[#This Row],[PROVEEDOR]],TERCEROS_INFO[#All],3,FALSE)</f>
        <v>111150</v>
      </c>
      <c r="N802" s="34"/>
      <c r="O802" s="33">
        <f>+PROVEEDORES[[#This Row],[Descuento sobre subtotal %]]*(PROVEEDORES[[#This Row],[SUBTOTAL]]-PROVEEDORES[[#This Row],[descuento antes de IVA]])</f>
        <v>0</v>
      </c>
      <c r="P8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02" s="33">
        <f>+(PROVEEDORES[[#This Row],[SUBTOTAL]]-PROVEEDORES[[#This Row],[descuento antes de IVA]])*PROVEEDORES[[#This Row],[Rete Fuente %]]</f>
        <v>0</v>
      </c>
      <c r="R802" s="32">
        <f>+PROVEEDORES[[#This Row],[SUBTOTAL]]+PROVEEDORES[[#This Row],[IVA 19%]]-PROVEEDORES[[#This Row],[descuento antes de IVA]]-PROVEEDORES[[#This Row],[Descuento sobre subtotal $]]-PROVEEDORES[[#This Row],[Rete Fuente $]]</f>
        <v>696150</v>
      </c>
      <c r="S802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2" s="40"/>
      <c r="U802" s="97"/>
      <c r="V802" s="41"/>
      <c r="W802" s="36"/>
      <c r="X802" s="36"/>
      <c r="Y802" s="36"/>
      <c r="Z802" s="36"/>
      <c r="AB802" s="42"/>
      <c r="AF802" s="36"/>
      <c r="AG802" s="36"/>
    </row>
    <row r="803" spans="1:33" ht="21.95" hidden="1" customHeight="1" x14ac:dyDescent="0.25">
      <c r="A803" s="134" t="str">
        <f>+IF(PROVEEDORES[[#This Row],[FECHA DE PAGO]]=PROVEEDORES[[#This Row],[FECHA DE FACTURACIÓN]],"DE CONTADO","CRÉDITO")</f>
        <v>CRÉDITO</v>
      </c>
      <c r="B803" s="70" t="str">
        <f>+IF((PROVEEDORES[[#This Row],[FECHA DE PAGO]]-PROVEEDORES[[#This Row],[FECHA DE FACTURACIÓN]])&gt;PROVEEDORES[[#This Row],[PLAZO Días]],"PAGO VENCIDO")</f>
        <v>PAGO VENCIDO</v>
      </c>
      <c r="C803" s="27">
        <f>+VLOOKUP(PROVEEDORES[[#This Row],[PROVEEDOR]],TERCEROS_INFO[#All],2,FALSE)</f>
        <v>30</v>
      </c>
      <c r="D803" s="37">
        <f>+SUMIFS(PROVEEDORES[Total],PROVEEDORES[PROVEEDOR],PROVEEDORES[[#This Row],[PROVEEDOR]],PROVEEDORES[FECHA DE PAGO],"")</f>
        <v>0</v>
      </c>
      <c r="E803" s="37"/>
      <c r="F803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3" s="143">
        <v>44442</v>
      </c>
      <c r="H803" s="38" t="s">
        <v>26</v>
      </c>
      <c r="I803" s="30">
        <v>44401</v>
      </c>
      <c r="J803" s="58" t="s">
        <v>761</v>
      </c>
      <c r="K803" s="32">
        <v>585000</v>
      </c>
      <c r="L803" s="32"/>
      <c r="M803" s="33">
        <f>(PROVEEDORES[[#This Row],[SUBTOTAL]]-PROVEEDORES[[#This Row],[descuento antes de IVA]])*VLOOKUP(PROVEEDORES[[#This Row],[PROVEEDOR]],TERCEROS_INFO[#All],3,FALSE)</f>
        <v>111150</v>
      </c>
      <c r="N803" s="34"/>
      <c r="O803" s="33">
        <f>+PROVEEDORES[[#This Row],[Descuento sobre subtotal %]]*(PROVEEDORES[[#This Row],[SUBTOTAL]]-PROVEEDORES[[#This Row],[descuento antes de IVA]])</f>
        <v>0</v>
      </c>
      <c r="P8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03" s="33">
        <f>+(PROVEEDORES[[#This Row],[SUBTOTAL]]-PROVEEDORES[[#This Row],[descuento antes de IVA]])*PROVEEDORES[[#This Row],[Rete Fuente %]]</f>
        <v>0</v>
      </c>
      <c r="R803" s="32">
        <f>+PROVEEDORES[[#This Row],[SUBTOTAL]]+PROVEEDORES[[#This Row],[IVA 19%]]-PROVEEDORES[[#This Row],[descuento antes de IVA]]-PROVEEDORES[[#This Row],[Descuento sobre subtotal $]]-PROVEEDORES[[#This Row],[Rete Fuente $]]</f>
        <v>696150</v>
      </c>
      <c r="S803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3" s="40"/>
      <c r="U803" s="97"/>
      <c r="V803" s="41"/>
      <c r="W803" s="36"/>
      <c r="X803" s="36"/>
      <c r="Y803" s="36"/>
      <c r="Z803" s="36"/>
      <c r="AB803" s="42"/>
      <c r="AF803" s="36"/>
      <c r="AG803" s="36"/>
    </row>
    <row r="804" spans="1:33" ht="21.95" hidden="1" customHeight="1" x14ac:dyDescent="0.25">
      <c r="A804" s="35" t="str">
        <f>+IF(PROVEEDORES[[#This Row],[FECHA DE PAGO]]=PROVEEDORES[[#This Row],[FECHA DE FACTURACIÓN]],"DE CONTADO","CRÉDITO")</f>
        <v>CRÉDITO</v>
      </c>
      <c r="B804" s="70" t="str">
        <f>+IF((PROVEEDORES[[#This Row],[FECHA DE PAGO]]-PROVEEDORES[[#This Row],[FECHA DE FACTURACIÓN]])&gt;PROVEEDORES[[#This Row],[PLAZO Días]],"PAGO VENCIDO")</f>
        <v>PAGO VENCIDO</v>
      </c>
      <c r="C804" s="27">
        <f>+VLOOKUP(PROVEEDORES[[#This Row],[PROVEEDOR]],TERCEROS_INFO[#All],2,FALSE)</f>
        <v>30</v>
      </c>
      <c r="D804" s="37">
        <f>+SUMIFS(PROVEEDORES[Total],PROVEEDORES[PROVEEDOR],PROVEEDORES[[#This Row],[PROVEEDOR]],PROVEEDORES[FECHA DE PAGO],"")</f>
        <v>0</v>
      </c>
      <c r="E804" s="37"/>
      <c r="F804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4" s="143">
        <v>44442</v>
      </c>
      <c r="H804" s="38" t="s">
        <v>26</v>
      </c>
      <c r="I804" s="30">
        <v>44408</v>
      </c>
      <c r="J804" s="58" t="s">
        <v>765</v>
      </c>
      <c r="K804" s="32">
        <v>758000</v>
      </c>
      <c r="L804" s="32"/>
      <c r="M804" s="33">
        <f>(PROVEEDORES[[#This Row],[SUBTOTAL]]-PROVEEDORES[[#This Row],[descuento antes de IVA]])*VLOOKUP(PROVEEDORES[[#This Row],[PROVEEDOR]],TERCEROS_INFO[#All],3,FALSE)</f>
        <v>144020</v>
      </c>
      <c r="N804" s="34"/>
      <c r="O804" s="33">
        <f>+PROVEEDORES[[#This Row],[Descuento sobre subtotal %]]*(PROVEEDORES[[#This Row],[SUBTOTAL]]-PROVEEDORES[[#This Row],[descuento antes de IVA]])</f>
        <v>0</v>
      </c>
      <c r="P8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04" s="33">
        <f>+(PROVEEDORES[[#This Row],[SUBTOTAL]]-PROVEEDORES[[#This Row],[descuento antes de IVA]])*PROVEEDORES[[#This Row],[Rete Fuente %]]</f>
        <v>0</v>
      </c>
      <c r="R804" s="32">
        <f>+PROVEEDORES[[#This Row],[SUBTOTAL]]+PROVEEDORES[[#This Row],[IVA 19%]]-PROVEEDORES[[#This Row],[descuento antes de IVA]]-PROVEEDORES[[#This Row],[Descuento sobre subtotal $]]-PROVEEDORES[[#This Row],[Rete Fuente $]]</f>
        <v>902020</v>
      </c>
      <c r="S80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4" s="40"/>
      <c r="U804" s="97"/>
      <c r="V804" s="41"/>
      <c r="W804" s="36"/>
      <c r="X804" s="36"/>
      <c r="Y804" s="36"/>
      <c r="Z804" s="36"/>
      <c r="AB804" s="42"/>
      <c r="AF804" s="36"/>
      <c r="AG804" s="36"/>
    </row>
    <row r="805" spans="1:33" ht="21.95" hidden="1" customHeight="1" x14ac:dyDescent="0.25">
      <c r="A805" s="141" t="str">
        <f>+IF(PROVEEDORES[[#This Row],[FECHA DE PAGO]]=PROVEEDORES[[#This Row],[FECHA DE FACTURACIÓN]],"DE CONTADO","CRÉDITO")</f>
        <v>CRÉDITO</v>
      </c>
      <c r="B805" s="70" t="str">
        <f>+IF((PROVEEDORES[[#This Row],[FECHA DE PAGO]]-PROVEEDORES[[#This Row],[FECHA DE FACTURACIÓN]])&gt;PROVEEDORES[[#This Row],[PLAZO Días]],"PAGO VENCIDO")</f>
        <v>PAGO VENCIDO</v>
      </c>
      <c r="C805" s="27">
        <f>+VLOOKUP(PROVEEDORES[[#This Row],[PROVEEDOR]],TERCEROS_INFO[#All],2,FALSE)</f>
        <v>30</v>
      </c>
      <c r="D805" s="37">
        <f>+SUMIFS(PROVEEDORES[Total],PROVEEDORES[PROVEEDOR],PROVEEDORES[[#This Row],[PROVEEDOR]],PROVEEDORES[FECHA DE PAGO],"")</f>
        <v>0</v>
      </c>
      <c r="E805" s="37"/>
      <c r="F805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5" s="112">
        <v>44485</v>
      </c>
      <c r="H805" s="38" t="s">
        <v>26</v>
      </c>
      <c r="I805" s="30">
        <v>44420</v>
      </c>
      <c r="J805" s="58" t="s">
        <v>789</v>
      </c>
      <c r="K805" s="32">
        <v>1162100</v>
      </c>
      <c r="L805" s="32"/>
      <c r="M805" s="33">
        <f>(PROVEEDORES[[#This Row],[SUBTOTAL]]-PROVEEDORES[[#This Row],[descuento antes de IVA]])*VLOOKUP(PROVEEDORES[[#This Row],[PROVEEDOR]],TERCEROS_INFO[#All],3,FALSE)</f>
        <v>220799</v>
      </c>
      <c r="N805" s="34"/>
      <c r="O805" s="33">
        <f>+PROVEEDORES[[#This Row],[Descuento sobre subtotal %]]*(PROVEEDORES[[#This Row],[SUBTOTAL]]-PROVEEDORES[[#This Row],[descuento antes de IVA]])</f>
        <v>0</v>
      </c>
      <c r="P8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05" s="33">
        <f>+(PROVEEDORES[[#This Row],[SUBTOTAL]]-PROVEEDORES[[#This Row],[descuento antes de IVA]])*PROVEEDORES[[#This Row],[Rete Fuente %]]</f>
        <v>29052.5</v>
      </c>
      <c r="R805" s="32">
        <f>+PROVEEDORES[[#This Row],[SUBTOTAL]]+PROVEEDORES[[#This Row],[IVA 19%]]-PROVEEDORES[[#This Row],[descuento antes de IVA]]-PROVEEDORES[[#This Row],[Descuento sobre subtotal $]]-PROVEEDORES[[#This Row],[Rete Fuente $]]</f>
        <v>1353846.5</v>
      </c>
      <c r="S805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5" s="40"/>
      <c r="U805" s="97"/>
      <c r="V805" s="41"/>
      <c r="W805" s="36"/>
      <c r="X805" s="36"/>
      <c r="Y805" s="36"/>
      <c r="Z805" s="36"/>
      <c r="AB805" s="42"/>
      <c r="AF805" s="36"/>
      <c r="AG805" s="36"/>
    </row>
    <row r="806" spans="1:33" ht="21.95" hidden="1" customHeight="1" x14ac:dyDescent="0.25">
      <c r="A806" s="144" t="str">
        <f>+IF(PROVEEDORES[[#This Row],[FECHA DE PAGO]]=PROVEEDORES[[#This Row],[FECHA DE FACTURACIÓN]],"DE CONTADO","CRÉDITO")</f>
        <v>CRÉDITO</v>
      </c>
      <c r="B806" s="70" t="str">
        <f>+IF((PROVEEDORES[[#This Row],[FECHA DE PAGO]]-PROVEEDORES[[#This Row],[FECHA DE FACTURACIÓN]])&gt;PROVEEDORES[[#This Row],[PLAZO Días]],"PAGO VENCIDO")</f>
        <v>PAGO VENCIDO</v>
      </c>
      <c r="C806" s="27">
        <f>+VLOOKUP(PROVEEDORES[[#This Row],[PROVEEDOR]],TERCEROS_INFO[#All],2,FALSE)</f>
        <v>30</v>
      </c>
      <c r="D806" s="37">
        <f>+SUMIFS(PROVEEDORES[Total],PROVEEDORES[PROVEEDOR],PROVEEDORES[[#This Row],[PROVEEDOR]],PROVEEDORES[FECHA DE PAGO],"")</f>
        <v>0</v>
      </c>
      <c r="E806" s="37"/>
      <c r="F806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6" s="112">
        <v>44485</v>
      </c>
      <c r="H806" s="38" t="s">
        <v>26</v>
      </c>
      <c r="I806" s="30">
        <v>44435</v>
      </c>
      <c r="J806" s="58" t="s">
        <v>839</v>
      </c>
      <c r="K806" s="32">
        <v>3096632</v>
      </c>
      <c r="L806" s="32"/>
      <c r="M806" s="33">
        <f>(PROVEEDORES[[#This Row],[SUBTOTAL]]-PROVEEDORES[[#This Row],[descuento antes de IVA]])*VLOOKUP(PROVEEDORES[[#This Row],[PROVEEDOR]],TERCEROS_INFO[#All],3,FALSE)</f>
        <v>588360.07999999996</v>
      </c>
      <c r="N806" s="34"/>
      <c r="O806" s="33">
        <f>+PROVEEDORES[[#This Row],[Descuento sobre subtotal %]]*(PROVEEDORES[[#This Row],[SUBTOTAL]]-PROVEEDORES[[#This Row],[descuento antes de IVA]])</f>
        <v>0</v>
      </c>
      <c r="P8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06" s="33">
        <f>+(PROVEEDORES[[#This Row],[SUBTOTAL]]-PROVEEDORES[[#This Row],[descuento antes de IVA]])*PROVEEDORES[[#This Row],[Rete Fuente %]]</f>
        <v>77415.8</v>
      </c>
      <c r="R806" s="32">
        <f>+PROVEEDORES[[#This Row],[SUBTOTAL]]+PROVEEDORES[[#This Row],[IVA 19%]]-PROVEEDORES[[#This Row],[descuento antes de IVA]]-PROVEEDORES[[#This Row],[Descuento sobre subtotal $]]-PROVEEDORES[[#This Row],[Rete Fuente $]]</f>
        <v>3607576.2800000003</v>
      </c>
      <c r="S806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6" s="40"/>
      <c r="U806" s="97"/>
      <c r="V806" s="41"/>
      <c r="W806" s="36"/>
      <c r="X806" s="36"/>
      <c r="Y806" s="36"/>
      <c r="Z806" s="36"/>
      <c r="AB806" s="42"/>
      <c r="AF806" s="36"/>
      <c r="AG806" s="36"/>
    </row>
    <row r="807" spans="1:33" ht="21.95" hidden="1" customHeight="1" x14ac:dyDescent="0.25">
      <c r="A807" s="164" t="str">
        <f>+IF(PROVEEDORES[[#This Row],[FECHA DE PAGO]]=PROVEEDORES[[#This Row],[FECHA DE FACTURACIÓN]],"DE CONTADO","CRÉDITO")</f>
        <v>CRÉDITO</v>
      </c>
      <c r="B807" s="70" t="str">
        <f>+IF((PROVEEDORES[[#This Row],[FECHA DE PAGO]]-PROVEEDORES[[#This Row],[FECHA DE FACTURACIÓN]])&gt;PROVEEDORES[[#This Row],[PLAZO Días]],"PAGO VENCIDO")</f>
        <v>PAGO VENCIDO</v>
      </c>
      <c r="C807" s="27">
        <f>+VLOOKUP(PROVEEDORES[[#This Row],[PROVEEDOR]],TERCEROS_INFO[#All],2,FALSE)</f>
        <v>30</v>
      </c>
      <c r="D807" s="37">
        <f>+SUMIFS(PROVEEDORES[Total],PROVEEDORES[PROVEEDOR],PROVEEDORES[[#This Row],[PROVEEDOR]],PROVEEDORES[FECHA DE PAGO],"")</f>
        <v>0</v>
      </c>
      <c r="E807" s="37"/>
      <c r="F807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7" s="143">
        <v>44552</v>
      </c>
      <c r="H807" s="38" t="s">
        <v>26</v>
      </c>
      <c r="I807" s="30">
        <v>44512</v>
      </c>
      <c r="J807" s="58" t="s">
        <v>947</v>
      </c>
      <c r="K807" s="32">
        <v>4635150</v>
      </c>
      <c r="L807" s="32"/>
      <c r="M807" s="33">
        <f>(PROVEEDORES[[#This Row],[SUBTOTAL]]-PROVEEDORES[[#This Row],[descuento antes de IVA]])*VLOOKUP(PROVEEDORES[[#This Row],[PROVEEDOR]],TERCEROS_INFO[#All],3,FALSE)</f>
        <v>880678.5</v>
      </c>
      <c r="N807" s="34"/>
      <c r="O807" s="33">
        <f>+PROVEEDORES[[#This Row],[Descuento sobre subtotal %]]*(PROVEEDORES[[#This Row],[SUBTOTAL]]-PROVEEDORES[[#This Row],[descuento antes de IVA]])</f>
        <v>0</v>
      </c>
      <c r="P8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07" s="33">
        <f>+(PROVEEDORES[[#This Row],[SUBTOTAL]]-PROVEEDORES[[#This Row],[descuento antes de IVA]])*PROVEEDORES[[#This Row],[Rete Fuente %]]</f>
        <v>115878.75</v>
      </c>
      <c r="R807" s="32">
        <f>+PROVEEDORES[[#This Row],[SUBTOTAL]]+PROVEEDORES[[#This Row],[IVA 19%]]-PROVEEDORES[[#This Row],[descuento antes de IVA]]-PROVEEDORES[[#This Row],[Descuento sobre subtotal $]]-PROVEEDORES[[#This Row],[Rete Fuente $]]</f>
        <v>5399949.75</v>
      </c>
      <c r="S807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7" s="40"/>
      <c r="U807" s="97"/>
      <c r="V807" s="41"/>
      <c r="W807" s="36"/>
      <c r="X807" s="36"/>
      <c r="Y807" s="36"/>
      <c r="Z807" s="36"/>
      <c r="AB807" s="42"/>
      <c r="AF807" s="36"/>
      <c r="AG807" s="36"/>
    </row>
    <row r="808" spans="1:33" ht="21.95" hidden="1" customHeight="1" x14ac:dyDescent="0.25">
      <c r="A808" s="35" t="str">
        <f>+IF(PROVEEDORES[[#This Row],[FECHA DE PAGO]]=PROVEEDORES[[#This Row],[FECHA DE FACTURACIÓN]],"DE CONTADO","CRÉDITO")</f>
        <v>CRÉDITO</v>
      </c>
      <c r="B808" s="70" t="b">
        <f>+IF((PROVEEDORES[[#This Row],[FECHA DE PAGO]]-PROVEEDORES[[#This Row],[FECHA DE FACTURACIÓN]])&gt;PROVEEDORES[[#This Row],[PLAZO Días]],"PAGO VENCIDO")</f>
        <v>0</v>
      </c>
      <c r="C808" s="27">
        <f>+VLOOKUP(PROVEEDORES[[#This Row],[PROVEEDOR]],TERCEROS_INFO[#All],2,FALSE)</f>
        <v>30</v>
      </c>
      <c r="D808" s="37">
        <f>+SUMIFS(PROVEEDORES[Total],PROVEEDORES[PROVEEDOR],PROVEEDORES[[#This Row],[PROVEEDOR]],PROVEEDORES[FECHA DE PAGO],"")</f>
        <v>0</v>
      </c>
      <c r="E808" s="37"/>
      <c r="F808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8" s="143">
        <v>44558</v>
      </c>
      <c r="H808" s="38" t="s">
        <v>26</v>
      </c>
      <c r="I808" s="30">
        <v>44530</v>
      </c>
      <c r="J808" s="58" t="s">
        <v>992</v>
      </c>
      <c r="K808" s="32">
        <v>710400</v>
      </c>
      <c r="L808" s="32"/>
      <c r="M808" s="33">
        <f>(PROVEEDORES[[#This Row],[SUBTOTAL]]-PROVEEDORES[[#This Row],[descuento antes de IVA]])*VLOOKUP(PROVEEDORES[[#This Row],[PROVEEDOR]],TERCEROS_INFO[#All],3,FALSE)</f>
        <v>134976</v>
      </c>
      <c r="N808" s="34"/>
      <c r="O808" s="33">
        <f>+PROVEEDORES[[#This Row],[Descuento sobre subtotal %]]*(PROVEEDORES[[#This Row],[SUBTOTAL]]-PROVEEDORES[[#This Row],[descuento antes de IVA]])</f>
        <v>0</v>
      </c>
      <c r="P8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08" s="33">
        <f>+(PROVEEDORES[[#This Row],[SUBTOTAL]]-PROVEEDORES[[#This Row],[descuento antes de IVA]])*PROVEEDORES[[#This Row],[Rete Fuente %]]</f>
        <v>0</v>
      </c>
      <c r="R808" s="32">
        <f>+PROVEEDORES[[#This Row],[SUBTOTAL]]+PROVEEDORES[[#This Row],[IVA 19%]]-PROVEEDORES[[#This Row],[descuento antes de IVA]]-PROVEEDORES[[#This Row],[Descuento sobre subtotal $]]-PROVEEDORES[[#This Row],[Rete Fuente $]]</f>
        <v>845376</v>
      </c>
      <c r="S80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8" s="40"/>
      <c r="U808" s="97"/>
      <c r="V808" s="41"/>
      <c r="W808" s="36"/>
      <c r="X808" s="36"/>
      <c r="Y808" s="36"/>
      <c r="Z808" s="36"/>
      <c r="AB808" s="42"/>
      <c r="AF808" s="36"/>
      <c r="AG808" s="36"/>
    </row>
    <row r="809" spans="1:33" ht="21.95" hidden="1" customHeight="1" x14ac:dyDescent="0.25">
      <c r="A809" s="35" t="str">
        <f>+IF(PROVEEDORES[[#This Row],[FECHA DE PAGO]]=PROVEEDORES[[#This Row],[FECHA DE FACTURACIÓN]],"DE CONTADO","CRÉDITO")</f>
        <v>CRÉDITO</v>
      </c>
      <c r="B809" s="70" t="b">
        <f>+IF((PROVEEDORES[[#This Row],[FECHA DE PAGO]]-PROVEEDORES[[#This Row],[FECHA DE FACTURACIÓN]])&gt;PROVEEDORES[[#This Row],[PLAZO Días]],"PAGO VENCIDO")</f>
        <v>0</v>
      </c>
      <c r="C809" s="27">
        <f>+VLOOKUP(PROVEEDORES[[#This Row],[PROVEEDOR]],TERCEROS_INFO[#All],2,FALSE)</f>
        <v>30</v>
      </c>
      <c r="D809" s="37">
        <f>+SUMIFS(PROVEEDORES[Total],PROVEEDORES[PROVEEDOR],PROVEEDORES[[#This Row],[PROVEEDOR]],PROVEEDORES[FECHA DE PAGO],"")</f>
        <v>0</v>
      </c>
      <c r="E809" s="37"/>
      <c r="F809" s="108" t="str">
        <f>+VLOOKUP(PROVEEDORES[[#This Row],[PROVEEDOR]],TERCEROS_INFO[[PROVEEDOR]:[CORREO]],5,FALSE)</f>
        <v>mdedcnvi@bateriasduncan.com.co;guillermo.bateriasduncan@gmail.com;girlesa.ruiz@servipilas.com;joriescobar64@gmail.com</v>
      </c>
      <c r="G809" s="143">
        <v>44558</v>
      </c>
      <c r="H809" s="38" t="s">
        <v>26</v>
      </c>
      <c r="I809" s="30">
        <v>44533</v>
      </c>
      <c r="J809" s="58" t="s">
        <v>1005</v>
      </c>
      <c r="K809" s="32">
        <v>7960000</v>
      </c>
      <c r="L809" s="32"/>
      <c r="M809" s="33">
        <f>(PROVEEDORES[[#This Row],[SUBTOTAL]]-PROVEEDORES[[#This Row],[descuento antes de IVA]])*VLOOKUP(PROVEEDORES[[#This Row],[PROVEEDOR]],TERCEROS_INFO[#All],3,FALSE)</f>
        <v>1512400</v>
      </c>
      <c r="N809" s="34"/>
      <c r="O809" s="33">
        <f>+PROVEEDORES[[#This Row],[Descuento sobre subtotal %]]*(PROVEEDORES[[#This Row],[SUBTOTAL]]-PROVEEDORES[[#This Row],[descuento antes de IVA]])</f>
        <v>0</v>
      </c>
      <c r="P8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09" s="33">
        <f>+(PROVEEDORES[[#This Row],[SUBTOTAL]]-PROVEEDORES[[#This Row],[descuento antes de IVA]])*PROVEEDORES[[#This Row],[Rete Fuente %]]</f>
        <v>199000</v>
      </c>
      <c r="R809" s="32">
        <f>+PROVEEDORES[[#This Row],[SUBTOTAL]]+PROVEEDORES[[#This Row],[IVA 19%]]-PROVEEDORES[[#This Row],[descuento antes de IVA]]-PROVEEDORES[[#This Row],[Descuento sobre subtotal $]]-PROVEEDORES[[#This Row],[Rete Fuente $]]</f>
        <v>9273400</v>
      </c>
      <c r="S80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9" s="40"/>
      <c r="U809" s="97"/>
      <c r="V809" s="41"/>
      <c r="W809" s="36"/>
      <c r="X809" s="36"/>
      <c r="Y809" s="36"/>
      <c r="Z809" s="36"/>
      <c r="AB809" s="42"/>
      <c r="AF809" s="36"/>
      <c r="AG809" s="36"/>
    </row>
    <row r="810" spans="1:33" ht="21.95" hidden="1" customHeight="1" x14ac:dyDescent="0.25">
      <c r="A810" s="35" t="str">
        <f>+IF(PROVEEDORES[[#This Row],[FECHA DE PAGO]]=PROVEEDORES[[#This Row],[FECHA DE FACTURACIÓN]],"DE CONTADO","CRÉDITO")</f>
        <v>CRÉDITO</v>
      </c>
      <c r="B810" s="70" t="b">
        <f>+IF((PROVEEDORES[[#This Row],[FECHA DE PAGO]]-PROVEEDORES[[#This Row],[FECHA DE FACTURACIÓN]])&gt;PROVEEDORES[[#This Row],[PLAZO Días]],"PAGO VENCIDO")</f>
        <v>0</v>
      </c>
      <c r="C810" s="27">
        <f>+VLOOKUP(PROVEEDORES[[#This Row],[PROVEEDOR]],TERCEROS_INFO[#All],2,FALSE)</f>
        <v>90</v>
      </c>
      <c r="D810" s="37">
        <f>+SUMIFS(PROVEEDORES[Total],PROVEEDORES[PROVEEDOR],PROVEEDORES[[#This Row],[PROVEEDOR]],PROVEEDORES[FECHA DE PAGO],"")</f>
        <v>34545522.620000005</v>
      </c>
      <c r="E810" s="37"/>
      <c r="F810" s="108" t="str">
        <f>+VLOOKUP(PROVEEDORES[[#This Row],[PROVEEDOR]],TERCEROS_INFO[[PROVEEDOR]:[CORREO]],5,FALSE)</f>
        <v>javiergomez_72@hotmail.com ;girlesa.ruiz@servipilas.com;joriescobar64@gmail.com</v>
      </c>
      <c r="H810" s="38" t="s">
        <v>12</v>
      </c>
      <c r="I810" s="30">
        <v>44541</v>
      </c>
      <c r="J810" s="58" t="s">
        <v>1012</v>
      </c>
      <c r="K810" s="32">
        <v>7164707</v>
      </c>
      <c r="L810" s="32"/>
      <c r="M810" s="33">
        <f>(PROVEEDORES[[#This Row],[SUBTOTAL]]-PROVEEDORES[[#This Row],[descuento antes de IVA]])*VLOOKUP(PROVEEDORES[[#This Row],[PROVEEDOR]],TERCEROS_INFO[#All],3,FALSE)</f>
        <v>1361294.33</v>
      </c>
      <c r="N810" s="34"/>
      <c r="O810" s="33">
        <f>+PROVEEDORES[[#This Row],[Descuento sobre subtotal %]]*(PROVEEDORES[[#This Row],[SUBTOTAL]]-PROVEEDORES[[#This Row],[descuento antes de IVA]])</f>
        <v>0</v>
      </c>
      <c r="P8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10" s="33">
        <f>+(PROVEEDORES[[#This Row],[SUBTOTAL]]-PROVEEDORES[[#This Row],[descuento antes de IVA]])*PROVEEDORES[[#This Row],[Rete Fuente %]]</f>
        <v>179117.67500000002</v>
      </c>
      <c r="R810" s="32">
        <f>+PROVEEDORES[[#This Row],[SUBTOTAL]]+PROVEEDORES[[#This Row],[IVA 19%]]-PROVEEDORES[[#This Row],[descuento antes de IVA]]-PROVEEDORES[[#This Row],[Descuento sobre subtotal $]]-PROVEEDORES[[#This Row],[Rete Fuente $]]</f>
        <v>8346883.6550000003</v>
      </c>
      <c r="S810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810" s="40"/>
      <c r="U810" s="97"/>
      <c r="V810" s="41"/>
      <c r="W810" s="36"/>
      <c r="X810" s="36"/>
      <c r="Y810" s="36"/>
      <c r="Z810" s="36"/>
      <c r="AB810" s="42"/>
      <c r="AF810" s="36"/>
      <c r="AG810" s="36"/>
    </row>
    <row r="811" spans="1:33" ht="21.95" hidden="1" customHeight="1" x14ac:dyDescent="0.25">
      <c r="A811" s="35" t="str">
        <f>+IF(PROVEEDORES[[#This Row],[FECHA DE PAGO]]=PROVEEDORES[[#This Row],[FECHA DE FACTURACIÓN]],"DE CONTADO","CRÉDITO")</f>
        <v>CRÉDITO</v>
      </c>
      <c r="B811" s="70" t="b">
        <f>+IF((PROVEEDORES[[#This Row],[FECHA DE PAGO]]-PROVEEDORES[[#This Row],[FECHA DE FACTURACIÓN]])&gt;PROVEEDORES[[#This Row],[PLAZO Días]],"PAGO VENCIDO")</f>
        <v>0</v>
      </c>
      <c r="C811" s="27">
        <f>+VLOOKUP(PROVEEDORES[[#This Row],[PROVEEDOR]],TERCEROS_INFO[#All],2,FALSE)</f>
        <v>90</v>
      </c>
      <c r="D811" s="37">
        <f>+SUMIFS(PROVEEDORES[Total],PROVEEDORES[PROVEEDOR],PROVEEDORES[[#This Row],[PROVEEDOR]],PROVEEDORES[FECHA DE PAGO],"")</f>
        <v>34545522.620000005</v>
      </c>
      <c r="E811" s="37"/>
      <c r="F811" s="108" t="str">
        <f>+VLOOKUP(PROVEEDORES[[#This Row],[PROVEEDOR]],TERCEROS_INFO[[PROVEEDOR]:[CORREO]],5,FALSE)</f>
        <v>javiergomez_72@hotmail.com ;girlesa.ruiz@servipilas.com;joriescobar64@gmail.com</v>
      </c>
      <c r="H811" s="38" t="s">
        <v>12</v>
      </c>
      <c r="I811" s="30">
        <v>44541</v>
      </c>
      <c r="J811" s="58" t="s">
        <v>1013</v>
      </c>
      <c r="K811" s="32">
        <v>2907563</v>
      </c>
      <c r="L811" s="32"/>
      <c r="M811" s="33">
        <f>(PROVEEDORES[[#This Row],[SUBTOTAL]]-PROVEEDORES[[#This Row],[descuento antes de IVA]])*VLOOKUP(PROVEEDORES[[#This Row],[PROVEEDOR]],TERCEROS_INFO[#All],3,FALSE)</f>
        <v>552436.97</v>
      </c>
      <c r="N811" s="34"/>
      <c r="O811" s="33">
        <f>+PROVEEDORES[[#This Row],[Descuento sobre subtotal %]]*(PROVEEDORES[[#This Row],[SUBTOTAL]]-PROVEEDORES[[#This Row],[descuento antes de IVA]])</f>
        <v>0</v>
      </c>
      <c r="P8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11" s="33">
        <f>+(PROVEEDORES[[#This Row],[SUBTOTAL]]-PROVEEDORES[[#This Row],[descuento antes de IVA]])*PROVEEDORES[[#This Row],[Rete Fuente %]]</f>
        <v>72689.074999999997</v>
      </c>
      <c r="R811" s="32">
        <f>+PROVEEDORES[[#This Row],[SUBTOTAL]]+PROVEEDORES[[#This Row],[IVA 19%]]-PROVEEDORES[[#This Row],[descuento antes de IVA]]-PROVEEDORES[[#This Row],[Descuento sobre subtotal $]]-PROVEEDORES[[#This Row],[Rete Fuente $]]</f>
        <v>3387310.8949999996</v>
      </c>
      <c r="S811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811" s="40"/>
      <c r="U811" s="97"/>
      <c r="V811" s="41"/>
      <c r="W811" s="36"/>
      <c r="X811" s="36"/>
      <c r="Y811" s="36"/>
      <c r="Z811" s="36"/>
      <c r="AB811" s="42"/>
      <c r="AF811" s="36"/>
      <c r="AG811" s="36"/>
    </row>
    <row r="812" spans="1:33" ht="21.95" hidden="1" customHeight="1" x14ac:dyDescent="0.25">
      <c r="A812" s="169" t="str">
        <f>+IF(PROVEEDORES[[#This Row],[FECHA DE PAGO]]=PROVEEDORES[[#This Row],[FECHA DE FACTURACIÓN]],"DE CONTADO","CRÉDITO")</f>
        <v>CRÉDITO</v>
      </c>
      <c r="B812" s="70" t="b">
        <f>+IF((PROVEEDORES[[#This Row],[FECHA DE PAGO]]-PROVEEDORES[[#This Row],[FECHA DE FACTURACIÓN]])&gt;PROVEEDORES[[#This Row],[PLAZO Días]],"PAGO VENCIDO")</f>
        <v>0</v>
      </c>
      <c r="C812" s="27">
        <f>+VLOOKUP(PROVEEDORES[[#This Row],[PROVEEDOR]],TERCEROS_INFO[#All],2,FALSE)</f>
        <v>90</v>
      </c>
      <c r="D812" s="37">
        <f>+SUMIFS(PROVEEDORES[Total],PROVEEDORES[PROVEEDOR],PROVEEDORES[[#This Row],[PROVEEDOR]],PROVEEDORES[FECHA DE PAGO],"")</f>
        <v>34545522.620000005</v>
      </c>
      <c r="E812" s="37"/>
      <c r="F812" s="108" t="str">
        <f>+VLOOKUP(PROVEEDORES[[#This Row],[PROVEEDOR]],TERCEROS_INFO[[PROVEEDOR]:[CORREO]],5,FALSE)</f>
        <v>javiergomez_72@hotmail.com ;girlesa.ruiz@servipilas.com;joriescobar64@gmail.com</v>
      </c>
      <c r="H812" s="38" t="s">
        <v>12</v>
      </c>
      <c r="I812" s="30">
        <v>44551</v>
      </c>
      <c r="J812" s="58" t="s">
        <v>1337</v>
      </c>
      <c r="K812" s="32">
        <v>7573109</v>
      </c>
      <c r="L812" s="32"/>
      <c r="M812" s="33">
        <f>(PROVEEDORES[[#This Row],[SUBTOTAL]]-PROVEEDORES[[#This Row],[descuento antes de IVA]])*VLOOKUP(PROVEEDORES[[#This Row],[PROVEEDOR]],TERCEROS_INFO[#All],3,FALSE)</f>
        <v>1438890.71</v>
      </c>
      <c r="N812" s="34"/>
      <c r="O812" s="33">
        <f>+PROVEEDORES[[#This Row],[Descuento sobre subtotal %]]*(PROVEEDORES[[#This Row],[SUBTOTAL]]-PROVEEDORES[[#This Row],[descuento antes de IVA]])</f>
        <v>0</v>
      </c>
      <c r="P8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12" s="33">
        <f>+(PROVEEDORES[[#This Row],[SUBTOTAL]]-PROVEEDORES[[#This Row],[descuento antes de IVA]])*PROVEEDORES[[#This Row],[Rete Fuente %]]</f>
        <v>189327.72500000001</v>
      </c>
      <c r="R812" s="32">
        <f>+PROVEEDORES[[#This Row],[SUBTOTAL]]+PROVEEDORES[[#This Row],[IVA 19%]]-PROVEEDORES[[#This Row],[descuento antes de IVA]]-PROVEEDORES[[#This Row],[Descuento sobre subtotal $]]-PROVEEDORES[[#This Row],[Rete Fuente $]]</f>
        <v>8822671.9850000013</v>
      </c>
      <c r="S812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812" s="40"/>
      <c r="U812" s="97"/>
      <c r="V812" s="41"/>
      <c r="W812" s="36"/>
      <c r="X812" s="36"/>
      <c r="Y812" s="36"/>
      <c r="Z812" s="36"/>
      <c r="AB812" s="42"/>
      <c r="AF812" s="36"/>
      <c r="AG812" s="36"/>
    </row>
    <row r="813" spans="1:33" ht="21.95" hidden="1" customHeight="1" x14ac:dyDescent="0.25">
      <c r="A813" s="39" t="str">
        <f>+IF(PROVEEDORES[[#This Row],[FECHA DE PAGO]]=PROVEEDORES[[#This Row],[FECHA DE FACTURACIÓN]],"DE CONTADO","CRÉDITO")</f>
        <v>CRÉDITO</v>
      </c>
      <c r="B813" s="67" t="b">
        <f>+IF((PROVEEDORES[[#This Row],[FECHA DE PAGO]]-PROVEEDORES[[#This Row],[FECHA DE FACTURACIÓN]])&gt;PROVEEDORES[[#This Row],[PLAZO Días]],"PAGO VENCIDO")</f>
        <v>0</v>
      </c>
      <c r="C813" s="27">
        <f>+VLOOKUP(PROVEEDORES[[#This Row],[PROVEEDOR]],TERCEROS_INFO[#All],2,FALSE)</f>
        <v>90</v>
      </c>
      <c r="D813" s="37">
        <f>+SUMIFS(PROVEEDORES[Total],PROVEEDORES[PROVEEDOR],PROVEEDORES[[#This Row],[PROVEEDOR]],PROVEEDORES[FECHA DE PAGO],"")</f>
        <v>34545522.620000005</v>
      </c>
      <c r="E813" s="37"/>
      <c r="F813" s="108" t="str">
        <f>+VLOOKUP(PROVEEDORES[[#This Row],[PROVEEDOR]],TERCEROS_INFO[[PROVEEDOR]:[CORREO]],5,FALSE)</f>
        <v>javiergomez_72@hotmail.com ;girlesa.ruiz@servipilas.com;joriescobar64@gmail.com</v>
      </c>
      <c r="G813" s="143">
        <v>44138</v>
      </c>
      <c r="H813" s="38" t="s">
        <v>12</v>
      </c>
      <c r="I813" s="30">
        <v>44074</v>
      </c>
      <c r="J813" s="58" t="s">
        <v>132</v>
      </c>
      <c r="K813" s="32">
        <v>2709243.6890756306</v>
      </c>
      <c r="L813" s="32"/>
      <c r="M813" s="33">
        <f>(PROVEEDORES[[#This Row],[SUBTOTAL]]-PROVEEDORES[[#This Row],[descuento antes de IVA]])*VLOOKUP(PROVEEDORES[[#This Row],[PROVEEDOR]],TERCEROS_INFO[#All],3,FALSE)</f>
        <v>514756.30092436983</v>
      </c>
      <c r="N813" s="34"/>
      <c r="O813" s="33">
        <f>+PROVEEDORES[[#This Row],[Descuento sobre subtotal %]]*(PROVEEDORES[[#This Row],[SUBTOTAL]]-PROVEEDORES[[#This Row],[descuento antes de IVA]])</f>
        <v>0</v>
      </c>
      <c r="P8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13" s="33">
        <f>+(PROVEEDORES[[#This Row],[SUBTOTAL]]-PROVEEDORES[[#This Row],[descuento antes de IVA]])*PROVEEDORES[[#This Row],[Rete Fuente %]]</f>
        <v>67731.092226890774</v>
      </c>
      <c r="R813" s="32">
        <f>+PROVEEDORES[[#This Row],[SUBTOTAL]]+PROVEEDORES[[#This Row],[IVA 19%]]-PROVEEDORES[[#This Row],[descuento antes de IVA]]-PROVEEDORES[[#This Row],[Descuento sobre subtotal $]]-PROVEEDORES[[#This Row],[Rete Fuente $]]</f>
        <v>3156268.8977731094</v>
      </c>
      <c r="S81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3" s="40"/>
      <c r="U813" s="97"/>
      <c r="V813" s="41"/>
      <c r="W813" s="36"/>
      <c r="X813" s="36"/>
      <c r="Y813" s="36"/>
      <c r="Z813" s="36"/>
      <c r="AB813" s="42"/>
      <c r="AF813" s="36"/>
      <c r="AG813" s="36"/>
    </row>
    <row r="814" spans="1:33" ht="21.95" hidden="1" customHeight="1" x14ac:dyDescent="0.25">
      <c r="A814" s="39" t="str">
        <f>+IF(PROVEEDORES[[#This Row],[FECHA DE PAGO]]=PROVEEDORES[[#This Row],[FECHA DE FACTURACIÓN]],"DE CONTADO","CRÉDITO")</f>
        <v>CRÉDITO</v>
      </c>
      <c r="B814" s="67" t="b">
        <f>+IF((PROVEEDORES[[#This Row],[FECHA DE PAGO]]-PROVEEDORES[[#This Row],[FECHA DE FACTURACIÓN]])&gt;PROVEEDORES[[#This Row],[PLAZO Días]],"PAGO VENCIDO")</f>
        <v>0</v>
      </c>
      <c r="C814" s="27">
        <f>+VLOOKUP(PROVEEDORES[[#This Row],[PROVEEDOR]],TERCEROS_INFO[#All],2,FALSE)</f>
        <v>90</v>
      </c>
      <c r="D814" s="37">
        <f>+SUMIFS(PROVEEDORES[Total],PROVEEDORES[PROVEEDOR],PROVEEDORES[[#This Row],[PROVEEDOR]],PROVEEDORES[FECHA DE PAGO],"")</f>
        <v>34545522.620000005</v>
      </c>
      <c r="E814" s="37"/>
      <c r="F814" s="108" t="str">
        <f>+VLOOKUP(PROVEEDORES[[#This Row],[PROVEEDOR]],TERCEROS_INFO[[PROVEEDOR]:[CORREO]],5,FALSE)</f>
        <v>javiergomez_72@hotmail.com ;girlesa.ruiz@servipilas.com;joriescobar64@gmail.com</v>
      </c>
      <c r="G814" s="143">
        <v>44138</v>
      </c>
      <c r="H814" s="38" t="s">
        <v>12</v>
      </c>
      <c r="I814" s="30">
        <v>44081</v>
      </c>
      <c r="J814" s="58" t="s">
        <v>133</v>
      </c>
      <c r="K814" s="32">
        <v>176470.58823529413</v>
      </c>
      <c r="L814" s="32"/>
      <c r="M814" s="33">
        <f>(PROVEEDORES[[#This Row],[SUBTOTAL]]-PROVEEDORES[[#This Row],[descuento antes de IVA]])*VLOOKUP(PROVEEDORES[[#This Row],[PROVEEDOR]],TERCEROS_INFO[#All],3,FALSE)</f>
        <v>33529.411764705881</v>
      </c>
      <c r="N814" s="34"/>
      <c r="O814" s="33">
        <f>+PROVEEDORES[[#This Row],[Descuento sobre subtotal %]]*(PROVEEDORES[[#This Row],[SUBTOTAL]]-PROVEEDORES[[#This Row],[descuento antes de IVA]])</f>
        <v>0</v>
      </c>
      <c r="P8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14" s="33">
        <f>+(PROVEEDORES[[#This Row],[SUBTOTAL]]-PROVEEDORES[[#This Row],[descuento antes de IVA]])*PROVEEDORES[[#This Row],[Rete Fuente %]]</f>
        <v>0</v>
      </c>
      <c r="R814" s="32">
        <f>+PROVEEDORES[[#This Row],[SUBTOTAL]]+PROVEEDORES[[#This Row],[IVA 19%]]-PROVEEDORES[[#This Row],[descuento antes de IVA]]-PROVEEDORES[[#This Row],[Descuento sobre subtotal $]]-PROVEEDORES[[#This Row],[Rete Fuente $]]</f>
        <v>210000</v>
      </c>
      <c r="S8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4" s="40"/>
      <c r="U814" s="97"/>
      <c r="V814" s="41"/>
      <c r="W814" s="36"/>
      <c r="X814" s="36"/>
      <c r="Y814" s="36"/>
      <c r="Z814" s="36"/>
      <c r="AB814" s="42"/>
      <c r="AF814" s="36"/>
      <c r="AG814" s="36"/>
    </row>
    <row r="815" spans="1:33" ht="21.95" hidden="1" customHeight="1" x14ac:dyDescent="0.25">
      <c r="A815" s="39" t="str">
        <f>+IF(PROVEEDORES[[#This Row],[FECHA DE PAGO]]=PROVEEDORES[[#This Row],[FECHA DE FACTURACIÓN]],"DE CONTADO","CRÉDITO")</f>
        <v>CRÉDITO</v>
      </c>
      <c r="B815" s="67" t="str">
        <f>+IF((PROVEEDORES[[#This Row],[FECHA DE PAGO]]-PROVEEDORES[[#This Row],[FECHA DE FACTURACIÓN]])&gt;PROVEEDORES[[#This Row],[PLAZO Días]],"PAGO VENCIDO")</f>
        <v>PAGO VENCIDO</v>
      </c>
      <c r="C815" s="27">
        <f>+VLOOKUP(PROVEEDORES[[#This Row],[PROVEEDOR]],TERCEROS_INFO[#All],2,FALSE)</f>
        <v>90</v>
      </c>
      <c r="D815" s="37">
        <f>+SUMIFS(PROVEEDORES[Total],PROVEEDORES[PROVEEDOR],PROVEEDORES[[#This Row],[PROVEEDOR]],PROVEEDORES[FECHA DE PAGO],"")</f>
        <v>34545522.620000005</v>
      </c>
      <c r="E815" s="37"/>
      <c r="F815" s="108" t="str">
        <f>+VLOOKUP(PROVEEDORES[[#This Row],[PROVEEDOR]],TERCEROS_INFO[[PROVEEDOR]:[CORREO]],5,FALSE)</f>
        <v>javiergomez_72@hotmail.com ;girlesa.ruiz@servipilas.com;joriescobar64@gmail.com</v>
      </c>
      <c r="G815" s="143">
        <v>44180</v>
      </c>
      <c r="H815" s="38" t="s">
        <v>12</v>
      </c>
      <c r="I815" s="30">
        <v>44085</v>
      </c>
      <c r="J815" s="58" t="s">
        <v>138</v>
      </c>
      <c r="K815" s="32">
        <v>1004201.680672269</v>
      </c>
      <c r="L815" s="32"/>
      <c r="M815" s="33">
        <f>(PROVEEDORES[[#This Row],[SUBTOTAL]]-PROVEEDORES[[#This Row],[descuento antes de IVA]])*VLOOKUP(PROVEEDORES[[#This Row],[PROVEEDOR]],TERCEROS_INFO[#All],3,FALSE)</f>
        <v>190798.31932773109</v>
      </c>
      <c r="N815" s="34"/>
      <c r="O815" s="33">
        <f>+PROVEEDORES[[#This Row],[Descuento sobre subtotal %]]*(PROVEEDORES[[#This Row],[SUBTOTAL]]-PROVEEDORES[[#This Row],[descuento antes de IVA]])</f>
        <v>0</v>
      </c>
      <c r="P8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15" s="33">
        <f>+(PROVEEDORES[[#This Row],[SUBTOTAL]]-PROVEEDORES[[#This Row],[descuento antes de IVA]])*PROVEEDORES[[#This Row],[Rete Fuente %]]</f>
        <v>25105.042016806725</v>
      </c>
      <c r="R815" s="32">
        <f>+PROVEEDORES[[#This Row],[SUBTOTAL]]+PROVEEDORES[[#This Row],[IVA 19%]]-PROVEEDORES[[#This Row],[descuento antes de IVA]]-PROVEEDORES[[#This Row],[Descuento sobre subtotal $]]-PROVEEDORES[[#This Row],[Rete Fuente $]]</f>
        <v>1169894.9579831932</v>
      </c>
      <c r="S8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5" s="40"/>
      <c r="U815" s="97"/>
      <c r="V815" s="41"/>
      <c r="W815" s="36"/>
      <c r="X815" s="36"/>
      <c r="Y815" s="36"/>
      <c r="Z815" s="36"/>
      <c r="AB815" s="42"/>
      <c r="AF815" s="36"/>
      <c r="AG815" s="36"/>
    </row>
    <row r="816" spans="1:33" ht="21.95" hidden="1" customHeight="1" x14ac:dyDescent="0.25">
      <c r="A816" s="39" t="str">
        <f>+IF(PROVEEDORES[[#This Row],[FECHA DE PAGO]]=PROVEEDORES[[#This Row],[FECHA DE FACTURACIÓN]],"DE CONTADO","CRÉDITO")</f>
        <v>CRÉDITO</v>
      </c>
      <c r="B816" s="67" t="b">
        <f>+IF((PROVEEDORES[[#This Row],[FECHA DE PAGO]]-PROVEEDORES[[#This Row],[FECHA DE FACTURACIÓN]])&gt;PROVEEDORES[[#This Row],[PLAZO Días]],"PAGO VENCIDO")</f>
        <v>0</v>
      </c>
      <c r="C816" s="27">
        <f>+VLOOKUP(PROVEEDORES[[#This Row],[PROVEEDOR]],TERCEROS_INFO[#All],2,FALSE)</f>
        <v>90</v>
      </c>
      <c r="D816" s="37">
        <f>+SUMIFS(PROVEEDORES[Total],PROVEEDORES[PROVEEDOR],PROVEEDORES[[#This Row],[PROVEEDOR]],PROVEEDORES[FECHA DE PAGO],"")</f>
        <v>34545522.620000005</v>
      </c>
      <c r="E816" s="37"/>
      <c r="F816" s="108" t="str">
        <f>+VLOOKUP(PROVEEDORES[[#This Row],[PROVEEDOR]],TERCEROS_INFO[[PROVEEDOR]:[CORREO]],5,FALSE)</f>
        <v>javiergomez_72@hotmail.com ;girlesa.ruiz@servipilas.com;joriescobar64@gmail.com</v>
      </c>
      <c r="G816" s="143">
        <v>44189</v>
      </c>
      <c r="H816" s="38" t="s">
        <v>12</v>
      </c>
      <c r="I816" s="30">
        <v>44109</v>
      </c>
      <c r="J816" s="58" t="s">
        <v>153</v>
      </c>
      <c r="K816" s="32">
        <v>4545378.1260504201</v>
      </c>
      <c r="L816" s="32"/>
      <c r="M816" s="33">
        <f>(PROVEEDORES[[#This Row],[SUBTOTAL]]-PROVEEDORES[[#This Row],[descuento antes de IVA]])*VLOOKUP(PROVEEDORES[[#This Row],[PROVEEDOR]],TERCEROS_INFO[#All],3,FALSE)</f>
        <v>863621.84394957987</v>
      </c>
      <c r="N816" s="34"/>
      <c r="O816" s="33">
        <f>+PROVEEDORES[[#This Row],[Descuento sobre subtotal %]]*(PROVEEDORES[[#This Row],[SUBTOTAL]]-PROVEEDORES[[#This Row],[descuento antes de IVA]])</f>
        <v>0</v>
      </c>
      <c r="P8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16" s="33">
        <f>+(PROVEEDORES[[#This Row],[SUBTOTAL]]-PROVEEDORES[[#This Row],[descuento antes de IVA]])*PROVEEDORES[[#This Row],[Rete Fuente %]]</f>
        <v>113634.4531512605</v>
      </c>
      <c r="R816" s="32">
        <f>+PROVEEDORES[[#This Row],[SUBTOTAL]]+PROVEEDORES[[#This Row],[IVA 19%]]-PROVEEDORES[[#This Row],[descuento antes de IVA]]-PROVEEDORES[[#This Row],[Descuento sobre subtotal $]]-PROVEEDORES[[#This Row],[Rete Fuente $]]</f>
        <v>5295365.5168487392</v>
      </c>
      <c r="S8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6" s="40"/>
      <c r="U816" s="97"/>
      <c r="V816" s="41"/>
      <c r="W816" s="36"/>
      <c r="X816" s="36"/>
      <c r="Y816" s="36"/>
      <c r="Z816" s="36"/>
      <c r="AB816" s="42"/>
      <c r="AF816" s="36"/>
      <c r="AG816" s="36"/>
    </row>
    <row r="817" spans="1:33" ht="21.95" hidden="1" customHeight="1" x14ac:dyDescent="0.25">
      <c r="A817" s="39" t="str">
        <f>+IF(PROVEEDORES[[#This Row],[FECHA DE PAGO]]=PROVEEDORES[[#This Row],[FECHA DE FACTURACIÓN]],"DE CONTADO","CRÉDITO")</f>
        <v>CRÉDITO</v>
      </c>
      <c r="B817" s="67" t="b">
        <f>+IF((PROVEEDORES[[#This Row],[FECHA DE PAGO]]-PROVEEDORES[[#This Row],[FECHA DE FACTURACIÓN]])&gt;PROVEEDORES[[#This Row],[PLAZO Días]],"PAGO VENCIDO")</f>
        <v>0</v>
      </c>
      <c r="C817" s="27">
        <f>+VLOOKUP(PROVEEDORES[[#This Row],[PROVEEDOR]],TERCEROS_INFO[#All],2,FALSE)</f>
        <v>90</v>
      </c>
      <c r="D817" s="37">
        <f>+SUMIFS(PROVEEDORES[Total],PROVEEDORES[PROVEEDOR],PROVEEDORES[[#This Row],[PROVEEDOR]],PROVEEDORES[FECHA DE PAGO],"")</f>
        <v>34545522.620000005</v>
      </c>
      <c r="E817" s="37"/>
      <c r="F817" s="108" t="str">
        <f>+VLOOKUP(PROVEEDORES[[#This Row],[PROVEEDOR]],TERCEROS_INFO[[PROVEEDOR]:[CORREO]],5,FALSE)</f>
        <v>javiergomez_72@hotmail.com ;girlesa.ruiz@servipilas.com;joriescobar64@gmail.com</v>
      </c>
      <c r="G817" s="143">
        <v>44189</v>
      </c>
      <c r="H817" s="38" t="s">
        <v>12</v>
      </c>
      <c r="I817" s="30">
        <v>44109</v>
      </c>
      <c r="J817" s="58" t="s">
        <v>154</v>
      </c>
      <c r="K817" s="32">
        <v>2756302.4873949583</v>
      </c>
      <c r="L817" s="32"/>
      <c r="M817" s="33">
        <f>(PROVEEDORES[[#This Row],[SUBTOTAL]]-PROVEEDORES[[#This Row],[descuento antes de IVA]])*VLOOKUP(PROVEEDORES[[#This Row],[PROVEEDOR]],TERCEROS_INFO[#All],3,FALSE)</f>
        <v>523697.4726050421</v>
      </c>
      <c r="N817" s="34"/>
      <c r="O817" s="33">
        <f>+PROVEEDORES[[#This Row],[Descuento sobre subtotal %]]*(PROVEEDORES[[#This Row],[SUBTOTAL]]-PROVEEDORES[[#This Row],[descuento antes de IVA]])</f>
        <v>0</v>
      </c>
      <c r="P8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17" s="33">
        <f>+(PROVEEDORES[[#This Row],[SUBTOTAL]]-PROVEEDORES[[#This Row],[descuento antes de IVA]])*PROVEEDORES[[#This Row],[Rete Fuente %]]</f>
        <v>68907.562184873954</v>
      </c>
      <c r="R817" s="32">
        <f>+PROVEEDORES[[#This Row],[SUBTOTAL]]+PROVEEDORES[[#This Row],[IVA 19%]]-PROVEEDORES[[#This Row],[descuento antes de IVA]]-PROVEEDORES[[#This Row],[Descuento sobre subtotal $]]-PROVEEDORES[[#This Row],[Rete Fuente $]]</f>
        <v>3211092.3978151265</v>
      </c>
      <c r="S81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7" s="40"/>
      <c r="U817" s="97"/>
      <c r="V817" s="41"/>
      <c r="W817" s="36"/>
      <c r="X817" s="36"/>
      <c r="Y817" s="36"/>
      <c r="Z817" s="36"/>
      <c r="AB817" s="42"/>
      <c r="AF817" s="36"/>
      <c r="AG817" s="36"/>
    </row>
    <row r="818" spans="1:33" ht="21.95" hidden="1" customHeight="1" x14ac:dyDescent="0.25">
      <c r="A818" s="39" t="str">
        <f>+IF(PROVEEDORES[[#This Row],[FECHA DE PAGO]]=PROVEEDORES[[#This Row],[FECHA DE FACTURACIÓN]],"DE CONTADO","CRÉDITO")</f>
        <v>CRÉDITO</v>
      </c>
      <c r="B818" s="67" t="str">
        <f>+IF((PROVEEDORES[[#This Row],[FECHA DE PAGO]]-PROVEEDORES[[#This Row],[FECHA DE FACTURACIÓN]])&gt;PROVEEDORES[[#This Row],[PLAZO Días]],"PAGO VENCIDO")</f>
        <v>PAGO VENCIDO</v>
      </c>
      <c r="C818" s="27">
        <f>+VLOOKUP(PROVEEDORES[[#This Row],[PROVEEDOR]],TERCEROS_INFO[#All],2,FALSE)</f>
        <v>90</v>
      </c>
      <c r="D818" s="37">
        <f>+SUMIFS(PROVEEDORES[Total],PROVEEDORES[PROVEEDOR],PROVEEDORES[[#This Row],[PROVEEDOR]],PROVEEDORES[FECHA DE PAGO],"")</f>
        <v>34545522.620000005</v>
      </c>
      <c r="E818" s="37"/>
      <c r="F818" s="108" t="str">
        <f>+VLOOKUP(PROVEEDORES[[#This Row],[PROVEEDOR]],TERCEROS_INFO[[PROVEEDOR]:[CORREO]],5,FALSE)</f>
        <v>javiergomez_72@hotmail.com ;girlesa.ruiz@servipilas.com;joriescobar64@gmail.com</v>
      </c>
      <c r="G818" s="143">
        <v>44250</v>
      </c>
      <c r="H818" s="38" t="s">
        <v>12</v>
      </c>
      <c r="I818" s="30">
        <v>44153</v>
      </c>
      <c r="J818" s="58" t="s">
        <v>190</v>
      </c>
      <c r="K818" s="32">
        <v>7241596.6470588241</v>
      </c>
      <c r="L818" s="32"/>
      <c r="M818" s="33">
        <f>(PROVEEDORES[[#This Row],[SUBTOTAL]]-PROVEEDORES[[#This Row],[descuento antes de IVA]])*VLOOKUP(PROVEEDORES[[#This Row],[PROVEEDOR]],TERCEROS_INFO[#All],3,FALSE)</f>
        <v>1375903.3629411766</v>
      </c>
      <c r="N818" s="34"/>
      <c r="O818" s="33">
        <f>+PROVEEDORES[[#This Row],[Descuento sobre subtotal %]]*(PROVEEDORES[[#This Row],[SUBTOTAL]]-PROVEEDORES[[#This Row],[descuento antes de IVA]])</f>
        <v>0</v>
      </c>
      <c r="P8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18" s="33">
        <f>+(PROVEEDORES[[#This Row],[SUBTOTAL]]-PROVEEDORES[[#This Row],[descuento antes de IVA]])*PROVEEDORES[[#This Row],[Rete Fuente %]]</f>
        <v>181039.91617647061</v>
      </c>
      <c r="R818" s="32">
        <f>+PROVEEDORES[[#This Row],[SUBTOTAL]]+PROVEEDORES[[#This Row],[IVA 19%]]-PROVEEDORES[[#This Row],[descuento antes de IVA]]-PROVEEDORES[[#This Row],[Descuento sobre subtotal $]]-PROVEEDORES[[#This Row],[Rete Fuente $]]</f>
        <v>8436460.0938235316</v>
      </c>
      <c r="S8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8" s="40"/>
      <c r="U818" s="97"/>
      <c r="V818" s="41"/>
      <c r="W818" s="36"/>
      <c r="X818" s="36"/>
      <c r="Y818" s="36"/>
      <c r="Z818" s="36"/>
      <c r="AB818" s="42"/>
      <c r="AF818" s="36"/>
      <c r="AG818" s="36"/>
    </row>
    <row r="819" spans="1:33" ht="21.95" hidden="1" customHeight="1" x14ac:dyDescent="0.25">
      <c r="A819" s="39" t="str">
        <f>+IF(PROVEEDORES[[#This Row],[FECHA DE PAGO]]=PROVEEDORES[[#This Row],[FECHA DE FACTURACIÓN]],"DE CONTADO","CRÉDITO")</f>
        <v>CRÉDITO</v>
      </c>
      <c r="B819" s="67" t="str">
        <f>+IF((PROVEEDORES[[#This Row],[FECHA DE PAGO]]-PROVEEDORES[[#This Row],[FECHA DE FACTURACIÓN]])&gt;PROVEEDORES[[#This Row],[PLAZO Días]],"PAGO VENCIDO")</f>
        <v>PAGO VENCIDO</v>
      </c>
      <c r="C819" s="27">
        <f>+VLOOKUP(PROVEEDORES[[#This Row],[PROVEEDOR]],TERCEROS_INFO[#All],2,FALSE)</f>
        <v>90</v>
      </c>
      <c r="D819" s="37">
        <f>+SUMIFS(PROVEEDORES[Total],PROVEEDORES[PROVEEDOR],PROVEEDORES[[#This Row],[PROVEEDOR]],PROVEEDORES[FECHA DE PAGO],"")</f>
        <v>34545522.620000005</v>
      </c>
      <c r="E819" s="37"/>
      <c r="F819" s="108" t="str">
        <f>+VLOOKUP(PROVEEDORES[[#This Row],[PROVEEDOR]],TERCEROS_INFO[[PROVEEDOR]:[CORREO]],5,FALSE)</f>
        <v>javiergomez_72@hotmail.com ;girlesa.ruiz@servipilas.com;joriescobar64@gmail.com</v>
      </c>
      <c r="G819" s="143">
        <v>44351</v>
      </c>
      <c r="H819" s="38" t="s">
        <v>12</v>
      </c>
      <c r="I819" s="30">
        <v>44185</v>
      </c>
      <c r="J819" s="58" t="s">
        <v>214</v>
      </c>
      <c r="K819" s="32">
        <v>12248739.529411765</v>
      </c>
      <c r="L819" s="32"/>
      <c r="M819" s="33">
        <f>(PROVEEDORES[[#This Row],[SUBTOTAL]]-PROVEEDORES[[#This Row],[descuento antes de IVA]])*VLOOKUP(PROVEEDORES[[#This Row],[PROVEEDOR]],TERCEROS_INFO[#All],3,FALSE)</f>
        <v>2327260.5105882352</v>
      </c>
      <c r="N819" s="34"/>
      <c r="O819" s="33">
        <f>+PROVEEDORES[[#This Row],[Descuento sobre subtotal %]]*(PROVEEDORES[[#This Row],[SUBTOTAL]]-PROVEEDORES[[#This Row],[descuento antes de IVA]])</f>
        <v>0</v>
      </c>
      <c r="P8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19" s="33">
        <f>+(PROVEEDORES[[#This Row],[SUBTOTAL]]-PROVEEDORES[[#This Row],[descuento antes de IVA]])*PROVEEDORES[[#This Row],[Rete Fuente %]]</f>
        <v>306218.48823529412</v>
      </c>
      <c r="R819" s="32">
        <f>+PROVEEDORES[[#This Row],[SUBTOTAL]]+PROVEEDORES[[#This Row],[IVA 19%]]-PROVEEDORES[[#This Row],[descuento antes de IVA]]-PROVEEDORES[[#This Row],[Descuento sobre subtotal $]]-PROVEEDORES[[#This Row],[Rete Fuente $]]</f>
        <v>14269781.551764704</v>
      </c>
      <c r="S81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9" s="40"/>
      <c r="U819" s="97"/>
      <c r="V819" s="41"/>
      <c r="W819" s="36"/>
      <c r="X819" s="36"/>
      <c r="Y819" s="36"/>
      <c r="Z819" s="36"/>
      <c r="AB819" s="42"/>
      <c r="AF819" s="36"/>
      <c r="AG819" s="36"/>
    </row>
    <row r="820" spans="1:33" ht="21.95" hidden="1" customHeight="1" x14ac:dyDescent="0.25">
      <c r="A820" s="111" t="str">
        <f>+IF(PROVEEDORES[[#This Row],[FECHA DE PAGO]]=PROVEEDORES[[#This Row],[FECHA DE FACTURACIÓN]],"DE CONTADO","CRÉDITO")</f>
        <v>CRÉDITO</v>
      </c>
      <c r="B820" s="70" t="str">
        <f>+IF((PROVEEDORES[[#This Row],[FECHA DE PAGO]]-PROVEEDORES[[#This Row],[FECHA DE FACTURACIÓN]])&gt;PROVEEDORES[[#This Row],[PLAZO Días]],"PAGO VENCIDO")</f>
        <v>PAGO VENCIDO</v>
      </c>
      <c r="C820" s="27">
        <v>1</v>
      </c>
      <c r="D820" s="37">
        <f>+SUMIFS(PROVEEDORES[Total],PROVEEDORES[PROVEEDOR],PROVEEDORES[[#This Row],[PROVEEDOR]],PROVEEDORES[FECHA DE PAGO],"")</f>
        <v>34545522.620000005</v>
      </c>
      <c r="E820" s="37"/>
      <c r="F820" s="108" t="str">
        <f>+VLOOKUP(PROVEEDORES[[#This Row],[PROVEEDOR]],TERCEROS_INFO[[PROVEEDOR]:[CORREO]],5,FALSE)</f>
        <v>javiergomez_72@hotmail.com ;girlesa.ruiz@servipilas.com;joriescobar64@gmail.com</v>
      </c>
      <c r="G820" s="143">
        <v>44351</v>
      </c>
      <c r="H820" s="38" t="s">
        <v>12</v>
      </c>
      <c r="I820" s="30">
        <v>44338</v>
      </c>
      <c r="J820" s="58" t="s">
        <v>1138</v>
      </c>
      <c r="K820" s="32">
        <f>-10000000/1.19</f>
        <v>-8403361.3445378151</v>
      </c>
      <c r="L820" s="32"/>
      <c r="M820" s="33">
        <f>(PROVEEDORES[[#This Row],[SUBTOTAL]]-PROVEEDORES[[#This Row],[descuento antes de IVA]])*VLOOKUP(PROVEEDORES[[#This Row],[PROVEEDOR]],TERCEROS_INFO[#All],3,FALSE)</f>
        <v>-1596638.6554621849</v>
      </c>
      <c r="N820" s="34"/>
      <c r="O820" s="33">
        <f>+PROVEEDORES[[#This Row],[Descuento sobre subtotal %]]*(PROVEEDORES[[#This Row],[SUBTOTAL]]-PROVEEDORES[[#This Row],[descuento antes de IVA]])</f>
        <v>0</v>
      </c>
      <c r="P8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20" s="33">
        <f>+(PROVEEDORES[[#This Row],[SUBTOTAL]]-PROVEEDORES[[#This Row],[descuento antes de IVA]])*PROVEEDORES[[#This Row],[Rete Fuente %]]</f>
        <v>0</v>
      </c>
      <c r="R820" s="32">
        <f>+PROVEEDORES[[#This Row],[SUBTOTAL]]+PROVEEDORES[[#This Row],[IVA 19%]]-PROVEEDORES[[#This Row],[descuento antes de IVA]]-PROVEEDORES[[#This Row],[Descuento sobre subtotal $]]-PROVEEDORES[[#This Row],[Rete Fuente $]]</f>
        <v>-10000000</v>
      </c>
      <c r="S820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0" s="40"/>
      <c r="U820" s="97"/>
      <c r="V820" s="41"/>
      <c r="W820" s="36"/>
      <c r="X820" s="36"/>
      <c r="Y820" s="36"/>
      <c r="Z820" s="36"/>
      <c r="AB820" s="42"/>
      <c r="AF820" s="36"/>
      <c r="AG820" s="36"/>
    </row>
    <row r="821" spans="1:33" ht="21.95" hidden="1" customHeight="1" x14ac:dyDescent="0.25">
      <c r="A821" s="102" t="str">
        <f>+IF(PROVEEDORES[[#This Row],[FECHA DE PAGO]]=PROVEEDORES[[#This Row],[FECHA DE FACTURACIÓN]],"DE CONTADO","CRÉDITO")</f>
        <v>CRÉDITO</v>
      </c>
      <c r="B821" s="70" t="str">
        <f>+IF((PROVEEDORES[[#This Row],[FECHA DE PAGO]]-PROVEEDORES[[#This Row],[FECHA DE FACTURACIÓN]])&gt;PROVEEDORES[[#This Row],[PLAZO Días]],"PAGO VENCIDO")</f>
        <v>PAGO VENCIDO</v>
      </c>
      <c r="C821" s="27">
        <f>+VLOOKUP(PROVEEDORES[[#This Row],[PROVEEDOR]],TERCEROS_INFO[#All],2,FALSE)</f>
        <v>90</v>
      </c>
      <c r="D821" s="37">
        <f>+SUMIFS(PROVEEDORES[Total],PROVEEDORES[PROVEEDOR],PROVEEDORES[[#This Row],[PROVEEDOR]],PROVEEDORES[FECHA DE PAGO],"")</f>
        <v>34545522.620000005</v>
      </c>
      <c r="E821" s="37"/>
      <c r="F821" s="108" t="str">
        <f>+VLOOKUP(PROVEEDORES[[#This Row],[PROVEEDOR]],TERCEROS_INFO[[PROVEEDOR]:[CORREO]],5,FALSE)</f>
        <v>javiergomez_72@hotmail.com ;girlesa.ruiz@servipilas.com;joriescobar64@gmail.com</v>
      </c>
      <c r="G821" s="143">
        <v>44351</v>
      </c>
      <c r="H821" s="38" t="s">
        <v>12</v>
      </c>
      <c r="I821" s="30">
        <v>44193</v>
      </c>
      <c r="J821" s="58" t="s">
        <v>673</v>
      </c>
      <c r="K821" s="32">
        <v>-25210.084033613399</v>
      </c>
      <c r="L821" s="32"/>
      <c r="M821" s="33">
        <f>(PROVEEDORES[[#This Row],[SUBTOTAL]]-PROVEEDORES[[#This Row],[descuento antes de IVA]])*VLOOKUP(PROVEEDORES[[#This Row],[PROVEEDOR]],TERCEROS_INFO[#All],3,FALSE)</f>
        <v>-4789.9159663865457</v>
      </c>
      <c r="N821" s="34"/>
      <c r="O821" s="33">
        <f>+PROVEEDORES[[#This Row],[Descuento sobre subtotal %]]*(PROVEEDORES[[#This Row],[SUBTOTAL]]-PROVEEDORES[[#This Row],[descuento antes de IVA]])</f>
        <v>0</v>
      </c>
      <c r="P8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21" s="33">
        <f>+(PROVEEDORES[[#This Row],[SUBTOTAL]]-PROVEEDORES[[#This Row],[descuento antes de IVA]])*PROVEEDORES[[#This Row],[Rete Fuente %]]</f>
        <v>0</v>
      </c>
      <c r="R821" s="32">
        <f>+PROVEEDORES[[#This Row],[SUBTOTAL]]+PROVEEDORES[[#This Row],[IVA 19%]]-PROVEEDORES[[#This Row],[descuento antes de IVA]]-PROVEEDORES[[#This Row],[Descuento sobre subtotal $]]-PROVEEDORES[[#This Row],[Rete Fuente $]]</f>
        <v>-29999.999999999945</v>
      </c>
      <c r="S821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1" s="40"/>
      <c r="U821" s="97"/>
      <c r="V821" s="41"/>
      <c r="W821" s="36"/>
      <c r="X821" s="36"/>
      <c r="Y821" s="36"/>
      <c r="Z821" s="36"/>
      <c r="AB821" s="42"/>
      <c r="AF821" s="36"/>
      <c r="AG821" s="36"/>
    </row>
    <row r="822" spans="1:33" ht="21.95" hidden="1" customHeight="1" x14ac:dyDescent="0.25">
      <c r="A822" s="111" t="str">
        <f>+IF(PROVEEDORES[[#This Row],[FECHA DE PAGO]]=PROVEEDORES[[#This Row],[FECHA DE FACTURACIÓN]],"DE CONTADO","CRÉDITO")</f>
        <v>CRÉDITO</v>
      </c>
      <c r="B822" s="70" t="str">
        <f>+IF((PROVEEDORES[[#This Row],[FECHA DE PAGO]]-PROVEEDORES[[#This Row],[FECHA DE FACTURACIÓN]])&gt;PROVEEDORES[[#This Row],[PLAZO Días]],"PAGO VENCIDO")</f>
        <v>PAGO VENCIDO</v>
      </c>
      <c r="C822" s="27">
        <v>0</v>
      </c>
      <c r="D822" s="37">
        <f>+SUMIFS(PROVEEDORES[Total],PROVEEDORES[PROVEEDOR],PROVEEDORES[[#This Row],[PROVEEDOR]],PROVEEDORES[FECHA DE PAGO],"")</f>
        <v>34545522.620000005</v>
      </c>
      <c r="E822" s="37"/>
      <c r="F822" s="108" t="str">
        <f>+VLOOKUP(PROVEEDORES[[#This Row],[PROVEEDOR]],TERCEROS_INFO[[PROVEEDOR]:[CORREO]],5,FALSE)</f>
        <v>javiergomez_72@hotmail.com ;girlesa.ruiz@servipilas.com;joriescobar64@gmail.com</v>
      </c>
      <c r="G822" s="143">
        <v>44351</v>
      </c>
      <c r="H822" s="38" t="s">
        <v>12</v>
      </c>
      <c r="I822" s="30">
        <v>44330</v>
      </c>
      <c r="J822" s="58" t="s">
        <v>672</v>
      </c>
      <c r="K822" s="32">
        <v>-134454</v>
      </c>
      <c r="L822" s="32"/>
      <c r="M822" s="33">
        <f>(PROVEEDORES[[#This Row],[SUBTOTAL]]-PROVEEDORES[[#This Row],[descuento antes de IVA]])*VLOOKUP(PROVEEDORES[[#This Row],[PROVEEDOR]],TERCEROS_INFO[#All],3,FALSE)</f>
        <v>-25546.260000000002</v>
      </c>
      <c r="N822" s="34"/>
      <c r="O822" s="33">
        <f>+PROVEEDORES[[#This Row],[Descuento sobre subtotal %]]*(PROVEEDORES[[#This Row],[SUBTOTAL]]-PROVEEDORES[[#This Row],[descuento antes de IVA]])</f>
        <v>0</v>
      </c>
      <c r="P822" s="34">
        <v>2.5000000000000001E-2</v>
      </c>
      <c r="Q822" s="33">
        <f>+(PROVEEDORES[[#This Row],[SUBTOTAL]]-PROVEEDORES[[#This Row],[descuento antes de IVA]])*PROVEEDORES[[#This Row],[Rete Fuente %]]</f>
        <v>-3361.3500000000004</v>
      </c>
      <c r="R822" s="32">
        <f>+PROVEEDORES[[#This Row],[SUBTOTAL]]+PROVEEDORES[[#This Row],[IVA 19%]]-PROVEEDORES[[#This Row],[descuento antes de IVA]]-PROVEEDORES[[#This Row],[Descuento sobre subtotal $]]-PROVEEDORES[[#This Row],[Rete Fuente $]]</f>
        <v>-156638.91</v>
      </c>
      <c r="S822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2" s="40"/>
      <c r="U822" s="97"/>
      <c r="V822" s="41"/>
      <c r="W822" s="36"/>
      <c r="X822" s="36"/>
      <c r="Y822" s="36"/>
      <c r="Z822" s="36"/>
      <c r="AB822" s="42"/>
      <c r="AF822" s="36"/>
      <c r="AG822" s="36"/>
    </row>
    <row r="823" spans="1:33" ht="21.95" hidden="1" customHeight="1" x14ac:dyDescent="0.25">
      <c r="A823" s="39" t="str">
        <f>+IF(PROVEEDORES[[#This Row],[FECHA DE PAGO]]=PROVEEDORES[[#This Row],[FECHA DE FACTURACIÓN]],"DE CONTADO","CRÉDITO")</f>
        <v>CRÉDITO</v>
      </c>
      <c r="B823" s="67" t="str">
        <f>+IF((PROVEEDORES[[#This Row],[FECHA DE PAGO]]-PROVEEDORES[[#This Row],[FECHA DE FACTURACIÓN]])&gt;PROVEEDORES[[#This Row],[PLAZO Días]],"PAGO VENCIDO")</f>
        <v>PAGO VENCIDO</v>
      </c>
      <c r="C823" s="27">
        <f>+VLOOKUP(PROVEEDORES[[#This Row],[PROVEEDOR]],TERCEROS_INFO[#All],2,FALSE)</f>
        <v>90</v>
      </c>
      <c r="D823" s="37">
        <f>+SUMIFS(PROVEEDORES[Total],PROVEEDORES[PROVEEDOR],PROVEEDORES[[#This Row],[PROVEEDOR]],PROVEEDORES[FECHA DE PAGO],"")</f>
        <v>34545522.620000005</v>
      </c>
      <c r="E823" s="37"/>
      <c r="F823" s="108" t="str">
        <f>+VLOOKUP(PROVEEDORES[[#This Row],[PROVEEDOR]],TERCEROS_INFO[[PROVEEDOR]:[CORREO]],5,FALSE)</f>
        <v>javiergomez_72@hotmail.com ;girlesa.ruiz@servipilas.com;joriescobar64@gmail.com</v>
      </c>
      <c r="G823" s="143">
        <v>44351</v>
      </c>
      <c r="H823" s="38" t="s">
        <v>12</v>
      </c>
      <c r="I823" s="30">
        <v>44185</v>
      </c>
      <c r="J823" s="58" t="s">
        <v>215</v>
      </c>
      <c r="K823" s="32">
        <v>5804201.6890756302</v>
      </c>
      <c r="L823" s="32"/>
      <c r="M823" s="33">
        <f>(PROVEEDORES[[#This Row],[SUBTOTAL]]-PROVEEDORES[[#This Row],[descuento antes de IVA]])*VLOOKUP(PROVEEDORES[[#This Row],[PROVEEDOR]],TERCEROS_INFO[#All],3,FALSE)</f>
        <v>1102798.3209243699</v>
      </c>
      <c r="N823" s="34"/>
      <c r="O823" s="33">
        <f>+PROVEEDORES[[#This Row],[Descuento sobre subtotal %]]*(PROVEEDORES[[#This Row],[SUBTOTAL]]-PROVEEDORES[[#This Row],[descuento antes de IVA]])</f>
        <v>0</v>
      </c>
      <c r="P8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23" s="33">
        <f>+(PROVEEDORES[[#This Row],[SUBTOTAL]]-PROVEEDORES[[#This Row],[descuento antes de IVA]])*PROVEEDORES[[#This Row],[Rete Fuente %]]</f>
        <v>145105.04222689077</v>
      </c>
      <c r="R823" s="32">
        <f>+PROVEEDORES[[#This Row],[SUBTOTAL]]+PROVEEDORES[[#This Row],[IVA 19%]]-PROVEEDORES[[#This Row],[descuento antes de IVA]]-PROVEEDORES[[#This Row],[Descuento sobre subtotal $]]-PROVEEDORES[[#This Row],[Rete Fuente $]]</f>
        <v>6761894.9677731087</v>
      </c>
      <c r="S8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3" s="40"/>
      <c r="U823" s="97"/>
      <c r="V823" s="41"/>
      <c r="W823" s="36"/>
      <c r="X823" s="36"/>
      <c r="Y823" s="36"/>
      <c r="Z823" s="36"/>
      <c r="AB823" s="42"/>
      <c r="AF823" s="36"/>
      <c r="AG823" s="36"/>
    </row>
    <row r="824" spans="1:33" ht="21.95" hidden="1" customHeight="1" x14ac:dyDescent="0.25">
      <c r="A824" s="88" t="str">
        <f>+IF(PROVEEDORES[[#This Row],[FECHA DE PAGO]]=PROVEEDORES[[#This Row],[FECHA DE FACTURACIÓN]],"DE CONTADO","CRÉDITO")</f>
        <v>CRÉDITO</v>
      </c>
      <c r="B824" s="70" t="str">
        <f>+IF((PROVEEDORES[[#This Row],[FECHA DE PAGO]]-PROVEEDORES[[#This Row],[FECHA DE FACTURACIÓN]])&gt;PROVEEDORES[[#This Row],[PLAZO Días]],"PAGO VENCIDO")</f>
        <v>PAGO VENCIDO</v>
      </c>
      <c r="C824" s="27">
        <f>+VLOOKUP(PROVEEDORES[[#This Row],[PROVEEDOR]],TERCEROS_INFO[#All],2,FALSE)</f>
        <v>90</v>
      </c>
      <c r="D824" s="37">
        <f>+SUMIFS(PROVEEDORES[Total],PROVEEDORES[PROVEEDOR],PROVEEDORES[[#This Row],[PROVEEDOR]],PROVEEDORES[FECHA DE PAGO],"")</f>
        <v>34545522.620000005</v>
      </c>
      <c r="E824" s="37"/>
      <c r="F824" s="108" t="str">
        <f>+VLOOKUP(PROVEEDORES[[#This Row],[PROVEEDOR]],TERCEROS_INFO[[PROVEEDOR]:[CORREO]],5,FALSE)</f>
        <v>javiergomez_72@hotmail.com ;girlesa.ruiz@servipilas.com;joriescobar64@gmail.com</v>
      </c>
      <c r="G824" s="143">
        <v>44376</v>
      </c>
      <c r="H824" s="38" t="s">
        <v>12</v>
      </c>
      <c r="I824" s="30">
        <v>44265</v>
      </c>
      <c r="J824" s="58" t="s">
        <v>539</v>
      </c>
      <c r="K824" s="32">
        <v>1928572</v>
      </c>
      <c r="L824" s="32"/>
      <c r="M824" s="33">
        <f>(PROVEEDORES[[#This Row],[SUBTOTAL]]-PROVEEDORES[[#This Row],[descuento antes de IVA]])*VLOOKUP(PROVEEDORES[[#This Row],[PROVEEDOR]],TERCEROS_INFO[#All],3,FALSE)</f>
        <v>366428.68</v>
      </c>
      <c r="N824" s="34"/>
      <c r="O824" s="33">
        <f>+PROVEEDORES[[#This Row],[Descuento sobre subtotal %]]*(PROVEEDORES[[#This Row],[SUBTOTAL]]-PROVEEDORES[[#This Row],[descuento antes de IVA]])</f>
        <v>0</v>
      </c>
      <c r="P8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24" s="33">
        <f>+(PROVEEDORES[[#This Row],[SUBTOTAL]]-PROVEEDORES[[#This Row],[descuento antes de IVA]])*PROVEEDORES[[#This Row],[Rete Fuente %]]</f>
        <v>48214.3</v>
      </c>
      <c r="R824" s="32">
        <f>+PROVEEDORES[[#This Row],[SUBTOTAL]]+PROVEEDORES[[#This Row],[IVA 19%]]-PROVEEDORES[[#This Row],[descuento antes de IVA]]-PROVEEDORES[[#This Row],[Descuento sobre subtotal $]]-PROVEEDORES[[#This Row],[Rete Fuente $]]</f>
        <v>2246786.3800000004</v>
      </c>
      <c r="S824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4" s="40"/>
      <c r="U824" s="97"/>
      <c r="V824" s="41"/>
      <c r="W824" s="36"/>
      <c r="X824" s="36"/>
      <c r="Y824" s="36"/>
      <c r="Z824" s="36"/>
      <c r="AB824" s="42"/>
      <c r="AF824" s="36"/>
      <c r="AG824" s="36"/>
    </row>
    <row r="825" spans="1:33" ht="21.95" hidden="1" customHeight="1" x14ac:dyDescent="0.25">
      <c r="A825" s="35" t="str">
        <f>+IF(PROVEEDORES[[#This Row],[FECHA DE PAGO]]=PROVEEDORES[[#This Row],[FECHA DE FACTURACIÓN]],"DE CONTADO","CRÉDITO")</f>
        <v>CRÉDITO</v>
      </c>
      <c r="B825" s="70" t="b">
        <f>+IF((PROVEEDORES[[#This Row],[FECHA DE PAGO]]-PROVEEDORES[[#This Row],[FECHA DE FACTURACIÓN]])&gt;PROVEEDORES[[#This Row],[PLAZO Días]],"PAGO VENCIDO")</f>
        <v>0</v>
      </c>
      <c r="C825" s="27">
        <f>+VLOOKUP(PROVEEDORES[[#This Row],[PROVEEDOR]],TERCEROS_INFO[#All],2,FALSE)</f>
        <v>90</v>
      </c>
      <c r="D825" s="37">
        <f>+SUMIFS(PROVEEDORES[Total],PROVEEDORES[PROVEEDOR],PROVEEDORES[[#This Row],[PROVEEDOR]],PROVEEDORES[FECHA DE PAGO],"")</f>
        <v>34545522.620000005</v>
      </c>
      <c r="E825" s="37"/>
      <c r="F825" s="108" t="str">
        <f>+VLOOKUP(PROVEEDORES[[#This Row],[PROVEEDOR]],TERCEROS_INFO[[PROVEEDOR]:[CORREO]],5,FALSE)</f>
        <v>javiergomez_72@hotmail.com ;girlesa.ruiz@servipilas.com;joriescobar64@gmail.com</v>
      </c>
      <c r="G825" s="143">
        <v>44418</v>
      </c>
      <c r="H825" s="38" t="s">
        <v>12</v>
      </c>
      <c r="I825" s="30">
        <v>44363</v>
      </c>
      <c r="J825" s="58" t="s">
        <v>893</v>
      </c>
      <c r="K825" s="32">
        <v>915967</v>
      </c>
      <c r="L825" s="32"/>
      <c r="M825" s="33">
        <f>(PROVEEDORES[[#This Row],[SUBTOTAL]]-PROVEEDORES[[#This Row],[descuento antes de IVA]])*VLOOKUP(PROVEEDORES[[#This Row],[PROVEEDOR]],TERCEROS_INFO[#All],3,FALSE)</f>
        <v>174033.73</v>
      </c>
      <c r="N825" s="34"/>
      <c r="O825" s="33">
        <f>+PROVEEDORES[[#This Row],[Descuento sobre subtotal %]]*(PROVEEDORES[[#This Row],[SUBTOTAL]]-PROVEEDORES[[#This Row],[descuento antes de IVA]])</f>
        <v>0</v>
      </c>
      <c r="P8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25" s="33">
        <f>+(PROVEEDORES[[#This Row],[SUBTOTAL]]-PROVEEDORES[[#This Row],[descuento antes de IVA]])*PROVEEDORES[[#This Row],[Rete Fuente %]]</f>
        <v>0</v>
      </c>
      <c r="R825" s="32">
        <f>+PROVEEDORES[[#This Row],[SUBTOTAL]]+PROVEEDORES[[#This Row],[IVA 19%]]-PROVEEDORES[[#This Row],[descuento antes de IVA]]-PROVEEDORES[[#This Row],[Descuento sobre subtotal $]]-PROVEEDORES[[#This Row],[Rete Fuente $]]</f>
        <v>1090000.73</v>
      </c>
      <c r="S82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5" s="40"/>
      <c r="U825" s="97"/>
      <c r="V825" s="41"/>
      <c r="W825" s="36"/>
      <c r="X825" s="36"/>
      <c r="Y825" s="36"/>
      <c r="Z825" s="36"/>
      <c r="AB825" s="42"/>
      <c r="AF825" s="36"/>
      <c r="AG825" s="36"/>
    </row>
    <row r="826" spans="1:33" ht="21.95" hidden="1" customHeight="1" x14ac:dyDescent="0.25">
      <c r="A826" s="129" t="str">
        <f>+IF(PROVEEDORES[[#This Row],[FECHA DE PAGO]]=PROVEEDORES[[#This Row],[FECHA DE FACTURACIÓN]],"DE CONTADO","CRÉDITO")</f>
        <v>CRÉDITO</v>
      </c>
      <c r="B826" s="70" t="str">
        <f>+IF((PROVEEDORES[[#This Row],[FECHA DE PAGO]]-PROVEEDORES[[#This Row],[FECHA DE FACTURACIÓN]])&gt;PROVEEDORES[[#This Row],[PLAZO Días]],"PAGO VENCIDO")</f>
        <v>PAGO VENCIDO</v>
      </c>
      <c r="C826" s="27">
        <f>+VLOOKUP(PROVEEDORES[[#This Row],[PROVEEDOR]],TERCEROS_INFO[#All],2,FALSE)</f>
        <v>90</v>
      </c>
      <c r="D826" s="37">
        <f>+SUMIFS(PROVEEDORES[Total],PROVEEDORES[PROVEEDOR],PROVEEDORES[[#This Row],[PROVEEDOR]],PROVEEDORES[FECHA DE PAGO],"")</f>
        <v>34545522.620000005</v>
      </c>
      <c r="E826" s="37"/>
      <c r="F826" s="108" t="str">
        <f>+VLOOKUP(PROVEEDORES[[#This Row],[PROVEEDOR]],TERCEROS_INFO[[PROVEEDOR]:[CORREO]],5,FALSE)</f>
        <v>javiergomez_72@hotmail.com ;girlesa.ruiz@servipilas.com;joriescobar64@gmail.com</v>
      </c>
      <c r="G826" s="143">
        <v>44488</v>
      </c>
      <c r="H826" s="38" t="s">
        <v>12</v>
      </c>
      <c r="I826" s="30">
        <v>44383</v>
      </c>
      <c r="J826" s="58" t="s">
        <v>747</v>
      </c>
      <c r="K826" s="32">
        <v>3039496</v>
      </c>
      <c r="L826" s="32"/>
      <c r="M826" s="33">
        <f>(PROVEEDORES[[#This Row],[SUBTOTAL]]-PROVEEDORES[[#This Row],[descuento antes de IVA]])*VLOOKUP(PROVEEDORES[[#This Row],[PROVEEDOR]],TERCEROS_INFO[#All],3,FALSE)</f>
        <v>577504.24</v>
      </c>
      <c r="N826" s="34"/>
      <c r="O826" s="33">
        <f>+PROVEEDORES[[#This Row],[Descuento sobre subtotal %]]*(PROVEEDORES[[#This Row],[SUBTOTAL]]-PROVEEDORES[[#This Row],[descuento antes de IVA]])</f>
        <v>0</v>
      </c>
      <c r="P8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26" s="33">
        <f>+(PROVEEDORES[[#This Row],[SUBTOTAL]]-PROVEEDORES[[#This Row],[descuento antes de IVA]])*PROVEEDORES[[#This Row],[Rete Fuente %]]</f>
        <v>75987.400000000009</v>
      </c>
      <c r="R826" s="32">
        <f>+PROVEEDORES[[#This Row],[SUBTOTAL]]+PROVEEDORES[[#This Row],[IVA 19%]]-PROVEEDORES[[#This Row],[descuento antes de IVA]]-PROVEEDORES[[#This Row],[Descuento sobre subtotal $]]-PROVEEDORES[[#This Row],[Rete Fuente $]]</f>
        <v>3541012.8400000003</v>
      </c>
      <c r="S826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6" s="40"/>
      <c r="U826" s="97"/>
      <c r="V826" s="41"/>
      <c r="W826" s="36"/>
      <c r="X826" s="36"/>
      <c r="Y826" s="36"/>
      <c r="Z826" s="36"/>
      <c r="AB826" s="42"/>
      <c r="AF826" s="36"/>
      <c r="AG826" s="36"/>
    </row>
    <row r="827" spans="1:33" ht="21.95" hidden="1" customHeight="1" x14ac:dyDescent="0.25">
      <c r="A827" s="157" t="str">
        <f>+IF(PROVEEDORES[[#This Row],[FECHA DE PAGO]]=PROVEEDORES[[#This Row],[FECHA DE FACTURACIÓN]],"DE CONTADO","CRÉDITO")</f>
        <v>CRÉDITO</v>
      </c>
      <c r="B827" s="70" t="b">
        <f>+IF((PROVEEDORES[[#This Row],[FECHA DE PAGO]]-PROVEEDORES[[#This Row],[FECHA DE FACTURACIÓN]])&gt;PROVEEDORES[[#This Row],[PLAZO Días]],"PAGO VENCIDO")</f>
        <v>0</v>
      </c>
      <c r="C827" s="27">
        <f>+VLOOKUP(PROVEEDORES[[#This Row],[PROVEEDOR]],TERCEROS_INFO[#All],2,FALSE)</f>
        <v>90</v>
      </c>
      <c r="D827" s="37">
        <f>+SUMIFS(PROVEEDORES[Total],PROVEEDORES[PROVEEDOR],PROVEEDORES[[#This Row],[PROVEEDOR]],PROVEEDORES[FECHA DE PAGO],"")</f>
        <v>34545522.620000005</v>
      </c>
      <c r="E827" s="37"/>
      <c r="F827" s="108" t="str">
        <f>+VLOOKUP(PROVEEDORES[[#This Row],[PROVEEDOR]],TERCEROS_INFO[[PROVEEDOR]:[CORREO]],5,FALSE)</f>
        <v>javiergomez_72@hotmail.com ;girlesa.ruiz@servipilas.com;joriescobar64@gmail.com</v>
      </c>
      <c r="G827" s="143">
        <v>44488</v>
      </c>
      <c r="H827" s="38" t="s">
        <v>12</v>
      </c>
      <c r="I827" s="30">
        <v>44445</v>
      </c>
      <c r="J827" s="58" t="s">
        <v>894</v>
      </c>
      <c r="K827" s="32">
        <v>0</v>
      </c>
      <c r="L827" s="32"/>
      <c r="M827" s="33">
        <f>(PROVEEDORES[[#This Row],[SUBTOTAL]]-PROVEEDORES[[#This Row],[descuento antes de IVA]])*VLOOKUP(PROVEEDORES[[#This Row],[PROVEEDOR]],TERCEROS_INFO[#All],3,FALSE)</f>
        <v>0</v>
      </c>
      <c r="N827" s="34"/>
      <c r="O827" s="33">
        <f>+PROVEEDORES[[#This Row],[Descuento sobre subtotal %]]*(PROVEEDORES[[#This Row],[SUBTOTAL]]-PROVEEDORES[[#This Row],[descuento antes de IVA]])</f>
        <v>0</v>
      </c>
      <c r="P8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27" s="33">
        <f>+(PROVEEDORES[[#This Row],[SUBTOTAL]]-PROVEEDORES[[#This Row],[descuento antes de IVA]])*PROVEEDORES[[#This Row],[Rete Fuente %]]</f>
        <v>0</v>
      </c>
      <c r="R827" s="32">
        <v>-144891</v>
      </c>
      <c r="S827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7" s="40"/>
      <c r="U827" s="97"/>
      <c r="V827" s="41"/>
      <c r="W827" s="36"/>
      <c r="X827" s="36"/>
      <c r="Y827" s="36"/>
      <c r="Z827" s="36"/>
      <c r="AB827" s="42"/>
      <c r="AF827" s="36"/>
      <c r="AG827" s="36"/>
    </row>
    <row r="828" spans="1:33" ht="21.95" hidden="1" customHeight="1" x14ac:dyDescent="0.25">
      <c r="A828" s="134" t="str">
        <f>+IF(PROVEEDORES[[#This Row],[FECHA DE PAGO]]=PROVEEDORES[[#This Row],[FECHA DE FACTURACIÓN]],"DE CONTADO","CRÉDITO")</f>
        <v>CRÉDITO</v>
      </c>
      <c r="B828" s="70" t="str">
        <f>+IF((PROVEEDORES[[#This Row],[FECHA DE PAGO]]-PROVEEDORES[[#This Row],[FECHA DE FACTURACIÓN]])&gt;PROVEEDORES[[#This Row],[PLAZO Días]],"PAGO VENCIDO")</f>
        <v>PAGO VENCIDO</v>
      </c>
      <c r="C828" s="27">
        <f>+VLOOKUP(PROVEEDORES[[#This Row],[PROVEEDOR]],TERCEROS_INFO[#All],2,FALSE)</f>
        <v>90</v>
      </c>
      <c r="D828" s="37">
        <f>+SUMIFS(PROVEEDORES[Total],PROVEEDORES[PROVEEDOR],PROVEEDORES[[#This Row],[PROVEEDOR]],PROVEEDORES[FECHA DE PAGO],"")</f>
        <v>34545522.620000005</v>
      </c>
      <c r="E828" s="37"/>
      <c r="F828" s="108" t="str">
        <f>+VLOOKUP(PROVEEDORES[[#This Row],[PROVEEDOR]],TERCEROS_INFO[[PROVEEDOR]:[CORREO]],5,FALSE)</f>
        <v>javiergomez_72@hotmail.com ;girlesa.ruiz@servipilas.com;joriescobar64@gmail.com</v>
      </c>
      <c r="G828" s="143">
        <v>44491</v>
      </c>
      <c r="H828" s="38" t="s">
        <v>12</v>
      </c>
      <c r="I828" s="30">
        <v>44390</v>
      </c>
      <c r="J828" s="58" t="s">
        <v>757</v>
      </c>
      <c r="K828" s="32">
        <v>6247056</v>
      </c>
      <c r="L828" s="32"/>
      <c r="M828" s="33">
        <f>(PROVEEDORES[[#This Row],[SUBTOTAL]]-PROVEEDORES[[#This Row],[descuento antes de IVA]])*VLOOKUP(PROVEEDORES[[#This Row],[PROVEEDOR]],TERCEROS_INFO[#All],3,FALSE)</f>
        <v>1186940.6399999999</v>
      </c>
      <c r="N828" s="34"/>
      <c r="O828" s="33">
        <f>+PROVEEDORES[[#This Row],[Descuento sobre subtotal %]]*(PROVEEDORES[[#This Row],[SUBTOTAL]]-PROVEEDORES[[#This Row],[descuento antes de IVA]])</f>
        <v>0</v>
      </c>
      <c r="P8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28" s="33">
        <f>+(PROVEEDORES[[#This Row],[SUBTOTAL]]-PROVEEDORES[[#This Row],[descuento antes de IVA]])*PROVEEDORES[[#This Row],[Rete Fuente %]]</f>
        <v>156176.4</v>
      </c>
      <c r="R828" s="32">
        <f>+PROVEEDORES[[#This Row],[SUBTOTAL]]+PROVEEDORES[[#This Row],[IVA 19%]]-PROVEEDORES[[#This Row],[descuento antes de IVA]]-PROVEEDORES[[#This Row],[Descuento sobre subtotal $]]-PROVEEDORES[[#This Row],[Rete Fuente $]]</f>
        <v>7277820.2399999993</v>
      </c>
      <c r="S828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8" s="40"/>
      <c r="U828" s="97"/>
      <c r="V828" s="41"/>
      <c r="W828" s="36"/>
      <c r="X828" s="36"/>
      <c r="Y828" s="36"/>
      <c r="Z828" s="36"/>
      <c r="AB828" s="42"/>
      <c r="AF828" s="36"/>
      <c r="AG828" s="36"/>
    </row>
    <row r="829" spans="1:33" ht="21.95" hidden="1" customHeight="1" x14ac:dyDescent="0.25">
      <c r="A829" s="157" t="str">
        <f>+IF(PROVEEDORES[[#This Row],[FECHA DE PAGO]]=PROVEEDORES[[#This Row],[FECHA DE FACTURACIÓN]],"DE CONTADO","CRÉDITO")</f>
        <v>CRÉDITO</v>
      </c>
      <c r="B829" s="70" t="b">
        <f>+IF((PROVEEDORES[[#This Row],[FECHA DE PAGO]]-PROVEEDORES[[#This Row],[FECHA DE FACTURACIÓN]])&gt;PROVEEDORES[[#This Row],[PLAZO Días]],"PAGO VENCIDO")</f>
        <v>0</v>
      </c>
      <c r="C829" s="27">
        <f>+VLOOKUP(PROVEEDORES[[#This Row],[PROVEEDOR]],TERCEROS_INFO[#All],2,FALSE)</f>
        <v>90</v>
      </c>
      <c r="D829" s="37">
        <f>+SUMIFS(PROVEEDORES[Total],PROVEEDORES[PROVEEDOR],PROVEEDORES[[#This Row],[PROVEEDOR]],PROVEEDORES[FECHA DE PAGO],"")</f>
        <v>34545522.620000005</v>
      </c>
      <c r="E829" s="37"/>
      <c r="F829" s="108" t="str">
        <f>+VLOOKUP(PROVEEDORES[[#This Row],[PROVEEDOR]],TERCEROS_INFO[[PROVEEDOR]:[CORREO]],5,FALSE)</f>
        <v>javiergomez_72@hotmail.com ;girlesa.ruiz@servipilas.com;joriescobar64@gmail.com</v>
      </c>
      <c r="G829" s="143">
        <v>44491</v>
      </c>
      <c r="H829" s="38" t="s">
        <v>12</v>
      </c>
      <c r="I829" s="30">
        <v>44445</v>
      </c>
      <c r="J829" s="58" t="s">
        <v>895</v>
      </c>
      <c r="K829" s="32">
        <v>0</v>
      </c>
      <c r="L829" s="32"/>
      <c r="M829" s="33">
        <f>(PROVEEDORES[[#This Row],[SUBTOTAL]]-PROVEEDORES[[#This Row],[descuento antes de IVA]])*VLOOKUP(PROVEEDORES[[#This Row],[PROVEEDOR]],TERCEROS_INFO[#All],3,FALSE)</f>
        <v>0</v>
      </c>
      <c r="N829" s="34"/>
      <c r="O829" s="33">
        <f>+PROVEEDORES[[#This Row],[Descuento sobre subtotal %]]*(PROVEEDORES[[#This Row],[SUBTOTAL]]-PROVEEDORES[[#This Row],[descuento antes de IVA]])</f>
        <v>0</v>
      </c>
      <c r="P8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29" s="33">
        <f>+(PROVEEDORES[[#This Row],[SUBTOTAL]]-PROVEEDORES[[#This Row],[descuento antes de IVA]])*PROVEEDORES[[#This Row],[Rete Fuente %]]</f>
        <v>0</v>
      </c>
      <c r="R829" s="32">
        <v>-289781</v>
      </c>
      <c r="S829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9" s="40"/>
      <c r="U829" s="97"/>
      <c r="V829" s="41"/>
      <c r="W829" s="36"/>
      <c r="X829" s="36"/>
      <c r="Y829" s="36"/>
      <c r="Z829" s="36"/>
      <c r="AB829" s="42"/>
      <c r="AF829" s="36"/>
      <c r="AG829" s="36"/>
    </row>
    <row r="830" spans="1:33" ht="21.95" hidden="1" customHeight="1" x14ac:dyDescent="0.25">
      <c r="A830" s="142" t="str">
        <f>+IF(PROVEEDORES[[#This Row],[FECHA DE PAGO]]=PROVEEDORES[[#This Row],[FECHA DE FACTURACIÓN]],"DE CONTADO","CRÉDITO")</f>
        <v>CRÉDITO</v>
      </c>
      <c r="B830" s="70" t="str">
        <f>+IF((PROVEEDORES[[#This Row],[FECHA DE PAGO]]-PROVEEDORES[[#This Row],[FECHA DE FACTURACIÓN]])&gt;PROVEEDORES[[#This Row],[PLAZO Días]],"PAGO VENCIDO")</f>
        <v>PAGO VENCIDO</v>
      </c>
      <c r="C830" s="27">
        <f>+VLOOKUP(PROVEEDORES[[#This Row],[PROVEEDOR]],TERCEROS_INFO[#All],2,FALSE)</f>
        <v>90</v>
      </c>
      <c r="D830" s="37">
        <f>+SUMIFS(PROVEEDORES[Total],PROVEEDORES[PROVEEDOR],PROVEEDORES[[#This Row],[PROVEEDOR]],PROVEEDORES[FECHA DE PAGO],"")</f>
        <v>34545522.620000005</v>
      </c>
      <c r="E830" s="37"/>
      <c r="F830" s="108" t="str">
        <f>+VLOOKUP(PROVEEDORES[[#This Row],[PROVEEDOR]],TERCEROS_INFO[[PROVEEDOR]:[CORREO]],5,FALSE)</f>
        <v>javiergomez_72@hotmail.com ;girlesa.ruiz@servipilas.com;joriescobar64@gmail.com</v>
      </c>
      <c r="G830" s="143">
        <v>44517</v>
      </c>
      <c r="H830" s="38" t="s">
        <v>12</v>
      </c>
      <c r="I830" s="30">
        <v>44420</v>
      </c>
      <c r="J830" s="58" t="s">
        <v>803</v>
      </c>
      <c r="K830" s="32">
        <v>1086554</v>
      </c>
      <c r="L830" s="32"/>
      <c r="M830" s="33">
        <f>(PROVEEDORES[[#This Row],[SUBTOTAL]]-PROVEEDORES[[#This Row],[descuento antes de IVA]])*VLOOKUP(PROVEEDORES[[#This Row],[PROVEEDOR]],TERCEROS_INFO[#All],3,FALSE)</f>
        <v>206445.26</v>
      </c>
      <c r="N830" s="34"/>
      <c r="O830" s="33">
        <f>+PROVEEDORES[[#This Row],[Descuento sobre subtotal %]]*(PROVEEDORES[[#This Row],[SUBTOTAL]]-PROVEEDORES[[#This Row],[descuento antes de IVA]])</f>
        <v>0</v>
      </c>
      <c r="P8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30" s="33">
        <f>+(PROVEEDORES[[#This Row],[SUBTOTAL]]-PROVEEDORES[[#This Row],[descuento antes de IVA]])*PROVEEDORES[[#This Row],[Rete Fuente %]]</f>
        <v>27163.850000000002</v>
      </c>
      <c r="R830" s="32">
        <f>+PROVEEDORES[[#This Row],[SUBTOTAL]]+PROVEEDORES[[#This Row],[IVA 19%]]-PROVEEDORES[[#This Row],[descuento antes de IVA]]-PROVEEDORES[[#This Row],[Descuento sobre subtotal $]]-PROVEEDORES[[#This Row],[Rete Fuente $]]</f>
        <v>1265835.4099999999</v>
      </c>
      <c r="S830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0" s="40"/>
      <c r="U830" s="97"/>
      <c r="V830" s="41"/>
      <c r="W830" s="36"/>
      <c r="X830" s="36"/>
      <c r="Y830" s="36"/>
      <c r="Z830" s="36"/>
      <c r="AB830" s="42"/>
      <c r="AF830" s="36"/>
      <c r="AG830" s="36"/>
    </row>
    <row r="831" spans="1:33" ht="21.95" hidden="1" customHeight="1" x14ac:dyDescent="0.25">
      <c r="A831" s="157" t="str">
        <f>+IF(PROVEEDORES[[#This Row],[FECHA DE PAGO]]=PROVEEDORES[[#This Row],[FECHA DE FACTURACIÓN]],"DE CONTADO","CRÉDITO")</f>
        <v>CRÉDITO</v>
      </c>
      <c r="B831" s="70" t="b">
        <f>+IF((PROVEEDORES[[#This Row],[FECHA DE PAGO]]-PROVEEDORES[[#This Row],[FECHA DE FACTURACIÓN]])&gt;PROVEEDORES[[#This Row],[PLAZO Días]],"PAGO VENCIDO")</f>
        <v>0</v>
      </c>
      <c r="C831" s="27">
        <f>+VLOOKUP(PROVEEDORES[[#This Row],[PROVEEDOR]],TERCEROS_INFO[#All],2,FALSE)</f>
        <v>90</v>
      </c>
      <c r="D831" s="37">
        <f>+SUMIFS(PROVEEDORES[Total],PROVEEDORES[PROVEEDOR],PROVEEDORES[[#This Row],[PROVEEDOR]],PROVEEDORES[FECHA DE PAGO],"")</f>
        <v>34545522.620000005</v>
      </c>
      <c r="E831" s="37"/>
      <c r="F831" s="108" t="str">
        <f>+VLOOKUP(PROVEEDORES[[#This Row],[PROVEEDOR]],TERCEROS_INFO[[PROVEEDOR]:[CORREO]],5,FALSE)</f>
        <v>javiergomez_72@hotmail.com ;girlesa.ruiz@servipilas.com;joriescobar64@gmail.com</v>
      </c>
      <c r="G831" s="143">
        <v>44517</v>
      </c>
      <c r="H831" s="38" t="s">
        <v>12</v>
      </c>
      <c r="I831" s="30">
        <v>44445</v>
      </c>
      <c r="J831" s="32" t="s">
        <v>896</v>
      </c>
      <c r="K831" s="32">
        <v>0</v>
      </c>
      <c r="L831" s="32"/>
      <c r="M831" s="33">
        <f>(PROVEEDORES[[#This Row],[SUBTOTAL]]-PROVEEDORES[[#This Row],[descuento antes de IVA]])*VLOOKUP(PROVEEDORES[[#This Row],[PROVEEDOR]],TERCEROS_INFO[#All],3,FALSE)</f>
        <v>0</v>
      </c>
      <c r="N831" s="34"/>
      <c r="O831" s="33">
        <f>+PROVEEDORES[[#This Row],[Descuento sobre subtotal %]]*(PROVEEDORES[[#This Row],[SUBTOTAL]]-PROVEEDORES[[#This Row],[descuento antes de IVA]])</f>
        <v>0</v>
      </c>
      <c r="P8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31" s="33">
        <f>+(PROVEEDORES[[#This Row],[SUBTOTAL]]-PROVEEDORES[[#This Row],[descuento antes de IVA]])*PROVEEDORES[[#This Row],[Rete Fuente %]]</f>
        <v>0</v>
      </c>
      <c r="R831" s="32">
        <v>-144891</v>
      </c>
      <c r="S831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1" s="40"/>
      <c r="U831" s="97"/>
      <c r="V831" s="41"/>
      <c r="W831" s="36"/>
      <c r="X831" s="36"/>
      <c r="Y831" s="36"/>
      <c r="Z831" s="36"/>
      <c r="AB831" s="42"/>
      <c r="AF831" s="36"/>
      <c r="AG831" s="36"/>
    </row>
    <row r="832" spans="1:33" ht="21.95" hidden="1" customHeight="1" x14ac:dyDescent="0.25">
      <c r="A832" s="142" t="str">
        <f>+IF(PROVEEDORES[[#This Row],[FECHA DE PAGO]]=PROVEEDORES[[#This Row],[FECHA DE FACTURACIÓN]],"DE CONTADO","CRÉDITO")</f>
        <v>CRÉDITO</v>
      </c>
      <c r="B832" s="70" t="str">
        <f>+IF((PROVEEDORES[[#This Row],[FECHA DE PAGO]]-PROVEEDORES[[#This Row],[FECHA DE FACTURACIÓN]])&gt;PROVEEDORES[[#This Row],[PLAZO Días]],"PAGO VENCIDO")</f>
        <v>PAGO VENCIDO</v>
      </c>
      <c r="C832" s="27">
        <f>+VLOOKUP(PROVEEDORES[[#This Row],[PROVEEDOR]],TERCEROS_INFO[#All],2,FALSE)</f>
        <v>90</v>
      </c>
      <c r="D832" s="37">
        <f>+SUMIFS(PROVEEDORES[Total],PROVEEDORES[PROVEEDOR],PROVEEDORES[[#This Row],[PROVEEDOR]],PROVEEDORES[FECHA DE PAGO],"")</f>
        <v>34545522.620000005</v>
      </c>
      <c r="E832" s="37"/>
      <c r="F832" s="108" t="str">
        <f>+VLOOKUP(PROVEEDORES[[#This Row],[PROVEEDOR]],TERCEROS_INFO[[PROVEEDOR]:[CORREO]],5,FALSE)</f>
        <v>javiergomez_72@hotmail.com ;girlesa.ruiz@servipilas.com;joriescobar64@gmail.com</v>
      </c>
      <c r="G832" s="143">
        <v>44533</v>
      </c>
      <c r="H832" s="38" t="s">
        <v>12</v>
      </c>
      <c r="I832" s="30">
        <v>44431</v>
      </c>
      <c r="J832" s="58" t="s">
        <v>817</v>
      </c>
      <c r="K832" s="32">
        <v>1527733</v>
      </c>
      <c r="L832" s="32"/>
      <c r="M832" s="33">
        <f>(PROVEEDORES[[#This Row],[SUBTOTAL]]-PROVEEDORES[[#This Row],[descuento antes de IVA]])*VLOOKUP(PROVEEDORES[[#This Row],[PROVEEDOR]],TERCEROS_INFO[#All],3,FALSE)</f>
        <v>290269.27</v>
      </c>
      <c r="N832" s="34"/>
      <c r="O832" s="33">
        <f>+PROVEEDORES[[#This Row],[Descuento sobre subtotal %]]*(PROVEEDORES[[#This Row],[SUBTOTAL]]-PROVEEDORES[[#This Row],[descuento antes de IVA]])</f>
        <v>0</v>
      </c>
      <c r="P8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32" s="33">
        <f>+(PROVEEDORES[[#This Row],[SUBTOTAL]]-PROVEEDORES[[#This Row],[descuento antes de IVA]])*PROVEEDORES[[#This Row],[Rete Fuente %]]</f>
        <v>38193.325000000004</v>
      </c>
      <c r="R832" s="32">
        <f>+PROVEEDORES[[#This Row],[SUBTOTAL]]+PROVEEDORES[[#This Row],[IVA 19%]]-PROVEEDORES[[#This Row],[descuento antes de IVA]]-PROVEEDORES[[#This Row],[Descuento sobre subtotal $]]-PROVEEDORES[[#This Row],[Rete Fuente $]]</f>
        <v>1779808.9450000001</v>
      </c>
      <c r="S832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2" s="40"/>
      <c r="U832" s="97"/>
      <c r="V832" s="41"/>
      <c r="W832" s="36"/>
      <c r="X832" s="36"/>
      <c r="Y832" s="36"/>
      <c r="Z832" s="36"/>
      <c r="AB832" s="42"/>
      <c r="AF832" s="36"/>
      <c r="AG832" s="36"/>
    </row>
    <row r="833" spans="1:33" ht="21.95" hidden="1" customHeight="1" x14ac:dyDescent="0.25">
      <c r="A833" s="142" t="str">
        <f>+IF(PROVEEDORES[[#This Row],[FECHA DE PAGO]]=PROVEEDORES[[#This Row],[FECHA DE FACTURACIÓN]],"DE CONTADO","CRÉDITO")</f>
        <v>CRÉDITO</v>
      </c>
      <c r="B833" s="70" t="str">
        <f>+IF((PROVEEDORES[[#This Row],[FECHA DE PAGO]]-PROVEEDORES[[#This Row],[FECHA DE FACTURACIÓN]])&gt;PROVEEDORES[[#This Row],[PLAZO Días]],"PAGO VENCIDO")</f>
        <v>PAGO VENCIDO</v>
      </c>
      <c r="C833" s="27">
        <f>+VLOOKUP(PROVEEDORES[[#This Row],[PROVEEDOR]],TERCEROS_INFO[#All],2,FALSE)</f>
        <v>90</v>
      </c>
      <c r="D833" s="37">
        <f>+SUMIFS(PROVEEDORES[Total],PROVEEDORES[PROVEEDOR],PROVEEDORES[[#This Row],[PROVEEDOR]],PROVEEDORES[FECHA DE PAGO],"")</f>
        <v>34545522.620000005</v>
      </c>
      <c r="E833" s="37"/>
      <c r="F833" s="108" t="str">
        <f>+VLOOKUP(PROVEEDORES[[#This Row],[PROVEEDOR]],TERCEROS_INFO[[PROVEEDOR]:[CORREO]],5,FALSE)</f>
        <v>javiergomez_72@hotmail.com ;girlesa.ruiz@servipilas.com;joriescobar64@gmail.com</v>
      </c>
      <c r="G833" s="143">
        <v>44533</v>
      </c>
      <c r="H833" s="38" t="s">
        <v>12</v>
      </c>
      <c r="I833" s="30">
        <v>44433</v>
      </c>
      <c r="J833" s="58" t="s">
        <v>818</v>
      </c>
      <c r="K833" s="32">
        <v>949580</v>
      </c>
      <c r="L833" s="32"/>
      <c r="M833" s="33">
        <f>(PROVEEDORES[[#This Row],[SUBTOTAL]]-PROVEEDORES[[#This Row],[descuento antes de IVA]])*VLOOKUP(PROVEEDORES[[#This Row],[PROVEEDOR]],TERCEROS_INFO[#All],3,FALSE)</f>
        <v>180420.2</v>
      </c>
      <c r="N833" s="34"/>
      <c r="O833" s="33">
        <f>+PROVEEDORES[[#This Row],[Descuento sobre subtotal %]]*(PROVEEDORES[[#This Row],[SUBTOTAL]]-PROVEEDORES[[#This Row],[descuento antes de IVA]])</f>
        <v>0</v>
      </c>
      <c r="P8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33" s="33">
        <f>+(PROVEEDORES[[#This Row],[SUBTOTAL]]-PROVEEDORES[[#This Row],[descuento antes de IVA]])*PROVEEDORES[[#This Row],[Rete Fuente %]]</f>
        <v>0</v>
      </c>
      <c r="R833" s="32">
        <f>+PROVEEDORES[[#This Row],[SUBTOTAL]]+PROVEEDORES[[#This Row],[IVA 19%]]-PROVEEDORES[[#This Row],[descuento antes de IVA]]-PROVEEDORES[[#This Row],[Descuento sobre subtotal $]]-PROVEEDORES[[#This Row],[Rete Fuente $]]</f>
        <v>1130000.2</v>
      </c>
      <c r="S833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3"/>
      <c r="U833" s="97"/>
      <c r="W833" s="40"/>
      <c r="X833" s="40"/>
      <c r="Y833" s="41"/>
      <c r="Z833" s="36"/>
      <c r="AA833" s="36"/>
      <c r="AD833" s="41"/>
      <c r="AE833" s="42"/>
      <c r="AF833" s="36"/>
      <c r="AG833" s="36"/>
    </row>
    <row r="834" spans="1:33" ht="21.95" hidden="1" customHeight="1" x14ac:dyDescent="0.25">
      <c r="A834" s="144" t="str">
        <f>+IF(PROVEEDORES[[#This Row],[FECHA DE PAGO]]=PROVEEDORES[[#This Row],[FECHA DE FACTURACIÓN]],"DE CONTADO","CRÉDITO")</f>
        <v>CRÉDITO</v>
      </c>
      <c r="B834" s="70" t="str">
        <f>+IF((PROVEEDORES[[#This Row],[FECHA DE PAGO]]-PROVEEDORES[[#This Row],[FECHA DE FACTURACIÓN]])&gt;PROVEEDORES[[#This Row],[PLAZO Días]],"PAGO VENCIDO")</f>
        <v>PAGO VENCIDO</v>
      </c>
      <c r="C834" s="27">
        <f>+VLOOKUP(PROVEEDORES[[#This Row],[PROVEEDOR]],TERCEROS_INFO[#All],2,FALSE)</f>
        <v>90</v>
      </c>
      <c r="D834" s="37">
        <f>+SUMIFS(PROVEEDORES[Total],PROVEEDORES[PROVEEDOR],PROVEEDORES[[#This Row],[PROVEEDOR]],PROVEEDORES[FECHA DE PAGO],"")</f>
        <v>34545522.620000005</v>
      </c>
      <c r="E834" s="37"/>
      <c r="F834" s="108" t="str">
        <f>+VLOOKUP(PROVEEDORES[[#This Row],[PROVEEDOR]],TERCEROS_INFO[[PROVEEDOR]:[CORREO]],5,FALSE)</f>
        <v>javiergomez_72@hotmail.com ;girlesa.ruiz@servipilas.com;joriescobar64@gmail.com</v>
      </c>
      <c r="G834" s="143">
        <v>44533</v>
      </c>
      <c r="H834" s="38" t="s">
        <v>12</v>
      </c>
      <c r="I834" s="30">
        <v>44438</v>
      </c>
      <c r="J834" s="58" t="s">
        <v>840</v>
      </c>
      <c r="K834" s="32">
        <v>1033614</v>
      </c>
      <c r="L834" s="32"/>
      <c r="M834" s="33">
        <f>(PROVEEDORES[[#This Row],[SUBTOTAL]]-PROVEEDORES[[#This Row],[descuento antes de IVA]])*VLOOKUP(PROVEEDORES[[#This Row],[PROVEEDOR]],TERCEROS_INFO[#All],3,FALSE)</f>
        <v>196386.66</v>
      </c>
      <c r="N834" s="34"/>
      <c r="O834" s="33">
        <f>+PROVEEDORES[[#This Row],[Descuento sobre subtotal %]]*(PROVEEDORES[[#This Row],[SUBTOTAL]]-PROVEEDORES[[#This Row],[descuento antes de IVA]])</f>
        <v>0</v>
      </c>
      <c r="P8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34" s="33">
        <f>+(PROVEEDORES[[#This Row],[SUBTOTAL]]-PROVEEDORES[[#This Row],[descuento antes de IVA]])*PROVEEDORES[[#This Row],[Rete Fuente %]]</f>
        <v>25840.350000000002</v>
      </c>
      <c r="R834" s="32">
        <f>+PROVEEDORES[[#This Row],[SUBTOTAL]]+PROVEEDORES[[#This Row],[IVA 19%]]-PROVEEDORES[[#This Row],[descuento antes de IVA]]-PROVEEDORES[[#This Row],[Descuento sobre subtotal $]]-PROVEEDORES[[#This Row],[Rete Fuente $]]</f>
        <v>1204160.3099999998</v>
      </c>
      <c r="S834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4"/>
      <c r="U834" s="97"/>
      <c r="W834" s="40"/>
      <c r="X834" s="40"/>
      <c r="Y834" s="41"/>
      <c r="Z834" s="36"/>
      <c r="AA834" s="36"/>
      <c r="AD834" s="41"/>
      <c r="AE834" s="42"/>
      <c r="AF834" s="36"/>
      <c r="AG834" s="36"/>
    </row>
    <row r="835" spans="1:33" ht="21.95" hidden="1" customHeight="1" x14ac:dyDescent="0.25">
      <c r="A835" s="154" t="str">
        <f>+IF(PROVEEDORES[[#This Row],[FECHA DE PAGO]]=PROVEEDORES[[#This Row],[FECHA DE FACTURACIÓN]],"DE CONTADO","CRÉDITO")</f>
        <v>CRÉDITO</v>
      </c>
      <c r="B835" s="70" t="b">
        <f>+IF((PROVEEDORES[[#This Row],[FECHA DE PAGO]]-PROVEEDORES[[#This Row],[FECHA DE FACTURACIÓN]])&gt;PROVEEDORES[[#This Row],[PLAZO Días]],"PAGO VENCIDO")</f>
        <v>0</v>
      </c>
      <c r="C835" s="27">
        <f>+VLOOKUP(PROVEEDORES[[#This Row],[PROVEEDOR]],TERCEROS_INFO[#All],2,FALSE)</f>
        <v>90</v>
      </c>
      <c r="D835" s="37">
        <f>+SUMIFS(PROVEEDORES[Total],PROVEEDORES[PROVEEDOR],PROVEEDORES[[#This Row],[PROVEEDOR]],PROVEEDORES[FECHA DE PAGO],"")</f>
        <v>34545522.620000005</v>
      </c>
      <c r="E835" s="37"/>
      <c r="F835" s="108" t="str">
        <f>+VLOOKUP(PROVEEDORES[[#This Row],[PROVEEDOR]],TERCEROS_INFO[[PROVEEDOR]:[CORREO]],5,FALSE)</f>
        <v>javiergomez_72@hotmail.com ;girlesa.ruiz@servipilas.com;joriescobar64@gmail.com</v>
      </c>
      <c r="G835" s="143">
        <v>44543</v>
      </c>
      <c r="H835" s="38" t="s">
        <v>12</v>
      </c>
      <c r="I835" s="30">
        <v>44462</v>
      </c>
      <c r="J835" s="58" t="s">
        <v>872</v>
      </c>
      <c r="K835" s="32">
        <v>5963030</v>
      </c>
      <c r="L835" s="32"/>
      <c r="M835" s="33">
        <f>(PROVEEDORES[[#This Row],[SUBTOTAL]]-PROVEEDORES[[#This Row],[descuento antes de IVA]])*VLOOKUP(PROVEEDORES[[#This Row],[PROVEEDOR]],TERCEROS_INFO[#All],3,FALSE)</f>
        <v>1132975.7</v>
      </c>
      <c r="N835" s="34"/>
      <c r="O835" s="33">
        <f>+PROVEEDORES[[#This Row],[Descuento sobre subtotal %]]*(PROVEEDORES[[#This Row],[SUBTOTAL]]-PROVEEDORES[[#This Row],[descuento antes de IVA]])</f>
        <v>0</v>
      </c>
      <c r="P8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35" s="33">
        <f>+(PROVEEDORES[[#This Row],[SUBTOTAL]]-PROVEEDORES[[#This Row],[descuento antes de IVA]])*PROVEEDORES[[#This Row],[Rete Fuente %]]</f>
        <v>149075.75</v>
      </c>
      <c r="R835" s="32">
        <f>+PROVEEDORES[[#This Row],[SUBTOTAL]]+PROVEEDORES[[#This Row],[IVA 19%]]-PROVEEDORES[[#This Row],[descuento antes de IVA]]-PROVEEDORES[[#This Row],[Descuento sobre subtotal $]]-PROVEEDORES[[#This Row],[Rete Fuente $]]</f>
        <v>6946929.9500000002</v>
      </c>
      <c r="S835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5"/>
      <c r="U835" s="97"/>
      <c r="W835" s="40"/>
      <c r="X835" s="40"/>
      <c r="Y835" s="41"/>
      <c r="Z835" s="36"/>
      <c r="AA835" s="36"/>
      <c r="AD835" s="41"/>
      <c r="AE835" s="42"/>
      <c r="AF835" s="36"/>
      <c r="AG835" s="36"/>
    </row>
    <row r="836" spans="1:33" ht="21.95" hidden="1" customHeight="1" x14ac:dyDescent="0.25">
      <c r="A836" s="154" t="str">
        <f>+IF(PROVEEDORES[[#This Row],[FECHA DE PAGO]]=PROVEEDORES[[#This Row],[FECHA DE FACTURACIÓN]],"DE CONTADO","CRÉDITO")</f>
        <v>CRÉDITO</v>
      </c>
      <c r="B836" s="70" t="str">
        <f>+IF((PROVEEDORES[[#This Row],[FECHA DE PAGO]]-PROVEEDORES[[#This Row],[FECHA DE FACTURACIÓN]])&gt;PROVEEDORES[[#This Row],[PLAZO Días]],"PAGO VENCIDO")</f>
        <v>PAGO VENCIDO</v>
      </c>
      <c r="C836" s="27">
        <f>+VLOOKUP(PROVEEDORES[[#This Row],[PROVEEDOR]],TERCEROS_INFO[#All],2,FALSE)</f>
        <v>90</v>
      </c>
      <c r="D836" s="37">
        <f>+SUMIFS(PROVEEDORES[Total],PROVEEDORES[PROVEEDOR],PROVEEDORES[[#This Row],[PROVEEDOR]],PROVEEDORES[FECHA DE PAGO],"")</f>
        <v>34545522.620000005</v>
      </c>
      <c r="E836" s="37"/>
      <c r="F836" s="108" t="str">
        <f>+VLOOKUP(PROVEEDORES[[#This Row],[PROVEEDOR]],TERCEROS_INFO[[PROVEEDOR]:[CORREO]],5,FALSE)</f>
        <v>javiergomez_72@hotmail.com ;girlesa.ruiz@servipilas.com;joriescobar64@gmail.com</v>
      </c>
      <c r="G836" s="143">
        <v>44554</v>
      </c>
      <c r="H836" s="38" t="s">
        <v>12</v>
      </c>
      <c r="I836" s="30">
        <v>44462</v>
      </c>
      <c r="J836" s="58" t="s">
        <v>873</v>
      </c>
      <c r="K836" s="32">
        <v>3836134</v>
      </c>
      <c r="L836" s="32"/>
      <c r="M836" s="33">
        <f>(PROVEEDORES[[#This Row],[SUBTOTAL]]-PROVEEDORES[[#This Row],[descuento antes de IVA]])*VLOOKUP(PROVEEDORES[[#This Row],[PROVEEDOR]],TERCEROS_INFO[#All],3,FALSE)</f>
        <v>728865.46</v>
      </c>
      <c r="N836" s="34"/>
      <c r="O836" s="33">
        <f>+PROVEEDORES[[#This Row],[Descuento sobre subtotal %]]*(PROVEEDORES[[#This Row],[SUBTOTAL]]-PROVEEDORES[[#This Row],[descuento antes de IVA]])</f>
        <v>0</v>
      </c>
      <c r="P8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36" s="33">
        <f>+(PROVEEDORES[[#This Row],[SUBTOTAL]]-PROVEEDORES[[#This Row],[descuento antes de IVA]])*PROVEEDORES[[#This Row],[Rete Fuente %]]</f>
        <v>95903.35</v>
      </c>
      <c r="R836" s="32">
        <f>+PROVEEDORES[[#This Row],[SUBTOTAL]]+PROVEEDORES[[#This Row],[IVA 19%]]-PROVEEDORES[[#This Row],[descuento antes de IVA]]-PROVEEDORES[[#This Row],[Descuento sobre subtotal $]]-PROVEEDORES[[#This Row],[Rete Fuente $]]</f>
        <v>4469096.1100000003</v>
      </c>
      <c r="S836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6"/>
      <c r="U836" s="97"/>
      <c r="W836" s="40"/>
      <c r="X836" s="40"/>
      <c r="Y836" s="41"/>
      <c r="Z836" s="36"/>
      <c r="AA836" s="36"/>
      <c r="AD836" s="41"/>
      <c r="AE836" s="42"/>
      <c r="AF836" s="36"/>
      <c r="AG836" s="36"/>
    </row>
    <row r="837" spans="1:33" ht="21.95" hidden="1" customHeight="1" x14ac:dyDescent="0.25">
      <c r="A837" s="161" t="str">
        <f>+IF(PROVEEDORES[[#This Row],[FECHA DE PAGO]]=PROVEEDORES[[#This Row],[FECHA DE FACTURACIÓN]],"DE CONTADO","CRÉDITO")</f>
        <v>CRÉDITO</v>
      </c>
      <c r="B837" s="70" t="b">
        <f>+IF((PROVEEDORES[[#This Row],[FECHA DE PAGO]]-PROVEEDORES[[#This Row],[FECHA DE FACTURACIÓN]])&gt;PROVEEDORES[[#This Row],[PLAZO Días]],"PAGO VENCIDO")</f>
        <v>0</v>
      </c>
      <c r="C837" s="27">
        <f>+VLOOKUP(PROVEEDORES[[#This Row],[PROVEEDOR]],TERCEROS_INFO[#All],2,FALSE)</f>
        <v>90</v>
      </c>
      <c r="D837" s="37">
        <f>+SUMIFS(PROVEEDORES[Total],PROVEEDORES[PROVEEDOR],PROVEEDORES[[#This Row],[PROVEEDOR]],PROVEEDORES[FECHA DE PAGO],"")</f>
        <v>34545522.620000005</v>
      </c>
      <c r="E837" s="37"/>
      <c r="F837" s="108" t="str">
        <f>+VLOOKUP(PROVEEDORES[[#This Row],[PROVEEDOR]],TERCEROS_INFO[[PROVEEDOR]:[CORREO]],5,FALSE)</f>
        <v>javiergomez_72@hotmail.com ;girlesa.ruiz@servipilas.com;joriescobar64@gmail.com</v>
      </c>
      <c r="H837" s="38" t="s">
        <v>12</v>
      </c>
      <c r="I837" s="30">
        <v>44495</v>
      </c>
      <c r="J837" s="58" t="s">
        <v>917</v>
      </c>
      <c r="K837" s="32">
        <v>12134469</v>
      </c>
      <c r="L837" s="32"/>
      <c r="M837" s="33">
        <f>(PROVEEDORES[[#This Row],[SUBTOTAL]]-PROVEEDORES[[#This Row],[descuento antes de IVA]])*VLOOKUP(PROVEEDORES[[#This Row],[PROVEEDOR]],TERCEROS_INFO[#All],3,FALSE)</f>
        <v>2305549.11</v>
      </c>
      <c r="N837" s="34"/>
      <c r="O837" s="33">
        <f>+PROVEEDORES[[#This Row],[Descuento sobre subtotal %]]*(PROVEEDORES[[#This Row],[SUBTOTAL]]-PROVEEDORES[[#This Row],[descuento antes de IVA]])</f>
        <v>0</v>
      </c>
      <c r="P8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837" s="33">
        <f>+(PROVEEDORES[[#This Row],[SUBTOTAL]]-PROVEEDORES[[#This Row],[descuento antes de IVA]])*PROVEEDORES[[#This Row],[Rete Fuente %]]</f>
        <v>303361.72500000003</v>
      </c>
      <c r="R837" s="32">
        <f>+PROVEEDORES[[#This Row],[SUBTOTAL]]+PROVEEDORES[[#This Row],[IVA 19%]]-PROVEEDORES[[#This Row],[descuento antes de IVA]]-PROVEEDORES[[#This Row],[Descuento sobre subtotal $]]-PROVEEDORES[[#This Row],[Rete Fuente $]]</f>
        <v>14136656.385</v>
      </c>
      <c r="S837" s="161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837"/>
      <c r="U837" s="97"/>
      <c r="W837" s="40"/>
      <c r="X837" s="40"/>
      <c r="Y837" s="41"/>
      <c r="Z837" s="36"/>
      <c r="AA837" s="36"/>
      <c r="AD837" s="41"/>
      <c r="AE837" s="42"/>
      <c r="AF837" s="36"/>
      <c r="AG837" s="36"/>
    </row>
    <row r="838" spans="1:33" ht="21.95" hidden="1" customHeight="1" x14ac:dyDescent="0.25">
      <c r="A838" s="35" t="str">
        <f>+IF(PROVEEDORES[[#This Row],[FECHA DE PAGO]]=PROVEEDORES[[#This Row],[FECHA DE FACTURACIÓN]],"DE CONTADO","CRÉDITO")</f>
        <v>CRÉDITO</v>
      </c>
      <c r="B838" s="70" t="b">
        <f>+IF((PROVEEDORES[[#This Row],[FECHA DE PAGO]]-PROVEEDORES[[#This Row],[FECHA DE FACTURACIÓN]])&gt;PROVEEDORES[[#This Row],[PLAZO Días]],"PAGO VENCIDO")</f>
        <v>0</v>
      </c>
      <c r="C838" s="27">
        <v>66</v>
      </c>
      <c r="D838" s="37">
        <f>+SUMIFS(PROVEEDORES[Total],PROVEEDORES[PROVEEDOR],PROVEEDORES[[#This Row],[PROVEEDOR]],PROVEEDORES[FECHA DE PAGO],"")</f>
        <v>34545522.620000005</v>
      </c>
      <c r="E838" s="37"/>
      <c r="F838" s="108" t="str">
        <f>+VLOOKUP(PROVEEDORES[[#This Row],[PROVEEDOR]],TERCEROS_INFO[[PROVEEDOR]:[CORREO]],5,FALSE)</f>
        <v>javiergomez_72@hotmail.com ;girlesa.ruiz@servipilas.com;joriescobar64@gmail.com</v>
      </c>
      <c r="H838" s="38" t="s">
        <v>12</v>
      </c>
      <c r="I838" s="30">
        <v>44495</v>
      </c>
      <c r="J838" s="58" t="s">
        <v>1341</v>
      </c>
      <c r="K838" s="32">
        <v>-124370</v>
      </c>
      <c r="L838" s="32"/>
      <c r="M838" s="33">
        <f>(PROVEEDORES[[#This Row],[SUBTOTAL]]-PROVEEDORES[[#This Row],[descuento antes de IVA]])*VLOOKUP(PROVEEDORES[[#This Row],[PROVEEDOR]],TERCEROS_INFO[#All],3,FALSE)</f>
        <v>-23630.3</v>
      </c>
      <c r="N838" s="34"/>
      <c r="O838" s="33">
        <f>+PROVEEDORES[[#This Row],[Descuento sobre subtotal %]]*(PROVEEDORES[[#This Row],[SUBTOTAL]]-PROVEEDORES[[#This Row],[descuento antes de IVA]])</f>
        <v>0</v>
      </c>
      <c r="P8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38" s="33">
        <f>+(PROVEEDORES[[#This Row],[SUBTOTAL]]-PROVEEDORES[[#This Row],[descuento antes de IVA]])*PROVEEDORES[[#This Row],[Rete Fuente %]]</f>
        <v>0</v>
      </c>
      <c r="R838" s="32">
        <f>+PROVEEDORES[[#This Row],[SUBTOTAL]]+PROVEEDORES[[#This Row],[IVA 19%]]-PROVEEDORES[[#This Row],[descuento antes de IVA]]-PROVEEDORES[[#This Row],[Descuento sobre subtotal $]]-PROVEEDORES[[#This Row],[Rete Fuente $]]</f>
        <v>-148000.29999999999</v>
      </c>
      <c r="S838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838"/>
      <c r="U838" s="97"/>
      <c r="W838" s="40"/>
      <c r="X838" s="40"/>
      <c r="Y838" s="41"/>
      <c r="Z838" s="36"/>
      <c r="AA838" s="36"/>
      <c r="AD838" s="41"/>
      <c r="AE838" s="42"/>
      <c r="AF838" s="36"/>
      <c r="AG838" s="36"/>
    </row>
    <row r="839" spans="1:33" ht="21.95" hidden="1" customHeight="1" x14ac:dyDescent="0.25">
      <c r="A839" s="88" t="str">
        <f>+IF(PROVEEDORES[[#This Row],[FECHA DE PAGO]]=PROVEEDORES[[#This Row],[FECHA DE FACTURACIÓN]],"DE CONTADO","CRÉDITO")</f>
        <v>CRÉDITO</v>
      </c>
      <c r="B839" s="70" t="b">
        <f>+IF((PROVEEDORES[[#This Row],[FECHA DE PAGO]]-PROVEEDORES[[#This Row],[FECHA DE FACTURACIÓN]])&gt;PROVEEDORES[[#This Row],[PLAZO Días]],"PAGO VENCIDO")</f>
        <v>0</v>
      </c>
      <c r="C839" s="27">
        <f>+VLOOKUP(PROVEEDORES[[#This Row],[PROVEEDOR]],TERCEROS_INFO[#All],2,FALSE)</f>
        <v>90</v>
      </c>
      <c r="D839" s="37">
        <f>+SUMIFS(PROVEEDORES[Total],PROVEEDORES[PROVEEDOR],PROVEEDORES[[#This Row],[PROVEEDOR]],PROVEEDORES[FECHA DE PAGO],"")</f>
        <v>34545522.620000005</v>
      </c>
      <c r="E839" s="37"/>
      <c r="F839" s="108" t="str">
        <f>+VLOOKUP(PROVEEDORES[[#This Row],[PROVEEDOR]],TERCEROS_INFO[[PROVEEDOR]:[CORREO]],5,FALSE)</f>
        <v>javiergomez_72@hotmail.com ;girlesa.ruiz@servipilas.com;joriescobar64@gmail.com</v>
      </c>
      <c r="G839" s="143">
        <v>44250</v>
      </c>
      <c r="H839" s="38" t="s">
        <v>12</v>
      </c>
      <c r="I839" s="30">
        <v>44195</v>
      </c>
      <c r="J839" s="58" t="s">
        <v>505</v>
      </c>
      <c r="K839" s="32">
        <v>-54622</v>
      </c>
      <c r="L839" s="32"/>
      <c r="M839" s="33">
        <f>(PROVEEDORES[[#This Row],[SUBTOTAL]]-PROVEEDORES[[#This Row],[descuento antes de IVA]])*VLOOKUP(PROVEEDORES[[#This Row],[PROVEEDOR]],TERCEROS_INFO[#All],3,FALSE)</f>
        <v>-10378.18</v>
      </c>
      <c r="N839" s="34"/>
      <c r="O839" s="33">
        <f>+PROVEEDORES[[#This Row],[Descuento sobre subtotal %]]*(PROVEEDORES[[#This Row],[SUBTOTAL]]-PROVEEDORES[[#This Row],[descuento antes de IVA]])</f>
        <v>0</v>
      </c>
      <c r="P8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39" s="33">
        <f>+(PROVEEDORES[[#This Row],[SUBTOTAL]]-PROVEEDORES[[#This Row],[descuento antes de IVA]])*PROVEEDORES[[#This Row],[Rete Fuente %]]</f>
        <v>0</v>
      </c>
      <c r="R839" s="32">
        <f>+PROVEEDORES[[#This Row],[SUBTOTAL]]+PROVEEDORES[[#This Row],[IVA 19%]]-PROVEEDORES[[#This Row],[descuento antes de IVA]]-PROVEEDORES[[#This Row],[Descuento sobre subtotal $]]-PROVEEDORES[[#This Row],[Rete Fuente $]]</f>
        <v>-65000.18</v>
      </c>
      <c r="S83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9"/>
      <c r="U839" s="97"/>
      <c r="W839" s="40"/>
      <c r="X839" s="40"/>
      <c r="Y839" s="41"/>
      <c r="Z839" s="36"/>
      <c r="AA839" s="36"/>
      <c r="AD839" s="41"/>
      <c r="AE839" s="42"/>
      <c r="AF839" s="36"/>
      <c r="AG839" s="36"/>
    </row>
    <row r="840" spans="1:33" ht="21.95" hidden="1" customHeight="1" x14ac:dyDescent="0.25">
      <c r="A840" s="39" t="str">
        <f>+IF(PROVEEDORES[[#This Row],[FECHA DE PAGO]]=PROVEEDORES[[#This Row],[FECHA DE FACTURACIÓN]],"DE CONTADO","CRÉDITO")</f>
        <v>CRÉDITO</v>
      </c>
      <c r="B840" s="67" t="b">
        <f>+IF((PROVEEDORES[[#This Row],[FECHA DE PAGO]]-PROVEEDORES[[#This Row],[FECHA DE FACTURACIÓN]])&gt;PROVEEDORES[[#This Row],[PLAZO Días]],"PAGO VENCIDO")</f>
        <v>0</v>
      </c>
      <c r="C840" s="27">
        <f>+VLOOKUP(PROVEEDORES[[#This Row],[PROVEEDOR]],TERCEROS_INFO[#All],2,FALSE)</f>
        <v>90</v>
      </c>
      <c r="D840" s="37">
        <f>+SUMIFS(PROVEEDORES[Total],PROVEEDORES[PROVEEDOR],PROVEEDORES[[#This Row],[PROVEEDOR]],PROVEEDORES[FECHA DE PAGO],"")</f>
        <v>34545522.620000005</v>
      </c>
      <c r="E840" s="37"/>
      <c r="F840" s="108" t="str">
        <f>+VLOOKUP(PROVEEDORES[[#This Row],[PROVEEDOR]],TERCEROS_INFO[[PROVEEDOR]:[CORREO]],5,FALSE)</f>
        <v>javiergomez_72@hotmail.com ;girlesa.ruiz@servipilas.com;joriescobar64@gmail.com</v>
      </c>
      <c r="G840" s="143">
        <v>44189</v>
      </c>
      <c r="H840" s="38" t="s">
        <v>12</v>
      </c>
      <c r="I840" s="30">
        <v>44161</v>
      </c>
      <c r="J840" s="58" t="s">
        <v>192</v>
      </c>
      <c r="K840" s="32">
        <v>-184873.94957983194</v>
      </c>
      <c r="L840" s="32"/>
      <c r="M840" s="33">
        <f>(PROVEEDORES[[#This Row],[SUBTOTAL]]-PROVEEDORES[[#This Row],[descuento antes de IVA]])*VLOOKUP(PROVEEDORES[[#This Row],[PROVEEDOR]],TERCEROS_INFO[#All],3,FALSE)</f>
        <v>-35126.050420168067</v>
      </c>
      <c r="N840" s="34"/>
      <c r="O840" s="33">
        <f>+PROVEEDORES[[#This Row],[Descuento sobre subtotal %]]*(PROVEEDORES[[#This Row],[SUBTOTAL]]-PROVEEDORES[[#This Row],[descuento antes de IVA]])</f>
        <v>0</v>
      </c>
      <c r="P8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0" s="33">
        <f>+(PROVEEDORES[[#This Row],[SUBTOTAL]]-PROVEEDORES[[#This Row],[descuento antes de IVA]])*PROVEEDORES[[#This Row],[Rete Fuente %]]</f>
        <v>0</v>
      </c>
      <c r="R840" s="32">
        <f>+PROVEEDORES[[#This Row],[SUBTOTAL]]+PROVEEDORES[[#This Row],[IVA 19%]]-PROVEEDORES[[#This Row],[descuento antes de IVA]]-PROVEEDORES[[#This Row],[Descuento sobre subtotal $]]-PROVEEDORES[[#This Row],[Rete Fuente $]]</f>
        <v>-220000</v>
      </c>
      <c r="S8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0"/>
      <c r="U840" s="97"/>
      <c r="W840" s="40"/>
      <c r="X840" s="40"/>
      <c r="Y840" s="41"/>
      <c r="Z840" s="36"/>
      <c r="AA840" s="36"/>
      <c r="AD840" s="41"/>
      <c r="AE840" s="42"/>
      <c r="AF840" s="36"/>
      <c r="AG840" s="36"/>
    </row>
    <row r="841" spans="1:33" ht="21.95" hidden="1" customHeight="1" x14ac:dyDescent="0.25">
      <c r="A841" s="35" t="str">
        <f>+IF(PROVEEDORES[[#This Row],[FECHA DE PAGO]]=PROVEEDORES[[#This Row],[FECHA DE FACTURACIÓN]],"DE CONTADO","CRÉDITO")</f>
        <v>CRÉDITO</v>
      </c>
      <c r="B841" s="70" t="str">
        <f>+IF((PROVEEDORES[[#This Row],[FECHA DE PAGO]]-PROVEEDORES[[#This Row],[FECHA DE FACTURACIÓN]])&gt;PROVEEDORES[[#This Row],[PLAZO Días]],"PAGO VENCIDO")</f>
        <v>PAGO VENCIDO</v>
      </c>
      <c r="C841" s="27">
        <f>+VLOOKUP(PROVEEDORES[[#This Row],[PROVEEDOR]],TERCEROS_INFO[#All],2,FALSE)</f>
        <v>30</v>
      </c>
      <c r="D841" s="37">
        <f>+SUMIFS(PROVEEDORES[Total],PROVEEDORES[PROVEEDOR],PROVEEDORES[[#This Row],[PROVEEDOR]],PROVEEDORES[FECHA DE PAGO],"")</f>
        <v>0</v>
      </c>
      <c r="E841" s="37"/>
      <c r="F841" s="108" t="str">
        <f>+VLOOKUP(PROVEEDORES[[#This Row],[PROVEEDOR]],TERCEROS_INFO[[PROVEEDOR]:[CORREO]],5,FALSE)</f>
        <v>electronicascanaresas@gmail.com;girlesa.ruiz@servipilas.com;joriescobar64@gmail.com</v>
      </c>
      <c r="G841" s="143">
        <v>44476</v>
      </c>
      <c r="H841" s="57" t="s">
        <v>430</v>
      </c>
      <c r="I841" s="30">
        <v>44218</v>
      </c>
      <c r="J841" s="58" t="s">
        <v>880</v>
      </c>
      <c r="K841" s="32">
        <v>128000</v>
      </c>
      <c r="L841" s="32"/>
      <c r="M841" s="33">
        <f>(PROVEEDORES[[#This Row],[SUBTOTAL]]-PROVEEDORES[[#This Row],[descuento antes de IVA]])*VLOOKUP(PROVEEDORES[[#This Row],[PROVEEDOR]],TERCEROS_INFO[#All],3,FALSE)</f>
        <v>24320</v>
      </c>
      <c r="N841" s="34"/>
      <c r="O841" s="33">
        <f>+PROVEEDORES[[#This Row],[Descuento sobre subtotal %]]*(PROVEEDORES[[#This Row],[SUBTOTAL]]-PROVEEDORES[[#This Row],[descuento antes de IVA]])</f>
        <v>0</v>
      </c>
      <c r="P8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1" s="33">
        <f>+(PROVEEDORES[[#This Row],[SUBTOTAL]]-PROVEEDORES[[#This Row],[descuento antes de IVA]])*PROVEEDORES[[#This Row],[Rete Fuente %]]</f>
        <v>0</v>
      </c>
      <c r="R841" s="32">
        <f>+PROVEEDORES[[#This Row],[SUBTOTAL]]+PROVEEDORES[[#This Row],[IVA 19%]]-PROVEEDORES[[#This Row],[descuento antes de IVA]]-PROVEEDORES[[#This Row],[Descuento sobre subtotal $]]-PROVEEDORES[[#This Row],[Rete Fuente $]]</f>
        <v>152320</v>
      </c>
      <c r="S84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1"/>
      <c r="U841" s="97"/>
      <c r="W841" s="40"/>
      <c r="X841" s="40"/>
      <c r="Y841" s="41"/>
      <c r="Z841" s="36"/>
      <c r="AA841" s="36"/>
      <c r="AD841" s="41"/>
      <c r="AE841" s="42"/>
      <c r="AF841" s="36"/>
      <c r="AG841" s="36"/>
    </row>
    <row r="842" spans="1:33" ht="21.95" hidden="1" customHeight="1" x14ac:dyDescent="0.25">
      <c r="A842" s="39" t="str">
        <f>+IF(PROVEEDORES[[#This Row],[FECHA DE PAGO]]=PROVEEDORES[[#This Row],[FECHA DE FACTURACIÓN]],"DE CONTADO","CRÉDITO")</f>
        <v>CRÉDITO</v>
      </c>
      <c r="B842" s="67" t="b">
        <f>+IF((PROVEEDORES[[#This Row],[FECHA DE PAGO]]-PROVEEDORES[[#This Row],[FECHA DE FACTURACIÓN]])&gt;PROVEEDORES[[#This Row],[PLAZO Días]],"PAGO VENCIDO")</f>
        <v>0</v>
      </c>
      <c r="C842" s="27">
        <f>+VLOOKUP(PROVEEDORES[[#This Row],[PROVEEDOR]],TERCEROS_INFO[#All],2,FALSE)</f>
        <v>30</v>
      </c>
      <c r="D842" s="37">
        <f>+SUMIFS(PROVEEDORES[Total],PROVEEDORES[PROVEEDOR],PROVEEDORES[[#This Row],[PROVEEDOR]],PROVEEDORES[FECHA DE PAGO],"")</f>
        <v>0</v>
      </c>
      <c r="E842" s="37"/>
      <c r="F842" s="108" t="str">
        <f>+VLOOKUP(PROVEEDORES[[#This Row],[PROVEEDOR]],TERCEROS_INFO[[PROVEEDOR]:[CORREO]],5,FALSE)</f>
        <v>electronicascanaresas@gmail.com;girlesa.ruiz@servipilas.com;joriescobar64@gmail.com</v>
      </c>
      <c r="G842" s="143">
        <v>44239</v>
      </c>
      <c r="H842" s="38" t="s">
        <v>430</v>
      </c>
      <c r="I842" s="30">
        <v>44229</v>
      </c>
      <c r="J842" s="58">
        <v>1528</v>
      </c>
      <c r="K842" s="32">
        <v>134453.78</v>
      </c>
      <c r="L842" s="32"/>
      <c r="M842" s="33">
        <f>(PROVEEDORES[[#This Row],[SUBTOTAL]]-PROVEEDORES[[#This Row],[descuento antes de IVA]])*VLOOKUP(PROVEEDORES[[#This Row],[PROVEEDOR]],TERCEROS_INFO[#All],3,FALSE)</f>
        <v>25546.218199999999</v>
      </c>
      <c r="N842" s="34"/>
      <c r="O842" s="33">
        <f>+PROVEEDORES[[#This Row],[Descuento sobre subtotal %]]*(PROVEEDORES[[#This Row],[SUBTOTAL]]-PROVEEDORES[[#This Row],[descuento antes de IVA]])</f>
        <v>0</v>
      </c>
      <c r="P8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2" s="33">
        <f>+(PROVEEDORES[[#This Row],[SUBTOTAL]]-PROVEEDORES[[#This Row],[descuento antes de IVA]])*PROVEEDORES[[#This Row],[Rete Fuente %]]</f>
        <v>0</v>
      </c>
      <c r="R842" s="32">
        <f>+PROVEEDORES[[#This Row],[SUBTOTAL]]+PROVEEDORES[[#This Row],[IVA 19%]]-PROVEEDORES[[#This Row],[descuento antes de IVA]]-PROVEEDORES[[#This Row],[Descuento sobre subtotal $]]-PROVEEDORES[[#This Row],[Rete Fuente $]]</f>
        <v>159999.9982</v>
      </c>
      <c r="S8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2"/>
      <c r="U842" s="97"/>
      <c r="W842" s="40"/>
      <c r="X842" s="40"/>
      <c r="Y842" s="41"/>
      <c r="Z842" s="36"/>
      <c r="AA842" s="36"/>
      <c r="AD842" s="41"/>
      <c r="AE842" s="42"/>
      <c r="AF842" s="36"/>
      <c r="AG842" s="36"/>
    </row>
    <row r="843" spans="1:33" ht="21.95" hidden="1" customHeight="1" x14ac:dyDescent="0.25">
      <c r="A843" s="39" t="str">
        <f>+IF(PROVEEDORES[[#This Row],[FECHA DE PAGO]]=PROVEEDORES[[#This Row],[FECHA DE FACTURACIÓN]],"DE CONTADO","CRÉDITO")</f>
        <v>DE CONTADO</v>
      </c>
      <c r="B843" s="67" t="b">
        <f>+IF((PROVEEDORES[[#This Row],[FECHA DE PAGO]]-PROVEEDORES[[#This Row],[FECHA DE FACTURACIÓN]])&gt;PROVEEDORES[[#This Row],[PLAZO Días]],"PAGO VENCIDO")</f>
        <v>0</v>
      </c>
      <c r="C843" s="27">
        <f>+VLOOKUP(PROVEEDORES[[#This Row],[PROVEEDOR]],TERCEROS_INFO[#All],2,FALSE)</f>
        <v>30</v>
      </c>
      <c r="D843" s="37">
        <f>+SUMIFS(PROVEEDORES[Total],PROVEEDORES[PROVEEDOR],PROVEEDORES[[#This Row],[PROVEEDOR]],PROVEEDORES[FECHA DE PAGO],"")</f>
        <v>0</v>
      </c>
      <c r="E843" s="37"/>
      <c r="F843" s="108" t="str">
        <f>+VLOOKUP(PROVEEDORES[[#This Row],[PROVEEDOR]],TERCEROS_INFO[[PROVEEDOR]:[CORREO]],5,FALSE)</f>
        <v/>
      </c>
      <c r="G843" s="143">
        <v>43839</v>
      </c>
      <c r="H843" s="38" t="s">
        <v>40</v>
      </c>
      <c r="I843" s="30">
        <v>43839</v>
      </c>
      <c r="J843" s="58">
        <v>3570</v>
      </c>
      <c r="K843" s="32">
        <v>67226.890756302528</v>
      </c>
      <c r="L843" s="32"/>
      <c r="M843" s="33">
        <f>(PROVEEDORES[[#This Row],[SUBTOTAL]]-PROVEEDORES[[#This Row],[descuento antes de IVA]])*VLOOKUP(PROVEEDORES[[#This Row],[PROVEEDOR]],TERCEROS_INFO[#All],3,FALSE)</f>
        <v>12773.10924369748</v>
      </c>
      <c r="N843" s="34"/>
      <c r="O843" s="33">
        <f>+PROVEEDORES[[#This Row],[Descuento sobre subtotal %]]*(PROVEEDORES[[#This Row],[SUBTOTAL]]-PROVEEDORES[[#This Row],[descuento antes de IVA]])</f>
        <v>0</v>
      </c>
      <c r="P8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3" s="33">
        <f>+(PROVEEDORES[[#This Row],[SUBTOTAL]]-PROVEEDORES[[#This Row],[descuento antes de IVA]])*PROVEEDORES[[#This Row],[Rete Fuente %]]</f>
        <v>0</v>
      </c>
      <c r="R843" s="32">
        <f>+PROVEEDORES[[#This Row],[SUBTOTAL]]+PROVEEDORES[[#This Row],[IVA 19%]]-PROVEEDORES[[#This Row],[descuento antes de IVA]]-PROVEEDORES[[#This Row],[Descuento sobre subtotal $]]-PROVEEDORES[[#This Row],[Rete Fuente $]]</f>
        <v>80000</v>
      </c>
      <c r="S8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3"/>
      <c r="U843" s="97"/>
      <c r="W843" s="40"/>
      <c r="X843" s="40"/>
      <c r="Y843" s="41"/>
      <c r="Z843" s="36"/>
      <c r="AA843" s="36"/>
      <c r="AD843" s="41"/>
      <c r="AE843" s="42"/>
      <c r="AF843" s="36"/>
      <c r="AG843" s="36"/>
    </row>
    <row r="844" spans="1:33" ht="21.95" hidden="1" customHeight="1" x14ac:dyDescent="0.25">
      <c r="A844" s="39" t="str">
        <f>+IF(PROVEEDORES[[#This Row],[FECHA DE PAGO]]=PROVEEDORES[[#This Row],[FECHA DE FACTURACIÓN]],"DE CONTADO","CRÉDITO")</f>
        <v>DE CONTADO</v>
      </c>
      <c r="B844" s="67" t="b">
        <f>+IF((PROVEEDORES[[#This Row],[FECHA DE PAGO]]-PROVEEDORES[[#This Row],[FECHA DE FACTURACIÓN]])&gt;PROVEEDORES[[#This Row],[PLAZO Días]],"PAGO VENCIDO")</f>
        <v>0</v>
      </c>
      <c r="C844" s="27">
        <f>+VLOOKUP(PROVEEDORES[[#This Row],[PROVEEDOR]],TERCEROS_INFO[#All],2,FALSE)</f>
        <v>30</v>
      </c>
      <c r="D844" s="37">
        <f>+SUMIFS(PROVEEDORES[Total],PROVEEDORES[PROVEEDOR],PROVEEDORES[[#This Row],[PROVEEDOR]],PROVEEDORES[FECHA DE PAGO],"")</f>
        <v>0</v>
      </c>
      <c r="E844" s="37"/>
      <c r="F844" s="108" t="str">
        <f>+VLOOKUP(PROVEEDORES[[#This Row],[PROVEEDOR]],TERCEROS_INFO[[PROVEEDOR]:[CORREO]],5,FALSE)</f>
        <v/>
      </c>
      <c r="G844" s="143">
        <v>43853</v>
      </c>
      <c r="H844" s="38" t="s">
        <v>40</v>
      </c>
      <c r="I844" s="30">
        <v>43853</v>
      </c>
      <c r="J844" s="58">
        <v>85</v>
      </c>
      <c r="K844" s="32">
        <v>68067.226890756312</v>
      </c>
      <c r="L844" s="32"/>
      <c r="M844" s="33">
        <f>(PROVEEDORES[[#This Row],[SUBTOTAL]]-PROVEEDORES[[#This Row],[descuento antes de IVA]])*VLOOKUP(PROVEEDORES[[#This Row],[PROVEEDOR]],TERCEROS_INFO[#All],3,FALSE)</f>
        <v>12932.773109243699</v>
      </c>
      <c r="N844" s="34"/>
      <c r="O844" s="33">
        <f>+PROVEEDORES[[#This Row],[Descuento sobre subtotal %]]*(PROVEEDORES[[#This Row],[SUBTOTAL]]-PROVEEDORES[[#This Row],[descuento antes de IVA]])</f>
        <v>0</v>
      </c>
      <c r="P8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4" s="33">
        <f>+(PROVEEDORES[[#This Row],[SUBTOTAL]]-PROVEEDORES[[#This Row],[descuento antes de IVA]])*PROVEEDORES[[#This Row],[Rete Fuente %]]</f>
        <v>0</v>
      </c>
      <c r="R844" s="32">
        <f>+PROVEEDORES[[#This Row],[SUBTOTAL]]+PROVEEDORES[[#This Row],[IVA 19%]]-PROVEEDORES[[#This Row],[descuento antes de IVA]]-PROVEEDORES[[#This Row],[Descuento sobre subtotal $]]-PROVEEDORES[[#This Row],[Rete Fuente $]]</f>
        <v>81000.000000000015</v>
      </c>
      <c r="S8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4"/>
      <c r="U844" s="97"/>
      <c r="W844" s="40"/>
      <c r="X844" s="40"/>
      <c r="Y844" s="41"/>
      <c r="Z844" s="36"/>
      <c r="AA844" s="36"/>
      <c r="AD844" s="41"/>
      <c r="AE844" s="42"/>
      <c r="AF844" s="36"/>
      <c r="AG844" s="36"/>
    </row>
    <row r="845" spans="1:33" ht="21.95" hidden="1" customHeight="1" x14ac:dyDescent="0.25">
      <c r="A845" s="39" t="str">
        <f>+IF(PROVEEDORES[[#This Row],[FECHA DE PAGO]]=PROVEEDORES[[#This Row],[FECHA DE FACTURACIÓN]],"DE CONTADO","CRÉDITO")</f>
        <v>DE CONTADO</v>
      </c>
      <c r="B845" s="67" t="b">
        <f>+IF((PROVEEDORES[[#This Row],[FECHA DE PAGO]]-PROVEEDORES[[#This Row],[FECHA DE FACTURACIÓN]])&gt;PROVEEDORES[[#This Row],[PLAZO Días]],"PAGO VENCIDO")</f>
        <v>0</v>
      </c>
      <c r="C845" s="27">
        <f>+VLOOKUP(PROVEEDORES[[#This Row],[PROVEEDOR]],TERCEROS_INFO[#All],2,FALSE)</f>
        <v>30</v>
      </c>
      <c r="D845" s="37">
        <f>+SUMIFS(PROVEEDORES[Total],PROVEEDORES[PROVEEDOR],PROVEEDORES[[#This Row],[PROVEEDOR]],PROVEEDORES[FECHA DE PAGO],"")</f>
        <v>0</v>
      </c>
      <c r="E845" s="37"/>
      <c r="F845" s="108" t="str">
        <f>+VLOOKUP(PROVEEDORES[[#This Row],[PROVEEDOR]],TERCEROS_INFO[[PROVEEDOR]:[CORREO]],5,FALSE)</f>
        <v/>
      </c>
      <c r="G845" s="143">
        <v>43861</v>
      </c>
      <c r="H845" s="38" t="s">
        <v>40</v>
      </c>
      <c r="I845" s="30">
        <v>43861</v>
      </c>
      <c r="J845" s="58" t="s">
        <v>1036</v>
      </c>
      <c r="K845" s="32">
        <v>49747.899159663866</v>
      </c>
      <c r="L845" s="32"/>
      <c r="M845" s="33">
        <f>(PROVEEDORES[[#This Row],[SUBTOTAL]]-PROVEEDORES[[#This Row],[descuento antes de IVA]])*VLOOKUP(PROVEEDORES[[#This Row],[PROVEEDOR]],TERCEROS_INFO[#All],3,FALSE)</f>
        <v>9452.1008403361338</v>
      </c>
      <c r="N845" s="34"/>
      <c r="O845" s="33">
        <f>+PROVEEDORES[[#This Row],[Descuento sobre subtotal %]]*(PROVEEDORES[[#This Row],[SUBTOTAL]]-PROVEEDORES[[#This Row],[descuento antes de IVA]])</f>
        <v>0</v>
      </c>
      <c r="P8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5" s="33">
        <f>+(PROVEEDORES[[#This Row],[SUBTOTAL]]-PROVEEDORES[[#This Row],[descuento antes de IVA]])*PROVEEDORES[[#This Row],[Rete Fuente %]]</f>
        <v>0</v>
      </c>
      <c r="R845" s="32">
        <f>+PROVEEDORES[[#This Row],[SUBTOTAL]]+PROVEEDORES[[#This Row],[IVA 19%]]-PROVEEDORES[[#This Row],[descuento antes de IVA]]-PROVEEDORES[[#This Row],[Descuento sobre subtotal $]]-PROVEEDORES[[#This Row],[Rete Fuente $]]</f>
        <v>59200</v>
      </c>
      <c r="S8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5"/>
      <c r="U845" s="97"/>
      <c r="W845" s="40"/>
      <c r="X845" s="40"/>
      <c r="Y845" s="41"/>
      <c r="Z845" s="36"/>
      <c r="AA845" s="36"/>
      <c r="AD845" s="41"/>
      <c r="AE845" s="42"/>
      <c r="AF845" s="36"/>
      <c r="AG845" s="36"/>
    </row>
    <row r="846" spans="1:33" ht="21.95" hidden="1" customHeight="1" x14ac:dyDescent="0.25">
      <c r="A846" s="39" t="str">
        <f>+IF(PROVEEDORES[[#This Row],[FECHA DE PAGO]]=PROVEEDORES[[#This Row],[FECHA DE FACTURACIÓN]],"DE CONTADO","CRÉDITO")</f>
        <v>DE CONTADO</v>
      </c>
      <c r="B846" s="67" t="b">
        <f>+IF((PROVEEDORES[[#This Row],[FECHA DE PAGO]]-PROVEEDORES[[#This Row],[FECHA DE FACTURACIÓN]])&gt;PROVEEDORES[[#This Row],[PLAZO Días]],"PAGO VENCIDO")</f>
        <v>0</v>
      </c>
      <c r="C846" s="27">
        <f>+VLOOKUP(PROVEEDORES[[#This Row],[PROVEEDOR]],TERCEROS_INFO[#All],2,FALSE)</f>
        <v>30</v>
      </c>
      <c r="D846" s="37">
        <f>+SUMIFS(PROVEEDORES[Total],PROVEEDORES[PROVEEDOR],PROVEEDORES[[#This Row],[PROVEEDOR]],PROVEEDORES[FECHA DE PAGO],"")</f>
        <v>0</v>
      </c>
      <c r="E846" s="37"/>
      <c r="F846" s="108" t="str">
        <f>+VLOOKUP(PROVEEDORES[[#This Row],[PROVEEDOR]],TERCEROS_INFO[[PROVEEDOR]:[CORREO]],5,FALSE)</f>
        <v/>
      </c>
      <c r="G846" s="143">
        <v>43880</v>
      </c>
      <c r="H846" s="38" t="s">
        <v>40</v>
      </c>
      <c r="I846" s="30">
        <v>43880</v>
      </c>
      <c r="J846" s="58">
        <v>901</v>
      </c>
      <c r="K846" s="32">
        <v>49915.966386554624</v>
      </c>
      <c r="L846" s="32"/>
      <c r="M846" s="33">
        <f>(PROVEEDORES[[#This Row],[SUBTOTAL]]-PROVEEDORES[[#This Row],[descuento antes de IVA]])*VLOOKUP(PROVEEDORES[[#This Row],[PROVEEDOR]],TERCEROS_INFO[#All],3,FALSE)</f>
        <v>9484.0336134453792</v>
      </c>
      <c r="N846" s="34"/>
      <c r="O846" s="33">
        <f>+PROVEEDORES[[#This Row],[Descuento sobre subtotal %]]*(PROVEEDORES[[#This Row],[SUBTOTAL]]-PROVEEDORES[[#This Row],[descuento antes de IVA]])</f>
        <v>0</v>
      </c>
      <c r="P8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6" s="33">
        <f>+(PROVEEDORES[[#This Row],[SUBTOTAL]]-PROVEEDORES[[#This Row],[descuento antes de IVA]])*PROVEEDORES[[#This Row],[Rete Fuente %]]</f>
        <v>0</v>
      </c>
      <c r="R846" s="32">
        <f>+PROVEEDORES[[#This Row],[SUBTOTAL]]+PROVEEDORES[[#This Row],[IVA 19%]]-PROVEEDORES[[#This Row],[descuento antes de IVA]]-PROVEEDORES[[#This Row],[Descuento sobre subtotal $]]-PROVEEDORES[[#This Row],[Rete Fuente $]]</f>
        <v>59400</v>
      </c>
      <c r="S8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6"/>
      <c r="U846" s="97"/>
      <c r="W846" s="40"/>
      <c r="X846" s="40"/>
      <c r="Y846" s="41"/>
      <c r="Z846" s="36"/>
      <c r="AA846" s="36"/>
      <c r="AD846" s="41"/>
      <c r="AE846" s="42"/>
      <c r="AF846" s="36"/>
      <c r="AG846" s="36"/>
    </row>
    <row r="847" spans="1:33" ht="21.95" hidden="1" customHeight="1" x14ac:dyDescent="0.25">
      <c r="A847" s="39" t="str">
        <f>+IF(PROVEEDORES[[#This Row],[FECHA DE PAGO]]=PROVEEDORES[[#This Row],[FECHA DE FACTURACIÓN]],"DE CONTADO","CRÉDITO")</f>
        <v>DE CONTADO</v>
      </c>
      <c r="B847" s="67" t="b">
        <f>+IF((PROVEEDORES[[#This Row],[FECHA DE PAGO]]-PROVEEDORES[[#This Row],[FECHA DE FACTURACIÓN]])&gt;PROVEEDORES[[#This Row],[PLAZO Días]],"PAGO VENCIDO")</f>
        <v>0</v>
      </c>
      <c r="C847" s="27">
        <f>+VLOOKUP(PROVEEDORES[[#This Row],[PROVEEDOR]],TERCEROS_INFO[#All],2,FALSE)</f>
        <v>30</v>
      </c>
      <c r="D847" s="37">
        <f>+SUMIFS(PROVEEDORES[Total],PROVEEDORES[PROVEEDOR],PROVEEDORES[[#This Row],[PROVEEDOR]],PROVEEDORES[FECHA DE PAGO],"")</f>
        <v>0</v>
      </c>
      <c r="E847" s="37"/>
      <c r="F847" s="108" t="str">
        <f>+VLOOKUP(PROVEEDORES[[#This Row],[PROVEEDOR]],TERCEROS_INFO[[PROVEEDOR]:[CORREO]],5,FALSE)</f>
        <v/>
      </c>
      <c r="G847" s="143">
        <v>43886</v>
      </c>
      <c r="H847" s="38" t="s">
        <v>40</v>
      </c>
      <c r="I847" s="30">
        <v>43886</v>
      </c>
      <c r="J847" s="58" t="s">
        <v>1054</v>
      </c>
      <c r="K847" s="32">
        <v>64705.882352941182</v>
      </c>
      <c r="L847" s="32"/>
      <c r="M847" s="33">
        <f>(PROVEEDORES[[#This Row],[SUBTOTAL]]-PROVEEDORES[[#This Row],[descuento antes de IVA]])*VLOOKUP(PROVEEDORES[[#This Row],[PROVEEDOR]],TERCEROS_INFO[#All],3,FALSE)</f>
        <v>12294.117647058825</v>
      </c>
      <c r="N847" s="34"/>
      <c r="O847" s="33">
        <f>+PROVEEDORES[[#This Row],[Descuento sobre subtotal %]]*(PROVEEDORES[[#This Row],[SUBTOTAL]]-PROVEEDORES[[#This Row],[descuento antes de IVA]])</f>
        <v>0</v>
      </c>
      <c r="P8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7" s="33">
        <f>+(PROVEEDORES[[#This Row],[SUBTOTAL]]-PROVEEDORES[[#This Row],[descuento antes de IVA]])*PROVEEDORES[[#This Row],[Rete Fuente %]]</f>
        <v>0</v>
      </c>
      <c r="R847" s="32">
        <f>+PROVEEDORES[[#This Row],[SUBTOTAL]]+PROVEEDORES[[#This Row],[IVA 19%]]-PROVEEDORES[[#This Row],[descuento antes de IVA]]-PROVEEDORES[[#This Row],[Descuento sobre subtotal $]]-PROVEEDORES[[#This Row],[Rete Fuente $]]</f>
        <v>77000</v>
      </c>
      <c r="S8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7"/>
      <c r="U847" s="97"/>
      <c r="W847" s="40"/>
      <c r="X847" s="40"/>
      <c r="Y847" s="41"/>
      <c r="Z847" s="36"/>
      <c r="AA847" s="36"/>
      <c r="AD847" s="41"/>
      <c r="AE847" s="42"/>
      <c r="AF847" s="36"/>
      <c r="AG847" s="36"/>
    </row>
    <row r="848" spans="1:33" ht="21.95" hidden="1" customHeight="1" x14ac:dyDescent="0.25">
      <c r="A848" s="39" t="str">
        <f>+IF(PROVEEDORES[[#This Row],[FECHA DE PAGO]]=PROVEEDORES[[#This Row],[FECHA DE FACTURACIÓN]],"DE CONTADO","CRÉDITO")</f>
        <v>DE CONTADO</v>
      </c>
      <c r="B848" s="67" t="b">
        <f>+IF((PROVEEDORES[[#This Row],[FECHA DE PAGO]]-PROVEEDORES[[#This Row],[FECHA DE FACTURACIÓN]])&gt;PROVEEDORES[[#This Row],[PLAZO Días]],"PAGO VENCIDO")</f>
        <v>0</v>
      </c>
      <c r="C848" s="27">
        <f>+VLOOKUP(PROVEEDORES[[#This Row],[PROVEEDOR]],TERCEROS_INFO[#All],2,FALSE)</f>
        <v>30</v>
      </c>
      <c r="D848" s="37">
        <f>+SUMIFS(PROVEEDORES[Total],PROVEEDORES[PROVEEDOR],PROVEEDORES[[#This Row],[PROVEEDOR]],PROVEEDORES[FECHA DE PAGO],"")</f>
        <v>0</v>
      </c>
      <c r="E848" s="37"/>
      <c r="F848" s="108" t="str">
        <f>+VLOOKUP(PROVEEDORES[[#This Row],[PROVEEDOR]],TERCEROS_INFO[[PROVEEDOR]:[CORREO]],5,FALSE)</f>
        <v/>
      </c>
      <c r="G848" s="143">
        <v>43895</v>
      </c>
      <c r="H848" s="38" t="s">
        <v>40</v>
      </c>
      <c r="I848" s="30">
        <v>43895</v>
      </c>
      <c r="J848" s="58">
        <v>1614636</v>
      </c>
      <c r="K848" s="32">
        <v>17647.058823529413</v>
      </c>
      <c r="L848" s="32"/>
      <c r="M848" s="33">
        <f>(PROVEEDORES[[#This Row],[SUBTOTAL]]-PROVEEDORES[[#This Row],[descuento antes de IVA]])*VLOOKUP(PROVEEDORES[[#This Row],[PROVEEDOR]],TERCEROS_INFO[#All],3,FALSE)</f>
        <v>3352.9411764705883</v>
      </c>
      <c r="N848" s="34"/>
      <c r="O848" s="33">
        <f>+PROVEEDORES[[#This Row],[Descuento sobre subtotal %]]*(PROVEEDORES[[#This Row],[SUBTOTAL]]-PROVEEDORES[[#This Row],[descuento antes de IVA]])</f>
        <v>0</v>
      </c>
      <c r="P8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8" s="33">
        <f>+(PROVEEDORES[[#This Row],[SUBTOTAL]]-PROVEEDORES[[#This Row],[descuento antes de IVA]])*PROVEEDORES[[#This Row],[Rete Fuente %]]</f>
        <v>0</v>
      </c>
      <c r="R848" s="32">
        <f>+PROVEEDORES[[#This Row],[SUBTOTAL]]+PROVEEDORES[[#This Row],[IVA 19%]]-PROVEEDORES[[#This Row],[descuento antes de IVA]]-PROVEEDORES[[#This Row],[Descuento sobre subtotal $]]-PROVEEDORES[[#This Row],[Rete Fuente $]]</f>
        <v>21000</v>
      </c>
      <c r="S8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8"/>
      <c r="U848" s="97"/>
      <c r="W848" s="40"/>
      <c r="X848" s="40"/>
      <c r="Y848" s="41"/>
      <c r="Z848" s="36"/>
      <c r="AA848" s="36"/>
      <c r="AD848" s="41"/>
      <c r="AE848" s="42"/>
      <c r="AF848" s="36"/>
      <c r="AG848" s="36"/>
    </row>
    <row r="849" spans="1:33" ht="21.95" hidden="1" customHeight="1" x14ac:dyDescent="0.25">
      <c r="A849" s="39" t="str">
        <f>+IF(PROVEEDORES[[#This Row],[FECHA DE PAGO]]=PROVEEDORES[[#This Row],[FECHA DE FACTURACIÓN]],"DE CONTADO","CRÉDITO")</f>
        <v>DE CONTADO</v>
      </c>
      <c r="B849" s="67" t="b">
        <f>+IF((PROVEEDORES[[#This Row],[FECHA DE PAGO]]-PROVEEDORES[[#This Row],[FECHA DE FACTURACIÓN]])&gt;PROVEEDORES[[#This Row],[PLAZO Días]],"PAGO VENCIDO")</f>
        <v>0</v>
      </c>
      <c r="C849" s="27">
        <f>+VLOOKUP(PROVEEDORES[[#This Row],[PROVEEDOR]],TERCEROS_INFO[#All],2,FALSE)</f>
        <v>30</v>
      </c>
      <c r="D849" s="37">
        <f>+SUMIFS(PROVEEDORES[Total],PROVEEDORES[PROVEEDOR],PROVEEDORES[[#This Row],[PROVEEDOR]],PROVEEDORES[FECHA DE PAGO],"")</f>
        <v>0</v>
      </c>
      <c r="E849" s="37"/>
      <c r="F849" s="108" t="str">
        <f>+VLOOKUP(PROVEEDORES[[#This Row],[PROVEEDOR]],TERCEROS_INFO[[PROVEEDOR]:[CORREO]],5,FALSE)</f>
        <v/>
      </c>
      <c r="G849" s="143">
        <v>43904</v>
      </c>
      <c r="H849" s="38" t="s">
        <v>40</v>
      </c>
      <c r="I849" s="30">
        <v>43904</v>
      </c>
      <c r="J849" s="58">
        <v>1603</v>
      </c>
      <c r="K849" s="32">
        <v>40336.134453781517</v>
      </c>
      <c r="L849" s="32"/>
      <c r="M849" s="33">
        <f>(PROVEEDORES[[#This Row],[SUBTOTAL]]-PROVEEDORES[[#This Row],[descuento antes de IVA]])*VLOOKUP(PROVEEDORES[[#This Row],[PROVEEDOR]],TERCEROS_INFO[#All],3,FALSE)</f>
        <v>7663.8655462184879</v>
      </c>
      <c r="N849" s="34"/>
      <c r="O849" s="33">
        <f>+PROVEEDORES[[#This Row],[Descuento sobre subtotal %]]*(PROVEEDORES[[#This Row],[SUBTOTAL]]-PROVEEDORES[[#This Row],[descuento antes de IVA]])</f>
        <v>0</v>
      </c>
      <c r="P8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49" s="33">
        <f>+(PROVEEDORES[[#This Row],[SUBTOTAL]]-PROVEEDORES[[#This Row],[descuento antes de IVA]])*PROVEEDORES[[#This Row],[Rete Fuente %]]</f>
        <v>0</v>
      </c>
      <c r="R849" s="32">
        <f>+PROVEEDORES[[#This Row],[SUBTOTAL]]+PROVEEDORES[[#This Row],[IVA 19%]]-PROVEEDORES[[#This Row],[descuento antes de IVA]]-PROVEEDORES[[#This Row],[Descuento sobre subtotal $]]-PROVEEDORES[[#This Row],[Rete Fuente $]]</f>
        <v>48000.000000000007</v>
      </c>
      <c r="S84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9"/>
      <c r="U849" s="97"/>
      <c r="W849" s="40"/>
      <c r="X849" s="40"/>
      <c r="Y849" s="41"/>
      <c r="Z849" s="36"/>
      <c r="AA849" s="36"/>
      <c r="AD849" s="41"/>
      <c r="AE849" s="42"/>
      <c r="AF849" s="36"/>
      <c r="AG849" s="36"/>
    </row>
    <row r="850" spans="1:33" ht="21.95" hidden="1" customHeight="1" x14ac:dyDescent="0.25">
      <c r="A850" s="39" t="str">
        <f>+IF(PROVEEDORES[[#This Row],[FECHA DE PAGO]]=PROVEEDORES[[#This Row],[FECHA DE FACTURACIÓN]],"DE CONTADO","CRÉDITO")</f>
        <v>DE CONTADO</v>
      </c>
      <c r="B850" s="67" t="b">
        <f>+IF((PROVEEDORES[[#This Row],[FECHA DE PAGO]]-PROVEEDORES[[#This Row],[FECHA DE FACTURACIÓN]])&gt;PROVEEDORES[[#This Row],[PLAZO Días]],"PAGO VENCIDO")</f>
        <v>0</v>
      </c>
      <c r="C850" s="27">
        <f>+VLOOKUP(PROVEEDORES[[#This Row],[PROVEEDOR]],TERCEROS_INFO[#All],2,FALSE)</f>
        <v>30</v>
      </c>
      <c r="D850" s="37">
        <f>+SUMIFS(PROVEEDORES[Total],PROVEEDORES[PROVEEDOR],PROVEEDORES[[#This Row],[PROVEEDOR]],PROVEEDORES[FECHA DE PAGO],"")</f>
        <v>0</v>
      </c>
      <c r="E850" s="37"/>
      <c r="F850" s="108" t="str">
        <f>+VLOOKUP(PROVEEDORES[[#This Row],[PROVEEDOR]],TERCEROS_INFO[[PROVEEDOR]:[CORREO]],5,FALSE)</f>
        <v/>
      </c>
      <c r="G850" s="143">
        <v>43998</v>
      </c>
      <c r="H850" s="38" t="s">
        <v>40</v>
      </c>
      <c r="I850" s="30">
        <v>43998</v>
      </c>
      <c r="J850" s="58"/>
      <c r="K850" s="32">
        <v>244537.81512605044</v>
      </c>
      <c r="L850" s="32"/>
      <c r="M850" s="33">
        <f>(PROVEEDORES[[#This Row],[SUBTOTAL]]-PROVEEDORES[[#This Row],[descuento antes de IVA]])*VLOOKUP(PROVEEDORES[[#This Row],[PROVEEDOR]],TERCEROS_INFO[#All],3,FALSE)</f>
        <v>46462.184873949584</v>
      </c>
      <c r="N850" s="34"/>
      <c r="O850" s="33">
        <f>+PROVEEDORES[[#This Row],[Descuento sobre subtotal %]]*(PROVEEDORES[[#This Row],[SUBTOTAL]]-PROVEEDORES[[#This Row],[descuento antes de IVA]])</f>
        <v>0</v>
      </c>
      <c r="P8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0" s="33">
        <f>+(PROVEEDORES[[#This Row],[SUBTOTAL]]-PROVEEDORES[[#This Row],[descuento antes de IVA]])*PROVEEDORES[[#This Row],[Rete Fuente %]]</f>
        <v>0</v>
      </c>
      <c r="R850" s="32">
        <f>+PROVEEDORES[[#This Row],[SUBTOTAL]]+PROVEEDORES[[#This Row],[IVA 19%]]-PROVEEDORES[[#This Row],[descuento antes de IVA]]-PROVEEDORES[[#This Row],[Descuento sobre subtotal $]]-PROVEEDORES[[#This Row],[Rete Fuente $]]</f>
        <v>291000</v>
      </c>
      <c r="S85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0"/>
      <c r="U850" s="97"/>
      <c r="W850" s="40"/>
      <c r="X850" s="40"/>
      <c r="Y850" s="41"/>
      <c r="Z850" s="36"/>
      <c r="AA850" s="36"/>
      <c r="AD850" s="41"/>
      <c r="AE850" s="42"/>
      <c r="AF850" s="36"/>
      <c r="AG850" s="36"/>
    </row>
    <row r="851" spans="1:33" ht="21.95" hidden="1" customHeight="1" x14ac:dyDescent="0.25">
      <c r="A851" s="39" t="str">
        <f>+IF(PROVEEDORES[[#This Row],[FECHA DE PAGO]]=PROVEEDORES[[#This Row],[FECHA DE FACTURACIÓN]],"DE CONTADO","CRÉDITO")</f>
        <v>DE CONTADO</v>
      </c>
      <c r="B851" s="67" t="b">
        <f>+IF((PROVEEDORES[[#This Row],[FECHA DE PAGO]]-PROVEEDORES[[#This Row],[FECHA DE FACTURACIÓN]])&gt;PROVEEDORES[[#This Row],[PLAZO Días]],"PAGO VENCIDO")</f>
        <v>0</v>
      </c>
      <c r="C851" s="27">
        <f>+VLOOKUP(PROVEEDORES[[#This Row],[PROVEEDOR]],TERCEROS_INFO[#All],2,FALSE)</f>
        <v>30</v>
      </c>
      <c r="D851" s="37">
        <f>+SUMIFS(PROVEEDORES[Total],PROVEEDORES[PROVEEDOR],PROVEEDORES[[#This Row],[PROVEEDOR]],PROVEEDORES[FECHA DE PAGO],"")</f>
        <v>0</v>
      </c>
      <c r="E851" s="37"/>
      <c r="F851" s="108" t="str">
        <f>+VLOOKUP(PROVEEDORES[[#This Row],[PROVEEDOR]],TERCEROS_INFO[[PROVEEDOR]:[CORREO]],5,FALSE)</f>
        <v/>
      </c>
      <c r="G851" s="143">
        <v>44006</v>
      </c>
      <c r="H851" s="38" t="s">
        <v>40</v>
      </c>
      <c r="I851" s="30">
        <v>44006</v>
      </c>
      <c r="J851" s="58">
        <v>3201</v>
      </c>
      <c r="K851" s="32">
        <v>244400</v>
      </c>
      <c r="L851" s="32"/>
      <c r="M851" s="33">
        <f>(PROVEEDORES[[#This Row],[SUBTOTAL]]-PROVEEDORES[[#This Row],[descuento antes de IVA]])*VLOOKUP(PROVEEDORES[[#This Row],[PROVEEDOR]],TERCEROS_INFO[#All],3,FALSE)</f>
        <v>46436</v>
      </c>
      <c r="N851" s="34"/>
      <c r="O851" s="33">
        <f>+PROVEEDORES[[#This Row],[Descuento sobre subtotal %]]*(PROVEEDORES[[#This Row],[SUBTOTAL]]-PROVEEDORES[[#This Row],[descuento antes de IVA]])</f>
        <v>0</v>
      </c>
      <c r="P8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1" s="33">
        <f>+(PROVEEDORES[[#This Row],[SUBTOTAL]]-PROVEEDORES[[#This Row],[descuento antes de IVA]])*PROVEEDORES[[#This Row],[Rete Fuente %]]</f>
        <v>0</v>
      </c>
      <c r="R851" s="32">
        <f>+PROVEEDORES[[#This Row],[SUBTOTAL]]+PROVEEDORES[[#This Row],[IVA 19%]]-PROVEEDORES[[#This Row],[descuento antes de IVA]]-PROVEEDORES[[#This Row],[Descuento sobre subtotal $]]-PROVEEDORES[[#This Row],[Rete Fuente $]]</f>
        <v>290836</v>
      </c>
      <c r="S8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1"/>
      <c r="U851" s="97"/>
      <c r="W851" s="40"/>
      <c r="X851" s="40"/>
      <c r="Y851" s="41"/>
      <c r="Z851" s="36"/>
      <c r="AA851" s="36"/>
      <c r="AD851" s="41"/>
      <c r="AE851" s="42"/>
      <c r="AF851" s="36"/>
      <c r="AG851" s="36"/>
    </row>
    <row r="852" spans="1:33" ht="21.95" hidden="1" customHeight="1" x14ac:dyDescent="0.25">
      <c r="A852" s="39" t="str">
        <f>+IF(PROVEEDORES[[#This Row],[FECHA DE PAGO]]=PROVEEDORES[[#This Row],[FECHA DE FACTURACIÓN]],"DE CONTADO","CRÉDITO")</f>
        <v>DE CONTADO</v>
      </c>
      <c r="B852" s="67" t="b">
        <f>+IF((PROVEEDORES[[#This Row],[FECHA DE PAGO]]-PROVEEDORES[[#This Row],[FECHA DE FACTURACIÓN]])&gt;PROVEEDORES[[#This Row],[PLAZO Días]],"PAGO VENCIDO")</f>
        <v>0</v>
      </c>
      <c r="C852" s="27">
        <f>+VLOOKUP(PROVEEDORES[[#This Row],[PROVEEDOR]],TERCEROS_INFO[#All],2,FALSE)</f>
        <v>30</v>
      </c>
      <c r="D852" s="37">
        <f>+SUMIFS(PROVEEDORES[Total],PROVEEDORES[PROVEEDOR],PROVEEDORES[[#This Row],[PROVEEDOR]],PROVEEDORES[FECHA DE PAGO],"")</f>
        <v>0</v>
      </c>
      <c r="E852" s="37"/>
      <c r="F852" s="108" t="str">
        <f>+VLOOKUP(PROVEEDORES[[#This Row],[PROVEEDOR]],TERCEROS_INFO[[PROVEEDOR]:[CORREO]],5,FALSE)</f>
        <v/>
      </c>
      <c r="G852" s="143">
        <v>44035</v>
      </c>
      <c r="H852" s="38" t="s">
        <v>40</v>
      </c>
      <c r="I852" s="30">
        <v>44035</v>
      </c>
      <c r="J852" s="58">
        <v>3966</v>
      </c>
      <c r="K852" s="32">
        <v>37000</v>
      </c>
      <c r="L852" s="32"/>
      <c r="M852" s="33">
        <f>(PROVEEDORES[[#This Row],[SUBTOTAL]]-PROVEEDORES[[#This Row],[descuento antes de IVA]])*VLOOKUP(PROVEEDORES[[#This Row],[PROVEEDOR]],TERCEROS_INFO[#All],3,FALSE)</f>
        <v>7030</v>
      </c>
      <c r="N852" s="34"/>
      <c r="O852" s="33">
        <f>+PROVEEDORES[[#This Row],[Descuento sobre subtotal %]]*(PROVEEDORES[[#This Row],[SUBTOTAL]]-PROVEEDORES[[#This Row],[descuento antes de IVA]])</f>
        <v>0</v>
      </c>
      <c r="P8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2" s="33">
        <f>+(PROVEEDORES[[#This Row],[SUBTOTAL]]-PROVEEDORES[[#This Row],[descuento antes de IVA]])*PROVEEDORES[[#This Row],[Rete Fuente %]]</f>
        <v>0</v>
      </c>
      <c r="R852" s="32">
        <f>+PROVEEDORES[[#This Row],[SUBTOTAL]]+PROVEEDORES[[#This Row],[IVA 19%]]-PROVEEDORES[[#This Row],[descuento antes de IVA]]-PROVEEDORES[[#This Row],[Descuento sobre subtotal $]]-PROVEEDORES[[#This Row],[Rete Fuente $]]</f>
        <v>44030</v>
      </c>
      <c r="S85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2"/>
      <c r="U852" s="97"/>
      <c r="W852" s="40"/>
      <c r="X852" s="40"/>
      <c r="Y852" s="41"/>
      <c r="Z852" s="36"/>
      <c r="AA852" s="36"/>
      <c r="AD852" s="41"/>
      <c r="AE852" s="42"/>
      <c r="AF852" s="36"/>
      <c r="AG852" s="36"/>
    </row>
    <row r="853" spans="1:33" ht="21.95" hidden="1" customHeight="1" x14ac:dyDescent="0.25">
      <c r="A853" s="39" t="str">
        <f>+IF(PROVEEDORES[[#This Row],[FECHA DE PAGO]]=PROVEEDORES[[#This Row],[FECHA DE FACTURACIÓN]],"DE CONTADO","CRÉDITO")</f>
        <v>DE CONTADO</v>
      </c>
      <c r="B853" s="67" t="b">
        <f>+IF((PROVEEDORES[[#This Row],[FECHA DE PAGO]]-PROVEEDORES[[#This Row],[FECHA DE FACTURACIÓN]])&gt;PROVEEDORES[[#This Row],[PLAZO Días]],"PAGO VENCIDO")</f>
        <v>0</v>
      </c>
      <c r="C853" s="27">
        <f>+VLOOKUP(PROVEEDORES[[#This Row],[PROVEEDOR]],TERCEROS_INFO[#All],2,FALSE)</f>
        <v>30</v>
      </c>
      <c r="D853" s="37">
        <f>+SUMIFS(PROVEEDORES[Total],PROVEEDORES[PROVEEDOR],PROVEEDORES[[#This Row],[PROVEEDOR]],PROVEEDORES[FECHA DE PAGO],"")</f>
        <v>0</v>
      </c>
      <c r="E853" s="37"/>
      <c r="F853" s="108" t="str">
        <f>+VLOOKUP(PROVEEDORES[[#This Row],[PROVEEDOR]],TERCEROS_INFO[[PROVEEDOR]:[CORREO]],5,FALSE)</f>
        <v/>
      </c>
      <c r="G853" s="143">
        <v>44041</v>
      </c>
      <c r="H853" s="38" t="s">
        <v>40</v>
      </c>
      <c r="I853" s="30">
        <v>44041</v>
      </c>
      <c r="J853" s="58">
        <v>4141</v>
      </c>
      <c r="K853" s="32">
        <v>130000</v>
      </c>
      <c r="L853" s="32"/>
      <c r="M853" s="33">
        <f>(PROVEEDORES[[#This Row],[SUBTOTAL]]-PROVEEDORES[[#This Row],[descuento antes de IVA]])*VLOOKUP(PROVEEDORES[[#This Row],[PROVEEDOR]],TERCEROS_INFO[#All],3,FALSE)</f>
        <v>24700</v>
      </c>
      <c r="N853" s="34"/>
      <c r="O853" s="33">
        <f>+PROVEEDORES[[#This Row],[Descuento sobre subtotal %]]*(PROVEEDORES[[#This Row],[SUBTOTAL]]-PROVEEDORES[[#This Row],[descuento antes de IVA]])</f>
        <v>0</v>
      </c>
      <c r="P8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3" s="33">
        <f>+(PROVEEDORES[[#This Row],[SUBTOTAL]]-PROVEEDORES[[#This Row],[descuento antes de IVA]])*PROVEEDORES[[#This Row],[Rete Fuente %]]</f>
        <v>0</v>
      </c>
      <c r="R853" s="32">
        <f>+PROVEEDORES[[#This Row],[SUBTOTAL]]+PROVEEDORES[[#This Row],[IVA 19%]]-PROVEEDORES[[#This Row],[descuento antes de IVA]]-PROVEEDORES[[#This Row],[Descuento sobre subtotal $]]-PROVEEDORES[[#This Row],[Rete Fuente $]]</f>
        <v>154700</v>
      </c>
      <c r="S85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3"/>
      <c r="U853" s="97"/>
      <c r="W853" s="40"/>
      <c r="X853" s="40"/>
      <c r="Y853" s="41"/>
      <c r="Z853" s="36"/>
      <c r="AA853" s="36"/>
      <c r="AD853" s="41"/>
      <c r="AE853" s="42"/>
      <c r="AF853" s="36"/>
      <c r="AG853" s="36"/>
    </row>
    <row r="854" spans="1:33" ht="21.95" hidden="1" customHeight="1" x14ac:dyDescent="0.25">
      <c r="A854" s="39" t="str">
        <f>+IF(PROVEEDORES[[#This Row],[FECHA DE PAGO]]=PROVEEDORES[[#This Row],[FECHA DE FACTURACIÓN]],"DE CONTADO","CRÉDITO")</f>
        <v>DE CONTADO</v>
      </c>
      <c r="B854" s="67" t="b">
        <f>+IF((PROVEEDORES[[#This Row],[FECHA DE PAGO]]-PROVEEDORES[[#This Row],[FECHA DE FACTURACIÓN]])&gt;PROVEEDORES[[#This Row],[PLAZO Días]],"PAGO VENCIDO")</f>
        <v>0</v>
      </c>
      <c r="C854" s="27">
        <f>+VLOOKUP(PROVEEDORES[[#This Row],[PROVEEDOR]],TERCEROS_INFO[#All],2,FALSE)</f>
        <v>30</v>
      </c>
      <c r="D854" s="37">
        <f>+SUMIFS(PROVEEDORES[Total],PROVEEDORES[PROVEEDOR],PROVEEDORES[[#This Row],[PROVEEDOR]],PROVEEDORES[FECHA DE PAGO],"")</f>
        <v>0</v>
      </c>
      <c r="E854" s="37"/>
      <c r="F854" s="108" t="str">
        <f>+VLOOKUP(PROVEEDORES[[#This Row],[PROVEEDOR]],TERCEROS_INFO[[PROVEEDOR]:[CORREO]],5,FALSE)</f>
        <v/>
      </c>
      <c r="G854" s="143">
        <v>44204</v>
      </c>
      <c r="H854" s="38" t="s">
        <v>40</v>
      </c>
      <c r="I854" s="30">
        <v>44204</v>
      </c>
      <c r="J854" s="58">
        <v>8935</v>
      </c>
      <c r="K854" s="32">
        <v>139700</v>
      </c>
      <c r="L854" s="32"/>
      <c r="M854" s="33">
        <f>(PROVEEDORES[[#This Row],[SUBTOTAL]]-PROVEEDORES[[#This Row],[descuento antes de IVA]])*VLOOKUP(PROVEEDORES[[#This Row],[PROVEEDOR]],TERCEROS_INFO[#All],3,FALSE)</f>
        <v>26543</v>
      </c>
      <c r="N854" s="34"/>
      <c r="O854" s="33">
        <f>+PROVEEDORES[[#This Row],[Descuento sobre subtotal %]]*(PROVEEDORES[[#This Row],[SUBTOTAL]]-PROVEEDORES[[#This Row],[descuento antes de IVA]])</f>
        <v>0</v>
      </c>
      <c r="P8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4" s="33">
        <f>+(PROVEEDORES[[#This Row],[SUBTOTAL]]-PROVEEDORES[[#This Row],[descuento antes de IVA]])*PROVEEDORES[[#This Row],[Rete Fuente %]]</f>
        <v>0</v>
      </c>
      <c r="R854" s="32">
        <f>+PROVEEDORES[[#This Row],[SUBTOTAL]]+PROVEEDORES[[#This Row],[IVA 19%]]-PROVEEDORES[[#This Row],[descuento antes de IVA]]-PROVEEDORES[[#This Row],[Descuento sobre subtotal $]]-PROVEEDORES[[#This Row],[Rete Fuente $]]</f>
        <v>166243</v>
      </c>
      <c r="S85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4"/>
      <c r="U854" s="97"/>
      <c r="W854" s="40"/>
      <c r="X854" s="40"/>
      <c r="Y854" s="41"/>
      <c r="Z854" s="36"/>
      <c r="AA854" s="36"/>
      <c r="AD854" s="41"/>
      <c r="AE854" s="42"/>
      <c r="AF854" s="36"/>
      <c r="AG854" s="36"/>
    </row>
    <row r="855" spans="1:33" ht="21.95" hidden="1" customHeight="1" x14ac:dyDescent="0.25">
      <c r="A855" s="35" t="str">
        <f>+IF(PROVEEDORES[[#This Row],[FECHA DE PAGO]]=PROVEEDORES[[#This Row],[FECHA DE FACTURACIÓN]],"DE CONTADO","CRÉDITO")</f>
        <v>DE CONTADO</v>
      </c>
      <c r="B855" s="67" t="b">
        <f>+IF((PROVEEDORES[[#This Row],[FECHA DE PAGO]]-PROVEEDORES[[#This Row],[FECHA DE FACTURACIÓN]])&gt;PROVEEDORES[[#This Row],[PLAZO Días]],"PAGO VENCIDO")</f>
        <v>0</v>
      </c>
      <c r="C855" s="27">
        <f>+VLOOKUP(PROVEEDORES[[#This Row],[PROVEEDOR]],TERCEROS_INFO[#All],2,FALSE)</f>
        <v>30</v>
      </c>
      <c r="D855" s="37">
        <f>+SUMIFS(PROVEEDORES[Total],PROVEEDORES[PROVEEDOR],PROVEEDORES[[#This Row],[PROVEEDOR]],PROVEEDORES[FECHA DE PAGO],"")</f>
        <v>0</v>
      </c>
      <c r="E855" s="37"/>
      <c r="F855" s="108" t="str">
        <f>+VLOOKUP(PROVEEDORES[[#This Row],[PROVEEDOR]],TERCEROS_INFO[[PROVEEDOR]:[CORREO]],5,FALSE)</f>
        <v/>
      </c>
      <c r="G855" s="143">
        <v>44224</v>
      </c>
      <c r="H855" s="38" t="s">
        <v>40</v>
      </c>
      <c r="I855" s="30">
        <v>44224</v>
      </c>
      <c r="J855" s="58">
        <v>9630</v>
      </c>
      <c r="K855" s="32">
        <v>17000</v>
      </c>
      <c r="L855" s="32"/>
      <c r="M855" s="33">
        <f>(PROVEEDORES[[#This Row],[SUBTOTAL]]-PROVEEDORES[[#This Row],[descuento antes de IVA]])*VLOOKUP(PROVEEDORES[[#This Row],[PROVEEDOR]],TERCEROS_INFO[#All],3,FALSE)</f>
        <v>3230</v>
      </c>
      <c r="N855" s="34"/>
      <c r="O855" s="33">
        <f>+PROVEEDORES[[#This Row],[Descuento sobre subtotal %]]*(PROVEEDORES[[#This Row],[SUBTOTAL]]-PROVEEDORES[[#This Row],[descuento antes de IVA]])</f>
        <v>0</v>
      </c>
      <c r="P8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5" s="33">
        <f>+(PROVEEDORES[[#This Row],[SUBTOTAL]]-PROVEEDORES[[#This Row],[descuento antes de IVA]])*PROVEEDORES[[#This Row],[Rete Fuente %]]</f>
        <v>0</v>
      </c>
      <c r="R855" s="32">
        <f>+PROVEEDORES[[#This Row],[SUBTOTAL]]+PROVEEDORES[[#This Row],[IVA 19%]]-PROVEEDORES[[#This Row],[descuento antes de IVA]]-PROVEEDORES[[#This Row],[Descuento sobre subtotal $]]-PROVEEDORES[[#This Row],[Rete Fuente $]]</f>
        <v>20230</v>
      </c>
      <c r="S85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5"/>
      <c r="U855" s="97"/>
      <c r="W855" s="40"/>
      <c r="X855" s="40"/>
      <c r="Y855" s="41"/>
      <c r="Z855" s="36"/>
      <c r="AA855" s="36"/>
      <c r="AD855" s="41"/>
      <c r="AE855" s="42"/>
      <c r="AF855" s="36"/>
      <c r="AG855" s="36"/>
    </row>
    <row r="856" spans="1:33" ht="21.95" hidden="1" customHeight="1" x14ac:dyDescent="0.25">
      <c r="A856" s="118" t="str">
        <f>+IF(PROVEEDORES[[#This Row],[FECHA DE PAGO]]=PROVEEDORES[[#This Row],[FECHA DE FACTURACIÓN]],"DE CONTADO","CRÉDITO")</f>
        <v>DE CONTADO</v>
      </c>
      <c r="B856" s="70" t="b">
        <f>+IF((PROVEEDORES[[#This Row],[FECHA DE PAGO]]-PROVEEDORES[[#This Row],[FECHA DE FACTURACIÓN]])&gt;PROVEEDORES[[#This Row],[PLAZO Días]],"PAGO VENCIDO")</f>
        <v>0</v>
      </c>
      <c r="C856" s="27">
        <f>+VLOOKUP(PROVEEDORES[[#This Row],[PROVEEDOR]],TERCEROS_INFO[#All],2,FALSE)</f>
        <v>30</v>
      </c>
      <c r="D856" s="37">
        <f>+SUMIFS(PROVEEDORES[Total],PROVEEDORES[PROVEEDOR],PROVEEDORES[[#This Row],[PROVEEDOR]],PROVEEDORES[FECHA DE PAGO],"")</f>
        <v>0</v>
      </c>
      <c r="E856" s="37"/>
      <c r="F856" s="108" t="str">
        <f>+VLOOKUP(PROVEEDORES[[#This Row],[PROVEEDOR]],TERCEROS_INFO[[PROVEEDOR]:[CORREO]],5,FALSE)</f>
        <v/>
      </c>
      <c r="G856" s="143">
        <v>44327</v>
      </c>
      <c r="H856" s="38" t="s">
        <v>40</v>
      </c>
      <c r="I856" s="30">
        <v>44327</v>
      </c>
      <c r="J856" s="58">
        <v>3391</v>
      </c>
      <c r="K856" s="32">
        <v>392000</v>
      </c>
      <c r="L856" s="32"/>
      <c r="M856" s="33">
        <f>(PROVEEDORES[[#This Row],[SUBTOTAL]]-PROVEEDORES[[#This Row],[descuento antes de IVA]])*VLOOKUP(PROVEEDORES[[#This Row],[PROVEEDOR]],TERCEROS_INFO[#All],3,FALSE)</f>
        <v>74480</v>
      </c>
      <c r="N856" s="34"/>
      <c r="O856" s="33">
        <f>+PROVEEDORES[[#This Row],[Descuento sobre subtotal %]]*(PROVEEDORES[[#This Row],[SUBTOTAL]]-PROVEEDORES[[#This Row],[descuento antes de IVA]])</f>
        <v>0</v>
      </c>
      <c r="P8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6" s="33">
        <f>+(PROVEEDORES[[#This Row],[SUBTOTAL]]-PROVEEDORES[[#This Row],[descuento antes de IVA]])*PROVEEDORES[[#This Row],[Rete Fuente %]]</f>
        <v>0</v>
      </c>
      <c r="R856" s="32">
        <f>+PROVEEDORES[[#This Row],[SUBTOTAL]]+PROVEEDORES[[#This Row],[IVA 19%]]-PROVEEDORES[[#This Row],[descuento antes de IVA]]-PROVEEDORES[[#This Row],[Descuento sobre subtotal $]]-PROVEEDORES[[#This Row],[Rete Fuente $]]</f>
        <v>466480</v>
      </c>
      <c r="S856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6"/>
      <c r="U856" s="97"/>
      <c r="W856" s="40"/>
      <c r="X856" s="40"/>
      <c r="Y856" s="41"/>
      <c r="Z856" s="36"/>
      <c r="AA856" s="36"/>
      <c r="AD856" s="41"/>
      <c r="AE856" s="42"/>
      <c r="AF856" s="36"/>
      <c r="AG856" s="36"/>
    </row>
    <row r="857" spans="1:33" ht="21.95" hidden="1" customHeight="1" x14ac:dyDescent="0.25">
      <c r="A857" s="35" t="str">
        <f>+IF(PROVEEDORES[[#This Row],[FECHA DE PAGO]]=PROVEEDORES[[#This Row],[FECHA DE FACTURACIÓN]],"DE CONTADO","CRÉDITO")</f>
        <v>DE CONTADO</v>
      </c>
      <c r="B857" s="70" t="b">
        <f>+IF((PROVEEDORES[[#This Row],[FECHA DE PAGO]]-PROVEEDORES[[#This Row],[FECHA DE FACTURACIÓN]])&gt;PROVEEDORES[[#This Row],[PLAZO Días]],"PAGO VENCIDO")</f>
        <v>0</v>
      </c>
      <c r="C857" s="27">
        <f>+VLOOKUP(PROVEEDORES[[#This Row],[PROVEEDOR]],TERCEROS_INFO[#All],2,FALSE)</f>
        <v>30</v>
      </c>
      <c r="D857" s="37">
        <f>+SUMIFS(PROVEEDORES[Total],PROVEEDORES[PROVEEDOR],PROVEEDORES[[#This Row],[PROVEEDOR]],PROVEEDORES[FECHA DE PAGO],"")</f>
        <v>0</v>
      </c>
      <c r="E857" s="37"/>
      <c r="F857" s="108" t="str">
        <f>+VLOOKUP(PROVEEDORES[[#This Row],[PROVEEDOR]],TERCEROS_INFO[[PROVEEDOR]:[CORREO]],5,FALSE)</f>
        <v/>
      </c>
      <c r="G857" s="143">
        <v>44363</v>
      </c>
      <c r="H857" s="38" t="s">
        <v>40</v>
      </c>
      <c r="I857" s="30">
        <v>44363</v>
      </c>
      <c r="J857" s="58">
        <v>4678</v>
      </c>
      <c r="K857" s="32">
        <v>344000</v>
      </c>
      <c r="L857" s="32"/>
      <c r="M857" s="33">
        <f>(PROVEEDORES[[#This Row],[SUBTOTAL]]-PROVEEDORES[[#This Row],[descuento antes de IVA]])*VLOOKUP(PROVEEDORES[[#This Row],[PROVEEDOR]],TERCEROS_INFO[#All],3,FALSE)</f>
        <v>65360</v>
      </c>
      <c r="N857" s="34"/>
      <c r="O857" s="33">
        <f>+PROVEEDORES[[#This Row],[Descuento sobre subtotal %]]*(PROVEEDORES[[#This Row],[SUBTOTAL]]-PROVEEDORES[[#This Row],[descuento antes de IVA]])</f>
        <v>0</v>
      </c>
      <c r="P8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7" s="33">
        <f>+(PROVEEDORES[[#This Row],[SUBTOTAL]]-PROVEEDORES[[#This Row],[descuento antes de IVA]])*PROVEEDORES[[#This Row],[Rete Fuente %]]</f>
        <v>0</v>
      </c>
      <c r="R857" s="32">
        <f>+PROVEEDORES[[#This Row],[SUBTOTAL]]+PROVEEDORES[[#This Row],[IVA 19%]]-PROVEEDORES[[#This Row],[descuento antes de IVA]]-PROVEEDORES[[#This Row],[Descuento sobre subtotal $]]-PROVEEDORES[[#This Row],[Rete Fuente $]]</f>
        <v>409360</v>
      </c>
      <c r="S85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7"/>
      <c r="U857" s="97"/>
      <c r="W857" s="40"/>
      <c r="X857" s="40"/>
      <c r="Y857" s="41"/>
      <c r="Z857" s="36"/>
      <c r="AA857" s="36"/>
      <c r="AD857" s="41"/>
      <c r="AE857" s="42"/>
      <c r="AF857" s="36"/>
      <c r="AG857" s="36"/>
    </row>
    <row r="858" spans="1:33" ht="21.95" hidden="1" customHeight="1" x14ac:dyDescent="0.25">
      <c r="A858" s="35" t="str">
        <f>+IF(PROVEEDORES[[#This Row],[FECHA DE PAGO]]=PROVEEDORES[[#This Row],[FECHA DE FACTURACIÓN]],"DE CONTADO","CRÉDITO")</f>
        <v>DE CONTADO</v>
      </c>
      <c r="B858" s="70" t="b">
        <f>+IF((PROVEEDORES[[#This Row],[FECHA DE PAGO]]-PROVEEDORES[[#This Row],[FECHA DE FACTURACIÓN]])&gt;PROVEEDORES[[#This Row],[PLAZO Días]],"PAGO VENCIDO")</f>
        <v>0</v>
      </c>
      <c r="C858" s="27">
        <f>+VLOOKUP(PROVEEDORES[[#This Row],[PROVEEDOR]],TERCEROS_INFO[#All],2,FALSE)</f>
        <v>30</v>
      </c>
      <c r="D858" s="37">
        <f>+SUMIFS(PROVEEDORES[Total],PROVEEDORES[PROVEEDOR],PROVEEDORES[[#This Row],[PROVEEDOR]],PROVEEDORES[FECHA DE PAGO],"")</f>
        <v>0</v>
      </c>
      <c r="E858" s="37"/>
      <c r="F858" s="108" t="str">
        <f>+VLOOKUP(PROVEEDORES[[#This Row],[PROVEEDOR]],TERCEROS_INFO[[PROVEEDOR]:[CORREO]],5,FALSE)</f>
        <v/>
      </c>
      <c r="G858" s="143">
        <v>44363</v>
      </c>
      <c r="H858" s="38" t="s">
        <v>40</v>
      </c>
      <c r="I858" s="30">
        <v>44363</v>
      </c>
      <c r="J858" s="58">
        <v>12592</v>
      </c>
      <c r="K858" s="32">
        <v>172000</v>
      </c>
      <c r="L858" s="32"/>
      <c r="M858" s="33">
        <f>(PROVEEDORES[[#This Row],[SUBTOTAL]]-PROVEEDORES[[#This Row],[descuento antes de IVA]])*VLOOKUP(PROVEEDORES[[#This Row],[PROVEEDOR]],TERCEROS_INFO[#All],3,FALSE)</f>
        <v>32680</v>
      </c>
      <c r="N858" s="34"/>
      <c r="O858" s="33">
        <f>+PROVEEDORES[[#This Row],[Descuento sobre subtotal %]]*(PROVEEDORES[[#This Row],[SUBTOTAL]]-PROVEEDORES[[#This Row],[descuento antes de IVA]])</f>
        <v>0</v>
      </c>
      <c r="P8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8" s="33">
        <f>+(PROVEEDORES[[#This Row],[SUBTOTAL]]-PROVEEDORES[[#This Row],[descuento antes de IVA]])*PROVEEDORES[[#This Row],[Rete Fuente %]]</f>
        <v>0</v>
      </c>
      <c r="R858" s="32">
        <f>+PROVEEDORES[[#This Row],[SUBTOTAL]]+PROVEEDORES[[#This Row],[IVA 19%]]-PROVEEDORES[[#This Row],[descuento antes de IVA]]-PROVEEDORES[[#This Row],[Descuento sobre subtotal $]]-PROVEEDORES[[#This Row],[Rete Fuente $]]</f>
        <v>204680</v>
      </c>
      <c r="S85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8"/>
      <c r="U858" s="97"/>
      <c r="W858" s="40"/>
      <c r="X858" s="40"/>
      <c r="Y858" s="41"/>
      <c r="Z858" s="36"/>
      <c r="AA858" s="36"/>
      <c r="AD858" s="41"/>
      <c r="AE858" s="42"/>
      <c r="AF858" s="36"/>
      <c r="AG858" s="36"/>
    </row>
    <row r="859" spans="1:33" ht="21.95" hidden="1" customHeight="1" x14ac:dyDescent="0.25">
      <c r="A859" s="35" t="str">
        <f>+IF(PROVEEDORES[[#This Row],[FECHA DE PAGO]]=PROVEEDORES[[#This Row],[FECHA DE FACTURACIÓN]],"DE CONTADO","CRÉDITO")</f>
        <v>DE CONTADO</v>
      </c>
      <c r="B859" s="70" t="b">
        <f>+IF((PROVEEDORES[[#This Row],[FECHA DE PAGO]]-PROVEEDORES[[#This Row],[FECHA DE FACTURACIÓN]])&gt;PROVEEDORES[[#This Row],[PLAZO Días]],"PAGO VENCIDO")</f>
        <v>0</v>
      </c>
      <c r="C859" s="27">
        <f>+VLOOKUP(PROVEEDORES[[#This Row],[PROVEEDOR]],TERCEROS_INFO[#All],2,FALSE)</f>
        <v>30</v>
      </c>
      <c r="D859" s="37">
        <f>+SUMIFS(PROVEEDORES[Total],PROVEEDORES[PROVEEDOR],PROVEEDORES[[#This Row],[PROVEEDOR]],PROVEEDORES[FECHA DE PAGO],"")</f>
        <v>0</v>
      </c>
      <c r="E859" s="37"/>
      <c r="F859" s="108" t="str">
        <f>+VLOOKUP(PROVEEDORES[[#This Row],[PROVEEDOR]],TERCEROS_INFO[[PROVEEDOR]:[CORREO]],5,FALSE)</f>
        <v/>
      </c>
      <c r="G859" s="143">
        <v>44372</v>
      </c>
      <c r="H859" s="38" t="s">
        <v>40</v>
      </c>
      <c r="I859" s="30">
        <v>44372</v>
      </c>
      <c r="J859" s="58" t="s">
        <v>729</v>
      </c>
      <c r="K859" s="32">
        <v>420000</v>
      </c>
      <c r="L859" s="32"/>
      <c r="M859" s="33">
        <f>(PROVEEDORES[[#This Row],[SUBTOTAL]]-PROVEEDORES[[#This Row],[descuento antes de IVA]])*VLOOKUP(PROVEEDORES[[#This Row],[PROVEEDOR]],TERCEROS_INFO[#All],3,FALSE)</f>
        <v>79800</v>
      </c>
      <c r="N859" s="34"/>
      <c r="O859" s="33">
        <f>+PROVEEDORES[[#This Row],[Descuento sobre subtotal %]]*(PROVEEDORES[[#This Row],[SUBTOTAL]]-PROVEEDORES[[#This Row],[descuento antes de IVA]])</f>
        <v>0</v>
      </c>
      <c r="P8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59" s="33">
        <f>+(PROVEEDORES[[#This Row],[SUBTOTAL]]-PROVEEDORES[[#This Row],[descuento antes de IVA]])*PROVEEDORES[[#This Row],[Rete Fuente %]]</f>
        <v>0</v>
      </c>
      <c r="R859" s="32">
        <f>+PROVEEDORES[[#This Row],[SUBTOTAL]]+PROVEEDORES[[#This Row],[IVA 19%]]-PROVEEDORES[[#This Row],[descuento antes de IVA]]-PROVEEDORES[[#This Row],[Descuento sobre subtotal $]]-PROVEEDORES[[#This Row],[Rete Fuente $]]</f>
        <v>499800</v>
      </c>
      <c r="S85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9"/>
      <c r="U859" s="97"/>
      <c r="W859" s="40"/>
      <c r="X859" s="40"/>
      <c r="Y859" s="41"/>
      <c r="Z859" s="36"/>
      <c r="AA859" s="36"/>
      <c r="AD859" s="41"/>
      <c r="AE859" s="42"/>
      <c r="AF859" s="36"/>
      <c r="AG859" s="36"/>
    </row>
    <row r="860" spans="1:33" ht="21.95" hidden="1" customHeight="1" x14ac:dyDescent="0.25">
      <c r="A860" s="169" t="str">
        <f>+IF(PROVEEDORES[[#This Row],[FECHA DE PAGO]]=PROVEEDORES[[#This Row],[FECHA DE FACTURACIÓN]],"DE CONTADO","CRÉDITO")</f>
        <v>DE CONTADO</v>
      </c>
      <c r="B860" s="70" t="b">
        <f>+IF((PROVEEDORES[[#This Row],[FECHA DE PAGO]]-PROVEEDORES[[#This Row],[FECHA DE FACTURACIÓN]])&gt;PROVEEDORES[[#This Row],[PLAZO Días]],"PAGO VENCIDO")</f>
        <v>0</v>
      </c>
      <c r="C860" s="27">
        <f>+VLOOKUP(PROVEEDORES[[#This Row],[PROVEEDOR]],TERCEROS_INFO[#All],2,FALSE)</f>
        <v>30</v>
      </c>
      <c r="D860" s="37">
        <f>+SUMIFS(PROVEEDORES[Total],PROVEEDORES[PROVEEDOR],PROVEEDORES[[#This Row],[PROVEEDOR]],PROVEEDORES[FECHA DE PAGO],"")</f>
        <v>0</v>
      </c>
      <c r="E860" s="37"/>
      <c r="F860" s="108" t="str">
        <f>+VLOOKUP(PROVEEDORES[[#This Row],[PROVEEDOR]],TERCEROS_INFO[[PROVEEDOR]:[CORREO]],5,FALSE)</f>
        <v/>
      </c>
      <c r="G860" s="30">
        <v>44557</v>
      </c>
      <c r="H860" s="38" t="s">
        <v>40</v>
      </c>
      <c r="I860" s="30">
        <v>44557</v>
      </c>
      <c r="J860" s="58" t="s">
        <v>1338</v>
      </c>
      <c r="K860" s="32">
        <v>143500</v>
      </c>
      <c r="L860" s="32"/>
      <c r="M860" s="33">
        <f>(PROVEEDORES[[#This Row],[SUBTOTAL]]-PROVEEDORES[[#This Row],[descuento antes de IVA]])*VLOOKUP(PROVEEDORES[[#This Row],[PROVEEDOR]],TERCEROS_INFO[#All],3,FALSE)</f>
        <v>27265</v>
      </c>
      <c r="N860" s="34"/>
      <c r="O860" s="33">
        <f>+PROVEEDORES[[#This Row],[Descuento sobre subtotal %]]*(PROVEEDORES[[#This Row],[SUBTOTAL]]-PROVEEDORES[[#This Row],[descuento antes de IVA]])</f>
        <v>0</v>
      </c>
      <c r="P8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0" s="33">
        <f>+(PROVEEDORES[[#This Row],[SUBTOTAL]]-PROVEEDORES[[#This Row],[descuento antes de IVA]])*PROVEEDORES[[#This Row],[Rete Fuente %]]</f>
        <v>0</v>
      </c>
      <c r="R860" s="32">
        <f>+PROVEEDORES[[#This Row],[SUBTOTAL]]+PROVEEDORES[[#This Row],[IVA 19%]]-PROVEEDORES[[#This Row],[descuento antes de IVA]]-PROVEEDORES[[#This Row],[Descuento sobre subtotal $]]-PROVEEDORES[[#This Row],[Rete Fuente $]]</f>
        <v>170765</v>
      </c>
      <c r="S860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0"/>
      <c r="U860" s="97"/>
      <c r="W860" s="40"/>
      <c r="X860" s="40"/>
      <c r="Y860" s="41"/>
      <c r="Z860" s="36"/>
      <c r="AA860" s="36"/>
      <c r="AD860" s="41"/>
      <c r="AE860" s="42"/>
      <c r="AF860" s="36"/>
      <c r="AG860" s="36"/>
    </row>
    <row r="861" spans="1:33" ht="21.95" hidden="1" customHeight="1" x14ac:dyDescent="0.25">
      <c r="A861" s="39" t="str">
        <f>+IF(PROVEEDORES[[#This Row],[FECHA DE PAGO]]=PROVEEDORES[[#This Row],[FECHA DE FACTURACIÓN]],"DE CONTADO","CRÉDITO")</f>
        <v>DE CONTADO</v>
      </c>
      <c r="B861" s="67" t="b">
        <f>+IF((PROVEEDORES[[#This Row],[FECHA DE PAGO]]-PROVEEDORES[[#This Row],[FECHA DE FACTURACIÓN]])&gt;PROVEEDORES[[#This Row],[PLAZO Días]],"PAGO VENCIDO")</f>
        <v>0</v>
      </c>
      <c r="C861" s="27">
        <f>+VLOOKUP(PROVEEDORES[[#This Row],[PROVEEDOR]],TERCEROS_INFO[#All],2,FALSE)</f>
        <v>30</v>
      </c>
      <c r="D861" s="37">
        <f>+SUMIFS(PROVEEDORES[Total],PROVEEDORES[PROVEEDOR],PROVEEDORES[[#This Row],[PROVEEDOR]],PROVEEDORES[FECHA DE PAGO],"")</f>
        <v>0</v>
      </c>
      <c r="E861" s="37" t="s">
        <v>350</v>
      </c>
      <c r="F861" s="108" t="str">
        <f>+VLOOKUP(PROVEEDORES[[#This Row],[PROVEEDOR]],TERCEROS_INFO[[PROVEEDOR]:[CORREO]],5,FALSE)</f>
        <v/>
      </c>
      <c r="G861" s="143">
        <v>44139</v>
      </c>
      <c r="H861" s="38" t="s">
        <v>166</v>
      </c>
      <c r="I861" s="30">
        <v>44139</v>
      </c>
      <c r="J861" s="58">
        <v>8391</v>
      </c>
      <c r="K861" s="32">
        <v>250000</v>
      </c>
      <c r="L861" s="32"/>
      <c r="M861" s="33">
        <f>(PROVEEDORES[[#This Row],[SUBTOTAL]]-PROVEEDORES[[#This Row],[descuento antes de IVA]])*VLOOKUP(PROVEEDORES[[#This Row],[PROVEEDOR]],TERCEROS_INFO[#All],3,FALSE)</f>
        <v>47500</v>
      </c>
      <c r="N861" s="34"/>
      <c r="O861" s="33">
        <f>+PROVEEDORES[[#This Row],[Descuento sobre subtotal %]]*(PROVEEDORES[[#This Row],[SUBTOTAL]]-PROVEEDORES[[#This Row],[descuento antes de IVA]])</f>
        <v>0</v>
      </c>
      <c r="P8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1" s="33">
        <f>+(PROVEEDORES[[#This Row],[SUBTOTAL]]-PROVEEDORES[[#This Row],[descuento antes de IVA]])*PROVEEDORES[[#This Row],[Rete Fuente %]]</f>
        <v>0</v>
      </c>
      <c r="R861" s="32">
        <f>+PROVEEDORES[[#This Row],[SUBTOTAL]]+PROVEEDORES[[#This Row],[IVA 19%]]-PROVEEDORES[[#This Row],[descuento antes de IVA]]-PROVEEDORES[[#This Row],[Descuento sobre subtotal $]]-PROVEEDORES[[#This Row],[Rete Fuente $]]</f>
        <v>297500</v>
      </c>
      <c r="S86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1"/>
      <c r="U861" s="97"/>
      <c r="W861" s="40"/>
      <c r="X861" s="40"/>
      <c r="Y861" s="41"/>
      <c r="Z861" s="36"/>
      <c r="AA861" s="36"/>
      <c r="AD861" s="41"/>
      <c r="AE861" s="42"/>
      <c r="AF861" s="36"/>
      <c r="AG861" s="36"/>
    </row>
    <row r="862" spans="1:33" ht="21.95" hidden="1" customHeight="1" x14ac:dyDescent="0.25">
      <c r="A862" s="39" t="str">
        <f>+IF(PROVEEDORES[[#This Row],[FECHA DE PAGO]]=PROVEEDORES[[#This Row],[FECHA DE FACTURACIÓN]],"DE CONTADO","CRÉDITO")</f>
        <v>CRÉDITO</v>
      </c>
      <c r="B862" s="67" t="str">
        <f>+IF((PROVEEDORES[[#This Row],[FECHA DE PAGO]]-PROVEEDORES[[#This Row],[FECHA DE FACTURACIÓN]])&gt;PROVEEDORES[[#This Row],[PLAZO Días]],"PAGO VENCIDO")</f>
        <v>PAGO VENCIDO</v>
      </c>
      <c r="C862" s="27">
        <f>+VLOOKUP(PROVEEDORES[[#This Row],[PROVEEDOR]],TERCEROS_INFO[#All],2,FALSE)</f>
        <v>30</v>
      </c>
      <c r="D862" s="37">
        <f>+SUMIFS(PROVEEDORES[Total],PROVEEDORES[PROVEEDOR],PROVEEDORES[[#This Row],[PROVEEDOR]],PROVEEDORES[FECHA DE PAGO],"")</f>
        <v>0</v>
      </c>
      <c r="E862" s="37"/>
      <c r="F862" s="108" t="str">
        <f>+VLOOKUP(PROVEEDORES[[#This Row],[PROVEEDOR]],TERCEROS_INFO[[PROVEEDOR]:[CORREO]],5,FALSE)</f>
        <v>Fernando.Carmona@energizer.com;girlesa.ruiz@servipilas.com;joriescobar64@gmail.com</v>
      </c>
      <c r="G862" s="143">
        <v>43956</v>
      </c>
      <c r="H862" s="38" t="s">
        <v>51</v>
      </c>
      <c r="I862" s="30">
        <v>43855</v>
      </c>
      <c r="J862" s="58">
        <v>160210789</v>
      </c>
      <c r="K862" s="32">
        <v>4885600</v>
      </c>
      <c r="L862" s="32"/>
      <c r="M862" s="33">
        <f>(PROVEEDORES[[#This Row],[SUBTOTAL]]-PROVEEDORES[[#This Row],[descuento antes de IVA]])*VLOOKUP(PROVEEDORES[[#This Row],[PROVEEDOR]],TERCEROS_INFO[#All],3,FALSE)</f>
        <v>928264</v>
      </c>
      <c r="N862" s="34"/>
      <c r="O862" s="33">
        <f>+PROVEEDORES[[#This Row],[Descuento sobre subtotal %]]*(PROVEEDORES[[#This Row],[SUBTOTAL]]-PROVEEDORES[[#This Row],[descuento antes de IVA]])</f>
        <v>0</v>
      </c>
      <c r="P8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2" s="33">
        <f>+(PROVEEDORES[[#This Row],[SUBTOTAL]]-PROVEEDORES[[#This Row],[descuento antes de IVA]])*PROVEEDORES[[#This Row],[Rete Fuente %]]</f>
        <v>0</v>
      </c>
      <c r="R862" s="32">
        <f>+PROVEEDORES[[#This Row],[SUBTOTAL]]+PROVEEDORES[[#This Row],[IVA 19%]]-PROVEEDORES[[#This Row],[descuento antes de IVA]]-PROVEEDORES[[#This Row],[Descuento sobre subtotal $]]-PROVEEDORES[[#This Row],[Rete Fuente $]]</f>
        <v>5813864</v>
      </c>
      <c r="S86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2"/>
      <c r="U862" s="97"/>
      <c r="W862" s="40"/>
      <c r="X862" s="40"/>
      <c r="Y862" s="41"/>
      <c r="Z862" s="36"/>
      <c r="AA862" s="36"/>
      <c r="AD862" s="41"/>
      <c r="AE862" s="42"/>
      <c r="AF862" s="36"/>
      <c r="AG862" s="36"/>
    </row>
    <row r="863" spans="1:33" ht="21.95" hidden="1" customHeight="1" x14ac:dyDescent="0.25">
      <c r="A863" s="39" t="str">
        <f>+IF(PROVEEDORES[[#This Row],[FECHA DE PAGO]]=PROVEEDORES[[#This Row],[FECHA DE FACTURACIÓN]],"DE CONTADO","CRÉDITO")</f>
        <v>CRÉDITO</v>
      </c>
      <c r="B863" s="67" t="str">
        <f>+IF((PROVEEDORES[[#This Row],[FECHA DE PAGO]]-PROVEEDORES[[#This Row],[FECHA DE FACTURACIÓN]])&gt;PROVEEDORES[[#This Row],[PLAZO Días]],"PAGO VENCIDO")</f>
        <v>PAGO VENCIDO</v>
      </c>
      <c r="C863" s="27">
        <f>+VLOOKUP(PROVEEDORES[[#This Row],[PROVEEDOR]],TERCEROS_INFO[#All],2,FALSE)</f>
        <v>30</v>
      </c>
      <c r="D863" s="37">
        <f>+SUMIFS(PROVEEDORES[Total],PROVEEDORES[PROVEEDOR],PROVEEDORES[[#This Row],[PROVEEDOR]],PROVEEDORES[FECHA DE PAGO],"")</f>
        <v>0</v>
      </c>
      <c r="E863" s="37"/>
      <c r="F863" s="108" t="str">
        <f>+VLOOKUP(PROVEEDORES[[#This Row],[PROVEEDOR]],TERCEROS_INFO[[PROVEEDOR]:[CORREO]],5,FALSE)</f>
        <v>Fernando.Carmona@energizer.com;girlesa.ruiz@servipilas.com;joriescobar64@gmail.com</v>
      </c>
      <c r="G863" s="143">
        <v>43973</v>
      </c>
      <c r="H863" s="38" t="s">
        <v>51</v>
      </c>
      <c r="I863" s="30">
        <v>43878</v>
      </c>
      <c r="J863" s="58">
        <v>160210981</v>
      </c>
      <c r="K863" s="32">
        <v>689759.66386554623</v>
      </c>
      <c r="L863" s="32"/>
      <c r="M863" s="33">
        <f>(PROVEEDORES[[#This Row],[SUBTOTAL]]-PROVEEDORES[[#This Row],[descuento antes de IVA]])*VLOOKUP(PROVEEDORES[[#This Row],[PROVEEDOR]],TERCEROS_INFO[#All],3,FALSE)</f>
        <v>131054.33613445378</v>
      </c>
      <c r="N863" s="34"/>
      <c r="O863" s="33">
        <f>+PROVEEDORES[[#This Row],[Descuento sobre subtotal %]]*(PROVEEDORES[[#This Row],[SUBTOTAL]]-PROVEEDORES[[#This Row],[descuento antes de IVA]])</f>
        <v>0</v>
      </c>
      <c r="P8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3" s="33">
        <f>+(PROVEEDORES[[#This Row],[SUBTOTAL]]-PROVEEDORES[[#This Row],[descuento antes de IVA]])*PROVEEDORES[[#This Row],[Rete Fuente %]]</f>
        <v>0</v>
      </c>
      <c r="R863" s="32">
        <f>+PROVEEDORES[[#This Row],[SUBTOTAL]]+PROVEEDORES[[#This Row],[IVA 19%]]-PROVEEDORES[[#This Row],[descuento antes de IVA]]-PROVEEDORES[[#This Row],[Descuento sobre subtotal $]]-PROVEEDORES[[#This Row],[Rete Fuente $]]</f>
        <v>820814</v>
      </c>
      <c r="S86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3"/>
      <c r="U863" s="97"/>
      <c r="W863" s="40"/>
      <c r="X863" s="40"/>
      <c r="Y863" s="41"/>
      <c r="Z863" s="36"/>
      <c r="AA863" s="36"/>
      <c r="AD863" s="41"/>
      <c r="AE863" s="42"/>
      <c r="AF863" s="36"/>
      <c r="AG863" s="36"/>
    </row>
    <row r="864" spans="1:33" ht="21.95" hidden="1" customHeight="1" x14ac:dyDescent="0.25">
      <c r="A864" s="39" t="str">
        <f>+IF(PROVEEDORES[[#This Row],[FECHA DE PAGO]]=PROVEEDORES[[#This Row],[FECHA DE FACTURACIÓN]],"DE CONTADO","CRÉDITO")</f>
        <v>CRÉDITO</v>
      </c>
      <c r="B864" s="67" t="str">
        <f>+IF((PROVEEDORES[[#This Row],[FECHA DE PAGO]]-PROVEEDORES[[#This Row],[FECHA DE FACTURACIÓN]])&gt;PROVEEDORES[[#This Row],[PLAZO Días]],"PAGO VENCIDO")</f>
        <v>PAGO VENCIDO</v>
      </c>
      <c r="C864" s="27">
        <f>+VLOOKUP(PROVEEDORES[[#This Row],[PROVEEDOR]],TERCEROS_INFO[#All],2,FALSE)</f>
        <v>30</v>
      </c>
      <c r="D864" s="37">
        <f>+SUMIFS(PROVEEDORES[Total],PROVEEDORES[PROVEEDOR],PROVEEDORES[[#This Row],[PROVEEDOR]],PROVEEDORES[FECHA DE PAGO],"")</f>
        <v>0</v>
      </c>
      <c r="E864" s="37"/>
      <c r="F864" s="108" t="str">
        <f>+VLOOKUP(PROVEEDORES[[#This Row],[PROVEEDOR]],TERCEROS_INFO[[PROVEEDOR]:[CORREO]],5,FALSE)</f>
        <v>Fernando.Carmona@energizer.com;girlesa.ruiz@servipilas.com;joriescobar64@gmail.com</v>
      </c>
      <c r="G864" s="143">
        <v>43983</v>
      </c>
      <c r="H864" s="38" t="s">
        <v>51</v>
      </c>
      <c r="I864" s="30">
        <v>43901</v>
      </c>
      <c r="J864" s="58">
        <v>160211379</v>
      </c>
      <c r="K864" s="32">
        <v>919680</v>
      </c>
      <c r="L864" s="32"/>
      <c r="M864" s="33">
        <f>(PROVEEDORES[[#This Row],[SUBTOTAL]]-PROVEEDORES[[#This Row],[descuento antes de IVA]])*VLOOKUP(PROVEEDORES[[#This Row],[PROVEEDOR]],TERCEROS_INFO[#All],3,FALSE)</f>
        <v>174739.20000000001</v>
      </c>
      <c r="N864" s="34"/>
      <c r="O864" s="33">
        <f>+PROVEEDORES[[#This Row],[Descuento sobre subtotal %]]*(PROVEEDORES[[#This Row],[SUBTOTAL]]-PROVEEDORES[[#This Row],[descuento antes de IVA]])</f>
        <v>0</v>
      </c>
      <c r="P8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4" s="33">
        <f>+(PROVEEDORES[[#This Row],[SUBTOTAL]]-PROVEEDORES[[#This Row],[descuento antes de IVA]])*PROVEEDORES[[#This Row],[Rete Fuente %]]</f>
        <v>0</v>
      </c>
      <c r="R864" s="32">
        <f>+PROVEEDORES[[#This Row],[SUBTOTAL]]+PROVEEDORES[[#This Row],[IVA 19%]]-PROVEEDORES[[#This Row],[descuento antes de IVA]]-PROVEEDORES[[#This Row],[Descuento sobre subtotal $]]-PROVEEDORES[[#This Row],[Rete Fuente $]]</f>
        <v>1094419.2</v>
      </c>
      <c r="S86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4"/>
      <c r="U864" s="97"/>
      <c r="W864" s="40"/>
      <c r="X864" s="40"/>
      <c r="Y864" s="41"/>
      <c r="Z864" s="36"/>
      <c r="AA864" s="36"/>
      <c r="AD864" s="41"/>
      <c r="AE864" s="42"/>
      <c r="AF864" s="36"/>
      <c r="AG864" s="36"/>
    </row>
    <row r="865" spans="1:33" ht="21.95" hidden="1" customHeight="1" x14ac:dyDescent="0.25">
      <c r="A865" s="39" t="str">
        <f>+IF(PROVEEDORES[[#This Row],[FECHA DE PAGO]]=PROVEEDORES[[#This Row],[FECHA DE FACTURACIÓN]],"DE CONTADO","CRÉDITO")</f>
        <v>CRÉDITO</v>
      </c>
      <c r="B865" s="67" t="str">
        <f>+IF((PROVEEDORES[[#This Row],[FECHA DE PAGO]]-PROVEEDORES[[#This Row],[FECHA DE FACTURACIÓN]])&gt;PROVEEDORES[[#This Row],[PLAZO Días]],"PAGO VENCIDO")</f>
        <v>PAGO VENCIDO</v>
      </c>
      <c r="C865" s="27">
        <f>+VLOOKUP(PROVEEDORES[[#This Row],[PROVEEDOR]],TERCEROS_INFO[#All],2,FALSE)</f>
        <v>30</v>
      </c>
      <c r="D865" s="37">
        <f>+SUMIFS(PROVEEDORES[Total],PROVEEDORES[PROVEEDOR],PROVEEDORES[[#This Row],[PROVEEDOR]],PROVEEDORES[FECHA DE PAGO],"")</f>
        <v>0</v>
      </c>
      <c r="E865" s="37"/>
      <c r="F865" s="108" t="str">
        <f>+VLOOKUP(PROVEEDORES[[#This Row],[PROVEEDOR]],TERCEROS_INFO[[PROVEEDOR]:[CORREO]],5,FALSE)</f>
        <v>Fernando.Carmona@energizer.com;girlesa.ruiz@servipilas.com;joriescobar64@gmail.com</v>
      </c>
      <c r="G865" s="143">
        <v>44019</v>
      </c>
      <c r="H865" s="38" t="s">
        <v>51</v>
      </c>
      <c r="I865" s="30">
        <v>43983</v>
      </c>
      <c r="J865" s="58">
        <v>160212163</v>
      </c>
      <c r="K865" s="32">
        <v>8840750</v>
      </c>
      <c r="L865" s="32"/>
      <c r="M865" s="33">
        <f>(PROVEEDORES[[#This Row],[SUBTOTAL]]-PROVEEDORES[[#This Row],[descuento antes de IVA]])*VLOOKUP(PROVEEDORES[[#This Row],[PROVEEDOR]],TERCEROS_INFO[#All],3,FALSE)</f>
        <v>1679742.5</v>
      </c>
      <c r="N865" s="34"/>
      <c r="O865" s="33">
        <f>+PROVEEDORES[[#This Row],[Descuento sobre subtotal %]]*(PROVEEDORES[[#This Row],[SUBTOTAL]]-PROVEEDORES[[#This Row],[descuento antes de IVA]])</f>
        <v>0</v>
      </c>
      <c r="P8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5" s="33">
        <f>+(PROVEEDORES[[#This Row],[SUBTOTAL]]-PROVEEDORES[[#This Row],[descuento antes de IVA]])*PROVEEDORES[[#This Row],[Rete Fuente %]]</f>
        <v>0</v>
      </c>
      <c r="R865" s="32">
        <f>+PROVEEDORES[[#This Row],[SUBTOTAL]]+PROVEEDORES[[#This Row],[IVA 19%]]-PROVEEDORES[[#This Row],[descuento antes de IVA]]-PROVEEDORES[[#This Row],[Descuento sobre subtotal $]]-PROVEEDORES[[#This Row],[Rete Fuente $]]</f>
        <v>10520492.5</v>
      </c>
      <c r="S86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5"/>
      <c r="U865" s="97"/>
      <c r="W865" s="40"/>
      <c r="X865" s="40"/>
      <c r="Y865" s="41"/>
      <c r="Z865" s="36"/>
      <c r="AA865" s="36"/>
      <c r="AD865" s="41"/>
      <c r="AE865" s="42"/>
      <c r="AF865" s="36"/>
      <c r="AG865" s="36"/>
    </row>
    <row r="866" spans="1:33" ht="21.95" hidden="1" customHeight="1" x14ac:dyDescent="0.25">
      <c r="A866" s="39" t="str">
        <f>+IF(PROVEEDORES[[#This Row],[FECHA DE PAGO]]=PROVEEDORES[[#This Row],[FECHA DE FACTURACIÓN]],"DE CONTADO","CRÉDITO")</f>
        <v>CRÉDITO</v>
      </c>
      <c r="B866" s="67" t="str">
        <f>+IF((PROVEEDORES[[#This Row],[FECHA DE PAGO]]-PROVEEDORES[[#This Row],[FECHA DE FACTURACIÓN]])&gt;PROVEEDORES[[#This Row],[PLAZO Días]],"PAGO VENCIDO")</f>
        <v>PAGO VENCIDO</v>
      </c>
      <c r="C866" s="27">
        <f>+VLOOKUP(PROVEEDORES[[#This Row],[PROVEEDOR]],TERCEROS_INFO[#All],2,FALSE)</f>
        <v>30</v>
      </c>
      <c r="D866" s="37">
        <f>+SUMIFS(PROVEEDORES[Total],PROVEEDORES[PROVEEDOR],PROVEEDORES[[#This Row],[PROVEEDOR]],PROVEEDORES[FECHA DE PAGO],"")</f>
        <v>0</v>
      </c>
      <c r="E866" s="37"/>
      <c r="F866" s="108" t="str">
        <f>+VLOOKUP(PROVEEDORES[[#This Row],[PROVEEDOR]],TERCEROS_INFO[[PROVEEDOR]:[CORREO]],5,FALSE)</f>
        <v>Fernando.Carmona@energizer.com;girlesa.ruiz@servipilas.com;joriescobar64@gmail.com</v>
      </c>
      <c r="G866" s="143">
        <v>44053</v>
      </c>
      <c r="H866" s="38" t="s">
        <v>51</v>
      </c>
      <c r="I866" s="30">
        <v>43987</v>
      </c>
      <c r="J866" s="58">
        <v>160212162</v>
      </c>
      <c r="K866" s="32">
        <v>910050</v>
      </c>
      <c r="L866" s="32"/>
      <c r="M866" s="33">
        <f>(PROVEEDORES[[#This Row],[SUBTOTAL]]-PROVEEDORES[[#This Row],[descuento antes de IVA]])*VLOOKUP(PROVEEDORES[[#This Row],[PROVEEDOR]],TERCEROS_INFO[#All],3,FALSE)</f>
        <v>172909.5</v>
      </c>
      <c r="N866" s="34"/>
      <c r="O866" s="33">
        <f>+PROVEEDORES[[#This Row],[Descuento sobre subtotal %]]*(PROVEEDORES[[#This Row],[SUBTOTAL]]-PROVEEDORES[[#This Row],[descuento antes de IVA]])</f>
        <v>0</v>
      </c>
      <c r="P8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6" s="33">
        <f>+(PROVEEDORES[[#This Row],[SUBTOTAL]]-PROVEEDORES[[#This Row],[descuento antes de IVA]])*PROVEEDORES[[#This Row],[Rete Fuente %]]</f>
        <v>0</v>
      </c>
      <c r="R866" s="32">
        <f>+PROVEEDORES[[#This Row],[SUBTOTAL]]+PROVEEDORES[[#This Row],[IVA 19%]]-PROVEEDORES[[#This Row],[descuento antes de IVA]]-PROVEEDORES[[#This Row],[Descuento sobre subtotal $]]-PROVEEDORES[[#This Row],[Rete Fuente $]]</f>
        <v>1082959.5</v>
      </c>
      <c r="S86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6"/>
      <c r="U866" s="97"/>
      <c r="W866" s="40"/>
      <c r="X866" s="40"/>
      <c r="Y866" s="41"/>
      <c r="Z866" s="36"/>
      <c r="AA866" s="36"/>
      <c r="AD866" s="41"/>
      <c r="AE866" s="42"/>
      <c r="AF866" s="36"/>
      <c r="AG866" s="36"/>
    </row>
    <row r="867" spans="1:33" ht="21.95" hidden="1" customHeight="1" x14ac:dyDescent="0.25">
      <c r="A867" s="39" t="str">
        <f>+IF(PROVEEDORES[[#This Row],[FECHA DE PAGO]]=PROVEEDORES[[#This Row],[FECHA DE FACTURACIÓN]],"DE CONTADO","CRÉDITO")</f>
        <v>CRÉDITO</v>
      </c>
      <c r="B867" s="67" t="str">
        <f>+IF((PROVEEDORES[[#This Row],[FECHA DE PAGO]]-PROVEEDORES[[#This Row],[FECHA DE FACTURACIÓN]])&gt;PROVEEDORES[[#This Row],[PLAZO Días]],"PAGO VENCIDO")</f>
        <v>PAGO VENCIDO</v>
      </c>
      <c r="C867" s="27">
        <f>+VLOOKUP(PROVEEDORES[[#This Row],[PROVEEDOR]],TERCEROS_INFO[#All],2,FALSE)</f>
        <v>30</v>
      </c>
      <c r="D867" s="37">
        <f>+SUMIFS(PROVEEDORES[Total],PROVEEDORES[PROVEEDOR],PROVEEDORES[[#This Row],[PROVEEDOR]],PROVEEDORES[FECHA DE PAGO],"")</f>
        <v>0</v>
      </c>
      <c r="E867" s="37"/>
      <c r="F867" s="108" t="str">
        <f>+VLOOKUP(PROVEEDORES[[#This Row],[PROVEEDOR]],TERCEROS_INFO[[PROVEEDOR]:[CORREO]],5,FALSE)</f>
        <v>Fernando.Carmona@energizer.com;girlesa.ruiz@servipilas.com;joriescobar64@gmail.com</v>
      </c>
      <c r="G867" s="143">
        <v>44053</v>
      </c>
      <c r="H867" s="38" t="s">
        <v>51</v>
      </c>
      <c r="I867" s="30">
        <v>43991</v>
      </c>
      <c r="J867" s="58">
        <v>160212296</v>
      </c>
      <c r="K867" s="32">
        <v>917700</v>
      </c>
      <c r="L867" s="32"/>
      <c r="M867" s="33">
        <f>(PROVEEDORES[[#This Row],[SUBTOTAL]]-PROVEEDORES[[#This Row],[descuento antes de IVA]])*VLOOKUP(PROVEEDORES[[#This Row],[PROVEEDOR]],TERCEROS_INFO[#All],3,FALSE)</f>
        <v>174363</v>
      </c>
      <c r="N867" s="34"/>
      <c r="O867" s="33">
        <f>+PROVEEDORES[[#This Row],[Descuento sobre subtotal %]]*(PROVEEDORES[[#This Row],[SUBTOTAL]]-PROVEEDORES[[#This Row],[descuento antes de IVA]])</f>
        <v>0</v>
      </c>
      <c r="P8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7" s="33">
        <f>+(PROVEEDORES[[#This Row],[SUBTOTAL]]-PROVEEDORES[[#This Row],[descuento antes de IVA]])*PROVEEDORES[[#This Row],[Rete Fuente %]]</f>
        <v>0</v>
      </c>
      <c r="R867" s="32">
        <f>+PROVEEDORES[[#This Row],[SUBTOTAL]]+PROVEEDORES[[#This Row],[IVA 19%]]-PROVEEDORES[[#This Row],[descuento antes de IVA]]-PROVEEDORES[[#This Row],[Descuento sobre subtotal $]]-PROVEEDORES[[#This Row],[Rete Fuente $]]</f>
        <v>1092063</v>
      </c>
      <c r="S86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7"/>
      <c r="U867" s="97"/>
      <c r="W867" s="40"/>
      <c r="X867" s="40"/>
      <c r="Y867" s="41"/>
      <c r="Z867" s="36"/>
      <c r="AA867" s="36"/>
      <c r="AD867" s="41"/>
      <c r="AE867" s="42"/>
      <c r="AF867" s="36"/>
      <c r="AG867" s="36"/>
    </row>
    <row r="868" spans="1:33" ht="21.95" hidden="1" customHeight="1" x14ac:dyDescent="0.25">
      <c r="A868" s="39" t="str">
        <f>+IF(PROVEEDORES[[#This Row],[FECHA DE PAGO]]=PROVEEDORES[[#This Row],[FECHA DE FACTURACIÓN]],"DE CONTADO","CRÉDITO")</f>
        <v>CRÉDITO</v>
      </c>
      <c r="B868" s="67" t="str">
        <f>+IF((PROVEEDORES[[#This Row],[FECHA DE PAGO]]-PROVEEDORES[[#This Row],[FECHA DE FACTURACIÓN]])&gt;PROVEEDORES[[#This Row],[PLAZO Días]],"PAGO VENCIDO")</f>
        <v>PAGO VENCIDO</v>
      </c>
      <c r="C868" s="27">
        <f>+VLOOKUP(PROVEEDORES[[#This Row],[PROVEEDOR]],TERCEROS_INFO[#All],2,FALSE)</f>
        <v>30</v>
      </c>
      <c r="D868" s="37">
        <f>+SUMIFS(PROVEEDORES[Total],PROVEEDORES[PROVEEDOR],PROVEEDORES[[#This Row],[PROVEEDOR]],PROVEEDORES[FECHA DE PAGO],"")</f>
        <v>0</v>
      </c>
      <c r="E868" s="37"/>
      <c r="F868" s="108" t="str">
        <f>+VLOOKUP(PROVEEDORES[[#This Row],[PROVEEDOR]],TERCEROS_INFO[[PROVEEDOR]:[CORREO]],5,FALSE)</f>
        <v>Fernando.Carmona@energizer.com;girlesa.ruiz@servipilas.com;joriescobar64@gmail.com</v>
      </c>
      <c r="G868" s="143">
        <v>44095</v>
      </c>
      <c r="H868" s="38" t="s">
        <v>51</v>
      </c>
      <c r="I868" s="30">
        <v>44025</v>
      </c>
      <c r="J868" s="58">
        <v>160212772</v>
      </c>
      <c r="K868" s="32">
        <v>551807.56302521005</v>
      </c>
      <c r="L868" s="32"/>
      <c r="M868" s="33">
        <f>(PROVEEDORES[[#This Row],[SUBTOTAL]]-PROVEEDORES[[#This Row],[descuento antes de IVA]])*VLOOKUP(PROVEEDORES[[#This Row],[PROVEEDOR]],TERCEROS_INFO[#All],3,FALSE)</f>
        <v>104843.43697478992</v>
      </c>
      <c r="N868" s="34"/>
      <c r="O868" s="33">
        <f>+PROVEEDORES[[#This Row],[Descuento sobre subtotal %]]*(PROVEEDORES[[#This Row],[SUBTOTAL]]-PROVEEDORES[[#This Row],[descuento antes de IVA]])</f>
        <v>0</v>
      </c>
      <c r="P8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8" s="33">
        <f>+(PROVEEDORES[[#This Row],[SUBTOTAL]]-PROVEEDORES[[#This Row],[descuento antes de IVA]])*PROVEEDORES[[#This Row],[Rete Fuente %]]</f>
        <v>0</v>
      </c>
      <c r="R868" s="32">
        <f>+PROVEEDORES[[#This Row],[SUBTOTAL]]+PROVEEDORES[[#This Row],[IVA 19%]]-PROVEEDORES[[#This Row],[descuento antes de IVA]]-PROVEEDORES[[#This Row],[Descuento sobre subtotal $]]-PROVEEDORES[[#This Row],[Rete Fuente $]]</f>
        <v>656651</v>
      </c>
      <c r="S86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8"/>
      <c r="U868" s="97"/>
      <c r="W868" s="40"/>
      <c r="X868" s="40"/>
      <c r="Y868" s="41"/>
      <c r="Z868" s="36"/>
      <c r="AA868" s="36"/>
      <c r="AD868" s="41"/>
      <c r="AE868" s="42"/>
      <c r="AF868" s="36"/>
      <c r="AG868" s="36"/>
    </row>
    <row r="869" spans="1:33" ht="21.95" hidden="1" customHeight="1" x14ac:dyDescent="0.25">
      <c r="A869" s="39" t="str">
        <f>+IF(PROVEEDORES[[#This Row],[FECHA DE PAGO]]=PROVEEDORES[[#This Row],[FECHA DE FACTURACIÓN]],"DE CONTADO","CRÉDITO")</f>
        <v>CRÉDITO</v>
      </c>
      <c r="B869" s="67" t="str">
        <f>+IF((PROVEEDORES[[#This Row],[FECHA DE PAGO]]-PROVEEDORES[[#This Row],[FECHA DE FACTURACIÓN]])&gt;PROVEEDORES[[#This Row],[PLAZO Días]],"PAGO VENCIDO")</f>
        <v>PAGO VENCIDO</v>
      </c>
      <c r="C869" s="27">
        <f>+VLOOKUP(PROVEEDORES[[#This Row],[PROVEEDOR]],TERCEROS_INFO[#All],2,FALSE)</f>
        <v>30</v>
      </c>
      <c r="D869" s="37">
        <f>+SUMIFS(PROVEEDORES[Total],PROVEEDORES[PROVEEDOR],PROVEEDORES[[#This Row],[PROVEEDOR]],PROVEEDORES[FECHA DE PAGO],"")</f>
        <v>0</v>
      </c>
      <c r="E869" s="37"/>
      <c r="F869" s="108" t="str">
        <f>+VLOOKUP(PROVEEDORES[[#This Row],[PROVEEDOR]],TERCEROS_INFO[[PROVEEDOR]:[CORREO]],5,FALSE)</f>
        <v>Fernando.Carmona@energizer.com;girlesa.ruiz@servipilas.com;joriescobar64@gmail.com</v>
      </c>
      <c r="G869" s="143">
        <v>44095</v>
      </c>
      <c r="H869" s="38" t="s">
        <v>51</v>
      </c>
      <c r="I869" s="30">
        <v>44026</v>
      </c>
      <c r="J869" s="58">
        <v>160212792</v>
      </c>
      <c r="K869" s="32">
        <v>440400</v>
      </c>
      <c r="L869" s="32"/>
      <c r="M869" s="33">
        <f>(PROVEEDORES[[#This Row],[SUBTOTAL]]-PROVEEDORES[[#This Row],[descuento antes de IVA]])*VLOOKUP(PROVEEDORES[[#This Row],[PROVEEDOR]],TERCEROS_INFO[#All],3,FALSE)</f>
        <v>83676</v>
      </c>
      <c r="N869" s="34"/>
      <c r="O869" s="33">
        <f>+PROVEEDORES[[#This Row],[Descuento sobre subtotal %]]*(PROVEEDORES[[#This Row],[SUBTOTAL]]-PROVEEDORES[[#This Row],[descuento antes de IVA]])</f>
        <v>0</v>
      </c>
      <c r="P8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69" s="33">
        <f>+(PROVEEDORES[[#This Row],[SUBTOTAL]]-PROVEEDORES[[#This Row],[descuento antes de IVA]])*PROVEEDORES[[#This Row],[Rete Fuente %]]</f>
        <v>0</v>
      </c>
      <c r="R869" s="32">
        <f>+PROVEEDORES[[#This Row],[SUBTOTAL]]+PROVEEDORES[[#This Row],[IVA 19%]]-PROVEEDORES[[#This Row],[descuento antes de IVA]]-PROVEEDORES[[#This Row],[Descuento sobre subtotal $]]-PROVEEDORES[[#This Row],[Rete Fuente $]]</f>
        <v>524076</v>
      </c>
      <c r="S86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9"/>
      <c r="U869" s="97"/>
      <c r="W869" s="40"/>
      <c r="X869" s="40"/>
      <c r="Y869" s="41"/>
      <c r="Z869" s="36"/>
      <c r="AA869" s="36"/>
      <c r="AD869" s="41"/>
      <c r="AE869" s="42"/>
      <c r="AF869" s="36"/>
      <c r="AG869" s="36"/>
    </row>
    <row r="870" spans="1:33" ht="21.95" hidden="1" customHeight="1" x14ac:dyDescent="0.25">
      <c r="A870" s="39" t="str">
        <f>+IF(PROVEEDORES[[#This Row],[FECHA DE PAGO]]=PROVEEDORES[[#This Row],[FECHA DE FACTURACIÓN]],"DE CONTADO","CRÉDITO")</f>
        <v>CRÉDITO</v>
      </c>
      <c r="B870" s="67" t="str">
        <f>+IF((PROVEEDORES[[#This Row],[FECHA DE PAGO]]-PROVEEDORES[[#This Row],[FECHA DE FACTURACIÓN]])&gt;PROVEEDORES[[#This Row],[PLAZO Días]],"PAGO VENCIDO")</f>
        <v>PAGO VENCIDO</v>
      </c>
      <c r="C870" s="27">
        <f>+VLOOKUP(PROVEEDORES[[#This Row],[PROVEEDOR]],TERCEROS_INFO[#All],2,FALSE)</f>
        <v>30</v>
      </c>
      <c r="D870" s="37">
        <f>+SUMIFS(PROVEEDORES[Total],PROVEEDORES[PROVEEDOR],PROVEEDORES[[#This Row],[PROVEEDOR]],PROVEEDORES[FECHA DE PAGO],"")</f>
        <v>0</v>
      </c>
      <c r="E870" s="37"/>
      <c r="F870" s="108" t="str">
        <f>+VLOOKUP(PROVEEDORES[[#This Row],[PROVEEDOR]],TERCEROS_INFO[[PROVEEDOR]:[CORREO]],5,FALSE)</f>
        <v>Fernando.Carmona@energizer.com;girlesa.ruiz@servipilas.com;joriescobar64@gmail.com</v>
      </c>
      <c r="G870" s="143">
        <v>44095</v>
      </c>
      <c r="H870" s="38" t="s">
        <v>51</v>
      </c>
      <c r="I870" s="30">
        <v>44026</v>
      </c>
      <c r="J870" s="58">
        <v>160212793</v>
      </c>
      <c r="K870" s="32">
        <v>2426800</v>
      </c>
      <c r="L870" s="32"/>
      <c r="M870" s="33">
        <f>(PROVEEDORES[[#This Row],[SUBTOTAL]]-PROVEEDORES[[#This Row],[descuento antes de IVA]])*VLOOKUP(PROVEEDORES[[#This Row],[PROVEEDOR]],TERCEROS_INFO[#All],3,FALSE)</f>
        <v>461092</v>
      </c>
      <c r="N870" s="34"/>
      <c r="O870" s="33">
        <f>+PROVEEDORES[[#This Row],[Descuento sobre subtotal %]]*(PROVEEDORES[[#This Row],[SUBTOTAL]]-PROVEEDORES[[#This Row],[descuento antes de IVA]])</f>
        <v>0</v>
      </c>
      <c r="P8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0" s="33">
        <f>+(PROVEEDORES[[#This Row],[SUBTOTAL]]-PROVEEDORES[[#This Row],[descuento antes de IVA]])*PROVEEDORES[[#This Row],[Rete Fuente %]]</f>
        <v>0</v>
      </c>
      <c r="R870" s="32">
        <f>+PROVEEDORES[[#This Row],[SUBTOTAL]]+PROVEEDORES[[#This Row],[IVA 19%]]-PROVEEDORES[[#This Row],[descuento antes de IVA]]-PROVEEDORES[[#This Row],[Descuento sobre subtotal $]]-PROVEEDORES[[#This Row],[Rete Fuente $]]</f>
        <v>2887892</v>
      </c>
      <c r="S87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0"/>
      <c r="U870" s="97"/>
      <c r="W870" s="40"/>
      <c r="X870" s="40"/>
      <c r="Y870" s="41"/>
      <c r="Z870" s="36"/>
      <c r="AA870" s="36"/>
      <c r="AD870" s="41"/>
      <c r="AE870" s="42"/>
      <c r="AF870" s="36"/>
      <c r="AG870" s="36"/>
    </row>
    <row r="871" spans="1:33" ht="21.95" hidden="1" customHeight="1" x14ac:dyDescent="0.25">
      <c r="A871" s="39" t="str">
        <f>+IF(PROVEEDORES[[#This Row],[FECHA DE PAGO]]=PROVEEDORES[[#This Row],[FECHA DE FACTURACIÓN]],"DE CONTADO","CRÉDITO")</f>
        <v>CRÉDITO</v>
      </c>
      <c r="B871" s="67" t="str">
        <f>+IF((PROVEEDORES[[#This Row],[FECHA DE PAGO]]-PROVEEDORES[[#This Row],[FECHA DE FACTURACIÓN]])&gt;PROVEEDORES[[#This Row],[PLAZO Días]],"PAGO VENCIDO")</f>
        <v>PAGO VENCIDO</v>
      </c>
      <c r="C871" s="27">
        <f>+VLOOKUP(PROVEEDORES[[#This Row],[PROVEEDOR]],TERCEROS_INFO[#All],2,FALSE)</f>
        <v>30</v>
      </c>
      <c r="D871" s="37">
        <f>+SUMIFS(PROVEEDORES[Total],PROVEEDORES[PROVEEDOR],PROVEEDORES[[#This Row],[PROVEEDOR]],PROVEEDORES[FECHA DE PAGO],"")</f>
        <v>0</v>
      </c>
      <c r="E871" s="37"/>
      <c r="F871" s="108" t="str">
        <f>+VLOOKUP(PROVEEDORES[[#This Row],[PROVEEDOR]],TERCEROS_INFO[[PROVEEDOR]:[CORREO]],5,FALSE)</f>
        <v>Fernando.Carmona@energizer.com;girlesa.ruiz@servipilas.com;joriescobar64@gmail.com</v>
      </c>
      <c r="G871" s="143">
        <v>44158</v>
      </c>
      <c r="H871" s="38" t="s">
        <v>51</v>
      </c>
      <c r="I871" s="30">
        <v>44085</v>
      </c>
      <c r="J871" s="58">
        <v>160213554</v>
      </c>
      <c r="K871" s="32">
        <v>3058951.5966386553</v>
      </c>
      <c r="L871" s="32"/>
      <c r="M871" s="33">
        <f>(PROVEEDORES[[#This Row],[SUBTOTAL]]-PROVEEDORES[[#This Row],[descuento antes de IVA]])*VLOOKUP(PROVEEDORES[[#This Row],[PROVEEDOR]],TERCEROS_INFO[#All],3,FALSE)</f>
        <v>581200.8033613445</v>
      </c>
      <c r="N871" s="34"/>
      <c r="O871" s="33">
        <f>+PROVEEDORES[[#This Row],[Descuento sobre subtotal %]]*(PROVEEDORES[[#This Row],[SUBTOTAL]]-PROVEEDORES[[#This Row],[descuento antes de IVA]])</f>
        <v>0</v>
      </c>
      <c r="P8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1" s="33">
        <f>+(PROVEEDORES[[#This Row],[SUBTOTAL]]-PROVEEDORES[[#This Row],[descuento antes de IVA]])*PROVEEDORES[[#This Row],[Rete Fuente %]]</f>
        <v>0</v>
      </c>
      <c r="R871" s="32">
        <f>+PROVEEDORES[[#This Row],[SUBTOTAL]]+PROVEEDORES[[#This Row],[IVA 19%]]-PROVEEDORES[[#This Row],[descuento antes de IVA]]-PROVEEDORES[[#This Row],[Descuento sobre subtotal $]]-PROVEEDORES[[#This Row],[Rete Fuente $]]</f>
        <v>3640152.4</v>
      </c>
      <c r="S87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1"/>
      <c r="U871" s="97"/>
      <c r="W871" s="40"/>
      <c r="X871" s="40"/>
      <c r="Y871" s="41"/>
      <c r="Z871" s="36"/>
      <c r="AA871" s="36"/>
      <c r="AD871" s="41"/>
      <c r="AE871" s="42"/>
      <c r="AF871" s="36"/>
      <c r="AG871" s="36"/>
    </row>
    <row r="872" spans="1:33" ht="21.95" hidden="1" customHeight="1" x14ac:dyDescent="0.25">
      <c r="A872" s="39" t="str">
        <f>+IF(PROVEEDORES[[#This Row],[FECHA DE PAGO]]=PROVEEDORES[[#This Row],[FECHA DE FACTURACIÓN]],"DE CONTADO","CRÉDITO")</f>
        <v>CRÉDITO</v>
      </c>
      <c r="B872" s="67" t="str">
        <f>+IF((PROVEEDORES[[#This Row],[FECHA DE PAGO]]-PROVEEDORES[[#This Row],[FECHA DE FACTURACIÓN]])&gt;PROVEEDORES[[#This Row],[PLAZO Días]],"PAGO VENCIDO")</f>
        <v>PAGO VENCIDO</v>
      </c>
      <c r="C872" s="27">
        <f>+VLOOKUP(PROVEEDORES[[#This Row],[PROVEEDOR]],TERCEROS_INFO[#All],2,FALSE)</f>
        <v>30</v>
      </c>
      <c r="D872" s="37">
        <f>+SUMIFS(PROVEEDORES[Total],PROVEEDORES[PROVEEDOR],PROVEEDORES[[#This Row],[PROVEEDOR]],PROVEEDORES[FECHA DE PAGO],"")</f>
        <v>0</v>
      </c>
      <c r="E872" s="37"/>
      <c r="F872" s="108" t="str">
        <f>+VLOOKUP(PROVEEDORES[[#This Row],[PROVEEDOR]],TERCEROS_INFO[[PROVEEDOR]:[CORREO]],5,FALSE)</f>
        <v>Fernando.Carmona@energizer.com;girlesa.ruiz@servipilas.com;joriescobar64@gmail.com</v>
      </c>
      <c r="G872" s="143">
        <v>44158</v>
      </c>
      <c r="H872" s="38" t="s">
        <v>51</v>
      </c>
      <c r="I872" s="30">
        <v>44098</v>
      </c>
      <c r="J872" s="58" t="s">
        <v>147</v>
      </c>
      <c r="K872" s="32">
        <v>-60670.000000000007</v>
      </c>
      <c r="L872" s="32"/>
      <c r="M872" s="33">
        <f>(PROVEEDORES[[#This Row],[SUBTOTAL]]-PROVEEDORES[[#This Row],[descuento antes de IVA]])*VLOOKUP(PROVEEDORES[[#This Row],[PROVEEDOR]],TERCEROS_INFO[#All],3,FALSE)</f>
        <v>-11527.300000000001</v>
      </c>
      <c r="N872" s="34"/>
      <c r="O872" s="33">
        <f>+PROVEEDORES[[#This Row],[Descuento sobre subtotal %]]*(PROVEEDORES[[#This Row],[SUBTOTAL]]-PROVEEDORES[[#This Row],[descuento antes de IVA]])</f>
        <v>0</v>
      </c>
      <c r="P8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2" s="33">
        <f>+(PROVEEDORES[[#This Row],[SUBTOTAL]]-PROVEEDORES[[#This Row],[descuento antes de IVA]])*PROVEEDORES[[#This Row],[Rete Fuente %]]</f>
        <v>0</v>
      </c>
      <c r="R872" s="32">
        <f>+PROVEEDORES[[#This Row],[SUBTOTAL]]+PROVEEDORES[[#This Row],[IVA 19%]]-PROVEEDORES[[#This Row],[descuento antes de IVA]]-PROVEEDORES[[#This Row],[Descuento sobre subtotal $]]-PROVEEDORES[[#This Row],[Rete Fuente $]]</f>
        <v>-72197.3</v>
      </c>
      <c r="S87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2"/>
      <c r="U872" s="97"/>
      <c r="W872" s="40"/>
      <c r="X872" s="40"/>
      <c r="Y872" s="41"/>
      <c r="Z872" s="36"/>
      <c r="AA872" s="36"/>
      <c r="AD872" s="41"/>
      <c r="AE872" s="42"/>
      <c r="AF872" s="36"/>
      <c r="AG872" s="36"/>
    </row>
    <row r="873" spans="1:33" ht="21.95" hidden="1" customHeight="1" x14ac:dyDescent="0.25">
      <c r="A873" s="39" t="str">
        <f>+IF(PROVEEDORES[[#This Row],[FECHA DE PAGO]]=PROVEEDORES[[#This Row],[FECHA DE FACTURACIÓN]],"DE CONTADO","CRÉDITO")</f>
        <v>CRÉDITO</v>
      </c>
      <c r="B873" s="67" t="str">
        <f>+IF((PROVEEDORES[[#This Row],[FECHA DE PAGO]]-PROVEEDORES[[#This Row],[FECHA DE FACTURACIÓN]])&gt;PROVEEDORES[[#This Row],[PLAZO Días]],"PAGO VENCIDO")</f>
        <v>PAGO VENCIDO</v>
      </c>
      <c r="C873" s="27">
        <f>+VLOOKUP(PROVEEDORES[[#This Row],[PROVEEDOR]],TERCEROS_INFO[#All],2,FALSE)</f>
        <v>30</v>
      </c>
      <c r="D873" s="37">
        <f>+SUMIFS(PROVEEDORES[Total],PROVEEDORES[PROVEEDOR],PROVEEDORES[[#This Row],[PROVEEDOR]],PROVEEDORES[FECHA DE PAGO],"")</f>
        <v>0</v>
      </c>
      <c r="E873" s="37"/>
      <c r="F873" s="108" t="str">
        <f>+VLOOKUP(PROVEEDORES[[#This Row],[PROVEEDOR]],TERCEROS_INFO[[PROVEEDOR]:[CORREO]],5,FALSE)</f>
        <v>Fernando.Carmona@energizer.com;girlesa.ruiz@servipilas.com;joriescobar64@gmail.com</v>
      </c>
      <c r="G873" s="143">
        <v>44180</v>
      </c>
      <c r="H873" s="38" t="s">
        <v>51</v>
      </c>
      <c r="I873" s="30">
        <v>44113</v>
      </c>
      <c r="J873" s="58">
        <v>160214117</v>
      </c>
      <c r="K873" s="32">
        <v>3310848.0000000005</v>
      </c>
      <c r="L873" s="32"/>
      <c r="M873" s="33">
        <f>(PROVEEDORES[[#This Row],[SUBTOTAL]]-PROVEEDORES[[#This Row],[descuento antes de IVA]])*VLOOKUP(PROVEEDORES[[#This Row],[PROVEEDOR]],TERCEROS_INFO[#All],3,FALSE)</f>
        <v>629061.12000000011</v>
      </c>
      <c r="N873" s="34"/>
      <c r="O873" s="33">
        <f>+PROVEEDORES[[#This Row],[Descuento sobre subtotal %]]*(PROVEEDORES[[#This Row],[SUBTOTAL]]-PROVEEDORES[[#This Row],[descuento antes de IVA]])</f>
        <v>0</v>
      </c>
      <c r="P8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3" s="33">
        <f>+(PROVEEDORES[[#This Row],[SUBTOTAL]]-PROVEEDORES[[#This Row],[descuento antes de IVA]])*PROVEEDORES[[#This Row],[Rete Fuente %]]</f>
        <v>0</v>
      </c>
      <c r="R873" s="32">
        <f>+PROVEEDORES[[#This Row],[SUBTOTAL]]+PROVEEDORES[[#This Row],[IVA 19%]]-PROVEEDORES[[#This Row],[descuento antes de IVA]]-PROVEEDORES[[#This Row],[Descuento sobre subtotal $]]-PROVEEDORES[[#This Row],[Rete Fuente $]]</f>
        <v>3939909.1200000006</v>
      </c>
      <c r="S87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3"/>
      <c r="U873" s="97"/>
      <c r="W873" s="40"/>
      <c r="X873" s="40"/>
      <c r="Y873" s="41"/>
      <c r="Z873" s="36"/>
      <c r="AA873" s="36"/>
      <c r="AD873" s="41"/>
      <c r="AE873" s="42"/>
      <c r="AF873" s="36"/>
      <c r="AG873" s="36"/>
    </row>
    <row r="874" spans="1:33" ht="21.95" hidden="1" customHeight="1" x14ac:dyDescent="0.25">
      <c r="A874" s="39" t="str">
        <f>+IF(PROVEEDORES[[#This Row],[FECHA DE PAGO]]=PROVEEDORES[[#This Row],[FECHA DE FACTURACIÓN]],"DE CONTADO","CRÉDITO")</f>
        <v>CRÉDITO</v>
      </c>
      <c r="B874" s="67" t="b">
        <f>+IF((PROVEEDORES[[#This Row],[FECHA DE PAGO]]-PROVEEDORES[[#This Row],[FECHA DE FACTURACIÓN]])&gt;PROVEEDORES[[#This Row],[PLAZO Días]],"PAGO VENCIDO")</f>
        <v>0</v>
      </c>
      <c r="C874" s="27">
        <f>+VLOOKUP(PROVEEDORES[[#This Row],[PROVEEDOR]],TERCEROS_INFO[#All],2,FALSE)</f>
        <v>30</v>
      </c>
      <c r="D874" s="37">
        <f>+SUMIFS(PROVEEDORES[Total],PROVEEDORES[PROVEEDOR],PROVEEDORES[[#This Row],[PROVEEDOR]],PROVEEDORES[FECHA DE PAGO],"")</f>
        <v>0</v>
      </c>
      <c r="E874" s="37"/>
      <c r="F874" s="108" t="str">
        <f>+VLOOKUP(PROVEEDORES[[#This Row],[PROVEEDOR]],TERCEROS_INFO[[PROVEEDOR]:[CORREO]],5,FALSE)</f>
        <v>Fernando.Carmona@energizer.com;girlesa.ruiz@servipilas.com;joriescobar64@gmail.com</v>
      </c>
      <c r="G874" s="143">
        <v>44180</v>
      </c>
      <c r="H874" s="38" t="s">
        <v>51</v>
      </c>
      <c r="I874" s="30">
        <v>44161</v>
      </c>
      <c r="J874" s="58">
        <v>160215004</v>
      </c>
      <c r="K874" s="32">
        <v>1314998.0000000002</v>
      </c>
      <c r="L874" s="32"/>
      <c r="M874" s="33">
        <f>(PROVEEDORES[[#This Row],[SUBTOTAL]]-PROVEEDORES[[#This Row],[descuento antes de IVA]])*VLOOKUP(PROVEEDORES[[#This Row],[PROVEEDOR]],TERCEROS_INFO[#All],3,FALSE)</f>
        <v>249849.62000000005</v>
      </c>
      <c r="N874" s="34"/>
      <c r="O874" s="33">
        <f>+PROVEEDORES[[#This Row],[Descuento sobre subtotal %]]*(PROVEEDORES[[#This Row],[SUBTOTAL]]-PROVEEDORES[[#This Row],[descuento antes de IVA]])</f>
        <v>0</v>
      </c>
      <c r="P8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4" s="33">
        <f>+(PROVEEDORES[[#This Row],[SUBTOTAL]]-PROVEEDORES[[#This Row],[descuento antes de IVA]])*PROVEEDORES[[#This Row],[Rete Fuente %]]</f>
        <v>0</v>
      </c>
      <c r="R874" s="32">
        <f>+PROVEEDORES[[#This Row],[SUBTOTAL]]+PROVEEDORES[[#This Row],[IVA 19%]]-PROVEEDORES[[#This Row],[descuento antes de IVA]]-PROVEEDORES[[#This Row],[Descuento sobre subtotal $]]-PROVEEDORES[[#This Row],[Rete Fuente $]]</f>
        <v>1564847.6200000003</v>
      </c>
      <c r="S87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4"/>
      <c r="U874" s="97"/>
      <c r="W874" s="40"/>
      <c r="X874" s="40"/>
      <c r="Y874" s="41"/>
      <c r="Z874" s="36"/>
      <c r="AA874" s="36"/>
      <c r="AD874" s="41"/>
      <c r="AE874" s="42"/>
      <c r="AF874" s="36"/>
      <c r="AG874" s="36"/>
    </row>
    <row r="875" spans="1:33" ht="21.95" hidden="1" customHeight="1" x14ac:dyDescent="0.25">
      <c r="A875" s="39" t="str">
        <f>+IF(PROVEEDORES[[#This Row],[FECHA DE PAGO]]=PROVEEDORES[[#This Row],[FECHA DE FACTURACIÓN]],"DE CONTADO","CRÉDITO")</f>
        <v>CRÉDITO</v>
      </c>
      <c r="B875" s="67" t="str">
        <f>+IF((PROVEEDORES[[#This Row],[FECHA DE PAGO]]-PROVEEDORES[[#This Row],[FECHA DE FACTURACIÓN]])&gt;PROVEEDORES[[#This Row],[PLAZO Días]],"PAGO VENCIDO")</f>
        <v>PAGO VENCIDO</v>
      </c>
      <c r="C875" s="27">
        <f>+VLOOKUP(PROVEEDORES[[#This Row],[PROVEEDOR]],TERCEROS_INFO[#All],2,FALSE)</f>
        <v>30</v>
      </c>
      <c r="D875" s="37">
        <f>+SUMIFS(PROVEEDORES[Total],PROVEEDORES[PROVEEDOR],PROVEEDORES[[#This Row],[PROVEEDOR]],PROVEEDORES[FECHA DE PAGO],"")</f>
        <v>0</v>
      </c>
      <c r="E875" s="37"/>
      <c r="F875" s="108" t="str">
        <f>+VLOOKUP(PROVEEDORES[[#This Row],[PROVEEDOR]],TERCEROS_INFO[[PROVEEDOR]:[CORREO]],5,FALSE)</f>
        <v>Fernando.Carmona@energizer.com;girlesa.ruiz@servipilas.com;joriescobar64@gmail.com</v>
      </c>
      <c r="G875" s="143">
        <v>44243</v>
      </c>
      <c r="H875" s="38" t="s">
        <v>51</v>
      </c>
      <c r="I875" s="30">
        <v>44181</v>
      </c>
      <c r="J875" s="58">
        <v>160215342</v>
      </c>
      <c r="K875" s="32">
        <v>1631002</v>
      </c>
      <c r="L875" s="32"/>
      <c r="M875" s="33">
        <f>(PROVEEDORES[[#This Row],[SUBTOTAL]]-PROVEEDORES[[#This Row],[descuento antes de IVA]])*VLOOKUP(PROVEEDORES[[#This Row],[PROVEEDOR]],TERCEROS_INFO[#All],3,FALSE)</f>
        <v>309890.38</v>
      </c>
      <c r="N875" s="34"/>
      <c r="O875" s="33">
        <f>+PROVEEDORES[[#This Row],[Descuento sobre subtotal %]]*(PROVEEDORES[[#This Row],[SUBTOTAL]]-PROVEEDORES[[#This Row],[descuento antes de IVA]])</f>
        <v>0</v>
      </c>
      <c r="P8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5" s="33">
        <f>+(PROVEEDORES[[#This Row],[SUBTOTAL]]-PROVEEDORES[[#This Row],[descuento antes de IVA]])*PROVEEDORES[[#This Row],[Rete Fuente %]]</f>
        <v>0</v>
      </c>
      <c r="R875" s="32">
        <f>+PROVEEDORES[[#This Row],[SUBTOTAL]]+PROVEEDORES[[#This Row],[IVA 19%]]-PROVEEDORES[[#This Row],[descuento antes de IVA]]-PROVEEDORES[[#This Row],[Descuento sobre subtotal $]]-PROVEEDORES[[#This Row],[Rete Fuente $]]</f>
        <v>1940892.38</v>
      </c>
      <c r="S87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5"/>
      <c r="U875" s="97"/>
      <c r="W875" s="40"/>
      <c r="X875" s="40"/>
      <c r="Y875" s="41"/>
      <c r="Z875" s="36"/>
      <c r="AA875" s="36"/>
      <c r="AD875" s="41"/>
      <c r="AE875" s="42"/>
      <c r="AF875" s="36"/>
      <c r="AG875" s="36"/>
    </row>
    <row r="876" spans="1:33" ht="21.95" hidden="1" customHeight="1" x14ac:dyDescent="0.25">
      <c r="A876" s="88" t="str">
        <f>+IF(PROVEEDORES[[#This Row],[FECHA DE PAGO]]=PROVEEDORES[[#This Row],[FECHA DE FACTURACIÓN]],"DE CONTADO","CRÉDITO")</f>
        <v>CRÉDITO</v>
      </c>
      <c r="B876" s="70" t="str">
        <f>+IF((PROVEEDORES[[#This Row],[FECHA DE PAGO]]-PROVEEDORES[[#This Row],[FECHA DE FACTURACIÓN]])&gt;PROVEEDORES[[#This Row],[PLAZO Días]],"PAGO VENCIDO")</f>
        <v>PAGO VENCIDO</v>
      </c>
      <c r="C876" s="27">
        <f>+VLOOKUP(PROVEEDORES[[#This Row],[PROVEEDOR]],TERCEROS_INFO[#All],2,FALSE)</f>
        <v>30</v>
      </c>
      <c r="D876" s="37">
        <f>+SUMIFS(PROVEEDORES[Total],PROVEEDORES[PROVEEDOR],PROVEEDORES[[#This Row],[PROVEEDOR]],PROVEEDORES[FECHA DE PAGO],"")</f>
        <v>0</v>
      </c>
      <c r="E876" s="37"/>
      <c r="F876" s="108" t="str">
        <f>+VLOOKUP(PROVEEDORES[[#This Row],[PROVEEDOR]],TERCEROS_INFO[[PROVEEDOR]:[CORREO]],5,FALSE)</f>
        <v>Fernando.Carmona@energizer.com;girlesa.ruiz@servipilas.com;joriescobar64@gmail.com</v>
      </c>
      <c r="G876" s="143">
        <v>44321</v>
      </c>
      <c r="H876" s="38" t="s">
        <v>51</v>
      </c>
      <c r="I876" s="30">
        <v>44243</v>
      </c>
      <c r="J876" s="58" t="s">
        <v>492</v>
      </c>
      <c r="K876" s="32">
        <v>-54316</v>
      </c>
      <c r="L876" s="32"/>
      <c r="M876" s="33">
        <f>(PROVEEDORES[[#This Row],[SUBTOTAL]]-PROVEEDORES[[#This Row],[descuento antes de IVA]])*VLOOKUP(PROVEEDORES[[#This Row],[PROVEEDOR]],TERCEROS_INFO[#All],3,FALSE)</f>
        <v>-10320.040000000001</v>
      </c>
      <c r="N876" s="34"/>
      <c r="O876" s="33">
        <f>+PROVEEDORES[[#This Row],[Descuento sobre subtotal %]]*(PROVEEDORES[[#This Row],[SUBTOTAL]]-PROVEEDORES[[#This Row],[descuento antes de IVA]])</f>
        <v>0</v>
      </c>
      <c r="P8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6" s="33">
        <f>+(PROVEEDORES[[#This Row],[SUBTOTAL]]-PROVEEDORES[[#This Row],[descuento antes de IVA]])*PROVEEDORES[[#This Row],[Rete Fuente %]]</f>
        <v>0</v>
      </c>
      <c r="R876" s="32">
        <f>+PROVEEDORES[[#This Row],[SUBTOTAL]]+PROVEEDORES[[#This Row],[IVA 19%]]-PROVEEDORES[[#This Row],[descuento antes de IVA]]-PROVEEDORES[[#This Row],[Descuento sobre subtotal $]]-PROVEEDORES[[#This Row],[Rete Fuente $]]</f>
        <v>-64636.04</v>
      </c>
      <c r="S87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6"/>
      <c r="U876" s="97"/>
      <c r="W876" s="40"/>
      <c r="X876" s="40"/>
      <c r="Y876" s="41"/>
      <c r="Z876" s="36"/>
      <c r="AA876" s="36"/>
      <c r="AD876" s="41"/>
      <c r="AE876" s="42"/>
      <c r="AF876" s="36"/>
      <c r="AG876" s="36"/>
    </row>
    <row r="877" spans="1:33" ht="21.95" hidden="1" customHeight="1" x14ac:dyDescent="0.25">
      <c r="A877" s="88" t="str">
        <f>+IF(PROVEEDORES[[#This Row],[FECHA DE PAGO]]=PROVEEDORES[[#This Row],[FECHA DE FACTURACIÓN]],"DE CONTADO","CRÉDITO")</f>
        <v>CRÉDITO</v>
      </c>
      <c r="B877" s="70" t="str">
        <f>+IF((PROVEEDORES[[#This Row],[FECHA DE PAGO]]-PROVEEDORES[[#This Row],[FECHA DE FACTURACIÓN]])&gt;PROVEEDORES[[#This Row],[PLAZO Días]],"PAGO VENCIDO")</f>
        <v>PAGO VENCIDO</v>
      </c>
      <c r="C877" s="27">
        <f>+VLOOKUP(PROVEEDORES[[#This Row],[PROVEEDOR]],TERCEROS_INFO[#All],2,FALSE)</f>
        <v>30</v>
      </c>
      <c r="D877" s="37">
        <f>+SUMIFS(PROVEEDORES[Total],PROVEEDORES[PROVEEDOR],PROVEEDORES[[#This Row],[PROVEEDOR]],PROVEEDORES[FECHA DE PAGO],"")</f>
        <v>0</v>
      </c>
      <c r="E877" s="37"/>
      <c r="F877" s="108" t="str">
        <f>+VLOOKUP(PROVEEDORES[[#This Row],[PROVEEDOR]],TERCEROS_INFO[[PROVEEDOR]:[CORREO]],5,FALSE)</f>
        <v>Fernando.Carmona@energizer.com;girlesa.ruiz@servipilas.com;joriescobar64@gmail.com</v>
      </c>
      <c r="G877" s="143">
        <v>44321</v>
      </c>
      <c r="H877" s="38" t="s">
        <v>51</v>
      </c>
      <c r="I877" s="30">
        <v>44277</v>
      </c>
      <c r="J877" s="58">
        <v>160216236</v>
      </c>
      <c r="K877" s="32">
        <v>2479248</v>
      </c>
      <c r="L877" s="32"/>
      <c r="M877" s="33">
        <f>(PROVEEDORES[[#This Row],[SUBTOTAL]]-PROVEEDORES[[#This Row],[descuento antes de IVA]])*VLOOKUP(PROVEEDORES[[#This Row],[PROVEEDOR]],TERCEROS_INFO[#All],3,FALSE)</f>
        <v>471057.12</v>
      </c>
      <c r="N877" s="34"/>
      <c r="O877" s="33">
        <f>+PROVEEDORES[[#This Row],[Descuento sobre subtotal %]]*(PROVEEDORES[[#This Row],[SUBTOTAL]]-PROVEEDORES[[#This Row],[descuento antes de IVA]])</f>
        <v>0</v>
      </c>
      <c r="P8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7" s="33">
        <f>+(PROVEEDORES[[#This Row],[SUBTOTAL]]-PROVEEDORES[[#This Row],[descuento antes de IVA]])*PROVEEDORES[[#This Row],[Rete Fuente %]]</f>
        <v>0</v>
      </c>
      <c r="R877" s="32">
        <f>+PROVEEDORES[[#This Row],[SUBTOTAL]]+PROVEEDORES[[#This Row],[IVA 19%]]-PROVEEDORES[[#This Row],[descuento antes de IVA]]-PROVEEDORES[[#This Row],[Descuento sobre subtotal $]]-PROVEEDORES[[#This Row],[Rete Fuente $]]</f>
        <v>2950305.12</v>
      </c>
      <c r="S877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7"/>
      <c r="U877" s="97"/>
      <c r="W877" s="40"/>
      <c r="X877" s="40"/>
      <c r="Y877" s="41"/>
      <c r="Z877" s="36"/>
      <c r="AA877" s="36"/>
      <c r="AD877" s="41"/>
      <c r="AE877" s="42"/>
      <c r="AF877" s="36"/>
      <c r="AG877" s="36"/>
    </row>
    <row r="878" spans="1:33" ht="21.95" hidden="1" customHeight="1" x14ac:dyDescent="0.25">
      <c r="A878" s="88" t="str">
        <f>+IF(PROVEEDORES[[#This Row],[FECHA DE PAGO]]=PROVEEDORES[[#This Row],[FECHA DE FACTURACIÓN]],"DE CONTADO","CRÉDITO")</f>
        <v>CRÉDITO</v>
      </c>
      <c r="B878" s="70" t="str">
        <f>+IF((PROVEEDORES[[#This Row],[FECHA DE PAGO]]-PROVEEDORES[[#This Row],[FECHA DE FACTURACIÓN]])&gt;PROVEEDORES[[#This Row],[PLAZO Días]],"PAGO VENCIDO")</f>
        <v>PAGO VENCIDO</v>
      </c>
      <c r="C878" s="27">
        <f>+VLOOKUP(PROVEEDORES[[#This Row],[PROVEEDOR]],TERCEROS_INFO[#All],2,FALSE)</f>
        <v>30</v>
      </c>
      <c r="D878" s="37">
        <f>+SUMIFS(PROVEEDORES[Total],PROVEEDORES[PROVEEDOR],PROVEEDORES[[#This Row],[PROVEEDOR]],PROVEEDORES[FECHA DE PAGO],"")</f>
        <v>0</v>
      </c>
      <c r="E878" s="37"/>
      <c r="F878" s="108" t="str">
        <f>+VLOOKUP(PROVEEDORES[[#This Row],[PROVEEDOR]],TERCEROS_INFO[[PROVEEDOR]:[CORREO]],5,FALSE)</f>
        <v>Fernando.Carmona@energizer.com;girlesa.ruiz@servipilas.com;joriescobar64@gmail.com</v>
      </c>
      <c r="G878" s="143">
        <v>44321</v>
      </c>
      <c r="H878" s="38" t="s">
        <v>51</v>
      </c>
      <c r="I878" s="30">
        <v>44280</v>
      </c>
      <c r="J878" s="58">
        <v>160216698</v>
      </c>
      <c r="K878" s="32">
        <v>1213400</v>
      </c>
      <c r="L878" s="32"/>
      <c r="M878" s="33">
        <f>(PROVEEDORES[[#This Row],[SUBTOTAL]]-PROVEEDORES[[#This Row],[descuento antes de IVA]])*VLOOKUP(PROVEEDORES[[#This Row],[PROVEEDOR]],TERCEROS_INFO[#All],3,FALSE)</f>
        <v>230546</v>
      </c>
      <c r="N878" s="34"/>
      <c r="O878" s="33">
        <f>+PROVEEDORES[[#This Row],[Descuento sobre subtotal %]]*(PROVEEDORES[[#This Row],[SUBTOTAL]]-PROVEEDORES[[#This Row],[descuento antes de IVA]])</f>
        <v>0</v>
      </c>
      <c r="P8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8" s="33">
        <f>+(PROVEEDORES[[#This Row],[SUBTOTAL]]-PROVEEDORES[[#This Row],[descuento antes de IVA]])*PROVEEDORES[[#This Row],[Rete Fuente %]]</f>
        <v>0</v>
      </c>
      <c r="R878" s="32">
        <f>+PROVEEDORES[[#This Row],[SUBTOTAL]]+PROVEEDORES[[#This Row],[IVA 19%]]-PROVEEDORES[[#This Row],[descuento antes de IVA]]-PROVEEDORES[[#This Row],[Descuento sobre subtotal $]]-PROVEEDORES[[#This Row],[Rete Fuente $]]</f>
        <v>1443946</v>
      </c>
      <c r="S878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8"/>
      <c r="U878" s="97"/>
      <c r="W878" s="40"/>
      <c r="X878" s="40"/>
      <c r="Y878" s="41"/>
      <c r="Z878" s="36"/>
      <c r="AA878" s="36"/>
      <c r="AD878" s="41"/>
      <c r="AE878" s="42"/>
      <c r="AF878" s="36"/>
      <c r="AG878" s="36"/>
    </row>
    <row r="879" spans="1:33" ht="21.95" hidden="1" customHeight="1" x14ac:dyDescent="0.25">
      <c r="A879" s="88" t="str">
        <f>+IF(PROVEEDORES[[#This Row],[FECHA DE PAGO]]=PROVEEDORES[[#This Row],[FECHA DE FACTURACIÓN]],"DE CONTADO","CRÉDITO")</f>
        <v>CRÉDITO</v>
      </c>
      <c r="B879" s="70" t="str">
        <f>+IF((PROVEEDORES[[#This Row],[FECHA DE PAGO]]-PROVEEDORES[[#This Row],[FECHA DE FACTURACIÓN]])&gt;PROVEEDORES[[#This Row],[PLAZO Días]],"PAGO VENCIDO")</f>
        <v>PAGO VENCIDO</v>
      </c>
      <c r="C879" s="27">
        <f>+VLOOKUP(PROVEEDORES[[#This Row],[PROVEEDOR]],TERCEROS_INFO[#All],2,FALSE)</f>
        <v>30</v>
      </c>
      <c r="D879" s="37">
        <f>+SUMIFS(PROVEEDORES[Total],PROVEEDORES[PROVEEDOR],PROVEEDORES[[#This Row],[PROVEEDOR]],PROVEEDORES[FECHA DE PAGO],"")</f>
        <v>0</v>
      </c>
      <c r="E879" s="37"/>
      <c r="F879" s="108" t="str">
        <f>+VLOOKUP(PROVEEDORES[[#This Row],[PROVEEDOR]],TERCEROS_INFO[[PROVEEDOR]:[CORREO]],5,FALSE)</f>
        <v>Fernando.Carmona@energizer.com;girlesa.ruiz@servipilas.com;joriescobar64@gmail.com</v>
      </c>
      <c r="G879" s="143">
        <v>44321</v>
      </c>
      <c r="H879" s="38" t="s">
        <v>51</v>
      </c>
      <c r="I879" s="30">
        <v>44281</v>
      </c>
      <c r="J879" s="58">
        <v>160216733</v>
      </c>
      <c r="K879" s="32">
        <v>606700</v>
      </c>
      <c r="L879" s="32"/>
      <c r="M879" s="33">
        <f>(PROVEEDORES[[#This Row],[SUBTOTAL]]-PROVEEDORES[[#This Row],[descuento antes de IVA]])*VLOOKUP(PROVEEDORES[[#This Row],[PROVEEDOR]],TERCEROS_INFO[#All],3,FALSE)</f>
        <v>115273</v>
      </c>
      <c r="N879" s="34"/>
      <c r="O879" s="33">
        <f>+PROVEEDORES[[#This Row],[Descuento sobre subtotal %]]*(PROVEEDORES[[#This Row],[SUBTOTAL]]-PROVEEDORES[[#This Row],[descuento antes de IVA]])</f>
        <v>0</v>
      </c>
      <c r="P8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79" s="33">
        <f>+(PROVEEDORES[[#This Row],[SUBTOTAL]]-PROVEEDORES[[#This Row],[descuento antes de IVA]])*PROVEEDORES[[#This Row],[Rete Fuente %]]</f>
        <v>0</v>
      </c>
      <c r="R879" s="32">
        <f>+PROVEEDORES[[#This Row],[SUBTOTAL]]+PROVEEDORES[[#This Row],[IVA 19%]]-PROVEEDORES[[#This Row],[descuento antes de IVA]]-PROVEEDORES[[#This Row],[Descuento sobre subtotal $]]-PROVEEDORES[[#This Row],[Rete Fuente $]]</f>
        <v>721973</v>
      </c>
      <c r="S87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9"/>
      <c r="U879" s="97"/>
      <c r="W879" s="40"/>
      <c r="X879" s="40"/>
      <c r="Y879" s="41"/>
      <c r="Z879" s="36"/>
      <c r="AA879" s="36"/>
      <c r="AD879" s="41"/>
      <c r="AE879" s="42"/>
      <c r="AF879" s="36"/>
      <c r="AG879" s="36"/>
    </row>
    <row r="880" spans="1:33" ht="21.95" hidden="1" customHeight="1" x14ac:dyDescent="0.25">
      <c r="A880" s="111" t="str">
        <f>+IF(PROVEEDORES[[#This Row],[FECHA DE PAGO]]=PROVEEDORES[[#This Row],[FECHA DE FACTURACIÓN]],"DE CONTADO","CRÉDITO")</f>
        <v>CRÉDITO</v>
      </c>
      <c r="B880" s="70" t="b">
        <f>+IF((PROVEEDORES[[#This Row],[FECHA DE PAGO]]-PROVEEDORES[[#This Row],[FECHA DE FACTURACIÓN]])&gt;PROVEEDORES[[#This Row],[PLAZO Días]],"PAGO VENCIDO")</f>
        <v>0</v>
      </c>
      <c r="C880" s="27">
        <f>+VLOOKUP(PROVEEDORES[[#This Row],[PROVEEDOR]],TERCEROS_INFO[#All],2,FALSE)</f>
        <v>30</v>
      </c>
      <c r="D880" s="37">
        <f>+SUMIFS(PROVEEDORES[Total],PROVEEDORES[PROVEEDOR],PROVEEDORES[[#This Row],[PROVEEDOR]],PROVEEDORES[FECHA DE PAGO],"")</f>
        <v>0</v>
      </c>
      <c r="E880" s="37"/>
      <c r="F880" s="108" t="str">
        <f>+VLOOKUP(PROVEEDORES[[#This Row],[PROVEEDOR]],TERCEROS_INFO[[PROVEEDOR]:[CORREO]],5,FALSE)</f>
        <v>Fernando.Carmona@energizer.com;girlesa.ruiz@servipilas.com;joriescobar64@gmail.com</v>
      </c>
      <c r="G880" s="143">
        <v>44250</v>
      </c>
      <c r="H880" s="38" t="s">
        <v>51</v>
      </c>
      <c r="I880" s="30">
        <v>44323</v>
      </c>
      <c r="J880" s="58">
        <v>160217364</v>
      </c>
      <c r="K880" s="32">
        <v>6636590</v>
      </c>
      <c r="L880" s="32"/>
      <c r="M880" s="33">
        <f>(PROVEEDORES[[#This Row],[SUBTOTAL]]-PROVEEDORES[[#This Row],[descuento antes de IVA]])*VLOOKUP(PROVEEDORES[[#This Row],[PROVEEDOR]],TERCEROS_INFO[#All],3,FALSE)</f>
        <v>1260952.1000000001</v>
      </c>
      <c r="N880" s="34"/>
      <c r="O880" s="33">
        <f>+PROVEEDORES[[#This Row],[Descuento sobre subtotal %]]*(PROVEEDORES[[#This Row],[SUBTOTAL]]-PROVEEDORES[[#This Row],[descuento antes de IVA]])</f>
        <v>0</v>
      </c>
      <c r="P8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0" s="33">
        <f>+(PROVEEDORES[[#This Row],[SUBTOTAL]]-PROVEEDORES[[#This Row],[descuento antes de IVA]])*PROVEEDORES[[#This Row],[Rete Fuente %]]</f>
        <v>0</v>
      </c>
      <c r="R880" s="32">
        <f>+PROVEEDORES[[#This Row],[SUBTOTAL]]+PROVEEDORES[[#This Row],[IVA 19%]]-PROVEEDORES[[#This Row],[descuento antes de IVA]]-PROVEEDORES[[#This Row],[Descuento sobre subtotal $]]-PROVEEDORES[[#This Row],[Rete Fuente $]]</f>
        <v>7897542.0999999996</v>
      </c>
      <c r="S880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0"/>
      <c r="U880" s="97"/>
      <c r="W880" s="40"/>
      <c r="X880" s="40"/>
      <c r="Y880" s="41"/>
      <c r="Z880" s="36"/>
      <c r="AA880" s="36"/>
      <c r="AD880" s="41"/>
      <c r="AE880" s="42"/>
      <c r="AF880" s="36"/>
      <c r="AG880" s="36"/>
    </row>
    <row r="881" spans="1:33" ht="21.95" hidden="1" customHeight="1" x14ac:dyDescent="0.25">
      <c r="A881" s="35" t="str">
        <f>+IF(PROVEEDORES[[#This Row],[FECHA DE PAGO]]=PROVEEDORES[[#This Row],[FECHA DE FACTURACIÓN]],"DE CONTADO","CRÉDITO")</f>
        <v>CRÉDITO</v>
      </c>
      <c r="B881" s="70" t="str">
        <f>+IF((PROVEEDORES[[#This Row],[FECHA DE PAGO]]-PROVEEDORES[[#This Row],[FECHA DE FACTURACIÓN]])&gt;PROVEEDORES[[#This Row],[PLAZO Días]],"PAGO VENCIDO")</f>
        <v>PAGO VENCIDO</v>
      </c>
      <c r="C881" s="27">
        <f>+VLOOKUP(PROVEEDORES[[#This Row],[PROVEEDOR]],TERCEROS_INFO[#All],2,FALSE)</f>
        <v>30</v>
      </c>
      <c r="D881" s="37">
        <f>+SUMIFS(PROVEEDORES[Total],PROVEEDORES[PROVEEDOR],PROVEEDORES[[#This Row],[PROVEEDOR]],PROVEEDORES[FECHA DE PAGO],"")</f>
        <v>0</v>
      </c>
      <c r="E881" s="37"/>
      <c r="F881" s="108" t="str">
        <f>+VLOOKUP(PROVEEDORES[[#This Row],[PROVEEDOR]],TERCEROS_INFO[[PROVEEDOR]:[CORREO]],5,FALSE)</f>
        <v>Fernando.Carmona@energizer.com;girlesa.ruiz@servipilas.com;joriescobar64@gmail.com</v>
      </c>
      <c r="G881" s="143">
        <v>44410</v>
      </c>
      <c r="H881" s="38" t="s">
        <v>51</v>
      </c>
      <c r="I881" s="30">
        <v>44368</v>
      </c>
      <c r="J881" s="58">
        <v>160217927</v>
      </c>
      <c r="K881" s="32">
        <v>2730150</v>
      </c>
      <c r="L881" s="32"/>
      <c r="M881" s="33">
        <f>(PROVEEDORES[[#This Row],[SUBTOTAL]]-PROVEEDORES[[#This Row],[descuento antes de IVA]])*VLOOKUP(PROVEEDORES[[#This Row],[PROVEEDOR]],TERCEROS_INFO[#All],3,FALSE)</f>
        <v>518728.5</v>
      </c>
      <c r="N881" s="34"/>
      <c r="O881" s="33">
        <f>+PROVEEDORES[[#This Row],[Descuento sobre subtotal %]]*(PROVEEDORES[[#This Row],[SUBTOTAL]]-PROVEEDORES[[#This Row],[descuento antes de IVA]])</f>
        <v>0</v>
      </c>
      <c r="P8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1" s="33">
        <f>+(PROVEEDORES[[#This Row],[SUBTOTAL]]-PROVEEDORES[[#This Row],[descuento antes de IVA]])*PROVEEDORES[[#This Row],[Rete Fuente %]]</f>
        <v>0</v>
      </c>
      <c r="R881" s="32">
        <f>+PROVEEDORES[[#This Row],[SUBTOTAL]]+PROVEEDORES[[#This Row],[IVA 19%]]-PROVEEDORES[[#This Row],[descuento antes de IVA]]-PROVEEDORES[[#This Row],[Descuento sobre subtotal $]]-PROVEEDORES[[#This Row],[Rete Fuente $]]</f>
        <v>3248878.5</v>
      </c>
      <c r="S88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1"/>
      <c r="U881" s="97"/>
      <c r="W881" s="40"/>
      <c r="X881" s="40"/>
      <c r="Y881" s="41"/>
      <c r="Z881" s="36"/>
      <c r="AA881" s="36"/>
      <c r="AD881" s="41"/>
      <c r="AE881" s="42"/>
      <c r="AF881" s="36"/>
      <c r="AG881" s="36"/>
    </row>
    <row r="882" spans="1:33" ht="21.95" hidden="1" customHeight="1" x14ac:dyDescent="0.25">
      <c r="A882" s="129" t="str">
        <f>+IF(PROVEEDORES[[#This Row],[FECHA DE PAGO]]=PROVEEDORES[[#This Row],[FECHA DE FACTURACIÓN]],"DE CONTADO","CRÉDITO")</f>
        <v>CRÉDITO</v>
      </c>
      <c r="B882" s="70" t="str">
        <f>+IF((PROVEEDORES[[#This Row],[FECHA DE PAGO]]-PROVEEDORES[[#This Row],[FECHA DE FACTURACIÓN]])&gt;PROVEEDORES[[#This Row],[PLAZO Días]],"PAGO VENCIDO")</f>
        <v>PAGO VENCIDO</v>
      </c>
      <c r="C882" s="27">
        <f>+VLOOKUP(PROVEEDORES[[#This Row],[PROVEEDOR]],TERCEROS_INFO[#All],2,FALSE)</f>
        <v>30</v>
      </c>
      <c r="D882" s="37">
        <f>+SUMIFS(PROVEEDORES[Total],PROVEEDORES[PROVEEDOR],PROVEEDORES[[#This Row],[PROVEEDOR]],PROVEEDORES[FECHA DE PAGO],"")</f>
        <v>0</v>
      </c>
      <c r="E882" s="37"/>
      <c r="F882" s="108" t="str">
        <f>+VLOOKUP(PROVEEDORES[[#This Row],[PROVEEDOR]],TERCEROS_INFO[[PROVEEDOR]:[CORREO]],5,FALSE)</f>
        <v>Fernando.Carmona@energizer.com;girlesa.ruiz@servipilas.com;joriescobar64@gmail.com</v>
      </c>
      <c r="G882" s="143">
        <v>44432</v>
      </c>
      <c r="H882" s="38" t="s">
        <v>51</v>
      </c>
      <c r="I882" s="30">
        <v>44371</v>
      </c>
      <c r="J882" s="58">
        <v>160218083</v>
      </c>
      <c r="K882" s="32">
        <v>5978400</v>
      </c>
      <c r="L882" s="32"/>
      <c r="M882" s="33">
        <f>(PROVEEDORES[[#This Row],[SUBTOTAL]]-PROVEEDORES[[#This Row],[descuento antes de IVA]])*VLOOKUP(PROVEEDORES[[#This Row],[PROVEEDOR]],TERCEROS_INFO[#All],3,FALSE)</f>
        <v>1135896</v>
      </c>
      <c r="N882" s="34"/>
      <c r="O882" s="33">
        <f>+PROVEEDORES[[#This Row],[Descuento sobre subtotal %]]*(PROVEEDORES[[#This Row],[SUBTOTAL]]-PROVEEDORES[[#This Row],[descuento antes de IVA]])</f>
        <v>0</v>
      </c>
      <c r="P8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2" s="33">
        <f>+(PROVEEDORES[[#This Row],[SUBTOTAL]]-PROVEEDORES[[#This Row],[descuento antes de IVA]])*PROVEEDORES[[#This Row],[Rete Fuente %]]</f>
        <v>0</v>
      </c>
      <c r="R882" s="32">
        <f>+PROVEEDORES[[#This Row],[SUBTOTAL]]+PROVEEDORES[[#This Row],[IVA 19%]]-PROVEEDORES[[#This Row],[descuento antes de IVA]]-PROVEEDORES[[#This Row],[Descuento sobre subtotal $]]-PROVEEDORES[[#This Row],[Rete Fuente $]]</f>
        <v>7114296</v>
      </c>
      <c r="S882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2"/>
      <c r="U882" s="97"/>
      <c r="W882" s="40"/>
      <c r="X882" s="40"/>
      <c r="Y882" s="41"/>
      <c r="Z882" s="36"/>
      <c r="AA882" s="36"/>
      <c r="AD882" s="41"/>
      <c r="AE882" s="42"/>
      <c r="AF882" s="36"/>
      <c r="AG882" s="36"/>
    </row>
    <row r="883" spans="1:33" ht="21.95" hidden="1" customHeight="1" x14ac:dyDescent="0.25">
      <c r="A883" s="39" t="str">
        <f>+IF(PROVEEDORES[[#This Row],[FECHA DE PAGO]]=PROVEEDORES[[#This Row],[FECHA DE FACTURACIÓN]],"DE CONTADO","CRÉDITO")</f>
        <v>DE CONTADO</v>
      </c>
      <c r="B883" s="67" t="b">
        <f>+IF((PROVEEDORES[[#This Row],[FECHA DE PAGO]]-PROVEEDORES[[#This Row],[FECHA DE FACTURACIÓN]])&gt;PROVEEDORES[[#This Row],[PLAZO Días]],"PAGO VENCIDO")</f>
        <v>0</v>
      </c>
      <c r="C883" s="27">
        <f>+VLOOKUP(PROVEEDORES[[#This Row],[PROVEEDOR]],TERCEROS_INFO[#All],2,FALSE)</f>
        <v>30</v>
      </c>
      <c r="D883" s="37">
        <f>+SUMIFS(PROVEEDORES[Total],PROVEEDORES[PROVEEDOR],PROVEEDORES[[#This Row],[PROVEEDOR]],PROVEEDORES[FECHA DE PAGO],"")</f>
        <v>0</v>
      </c>
      <c r="E883" s="37"/>
      <c r="F883" s="108" t="str">
        <f>+VLOOKUP(PROVEEDORES[[#This Row],[PROVEEDOR]],TERCEROS_INFO[[PROVEEDOR]:[CORREO]],5,FALSE)</f>
        <v/>
      </c>
      <c r="G883" s="143">
        <v>43875</v>
      </c>
      <c r="H883" s="38" t="s">
        <v>54</v>
      </c>
      <c r="I883" s="30">
        <v>43875</v>
      </c>
      <c r="J883" s="58" t="s">
        <v>53</v>
      </c>
      <c r="K883" s="32">
        <v>17066.386554621851</v>
      </c>
      <c r="L883" s="32"/>
      <c r="M883" s="33">
        <f>(PROVEEDORES[[#This Row],[SUBTOTAL]]-PROVEEDORES[[#This Row],[descuento antes de IVA]])*VLOOKUP(PROVEEDORES[[#This Row],[PROVEEDOR]],TERCEROS_INFO[#All],3,FALSE)</f>
        <v>3242.6134453781519</v>
      </c>
      <c r="N883" s="34"/>
      <c r="O883" s="33">
        <f>+PROVEEDORES[[#This Row],[Descuento sobre subtotal %]]*(PROVEEDORES[[#This Row],[SUBTOTAL]]-PROVEEDORES[[#This Row],[descuento antes de IVA]])</f>
        <v>0</v>
      </c>
      <c r="P8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3" s="33">
        <f>+(PROVEEDORES[[#This Row],[SUBTOTAL]]-PROVEEDORES[[#This Row],[descuento antes de IVA]])*PROVEEDORES[[#This Row],[Rete Fuente %]]</f>
        <v>0</v>
      </c>
      <c r="R883" s="32">
        <f>+PROVEEDORES[[#This Row],[SUBTOTAL]]+PROVEEDORES[[#This Row],[IVA 19%]]-PROVEEDORES[[#This Row],[descuento antes de IVA]]-PROVEEDORES[[#This Row],[Descuento sobre subtotal $]]-PROVEEDORES[[#This Row],[Rete Fuente $]]</f>
        <v>20309.000000000004</v>
      </c>
      <c r="S88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3"/>
      <c r="U883" s="97"/>
      <c r="W883" s="40"/>
      <c r="X883" s="40"/>
      <c r="Y883" s="41"/>
      <c r="Z883" s="36"/>
      <c r="AA883" s="36"/>
      <c r="AD883" s="41"/>
      <c r="AE883" s="42"/>
      <c r="AF883" s="36"/>
      <c r="AG883" s="36"/>
    </row>
    <row r="884" spans="1:33" ht="21.95" hidden="1" customHeight="1" x14ac:dyDescent="0.25">
      <c r="A884" s="39" t="str">
        <f>+IF(PROVEEDORES[[#This Row],[FECHA DE PAGO]]=PROVEEDORES[[#This Row],[FECHA DE FACTURACIÓN]],"DE CONTADO","CRÉDITO")</f>
        <v>DE CONTADO</v>
      </c>
      <c r="B884" s="67" t="b">
        <f>+IF((PROVEEDORES[[#This Row],[FECHA DE PAGO]]-PROVEEDORES[[#This Row],[FECHA DE FACTURACIÓN]])&gt;PROVEEDORES[[#This Row],[PLAZO Días]],"PAGO VENCIDO")</f>
        <v>0</v>
      </c>
      <c r="C884" s="27">
        <f>+VLOOKUP(PROVEEDORES[[#This Row],[PROVEEDOR]],TERCEROS_INFO[#All],2,FALSE)</f>
        <v>30</v>
      </c>
      <c r="D884" s="37">
        <f>+SUMIFS(PROVEEDORES[Total],PROVEEDORES[PROVEEDOR],PROVEEDORES[[#This Row],[PROVEEDOR]],PROVEEDORES[FECHA DE PAGO],"")</f>
        <v>0</v>
      </c>
      <c r="E884" s="37" t="s">
        <v>351</v>
      </c>
      <c r="F884" s="108" t="str">
        <f>+VLOOKUP(PROVEEDORES[[#This Row],[PROVEEDOR]],TERCEROS_INFO[[PROVEEDOR]:[CORREO]],5,FALSE)</f>
        <v/>
      </c>
      <c r="G884" s="143">
        <v>43901</v>
      </c>
      <c r="H884" s="38" t="s">
        <v>54</v>
      </c>
      <c r="I884" s="30">
        <v>43901</v>
      </c>
      <c r="J884" s="58">
        <v>1614636</v>
      </c>
      <c r="K884" s="32">
        <v>151176.4705882353</v>
      </c>
      <c r="L884" s="32"/>
      <c r="M884" s="33">
        <f>(PROVEEDORES[[#This Row],[SUBTOTAL]]-PROVEEDORES[[#This Row],[descuento antes de IVA]])*VLOOKUP(PROVEEDORES[[#This Row],[PROVEEDOR]],TERCEROS_INFO[#All],3,FALSE)</f>
        <v>28723.529411764706</v>
      </c>
      <c r="N884" s="34"/>
      <c r="O884" s="33">
        <f>+PROVEEDORES[[#This Row],[Descuento sobre subtotal %]]*(PROVEEDORES[[#This Row],[SUBTOTAL]]-PROVEEDORES[[#This Row],[descuento antes de IVA]])</f>
        <v>0</v>
      </c>
      <c r="P8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4" s="33">
        <f>+(PROVEEDORES[[#This Row],[SUBTOTAL]]-PROVEEDORES[[#This Row],[descuento antes de IVA]])*PROVEEDORES[[#This Row],[Rete Fuente %]]</f>
        <v>0</v>
      </c>
      <c r="R884" s="32">
        <f>+PROVEEDORES[[#This Row],[SUBTOTAL]]+PROVEEDORES[[#This Row],[IVA 19%]]-PROVEEDORES[[#This Row],[descuento antes de IVA]]-PROVEEDORES[[#This Row],[Descuento sobre subtotal $]]-PROVEEDORES[[#This Row],[Rete Fuente $]]</f>
        <v>179900</v>
      </c>
      <c r="S88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4"/>
      <c r="U884" s="97"/>
      <c r="W884" s="40"/>
      <c r="X884" s="40"/>
      <c r="Y884" s="41"/>
      <c r="Z884" s="36"/>
      <c r="AA884" s="36"/>
      <c r="AD884" s="41"/>
      <c r="AE884" s="42"/>
      <c r="AF884" s="36"/>
      <c r="AG884" s="36"/>
    </row>
    <row r="885" spans="1:33" ht="21.95" hidden="1" customHeight="1" x14ac:dyDescent="0.25">
      <c r="A885" s="39" t="str">
        <f>+IF(PROVEEDORES[[#This Row],[FECHA DE PAGO]]=PROVEEDORES[[#This Row],[FECHA DE FACTURACIÓN]],"DE CONTADO","CRÉDITO")</f>
        <v>DE CONTADO</v>
      </c>
      <c r="B885" s="67" t="b">
        <f>+IF((PROVEEDORES[[#This Row],[FECHA DE PAGO]]-PROVEEDORES[[#This Row],[FECHA DE FACTURACIÓN]])&gt;PROVEEDORES[[#This Row],[PLAZO Días]],"PAGO VENCIDO")</f>
        <v>0</v>
      </c>
      <c r="C885" s="27">
        <f>+VLOOKUP(PROVEEDORES[[#This Row],[PROVEEDOR]],TERCEROS_INFO[#All],2,FALSE)</f>
        <v>30</v>
      </c>
      <c r="D885" s="37">
        <f>+SUMIFS(PROVEEDORES[Total],PROVEEDORES[PROVEEDOR],PROVEEDORES[[#This Row],[PROVEEDOR]],PROVEEDORES[FECHA DE PAGO],"")</f>
        <v>0</v>
      </c>
      <c r="E885" s="37"/>
      <c r="F885" s="108" t="str">
        <f>+VLOOKUP(PROVEEDORES[[#This Row],[PROVEEDOR]],TERCEROS_INFO[[PROVEEDOR]:[CORREO]],5,FALSE)</f>
        <v/>
      </c>
      <c r="G885" s="143">
        <v>43881</v>
      </c>
      <c r="H885" s="38" t="s">
        <v>64</v>
      </c>
      <c r="I885" s="30">
        <v>43881</v>
      </c>
      <c r="J885" s="58">
        <v>9652</v>
      </c>
      <c r="K885" s="32">
        <v>264744</v>
      </c>
      <c r="L885" s="32"/>
      <c r="M885" s="33">
        <f>(PROVEEDORES[[#This Row],[SUBTOTAL]]-PROVEEDORES[[#This Row],[descuento antes de IVA]])*VLOOKUP(PROVEEDORES[[#This Row],[PROVEEDOR]],TERCEROS_INFO[#All],3,FALSE)</f>
        <v>50301.36</v>
      </c>
      <c r="N885" s="34"/>
      <c r="O885" s="33">
        <f>+PROVEEDORES[[#This Row],[Descuento sobre subtotal %]]*(PROVEEDORES[[#This Row],[SUBTOTAL]]-PROVEEDORES[[#This Row],[descuento antes de IVA]])</f>
        <v>0</v>
      </c>
      <c r="P8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5" s="33">
        <f>+(PROVEEDORES[[#This Row],[SUBTOTAL]]-PROVEEDORES[[#This Row],[descuento antes de IVA]])*PROVEEDORES[[#This Row],[Rete Fuente %]]</f>
        <v>0</v>
      </c>
      <c r="R885" s="32">
        <f>+PROVEEDORES[[#This Row],[SUBTOTAL]]+PROVEEDORES[[#This Row],[IVA 19%]]-PROVEEDORES[[#This Row],[descuento antes de IVA]]-PROVEEDORES[[#This Row],[Descuento sobre subtotal $]]-PROVEEDORES[[#This Row],[Rete Fuente $]]</f>
        <v>315045.36</v>
      </c>
      <c r="S88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5"/>
      <c r="U885" s="97"/>
      <c r="W885" s="40"/>
      <c r="X885" s="40"/>
      <c r="Y885" s="41"/>
      <c r="Z885" s="36"/>
      <c r="AA885" s="36"/>
      <c r="AD885" s="41"/>
      <c r="AE885" s="42"/>
      <c r="AF885" s="36"/>
      <c r="AG885" s="36"/>
    </row>
    <row r="886" spans="1:33" ht="21.95" hidden="1" customHeight="1" x14ac:dyDescent="0.25">
      <c r="A886" s="39" t="str">
        <f>+IF(PROVEEDORES[[#This Row],[FECHA DE PAGO]]=PROVEEDORES[[#This Row],[FECHA DE FACTURACIÓN]],"DE CONTADO","CRÉDITO")</f>
        <v>CRÉDITO</v>
      </c>
      <c r="B886" s="67" t="str">
        <f>+IF((PROVEEDORES[[#This Row],[FECHA DE PAGO]]-PROVEEDORES[[#This Row],[FECHA DE FACTURACIÓN]])&gt;PROVEEDORES[[#This Row],[PLAZO Días]],"PAGO VENCIDO")</f>
        <v>PAGO VENCIDO</v>
      </c>
      <c r="C886" s="27">
        <f>+VLOOKUP(PROVEEDORES[[#This Row],[PROVEEDOR]],TERCEROS_INFO[#All],2,FALSE)</f>
        <v>30</v>
      </c>
      <c r="D886" s="37">
        <f>+SUMIFS(PROVEEDORES[Total],PROVEEDORES[PROVEEDOR],PROVEEDORES[[#This Row],[PROVEEDOR]],PROVEEDORES[FECHA DE PAGO],"")</f>
        <v>0</v>
      </c>
      <c r="E886" s="37" t="s">
        <v>352</v>
      </c>
      <c r="F886" s="108" t="str">
        <f>+VLOOKUP(PROVEEDORES[[#This Row],[PROVEEDOR]],TERCEROS_INFO[[PROVEEDOR]:[CORREO]],5,FALSE)</f>
        <v/>
      </c>
      <c r="G886" s="143">
        <v>44014</v>
      </c>
      <c r="H886" s="38" t="s">
        <v>58</v>
      </c>
      <c r="I886" s="30">
        <v>43902</v>
      </c>
      <c r="J886" s="58">
        <v>1614636</v>
      </c>
      <c r="K886" s="32">
        <v>235210.08403361344</v>
      </c>
      <c r="L886" s="32"/>
      <c r="M886" s="33">
        <f>(PROVEEDORES[[#This Row],[SUBTOTAL]]-PROVEEDORES[[#This Row],[descuento antes de IVA]])*VLOOKUP(PROVEEDORES[[#This Row],[PROVEEDOR]],TERCEROS_INFO[#All],3,FALSE)</f>
        <v>44689.915966386558</v>
      </c>
      <c r="N886" s="34"/>
      <c r="O886" s="33">
        <f>+PROVEEDORES[[#This Row],[Descuento sobre subtotal %]]*(PROVEEDORES[[#This Row],[SUBTOTAL]]-PROVEEDORES[[#This Row],[descuento antes de IVA]])</f>
        <v>0</v>
      </c>
      <c r="P8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6" s="33">
        <f>+(PROVEEDORES[[#This Row],[SUBTOTAL]]-PROVEEDORES[[#This Row],[descuento antes de IVA]])*PROVEEDORES[[#This Row],[Rete Fuente %]]</f>
        <v>0</v>
      </c>
      <c r="R886" s="32">
        <f>+PROVEEDORES[[#This Row],[SUBTOTAL]]+PROVEEDORES[[#This Row],[IVA 19%]]-PROVEEDORES[[#This Row],[descuento antes de IVA]]-PROVEEDORES[[#This Row],[Descuento sobre subtotal $]]-PROVEEDORES[[#This Row],[Rete Fuente $]]</f>
        <v>279900</v>
      </c>
      <c r="S88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6"/>
      <c r="U886" s="97"/>
      <c r="W886" s="40"/>
      <c r="X886" s="40"/>
      <c r="Y886" s="41"/>
      <c r="Z886" s="36"/>
      <c r="AA886" s="36"/>
      <c r="AD886" s="41"/>
      <c r="AE886" s="42"/>
      <c r="AF886" s="36"/>
      <c r="AG886" s="36"/>
    </row>
    <row r="887" spans="1:33" ht="21.95" hidden="1" customHeight="1" x14ac:dyDescent="0.25">
      <c r="A887" s="39" t="str">
        <f>+IF(PROVEEDORES[[#This Row],[FECHA DE PAGO]]=PROVEEDORES[[#This Row],[FECHA DE FACTURACIÓN]],"DE CONTADO","CRÉDITO")</f>
        <v>CRÉDITO</v>
      </c>
      <c r="B887" s="67" t="b">
        <f>+IF((PROVEEDORES[[#This Row],[FECHA DE PAGO]]-PROVEEDORES[[#This Row],[FECHA DE FACTURACIÓN]])&gt;PROVEEDORES[[#This Row],[PLAZO Días]],"PAGO VENCIDO")</f>
        <v>0</v>
      </c>
      <c r="C887" s="27">
        <f>+VLOOKUP(PROVEEDORES[[#This Row],[PROVEEDOR]],TERCEROS_INFO[#All],2,FALSE)</f>
        <v>30</v>
      </c>
      <c r="D887" s="37">
        <f>+SUMIFS(PROVEEDORES[Total],PROVEEDORES[PROVEEDOR],PROVEEDORES[[#This Row],[PROVEEDOR]],PROVEEDORES[FECHA DE PAGO],"")</f>
        <v>0</v>
      </c>
      <c r="E887" s="37" t="s">
        <v>353</v>
      </c>
      <c r="F887" s="108" t="str">
        <f>+VLOOKUP(PROVEEDORES[[#This Row],[PROVEEDOR]],TERCEROS_INFO[[PROVEEDOR]:[CORREO]],5,FALSE)</f>
        <v>vromero@flashinternational.us;girlesa.ruiz@servipilas.com;joriescobar64@gmail.com</v>
      </c>
      <c r="G887" s="143">
        <v>43930</v>
      </c>
      <c r="H887" s="38" t="s">
        <v>63</v>
      </c>
      <c r="I887" s="30">
        <v>43917</v>
      </c>
      <c r="J887" s="58">
        <v>1614636</v>
      </c>
      <c r="K887" s="32">
        <v>1235000</v>
      </c>
      <c r="L887" s="32"/>
      <c r="M887" s="33">
        <f>(PROVEEDORES[[#This Row],[SUBTOTAL]]-PROVEEDORES[[#This Row],[descuento antes de IVA]])*VLOOKUP(PROVEEDORES[[#This Row],[PROVEEDOR]],TERCEROS_INFO[#All],3,FALSE)</f>
        <v>0</v>
      </c>
      <c r="N887" s="34"/>
      <c r="O887" s="33">
        <f>+PROVEEDORES[[#This Row],[Descuento sobre subtotal %]]*(PROVEEDORES[[#This Row],[SUBTOTAL]]-PROVEEDORES[[#This Row],[descuento antes de IVA]])</f>
        <v>0</v>
      </c>
      <c r="P8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7" s="33">
        <f>+(PROVEEDORES[[#This Row],[SUBTOTAL]]-PROVEEDORES[[#This Row],[descuento antes de IVA]])*PROVEEDORES[[#This Row],[Rete Fuente %]]</f>
        <v>0</v>
      </c>
      <c r="R887" s="32">
        <f>+PROVEEDORES[[#This Row],[SUBTOTAL]]+PROVEEDORES[[#This Row],[IVA 19%]]-PROVEEDORES[[#This Row],[descuento antes de IVA]]-PROVEEDORES[[#This Row],[Descuento sobre subtotal $]]-PROVEEDORES[[#This Row],[Rete Fuente $]]</f>
        <v>1235000</v>
      </c>
      <c r="S88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7"/>
      <c r="U887" s="97"/>
      <c r="W887" s="40"/>
      <c r="X887" s="40"/>
      <c r="Y887" s="41"/>
      <c r="Z887" s="36"/>
      <c r="AA887" s="36"/>
      <c r="AD887" s="41"/>
      <c r="AE887" s="42"/>
      <c r="AF887" s="36"/>
      <c r="AG887" s="36"/>
    </row>
    <row r="888" spans="1:33" ht="21.95" hidden="1" customHeight="1" x14ac:dyDescent="0.25">
      <c r="A888" s="88" t="str">
        <f>+IF(PROVEEDORES[[#This Row],[FECHA DE PAGO]]=PROVEEDORES[[#This Row],[FECHA DE FACTURACIÓN]],"DE CONTADO","CRÉDITO")</f>
        <v>DE CONTADO</v>
      </c>
      <c r="B888" s="70" t="b">
        <f>+IF((PROVEEDORES[[#This Row],[FECHA DE PAGO]]-PROVEEDORES[[#This Row],[FECHA DE FACTURACIÓN]])&gt;PROVEEDORES[[#This Row],[PLAZO Días]],"PAGO VENCIDO")</f>
        <v>0</v>
      </c>
      <c r="C888" s="27">
        <f>+VLOOKUP(PROVEEDORES[[#This Row],[PROVEEDOR]],TERCEROS_INFO[#All],2,FALSE)</f>
        <v>30</v>
      </c>
      <c r="D888" s="37">
        <f>+SUMIFS(PROVEEDORES[Total],PROVEEDORES[PROVEEDOR],PROVEEDORES[[#This Row],[PROVEEDOR]],PROVEEDORES[FECHA DE PAGO],"")</f>
        <v>0</v>
      </c>
      <c r="E888" s="37"/>
      <c r="F888" s="108" t="str">
        <f>+VLOOKUP(PROVEEDORES[[#This Row],[PROVEEDOR]],TERCEROS_INFO[[PROVEEDOR]:[CORREO]],5,FALSE)</f>
        <v>vromero@flashinternational.us;girlesa.ruiz@servipilas.com;joriescobar64@gmail.com</v>
      </c>
      <c r="G888" s="143">
        <v>44245</v>
      </c>
      <c r="H888" s="38" t="s">
        <v>63</v>
      </c>
      <c r="I888" s="30">
        <v>44245</v>
      </c>
      <c r="J888" s="58" t="s">
        <v>496</v>
      </c>
      <c r="K888" s="32">
        <f>540*3600</f>
        <v>1944000</v>
      </c>
      <c r="L888" s="32"/>
      <c r="M888" s="33">
        <f>(PROVEEDORES[[#This Row],[SUBTOTAL]]-PROVEEDORES[[#This Row],[descuento antes de IVA]])*VLOOKUP(PROVEEDORES[[#This Row],[PROVEEDOR]],TERCEROS_INFO[#All],3,FALSE)</f>
        <v>0</v>
      </c>
      <c r="N888" s="34"/>
      <c r="O888" s="33">
        <f>+PROVEEDORES[[#This Row],[Descuento sobre subtotal %]]*(PROVEEDORES[[#This Row],[SUBTOTAL]]-PROVEEDORES[[#This Row],[descuento antes de IVA]])</f>
        <v>0</v>
      </c>
      <c r="P8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8" s="33">
        <f>+(PROVEEDORES[[#This Row],[SUBTOTAL]]-PROVEEDORES[[#This Row],[descuento antes de IVA]])*PROVEEDORES[[#This Row],[Rete Fuente %]]</f>
        <v>0</v>
      </c>
      <c r="R888" s="32">
        <f>+PROVEEDORES[[#This Row],[SUBTOTAL]]+PROVEEDORES[[#This Row],[IVA 19%]]-PROVEEDORES[[#This Row],[descuento antes de IVA]]-PROVEEDORES[[#This Row],[Descuento sobre subtotal $]]-PROVEEDORES[[#This Row],[Rete Fuente $]]</f>
        <v>1944000</v>
      </c>
      <c r="S888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8"/>
      <c r="U888" s="97"/>
      <c r="W888" s="40"/>
      <c r="X888" s="40"/>
      <c r="Y888" s="41"/>
      <c r="Z888" s="36"/>
      <c r="AA888" s="36"/>
      <c r="AD888" s="41"/>
      <c r="AE888" s="42"/>
      <c r="AF888" s="36"/>
      <c r="AG888" s="36"/>
    </row>
    <row r="889" spans="1:33" ht="21.95" hidden="1" customHeight="1" x14ac:dyDescent="0.25">
      <c r="A889" s="39" t="str">
        <f>+IF(PROVEEDORES[[#This Row],[FECHA DE PAGO]]=PROVEEDORES[[#This Row],[FECHA DE FACTURACIÓN]],"DE CONTADO","CRÉDITO")</f>
        <v>CRÉDITO</v>
      </c>
      <c r="B889" s="67" t="b">
        <f>+IF((PROVEEDORES[[#This Row],[FECHA DE PAGO]]-PROVEEDORES[[#This Row],[FECHA DE FACTURACIÓN]])&gt;PROVEEDORES[[#This Row],[PLAZO Días]],"PAGO VENCIDO")</f>
        <v>0</v>
      </c>
      <c r="C889" s="27">
        <f>+VLOOKUP(PROVEEDORES[[#This Row],[PROVEEDOR]],TERCEROS_INFO[#All],2,FALSE)</f>
        <v>30</v>
      </c>
      <c r="D889" s="37">
        <f>+SUMIFS(PROVEEDORES[Total],PROVEEDORES[PROVEEDOR],PROVEEDORES[[#This Row],[PROVEEDOR]],PROVEEDORES[FECHA DE PAGO],"")</f>
        <v>0</v>
      </c>
      <c r="E889" s="37"/>
      <c r="F889" s="108" t="str">
        <f>+VLOOKUP(PROVEEDORES[[#This Row],[PROVEEDOR]],TERCEROS_INFO[[PROVEEDOR]:[CORREO]],5,FALSE)</f>
        <v>vromero@flashinternational.us;girlesa.ruiz@servipilas.com;joriescobar64@gmail.com</v>
      </c>
      <c r="G889" s="143">
        <v>44104</v>
      </c>
      <c r="H889" s="38" t="s">
        <v>322</v>
      </c>
      <c r="I889" s="30">
        <v>44098</v>
      </c>
      <c r="J889" s="58">
        <v>9458</v>
      </c>
      <c r="K889" s="32">
        <v>257400</v>
      </c>
      <c r="L889" s="32"/>
      <c r="M889" s="33">
        <f>(PROVEEDORES[[#This Row],[SUBTOTAL]]-PROVEEDORES[[#This Row],[descuento antes de IVA]])*VLOOKUP(PROVEEDORES[[#This Row],[PROVEEDOR]],TERCEROS_INFO[#All],3,FALSE)</f>
        <v>0</v>
      </c>
      <c r="N889" s="34"/>
      <c r="O889" s="33">
        <f>+PROVEEDORES[[#This Row],[Descuento sobre subtotal %]]*(PROVEEDORES[[#This Row],[SUBTOTAL]]-PROVEEDORES[[#This Row],[descuento antes de IVA]])</f>
        <v>0</v>
      </c>
      <c r="P8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89" s="33">
        <f>+(PROVEEDORES[[#This Row],[SUBTOTAL]]-PROVEEDORES[[#This Row],[descuento antes de IVA]])*PROVEEDORES[[#This Row],[Rete Fuente %]]</f>
        <v>0</v>
      </c>
      <c r="R889" s="32">
        <f>+PROVEEDORES[[#This Row],[SUBTOTAL]]+PROVEEDORES[[#This Row],[IVA 19%]]-PROVEEDORES[[#This Row],[descuento antes de IVA]]-PROVEEDORES[[#This Row],[Descuento sobre subtotal $]]-PROVEEDORES[[#This Row],[Rete Fuente $]]</f>
        <v>257400</v>
      </c>
      <c r="S8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9"/>
      <c r="U889" s="97"/>
      <c r="W889" s="40"/>
      <c r="X889" s="40"/>
      <c r="Y889" s="41"/>
      <c r="Z889" s="36"/>
      <c r="AA889" s="36"/>
      <c r="AD889" s="41"/>
      <c r="AE889" s="42"/>
      <c r="AF889" s="36"/>
      <c r="AG889" s="36"/>
    </row>
    <row r="890" spans="1:33" ht="21.95" hidden="1" customHeight="1" x14ac:dyDescent="0.25">
      <c r="A890" s="39" t="str">
        <f>+IF(PROVEEDORES[[#This Row],[FECHA DE PAGO]]=PROVEEDORES[[#This Row],[FECHA DE FACTURACIÓN]],"DE CONTADO","CRÉDITO")</f>
        <v>CRÉDITO</v>
      </c>
      <c r="B890" s="67" t="b">
        <f>+IF((PROVEEDORES[[#This Row],[FECHA DE PAGO]]-PROVEEDORES[[#This Row],[FECHA DE FACTURACIÓN]])&gt;PROVEEDORES[[#This Row],[PLAZO Días]],"PAGO VENCIDO")</f>
        <v>0</v>
      </c>
      <c r="C890" s="27">
        <f>+VLOOKUP(PROVEEDORES[[#This Row],[PROVEEDOR]],TERCEROS_INFO[#All],2,FALSE)</f>
        <v>30</v>
      </c>
      <c r="D890" s="37">
        <f>+SUMIFS(PROVEEDORES[Total],PROVEEDORES[PROVEEDOR],PROVEEDORES[[#This Row],[PROVEEDOR]],PROVEEDORES[FECHA DE PAGO],"")</f>
        <v>0</v>
      </c>
      <c r="E890" s="37"/>
      <c r="F890" s="108" t="str">
        <f>+VLOOKUP(PROVEEDORES[[#This Row],[PROVEEDOR]],TERCEROS_INFO[[PROVEEDOR]:[CORREO]],5,FALSE)</f>
        <v>vromero@flashinternational.us;girlesa.ruiz@servipilas.com;joriescobar64@gmail.com</v>
      </c>
      <c r="G890" s="143">
        <v>44130</v>
      </c>
      <c r="H890" s="38" t="s">
        <v>386</v>
      </c>
      <c r="I890" s="30">
        <v>44125</v>
      </c>
      <c r="J890" s="58">
        <v>9498</v>
      </c>
      <c r="K890" s="32">
        <v>264100</v>
      </c>
      <c r="L890" s="32"/>
      <c r="M890" s="33">
        <f>(PROVEEDORES[[#This Row],[SUBTOTAL]]-PROVEEDORES[[#This Row],[descuento antes de IVA]])*VLOOKUP(PROVEEDORES[[#This Row],[PROVEEDOR]],TERCEROS_INFO[#All],3,FALSE)</f>
        <v>0</v>
      </c>
      <c r="N890" s="34"/>
      <c r="O890" s="33">
        <f>+PROVEEDORES[[#This Row],[Descuento sobre subtotal %]]*(PROVEEDORES[[#This Row],[SUBTOTAL]]-PROVEEDORES[[#This Row],[descuento antes de IVA]])</f>
        <v>0</v>
      </c>
      <c r="P8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0" s="33">
        <f>+(PROVEEDORES[[#This Row],[SUBTOTAL]]-PROVEEDORES[[#This Row],[descuento antes de IVA]])*PROVEEDORES[[#This Row],[Rete Fuente %]]</f>
        <v>0</v>
      </c>
      <c r="R890" s="32">
        <f>+PROVEEDORES[[#This Row],[SUBTOTAL]]+PROVEEDORES[[#This Row],[IVA 19%]]-PROVEEDORES[[#This Row],[descuento antes de IVA]]-PROVEEDORES[[#This Row],[Descuento sobre subtotal $]]-PROVEEDORES[[#This Row],[Rete Fuente $]]</f>
        <v>264100</v>
      </c>
      <c r="S89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0"/>
      <c r="U890" s="97"/>
      <c r="W890" s="40"/>
      <c r="X890" s="40"/>
      <c r="Y890" s="41"/>
      <c r="Z890" s="36"/>
      <c r="AA890" s="36"/>
      <c r="AD890" s="41"/>
      <c r="AE890" s="42"/>
      <c r="AF890" s="36"/>
      <c r="AG890" s="36"/>
    </row>
    <row r="891" spans="1:33" ht="21.95" hidden="1" customHeight="1" x14ac:dyDescent="0.25">
      <c r="A891" s="39" t="str">
        <f>+IF(PROVEEDORES[[#This Row],[FECHA DE PAGO]]=PROVEEDORES[[#This Row],[FECHA DE FACTURACIÓN]],"DE CONTADO","CRÉDITO")</f>
        <v>CRÉDITO</v>
      </c>
      <c r="B891" s="67" t="b">
        <f>+IF((PROVEEDORES[[#This Row],[FECHA DE PAGO]]-PROVEEDORES[[#This Row],[FECHA DE FACTURACIÓN]])&gt;PROVEEDORES[[#This Row],[PLAZO Días]],"PAGO VENCIDO")</f>
        <v>0</v>
      </c>
      <c r="C891" s="27">
        <f>+VLOOKUP(PROVEEDORES[[#This Row],[PROVEEDOR]],TERCEROS_INFO[#All],2,FALSE)</f>
        <v>30</v>
      </c>
      <c r="D891" s="37">
        <f>+SUMIFS(PROVEEDORES[Total],PROVEEDORES[PROVEEDOR],PROVEEDORES[[#This Row],[PROVEEDOR]],PROVEEDORES[FECHA DE PAGO],"")</f>
        <v>0</v>
      </c>
      <c r="E891" s="37"/>
      <c r="F891" s="108" t="str">
        <f>+VLOOKUP(PROVEEDORES[[#This Row],[PROVEEDOR]],TERCEROS_INFO[[PROVEEDOR]:[CORREO]],5,FALSE)</f>
        <v>vromero@flashinternational.us;girlesa.ruiz@servipilas.com;joriescobar64@gmail.com</v>
      </c>
      <c r="G891" s="143">
        <v>44186</v>
      </c>
      <c r="H891" s="38" t="s">
        <v>386</v>
      </c>
      <c r="I891" s="30">
        <v>44169</v>
      </c>
      <c r="J891" s="58" t="s">
        <v>1091</v>
      </c>
      <c r="K891" s="32">
        <v>153000</v>
      </c>
      <c r="L891" s="32"/>
      <c r="M891" s="33">
        <f>(PROVEEDORES[[#This Row],[SUBTOTAL]]-PROVEEDORES[[#This Row],[descuento antes de IVA]])*VLOOKUP(PROVEEDORES[[#This Row],[PROVEEDOR]],TERCEROS_INFO[#All],3,FALSE)</f>
        <v>0</v>
      </c>
      <c r="N891" s="34"/>
      <c r="O891" s="33">
        <f>+PROVEEDORES[[#This Row],[Descuento sobre subtotal %]]*(PROVEEDORES[[#This Row],[SUBTOTAL]]-PROVEEDORES[[#This Row],[descuento antes de IVA]])</f>
        <v>0</v>
      </c>
      <c r="P8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1" s="33">
        <f>+(PROVEEDORES[[#This Row],[SUBTOTAL]]-PROVEEDORES[[#This Row],[descuento antes de IVA]])*PROVEEDORES[[#This Row],[Rete Fuente %]]</f>
        <v>0</v>
      </c>
      <c r="R891" s="32">
        <f>+PROVEEDORES[[#This Row],[SUBTOTAL]]+PROVEEDORES[[#This Row],[IVA 19%]]-PROVEEDORES[[#This Row],[descuento antes de IVA]]-PROVEEDORES[[#This Row],[Descuento sobre subtotal $]]-PROVEEDORES[[#This Row],[Rete Fuente $]]</f>
        <v>153000</v>
      </c>
      <c r="S89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1"/>
      <c r="U891" s="97"/>
      <c r="W891" s="40"/>
      <c r="X891" s="40"/>
      <c r="Y891" s="41"/>
      <c r="Z891" s="36"/>
      <c r="AA891" s="36"/>
      <c r="AD891" s="41"/>
      <c r="AE891" s="42"/>
      <c r="AF891" s="36"/>
      <c r="AG891" s="36"/>
    </row>
    <row r="892" spans="1:33" ht="21.95" hidden="1" customHeight="1" x14ac:dyDescent="0.25">
      <c r="A892" s="88" t="str">
        <f>+IF(PROVEEDORES[[#This Row],[FECHA DE PAGO]]=PROVEEDORES[[#This Row],[FECHA DE FACTURACIÓN]],"DE CONTADO","CRÉDITO")</f>
        <v>CRÉDITO</v>
      </c>
      <c r="B892" s="70" t="b">
        <f>+IF((PROVEEDORES[[#This Row],[FECHA DE PAGO]]-PROVEEDORES[[#This Row],[FECHA DE FACTURACIÓN]])&gt;PROVEEDORES[[#This Row],[PLAZO Días]],"PAGO VENCIDO")</f>
        <v>0</v>
      </c>
      <c r="C892" s="27">
        <f>+VLOOKUP(PROVEEDORES[[#This Row],[PROVEEDOR]],TERCEROS_INFO[#All],2,FALSE)</f>
        <v>30</v>
      </c>
      <c r="D892" s="37">
        <f>+SUMIFS(PROVEEDORES[Total],PROVEEDORES[PROVEEDOR],PROVEEDORES[[#This Row],[PROVEEDOR]],PROVEEDORES[FECHA DE PAGO],"")</f>
        <v>0</v>
      </c>
      <c r="E892" s="37"/>
      <c r="F892" s="108" t="str">
        <f>+VLOOKUP(PROVEEDORES[[#This Row],[PROVEEDOR]],TERCEROS_INFO[[PROVEEDOR]:[CORREO]],5,FALSE)</f>
        <v>vromero@flashinternational.us;girlesa.ruiz@servipilas.com;joriescobar64@gmail.com</v>
      </c>
      <c r="G892" s="143">
        <v>44204</v>
      </c>
      <c r="H892" s="38" t="s">
        <v>386</v>
      </c>
      <c r="I892" s="30">
        <v>44200</v>
      </c>
      <c r="J892" s="58">
        <v>9660</v>
      </c>
      <c r="K892" s="32">
        <f>113*3600</f>
        <v>406800</v>
      </c>
      <c r="L892" s="32"/>
      <c r="M892" s="33">
        <f>(PROVEEDORES[[#This Row],[SUBTOTAL]]-PROVEEDORES[[#This Row],[descuento antes de IVA]])*VLOOKUP(PROVEEDORES[[#This Row],[PROVEEDOR]],TERCEROS_INFO[#All],3,FALSE)</f>
        <v>0</v>
      </c>
      <c r="N892" s="34"/>
      <c r="O892" s="33">
        <f>+PROVEEDORES[[#This Row],[Descuento sobre subtotal %]]*(PROVEEDORES[[#This Row],[SUBTOTAL]]-PROVEEDORES[[#This Row],[descuento antes de IVA]])</f>
        <v>0</v>
      </c>
      <c r="P8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2" s="33">
        <f>+(PROVEEDORES[[#This Row],[SUBTOTAL]]-PROVEEDORES[[#This Row],[descuento antes de IVA]])*PROVEEDORES[[#This Row],[Rete Fuente %]]</f>
        <v>0</v>
      </c>
      <c r="R892" s="32">
        <f>+PROVEEDORES[[#This Row],[SUBTOTAL]]+PROVEEDORES[[#This Row],[IVA 19%]]-PROVEEDORES[[#This Row],[descuento antes de IVA]]-PROVEEDORES[[#This Row],[Descuento sobre subtotal $]]-PROVEEDORES[[#This Row],[Rete Fuente $]]</f>
        <v>406800</v>
      </c>
      <c r="S89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2"/>
      <c r="U892" s="97"/>
      <c r="W892" s="40"/>
      <c r="X892" s="40"/>
      <c r="Y892" s="41"/>
      <c r="Z892" s="36"/>
      <c r="AA892" s="36"/>
      <c r="AD892" s="41"/>
      <c r="AE892" s="42"/>
      <c r="AF892" s="36"/>
      <c r="AG892" s="36"/>
    </row>
    <row r="893" spans="1:33" ht="21.95" hidden="1" customHeight="1" x14ac:dyDescent="0.25">
      <c r="A893" s="66" t="str">
        <f>+IF(PROVEEDORES[[#This Row],[FECHA DE PAGO]]=PROVEEDORES[[#This Row],[FECHA DE FACTURACIÓN]],"DE CONTADO","CRÉDITO")</f>
        <v>CRÉDITO</v>
      </c>
      <c r="B893" s="68" t="str">
        <f>+IF((PROVEEDORES[[#This Row],[FECHA DE PAGO]]-PROVEEDORES[[#This Row],[FECHA DE FACTURACIÓN]])&gt;PROVEEDORES[[#This Row],[PLAZO Días]],"PAGO VENCIDO")</f>
        <v>PAGO VENCIDO</v>
      </c>
      <c r="C893" s="27">
        <f>+VLOOKUP(PROVEEDORES[[#This Row],[PROVEEDOR]],TERCEROS_INFO[#All],2,FALSE)</f>
        <v>30</v>
      </c>
      <c r="D893" s="37">
        <f>+SUMIFS(PROVEEDORES[Total],PROVEEDORES[PROVEEDOR],PROVEEDORES[[#This Row],[PROVEEDOR]],PROVEEDORES[FECHA DE PAGO],"")</f>
        <v>0</v>
      </c>
      <c r="E893" s="37"/>
      <c r="F893" s="108" t="str">
        <f>+VLOOKUP(PROVEEDORES[[#This Row],[PROVEEDOR]],TERCEROS_INFO[[PROVEEDOR]:[CORREO]],5,FALSE)</f>
        <v>vromero@flashinternational.us;girlesa.ruiz@servipilas.com;joriescobar64@gmail.com</v>
      </c>
      <c r="G893" s="143">
        <v>44265</v>
      </c>
      <c r="H893" s="38" t="s">
        <v>386</v>
      </c>
      <c r="I893" s="30">
        <v>44217</v>
      </c>
      <c r="J893" s="58">
        <v>9769</v>
      </c>
      <c r="K893" s="32">
        <f>125.5*3600</f>
        <v>451800</v>
      </c>
      <c r="L893" s="32"/>
      <c r="M893" s="33">
        <f>(PROVEEDORES[[#This Row],[SUBTOTAL]]-PROVEEDORES[[#This Row],[descuento antes de IVA]])*VLOOKUP(PROVEEDORES[[#This Row],[PROVEEDOR]],TERCEROS_INFO[#All],3,FALSE)</f>
        <v>0</v>
      </c>
      <c r="N893" s="34"/>
      <c r="O893" s="33">
        <f>+PROVEEDORES[[#This Row],[Descuento sobre subtotal %]]*(PROVEEDORES[[#This Row],[SUBTOTAL]]-PROVEEDORES[[#This Row],[descuento antes de IVA]])</f>
        <v>0</v>
      </c>
      <c r="P8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3" s="33">
        <f>+(PROVEEDORES[[#This Row],[SUBTOTAL]]-PROVEEDORES[[#This Row],[descuento antes de IVA]])*PROVEEDORES[[#This Row],[Rete Fuente %]]</f>
        <v>0</v>
      </c>
      <c r="R893" s="32">
        <f>+PROVEEDORES[[#This Row],[SUBTOTAL]]+PROVEEDORES[[#This Row],[IVA 19%]]-PROVEEDORES[[#This Row],[descuento antes de IVA]]-PROVEEDORES[[#This Row],[Descuento sobre subtotal $]]-PROVEEDORES[[#This Row],[Rete Fuente $]]</f>
        <v>451800</v>
      </c>
      <c r="S893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3"/>
      <c r="U893" s="97"/>
      <c r="W893" s="40"/>
      <c r="X893" s="40"/>
      <c r="Y893" s="41"/>
      <c r="Z893" s="36"/>
      <c r="AA893" s="36"/>
      <c r="AD893" s="41"/>
      <c r="AE893" s="42"/>
      <c r="AF893" s="36"/>
      <c r="AG893" s="36"/>
    </row>
    <row r="894" spans="1:33" ht="21.95" hidden="1" customHeight="1" x14ac:dyDescent="0.25">
      <c r="A894" s="39" t="str">
        <f>+IF(PROVEEDORES[[#This Row],[FECHA DE PAGO]]=PROVEEDORES[[#This Row],[FECHA DE FACTURACIÓN]],"DE CONTADO","CRÉDITO")</f>
        <v>DE CONTADO</v>
      </c>
      <c r="B894" s="67" t="b">
        <f>+IF((PROVEEDORES[[#This Row],[FECHA DE PAGO]]-PROVEEDORES[[#This Row],[FECHA DE FACTURACIÓN]])&gt;PROVEEDORES[[#This Row],[PLAZO Días]],"PAGO VENCIDO")</f>
        <v>0</v>
      </c>
      <c r="C894" s="27">
        <f>+VLOOKUP(PROVEEDORES[[#This Row],[PROVEEDOR]],TERCEROS_INFO[#All],2,FALSE)</f>
        <v>30</v>
      </c>
      <c r="D894" s="37">
        <f>+SUMIFS(PROVEEDORES[Total],PROVEEDORES[PROVEEDOR],PROVEEDORES[[#This Row],[PROVEEDOR]],PROVEEDORES[FECHA DE PAGO],"")</f>
        <v>0</v>
      </c>
      <c r="E894" s="37"/>
      <c r="F894" s="108" t="str">
        <f>+VLOOKUP(PROVEEDORES[[#This Row],[PROVEEDOR]],TERCEROS_INFO[[PROVEEDOR]:[CORREO]],5,FALSE)</f>
        <v>vromero@flashinternational.us;girlesa.ruiz@servipilas.com;joriescobar64@gmail.com</v>
      </c>
      <c r="G894" s="143">
        <v>44222</v>
      </c>
      <c r="H894" s="38" t="s">
        <v>386</v>
      </c>
      <c r="I894" s="30">
        <v>44222</v>
      </c>
      <c r="J894" s="58">
        <v>9721</v>
      </c>
      <c r="K894" s="32">
        <f>48*3600</f>
        <v>172800</v>
      </c>
      <c r="L894" s="32"/>
      <c r="M894" s="33">
        <f>(PROVEEDORES[[#This Row],[SUBTOTAL]]-PROVEEDORES[[#This Row],[descuento antes de IVA]])*VLOOKUP(PROVEEDORES[[#This Row],[PROVEEDOR]],TERCEROS_INFO[#All],3,FALSE)</f>
        <v>0</v>
      </c>
      <c r="N894" s="34"/>
      <c r="O894" s="33">
        <f>+PROVEEDORES[[#This Row],[Descuento sobre subtotal %]]*(PROVEEDORES[[#This Row],[SUBTOTAL]]-PROVEEDORES[[#This Row],[descuento antes de IVA]])</f>
        <v>0</v>
      </c>
      <c r="P8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4" s="33">
        <f>+(PROVEEDORES[[#This Row],[SUBTOTAL]]-PROVEEDORES[[#This Row],[descuento antes de IVA]])*PROVEEDORES[[#This Row],[Rete Fuente %]]</f>
        <v>0</v>
      </c>
      <c r="R894" s="32">
        <f>+PROVEEDORES[[#This Row],[SUBTOTAL]]+PROVEEDORES[[#This Row],[IVA 19%]]-PROVEEDORES[[#This Row],[descuento antes de IVA]]-PROVEEDORES[[#This Row],[Descuento sobre subtotal $]]-PROVEEDORES[[#This Row],[Rete Fuente $]]</f>
        <v>172800</v>
      </c>
      <c r="S89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4"/>
      <c r="U894" s="97"/>
      <c r="W894" s="40"/>
      <c r="X894" s="40"/>
      <c r="Y894" s="41"/>
      <c r="Z894" s="36"/>
      <c r="AA894" s="36"/>
      <c r="AD894" s="41"/>
      <c r="AE894" s="42"/>
      <c r="AF894" s="36"/>
      <c r="AG894" s="36"/>
    </row>
    <row r="895" spans="1:33" ht="21.95" hidden="1" customHeight="1" x14ac:dyDescent="0.25">
      <c r="A895" s="88" t="str">
        <f>+IF(PROVEEDORES[[#This Row],[FECHA DE PAGO]]=PROVEEDORES[[#This Row],[FECHA DE FACTURACIÓN]],"DE CONTADO","CRÉDITO")</f>
        <v>CRÉDITO</v>
      </c>
      <c r="B895" s="70" t="str">
        <f>+IF((PROVEEDORES[[#This Row],[FECHA DE PAGO]]-PROVEEDORES[[#This Row],[FECHA DE FACTURACIÓN]])&gt;PROVEEDORES[[#This Row],[PLAZO Días]],"PAGO VENCIDO")</f>
        <v>PAGO VENCIDO</v>
      </c>
      <c r="C895" s="27">
        <f>+VLOOKUP(PROVEEDORES[[#This Row],[PROVEEDOR]],TERCEROS_INFO[#All],2,FALSE)</f>
        <v>30</v>
      </c>
      <c r="D895" s="37">
        <f>+SUMIFS(PROVEEDORES[Total],PROVEEDORES[PROVEEDOR],PROVEEDORES[[#This Row],[PROVEEDOR]],PROVEEDORES[FECHA DE PAGO],"")</f>
        <v>0</v>
      </c>
      <c r="E895" s="37"/>
      <c r="F895" s="108" t="str">
        <f>+VLOOKUP(PROVEEDORES[[#This Row],[PROVEEDOR]],TERCEROS_INFO[[PROVEEDOR]:[CORREO]],5,FALSE)</f>
        <v>vromero@flashinternational.us;girlesa.ruiz@servipilas.com;joriescobar64@gmail.com</v>
      </c>
      <c r="G895" s="143">
        <v>44286</v>
      </c>
      <c r="H895" s="38" t="s">
        <v>386</v>
      </c>
      <c r="I895" s="30">
        <v>44250</v>
      </c>
      <c r="J895" s="58" t="s">
        <v>1105</v>
      </c>
      <c r="K895" s="32">
        <f>40*3600</f>
        <v>144000</v>
      </c>
      <c r="L895" s="32"/>
      <c r="M895" s="33">
        <f>(PROVEEDORES[[#This Row],[SUBTOTAL]]-PROVEEDORES[[#This Row],[descuento antes de IVA]])*VLOOKUP(PROVEEDORES[[#This Row],[PROVEEDOR]],TERCEROS_INFO[#All],3,FALSE)</f>
        <v>0</v>
      </c>
      <c r="N895" s="34"/>
      <c r="O895" s="33">
        <f>+PROVEEDORES[[#This Row],[Descuento sobre subtotal %]]*(PROVEEDORES[[#This Row],[SUBTOTAL]]-PROVEEDORES[[#This Row],[descuento antes de IVA]])</f>
        <v>0</v>
      </c>
      <c r="P8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5" s="33">
        <f>+(PROVEEDORES[[#This Row],[SUBTOTAL]]-PROVEEDORES[[#This Row],[descuento antes de IVA]])*PROVEEDORES[[#This Row],[Rete Fuente %]]</f>
        <v>0</v>
      </c>
      <c r="R895" s="32">
        <f>+PROVEEDORES[[#This Row],[SUBTOTAL]]+PROVEEDORES[[#This Row],[IVA 19%]]-PROVEEDORES[[#This Row],[descuento antes de IVA]]-PROVEEDORES[[#This Row],[Descuento sobre subtotal $]]-PROVEEDORES[[#This Row],[Rete Fuente $]]</f>
        <v>144000</v>
      </c>
      <c r="S895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5"/>
      <c r="U895" s="97"/>
      <c r="W895" s="40"/>
      <c r="X895" s="40"/>
      <c r="Y895" s="41"/>
      <c r="Z895" s="36"/>
      <c r="AA895" s="36"/>
      <c r="AD895" s="41"/>
      <c r="AE895" s="42"/>
      <c r="AF895" s="36"/>
      <c r="AG895" s="36"/>
    </row>
    <row r="896" spans="1:33" ht="21.95" hidden="1" customHeight="1" x14ac:dyDescent="0.25">
      <c r="A896" s="88" t="str">
        <f>+IF(PROVEEDORES[[#This Row],[FECHA DE PAGO]]=PROVEEDORES[[#This Row],[FECHA DE FACTURACIÓN]],"DE CONTADO","CRÉDITO")</f>
        <v>CRÉDITO</v>
      </c>
      <c r="B896" s="70" t="b">
        <f>+IF((PROVEEDORES[[#This Row],[FECHA DE PAGO]]-PROVEEDORES[[#This Row],[FECHA DE FACTURACIÓN]])&gt;PROVEEDORES[[#This Row],[PLAZO Días]],"PAGO VENCIDO")</f>
        <v>0</v>
      </c>
      <c r="C896" s="27">
        <f>+VLOOKUP(PROVEEDORES[[#This Row],[PROVEEDOR]],TERCEROS_INFO[#All],2,FALSE)</f>
        <v>30</v>
      </c>
      <c r="D896" s="37">
        <f>+SUMIFS(PROVEEDORES[Total],PROVEEDORES[PROVEEDOR],PROVEEDORES[[#This Row],[PROVEEDOR]],PROVEEDORES[FECHA DE PAGO],"")</f>
        <v>0</v>
      </c>
      <c r="E896" s="37"/>
      <c r="F896" s="108" t="str">
        <f>+VLOOKUP(PROVEEDORES[[#This Row],[PROVEEDOR]],TERCEROS_INFO[[PROVEEDOR]:[CORREO]],5,FALSE)</f>
        <v>vromero@flashinternational.us;girlesa.ruiz@servipilas.com;joriescobar64@gmail.com</v>
      </c>
      <c r="G896" s="143">
        <v>44286</v>
      </c>
      <c r="H896" s="38" t="s">
        <v>386</v>
      </c>
      <c r="I896" s="30">
        <v>44271</v>
      </c>
      <c r="J896" s="58">
        <v>9838</v>
      </c>
      <c r="K896" s="32">
        <f>35*3600</f>
        <v>126000</v>
      </c>
      <c r="L896" s="32"/>
      <c r="M896" s="33">
        <f>(PROVEEDORES[[#This Row],[SUBTOTAL]]-PROVEEDORES[[#This Row],[descuento antes de IVA]])*VLOOKUP(PROVEEDORES[[#This Row],[PROVEEDOR]],TERCEROS_INFO[#All],3,FALSE)</f>
        <v>0</v>
      </c>
      <c r="N896" s="34"/>
      <c r="O896" s="33">
        <f>+PROVEEDORES[[#This Row],[Descuento sobre subtotal %]]*(PROVEEDORES[[#This Row],[SUBTOTAL]]-PROVEEDORES[[#This Row],[descuento antes de IVA]])</f>
        <v>0</v>
      </c>
      <c r="P8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6" s="33">
        <f>+(PROVEEDORES[[#This Row],[SUBTOTAL]]-PROVEEDORES[[#This Row],[descuento antes de IVA]])*PROVEEDORES[[#This Row],[Rete Fuente %]]</f>
        <v>0</v>
      </c>
      <c r="R896" s="32">
        <f>+PROVEEDORES[[#This Row],[SUBTOTAL]]+PROVEEDORES[[#This Row],[IVA 19%]]-PROVEEDORES[[#This Row],[descuento antes de IVA]]-PROVEEDORES[[#This Row],[Descuento sobre subtotal $]]-PROVEEDORES[[#This Row],[Rete Fuente $]]</f>
        <v>126000</v>
      </c>
      <c r="S89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6"/>
      <c r="U896" s="97"/>
      <c r="W896" s="40"/>
      <c r="X896" s="40"/>
      <c r="Y896" s="41"/>
      <c r="Z896" s="36"/>
      <c r="AA896" s="36"/>
      <c r="AD896" s="41"/>
      <c r="AE896" s="42"/>
      <c r="AF896" s="36"/>
      <c r="AG896" s="36"/>
    </row>
    <row r="897" spans="1:33" ht="21.95" hidden="1" customHeight="1" x14ac:dyDescent="0.25">
      <c r="A897" s="39" t="str">
        <f>+IF(PROVEEDORES[[#This Row],[FECHA DE PAGO]]=PROVEEDORES[[#This Row],[FECHA DE FACTURACIÓN]],"DE CONTADO","CRÉDITO")</f>
        <v>CRÉDITO</v>
      </c>
      <c r="B897" s="67" t="b">
        <f>+IF((PROVEEDORES[[#This Row],[FECHA DE PAGO]]-PROVEEDORES[[#This Row],[FECHA DE FACTURACIÓN]])&gt;PROVEEDORES[[#This Row],[PLAZO Días]],"PAGO VENCIDO")</f>
        <v>0</v>
      </c>
      <c r="C897" s="27">
        <f>+VLOOKUP(PROVEEDORES[[#This Row],[PROVEEDOR]],TERCEROS_INFO[#All],2,FALSE)</f>
        <v>30</v>
      </c>
      <c r="D897" s="37">
        <f>+SUMIFS(PROVEEDORES[Total],PROVEEDORES[PROVEEDOR],PROVEEDORES[[#This Row],[PROVEEDOR]],PROVEEDORES[FECHA DE PAGO],"")</f>
        <v>0</v>
      </c>
      <c r="E897" s="37" t="s">
        <v>354</v>
      </c>
      <c r="F897" s="108" t="str">
        <f>+VLOOKUP(PROVEEDORES[[#This Row],[PROVEEDOR]],TERCEROS_INFO[[PROVEEDOR]:[CORREO]],5,FALSE)</f>
        <v>vromero@flashinternational.us;girlesa.ruiz@servipilas.com;joriescobar64@gmail.com</v>
      </c>
      <c r="G897" s="143">
        <v>44068</v>
      </c>
      <c r="H897" s="38" t="s">
        <v>113</v>
      </c>
      <c r="I897" s="30">
        <v>44057</v>
      </c>
      <c r="J897" s="58" t="s">
        <v>125</v>
      </c>
      <c r="K897" s="32">
        <v>1715350</v>
      </c>
      <c r="L897" s="32"/>
      <c r="M897" s="33">
        <f>(PROVEEDORES[[#This Row],[SUBTOTAL]]-PROVEEDORES[[#This Row],[descuento antes de IVA]])*VLOOKUP(PROVEEDORES[[#This Row],[PROVEEDOR]],TERCEROS_INFO[#All],3,FALSE)</f>
        <v>0</v>
      </c>
      <c r="N897" s="34"/>
      <c r="O897" s="33">
        <f>+PROVEEDORES[[#This Row],[Descuento sobre subtotal %]]*(PROVEEDORES[[#This Row],[SUBTOTAL]]-PROVEEDORES[[#This Row],[descuento antes de IVA]])</f>
        <v>0</v>
      </c>
      <c r="P8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7" s="33">
        <f>+(PROVEEDORES[[#This Row],[SUBTOTAL]]-PROVEEDORES[[#This Row],[descuento antes de IVA]])*PROVEEDORES[[#This Row],[Rete Fuente %]]</f>
        <v>0</v>
      </c>
      <c r="R897" s="32">
        <f>+PROVEEDORES[[#This Row],[SUBTOTAL]]+PROVEEDORES[[#This Row],[IVA 19%]]-PROVEEDORES[[#This Row],[descuento antes de IVA]]-PROVEEDORES[[#This Row],[Descuento sobre subtotal $]]-PROVEEDORES[[#This Row],[Rete Fuente $]]</f>
        <v>1715350</v>
      </c>
      <c r="S89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7"/>
      <c r="U897" s="97"/>
      <c r="W897" s="40"/>
      <c r="X897" s="40"/>
      <c r="Y897" s="41"/>
      <c r="Z897" s="36"/>
      <c r="AA897" s="36"/>
      <c r="AD897" s="41"/>
      <c r="AE897" s="42"/>
      <c r="AF897" s="36"/>
      <c r="AG897" s="36"/>
    </row>
    <row r="898" spans="1:33" ht="21.95" hidden="1" customHeight="1" x14ac:dyDescent="0.25">
      <c r="A898" s="39" t="str">
        <f>+IF(PROVEEDORES[[#This Row],[FECHA DE PAGO]]=PROVEEDORES[[#This Row],[FECHA DE FACTURACIÓN]],"DE CONTADO","CRÉDITO")</f>
        <v>CRÉDITO</v>
      </c>
      <c r="B898" s="67" t="b">
        <f>+IF((PROVEEDORES[[#This Row],[FECHA DE PAGO]]-PROVEEDORES[[#This Row],[FECHA DE FACTURACIÓN]])&gt;PROVEEDORES[[#This Row],[PLAZO Días]],"PAGO VENCIDO")</f>
        <v>0</v>
      </c>
      <c r="C898" s="27">
        <f>+VLOOKUP(PROVEEDORES[[#This Row],[PROVEEDOR]],TERCEROS_INFO[#All],2,FALSE)</f>
        <v>30</v>
      </c>
      <c r="D898" s="37">
        <f>+SUMIFS(PROVEEDORES[Total],PROVEEDORES[PROVEEDOR],PROVEEDORES[[#This Row],[PROVEEDOR]],PROVEEDORES[FECHA DE PAGO],"")</f>
        <v>0</v>
      </c>
      <c r="E898" s="37"/>
      <c r="F898" s="108" t="str">
        <f>+VLOOKUP(PROVEEDORES[[#This Row],[PROVEEDOR]],TERCEROS_INFO[[PROVEEDOR]:[CORREO]],5,FALSE)</f>
        <v>vromero@flashinternational.us;girlesa.ruiz@servipilas.com;joriescobar64@gmail.com</v>
      </c>
      <c r="G898" s="143">
        <v>44180</v>
      </c>
      <c r="H898" s="38" t="s">
        <v>113</v>
      </c>
      <c r="I898" s="30">
        <v>44176</v>
      </c>
      <c r="J898" s="58" t="s">
        <v>203</v>
      </c>
      <c r="K898" s="32">
        <v>1977500</v>
      </c>
      <c r="L898" s="32"/>
      <c r="M898" s="33">
        <f>(PROVEEDORES[[#This Row],[SUBTOTAL]]-PROVEEDORES[[#This Row],[descuento antes de IVA]])*VLOOKUP(PROVEEDORES[[#This Row],[PROVEEDOR]],TERCEROS_INFO[#All],3,FALSE)</f>
        <v>0</v>
      </c>
      <c r="N898" s="34"/>
      <c r="O898" s="33">
        <f>+PROVEEDORES[[#This Row],[Descuento sobre subtotal %]]*(PROVEEDORES[[#This Row],[SUBTOTAL]]-PROVEEDORES[[#This Row],[descuento antes de IVA]])</f>
        <v>0</v>
      </c>
      <c r="P8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8" s="33">
        <f>+(PROVEEDORES[[#This Row],[SUBTOTAL]]-PROVEEDORES[[#This Row],[descuento antes de IVA]])*PROVEEDORES[[#This Row],[Rete Fuente %]]</f>
        <v>0</v>
      </c>
      <c r="R898" s="32">
        <f>+PROVEEDORES[[#This Row],[SUBTOTAL]]+PROVEEDORES[[#This Row],[IVA 19%]]-PROVEEDORES[[#This Row],[descuento antes de IVA]]-PROVEEDORES[[#This Row],[Descuento sobre subtotal $]]-PROVEEDORES[[#This Row],[Rete Fuente $]]</f>
        <v>1977500</v>
      </c>
      <c r="S89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8"/>
      <c r="U898" s="97"/>
      <c r="W898" s="40"/>
      <c r="X898" s="40"/>
      <c r="Y898" s="41"/>
      <c r="Z898" s="36"/>
      <c r="AA898" s="36"/>
      <c r="AD898" s="41"/>
      <c r="AE898" s="42"/>
      <c r="AF898" s="36"/>
      <c r="AG898" s="36"/>
    </row>
    <row r="899" spans="1:33" ht="21.95" hidden="1" customHeight="1" x14ac:dyDescent="0.25">
      <c r="A899" s="39" t="str">
        <f>+IF(PROVEEDORES[[#This Row],[FECHA DE PAGO]]=PROVEEDORES[[#This Row],[FECHA DE FACTURACIÓN]],"DE CONTADO","CRÉDITO")</f>
        <v>CRÉDITO</v>
      </c>
      <c r="B899" s="67" t="b">
        <f>+IF((PROVEEDORES[[#This Row],[FECHA DE PAGO]]-PROVEEDORES[[#This Row],[FECHA DE FACTURACIÓN]])&gt;PROVEEDORES[[#This Row],[PLAZO Días]],"PAGO VENCIDO")</f>
        <v>0</v>
      </c>
      <c r="C899" s="27">
        <f>+VLOOKUP(PROVEEDORES[[#This Row],[PROVEEDOR]],TERCEROS_INFO[#All],2,FALSE)</f>
        <v>30</v>
      </c>
      <c r="D899" s="37">
        <f>+SUMIFS(PROVEEDORES[Total],PROVEEDORES[PROVEEDOR],PROVEEDORES[[#This Row],[PROVEEDOR]],PROVEEDORES[FECHA DE PAGO],"")</f>
        <v>0</v>
      </c>
      <c r="E899" s="37"/>
      <c r="F899" s="108" t="str">
        <f>+VLOOKUP(PROVEEDORES[[#This Row],[PROVEEDOR]],TERCEROS_INFO[[PROVEEDOR]:[CORREO]],5,FALSE)</f>
        <v>vromero@flashinternational.us;girlesa.ruiz@servipilas.com;joriescobar64@gmail.com</v>
      </c>
      <c r="G899" s="143">
        <v>44057</v>
      </c>
      <c r="H899" s="38" t="s">
        <v>119</v>
      </c>
      <c r="I899" s="30">
        <v>44048</v>
      </c>
      <c r="J899" s="58" t="s">
        <v>118</v>
      </c>
      <c r="K899" s="32">
        <v>1300650</v>
      </c>
      <c r="L899" s="32"/>
      <c r="M899" s="33">
        <f>(PROVEEDORES[[#This Row],[SUBTOTAL]]-PROVEEDORES[[#This Row],[descuento antes de IVA]])*VLOOKUP(PROVEEDORES[[#This Row],[PROVEEDOR]],TERCEROS_INFO[#All],3,FALSE)</f>
        <v>0</v>
      </c>
      <c r="N899" s="34"/>
      <c r="O899" s="33">
        <f>+PROVEEDORES[[#This Row],[Descuento sobre subtotal %]]*(PROVEEDORES[[#This Row],[SUBTOTAL]]-PROVEEDORES[[#This Row],[descuento antes de IVA]])</f>
        <v>0</v>
      </c>
      <c r="P8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899" s="33">
        <f>+(PROVEEDORES[[#This Row],[SUBTOTAL]]-PROVEEDORES[[#This Row],[descuento antes de IVA]])*PROVEEDORES[[#This Row],[Rete Fuente %]]</f>
        <v>0</v>
      </c>
      <c r="R899" s="32">
        <f>+PROVEEDORES[[#This Row],[SUBTOTAL]]+PROVEEDORES[[#This Row],[IVA 19%]]-PROVEEDORES[[#This Row],[descuento antes de IVA]]-PROVEEDORES[[#This Row],[Descuento sobre subtotal $]]-PROVEEDORES[[#This Row],[Rete Fuente $]]</f>
        <v>1300650</v>
      </c>
      <c r="S89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9"/>
      <c r="U899" s="97"/>
      <c r="W899" s="40"/>
      <c r="X899" s="40"/>
      <c r="Y899" s="41"/>
      <c r="Z899" s="36"/>
      <c r="AA899" s="36"/>
      <c r="AD899" s="41"/>
      <c r="AE899" s="42"/>
      <c r="AF899" s="36"/>
      <c r="AG899" s="36"/>
    </row>
    <row r="900" spans="1:33" ht="21.95" hidden="1" customHeight="1" x14ac:dyDescent="0.25">
      <c r="A900" s="39" t="str">
        <f>+IF(PROVEEDORES[[#This Row],[FECHA DE PAGO]]=PROVEEDORES[[#This Row],[FECHA DE FACTURACIÓN]],"DE CONTADO","CRÉDITO")</f>
        <v>CRÉDITO</v>
      </c>
      <c r="B900" s="67" t="b">
        <f>+IF((PROVEEDORES[[#This Row],[FECHA DE PAGO]]-PROVEEDORES[[#This Row],[FECHA DE FACTURACIÓN]])&gt;PROVEEDORES[[#This Row],[PLAZO Días]],"PAGO VENCIDO")</f>
        <v>0</v>
      </c>
      <c r="C900" s="27">
        <f>+VLOOKUP(PROVEEDORES[[#This Row],[PROVEEDOR]],TERCEROS_INFO[#All],2,FALSE)</f>
        <v>30</v>
      </c>
      <c r="D900" s="37">
        <f>+SUMIFS(PROVEEDORES[Total],PROVEEDORES[PROVEEDOR],PROVEEDORES[[#This Row],[PROVEEDOR]],PROVEEDORES[FECHA DE PAGO],"")</f>
        <v>0</v>
      </c>
      <c r="E900" s="37" t="s">
        <v>355</v>
      </c>
      <c r="F900" s="108" t="str">
        <f>+VLOOKUP(PROVEEDORES[[#This Row],[PROVEEDOR]],TERCEROS_INFO[[PROVEEDOR]:[CORREO]],5,FALSE)</f>
        <v>vromero@flashinternational.us;girlesa.ruiz@servipilas.com;joriescobar64@gmail.com</v>
      </c>
      <c r="G900" s="143">
        <v>43986</v>
      </c>
      <c r="H900" s="38" t="s">
        <v>65</v>
      </c>
      <c r="I900" s="30">
        <v>43958</v>
      </c>
      <c r="J900" s="58" t="s">
        <v>66</v>
      </c>
      <c r="K900" s="32">
        <v>1356000</v>
      </c>
      <c r="L900" s="32"/>
      <c r="M900" s="33">
        <f>(PROVEEDORES[[#This Row],[SUBTOTAL]]-PROVEEDORES[[#This Row],[descuento antes de IVA]])*VLOOKUP(PROVEEDORES[[#This Row],[PROVEEDOR]],TERCEROS_INFO[#All],3,FALSE)</f>
        <v>0</v>
      </c>
      <c r="N900" s="34"/>
      <c r="O900" s="33">
        <f>+PROVEEDORES[[#This Row],[Descuento sobre subtotal %]]*(PROVEEDORES[[#This Row],[SUBTOTAL]]-PROVEEDORES[[#This Row],[descuento antes de IVA]])</f>
        <v>0</v>
      </c>
      <c r="P9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0" s="33">
        <f>+(PROVEEDORES[[#This Row],[SUBTOTAL]]-PROVEEDORES[[#This Row],[descuento antes de IVA]])*PROVEEDORES[[#This Row],[Rete Fuente %]]</f>
        <v>0</v>
      </c>
      <c r="R900" s="32">
        <f>+PROVEEDORES[[#This Row],[SUBTOTAL]]+PROVEEDORES[[#This Row],[IVA 19%]]-PROVEEDORES[[#This Row],[descuento antes de IVA]]-PROVEEDORES[[#This Row],[Descuento sobre subtotal $]]-PROVEEDORES[[#This Row],[Rete Fuente $]]</f>
        <v>1356000</v>
      </c>
      <c r="S90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0"/>
      <c r="U900" s="97"/>
      <c r="W900" s="40"/>
      <c r="X900" s="40"/>
      <c r="Y900" s="41"/>
      <c r="Z900" s="36"/>
      <c r="AA900" s="36"/>
      <c r="AD900" s="41"/>
      <c r="AE900" s="42"/>
      <c r="AF900" s="36"/>
      <c r="AG900" s="36"/>
    </row>
    <row r="901" spans="1:33" ht="21.95" hidden="1" customHeight="1" x14ac:dyDescent="0.25">
      <c r="A901" s="39" t="str">
        <f>+IF(PROVEEDORES[[#This Row],[FECHA DE PAGO]]=PROVEEDORES[[#This Row],[FECHA DE FACTURACIÓN]],"DE CONTADO","CRÉDITO")</f>
        <v>CRÉDITO</v>
      </c>
      <c r="B901" s="67" t="b">
        <f>+IF((PROVEEDORES[[#This Row],[FECHA DE PAGO]]-PROVEEDORES[[#This Row],[FECHA DE FACTURACIÓN]])&gt;PROVEEDORES[[#This Row],[PLAZO Días]],"PAGO VENCIDO")</f>
        <v>0</v>
      </c>
      <c r="C901" s="27">
        <f>+VLOOKUP(PROVEEDORES[[#This Row],[PROVEEDOR]],TERCEROS_INFO[#All],2,FALSE)</f>
        <v>30</v>
      </c>
      <c r="D901" s="37">
        <f>+SUMIFS(PROVEEDORES[Total],PROVEEDORES[PROVEEDOR],PROVEEDORES[[#This Row],[PROVEEDOR]],PROVEEDORES[FECHA DE PAGO],"")</f>
        <v>0</v>
      </c>
      <c r="E901" s="37" t="s">
        <v>354</v>
      </c>
      <c r="F901" s="108" t="str">
        <f>+VLOOKUP(PROVEEDORES[[#This Row],[PROVEEDOR]],TERCEROS_INFO[[PROVEEDOR]:[CORREO]],5,FALSE)</f>
        <v>vromero@flashinternational.us;girlesa.ruiz@servipilas.com;joriescobar64@gmail.com</v>
      </c>
      <c r="G901" s="143">
        <v>44017</v>
      </c>
      <c r="H901" s="38" t="s">
        <v>65</v>
      </c>
      <c r="I901" s="30">
        <v>44014</v>
      </c>
      <c r="J901" s="58" t="s">
        <v>89</v>
      </c>
      <c r="K901" s="32">
        <v>1850000</v>
      </c>
      <c r="L901" s="32"/>
      <c r="M901" s="33">
        <f>(PROVEEDORES[[#This Row],[SUBTOTAL]]-PROVEEDORES[[#This Row],[descuento antes de IVA]])*VLOOKUP(PROVEEDORES[[#This Row],[PROVEEDOR]],TERCEROS_INFO[#All],3,FALSE)</f>
        <v>0</v>
      </c>
      <c r="N901" s="34"/>
      <c r="O901" s="33">
        <f>+PROVEEDORES[[#This Row],[Descuento sobre subtotal %]]*(PROVEEDORES[[#This Row],[SUBTOTAL]]-PROVEEDORES[[#This Row],[descuento antes de IVA]])</f>
        <v>0</v>
      </c>
      <c r="P9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1" s="33">
        <f>+(PROVEEDORES[[#This Row],[SUBTOTAL]]-PROVEEDORES[[#This Row],[descuento antes de IVA]])*PROVEEDORES[[#This Row],[Rete Fuente %]]</f>
        <v>0</v>
      </c>
      <c r="R901" s="32">
        <f>+PROVEEDORES[[#This Row],[SUBTOTAL]]+PROVEEDORES[[#This Row],[IVA 19%]]-PROVEEDORES[[#This Row],[descuento antes de IVA]]-PROVEEDORES[[#This Row],[Descuento sobre subtotal $]]-PROVEEDORES[[#This Row],[Rete Fuente $]]</f>
        <v>1850000</v>
      </c>
      <c r="S90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1"/>
      <c r="U901" s="97"/>
      <c r="W901" s="40"/>
      <c r="X901" s="40"/>
      <c r="Y901" s="41"/>
      <c r="Z901" s="36"/>
      <c r="AA901" s="36"/>
      <c r="AD901" s="41"/>
      <c r="AE901" s="42"/>
      <c r="AF901" s="36"/>
      <c r="AG901" s="36"/>
    </row>
    <row r="902" spans="1:33" ht="21.95" hidden="1" customHeight="1" x14ac:dyDescent="0.25">
      <c r="A902" s="39" t="str">
        <f>+IF(PROVEEDORES[[#This Row],[FECHA DE PAGO]]=PROVEEDORES[[#This Row],[FECHA DE FACTURACIÓN]],"DE CONTADO","CRÉDITO")</f>
        <v>CRÉDITO</v>
      </c>
      <c r="B902" s="67" t="b">
        <f>+IF((PROVEEDORES[[#This Row],[FECHA DE PAGO]]-PROVEEDORES[[#This Row],[FECHA DE FACTURACIÓN]])&gt;PROVEEDORES[[#This Row],[PLAZO Días]],"PAGO VENCIDO")</f>
        <v>0</v>
      </c>
      <c r="C902" s="27">
        <f>+VLOOKUP(PROVEEDORES[[#This Row],[PROVEEDOR]],TERCEROS_INFO[#All],2,FALSE)</f>
        <v>30</v>
      </c>
      <c r="D902" s="37">
        <f>+SUMIFS(PROVEEDORES[Total],PROVEEDORES[PROVEEDOR],PROVEEDORES[[#This Row],[PROVEEDOR]],PROVEEDORES[FECHA DE PAGO],"")</f>
        <v>0</v>
      </c>
      <c r="E902" s="37"/>
      <c r="F902" s="108" t="str">
        <f>+VLOOKUP(PROVEEDORES[[#This Row],[PROVEEDOR]],TERCEROS_INFO[[PROVEEDOR]:[CORREO]],5,FALSE)</f>
        <v>vromero@flashinternational.us;girlesa.ruiz@servipilas.com;joriescobar64@gmail.com</v>
      </c>
      <c r="G902" s="143">
        <v>44053</v>
      </c>
      <c r="H902" s="38" t="s">
        <v>65</v>
      </c>
      <c r="I902" s="30">
        <v>44035</v>
      </c>
      <c r="J902" s="58" t="s">
        <v>106</v>
      </c>
      <c r="K902" s="32">
        <v>180000</v>
      </c>
      <c r="L902" s="32"/>
      <c r="M902" s="33">
        <f>(PROVEEDORES[[#This Row],[SUBTOTAL]]-PROVEEDORES[[#This Row],[descuento antes de IVA]])*VLOOKUP(PROVEEDORES[[#This Row],[PROVEEDOR]],TERCEROS_INFO[#All],3,FALSE)</f>
        <v>0</v>
      </c>
      <c r="N902" s="34"/>
      <c r="O902" s="33">
        <f>+PROVEEDORES[[#This Row],[Descuento sobre subtotal %]]*(PROVEEDORES[[#This Row],[SUBTOTAL]]-PROVEEDORES[[#This Row],[descuento antes de IVA]])</f>
        <v>0</v>
      </c>
      <c r="P9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2" s="33">
        <f>+(PROVEEDORES[[#This Row],[SUBTOTAL]]-PROVEEDORES[[#This Row],[descuento antes de IVA]])*PROVEEDORES[[#This Row],[Rete Fuente %]]</f>
        <v>0</v>
      </c>
      <c r="R902" s="32">
        <f>+PROVEEDORES[[#This Row],[SUBTOTAL]]+PROVEEDORES[[#This Row],[IVA 19%]]-PROVEEDORES[[#This Row],[descuento antes de IVA]]-PROVEEDORES[[#This Row],[Descuento sobre subtotal $]]-PROVEEDORES[[#This Row],[Rete Fuente $]]</f>
        <v>180000</v>
      </c>
      <c r="S90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2"/>
      <c r="U902" s="97"/>
      <c r="W902" s="40"/>
      <c r="X902" s="40"/>
      <c r="Y902" s="41"/>
      <c r="Z902" s="36"/>
      <c r="AA902" s="36"/>
      <c r="AD902" s="41"/>
      <c r="AE902" s="42"/>
      <c r="AF902" s="36"/>
      <c r="AG902" s="36"/>
    </row>
    <row r="903" spans="1:33" ht="21.95" hidden="1" customHeight="1" x14ac:dyDescent="0.25">
      <c r="A903" s="39" t="str">
        <f>+IF(PROVEEDORES[[#This Row],[FECHA DE PAGO]]=PROVEEDORES[[#This Row],[FECHA DE FACTURACIÓN]],"DE CONTADO","CRÉDITO")</f>
        <v>CRÉDITO</v>
      </c>
      <c r="B903" s="67" t="b">
        <f>+IF((PROVEEDORES[[#This Row],[FECHA DE PAGO]]-PROVEEDORES[[#This Row],[FECHA DE FACTURACIÓN]])&gt;PROVEEDORES[[#This Row],[PLAZO Días]],"PAGO VENCIDO")</f>
        <v>0</v>
      </c>
      <c r="C903" s="27">
        <f>+VLOOKUP(PROVEEDORES[[#This Row],[PROVEEDOR]],TERCEROS_INFO[#All],2,FALSE)</f>
        <v>30</v>
      </c>
      <c r="D903" s="37">
        <f>+SUMIFS(PROVEEDORES[Total],PROVEEDORES[PROVEEDOR],PROVEEDORES[[#This Row],[PROVEEDOR]],PROVEEDORES[FECHA DE PAGO],"")</f>
        <v>0</v>
      </c>
      <c r="E903" s="37" t="s">
        <v>354</v>
      </c>
      <c r="F903" s="108" t="str">
        <f>+VLOOKUP(PROVEEDORES[[#This Row],[PROVEEDOR]],TERCEROS_INFO[[PROVEEDOR]:[CORREO]],5,FALSE)</f>
        <v>vromero@flashinternational.us;girlesa.ruiz@servipilas.com;joriescobar64@gmail.com</v>
      </c>
      <c r="G903" s="143">
        <v>44043</v>
      </c>
      <c r="H903" s="38" t="s">
        <v>65</v>
      </c>
      <c r="I903" s="30">
        <v>44035</v>
      </c>
      <c r="J903" s="58" t="s">
        <v>107</v>
      </c>
      <c r="K903" s="32">
        <v>1961000</v>
      </c>
      <c r="L903" s="32"/>
      <c r="M903" s="33">
        <f>(PROVEEDORES[[#This Row],[SUBTOTAL]]-PROVEEDORES[[#This Row],[descuento antes de IVA]])*VLOOKUP(PROVEEDORES[[#This Row],[PROVEEDOR]],TERCEROS_INFO[#All],3,FALSE)</f>
        <v>0</v>
      </c>
      <c r="N903" s="34"/>
      <c r="O903" s="33">
        <f>+PROVEEDORES[[#This Row],[Descuento sobre subtotal %]]*(PROVEEDORES[[#This Row],[SUBTOTAL]]-PROVEEDORES[[#This Row],[descuento antes de IVA]])</f>
        <v>0</v>
      </c>
      <c r="P9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3" s="33">
        <f>+(PROVEEDORES[[#This Row],[SUBTOTAL]]-PROVEEDORES[[#This Row],[descuento antes de IVA]])*PROVEEDORES[[#This Row],[Rete Fuente %]]</f>
        <v>0</v>
      </c>
      <c r="R903" s="32">
        <f>+PROVEEDORES[[#This Row],[SUBTOTAL]]+PROVEEDORES[[#This Row],[IVA 19%]]-PROVEEDORES[[#This Row],[descuento antes de IVA]]-PROVEEDORES[[#This Row],[Descuento sobre subtotal $]]-PROVEEDORES[[#This Row],[Rete Fuente $]]</f>
        <v>1961000</v>
      </c>
      <c r="S90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3"/>
      <c r="U903" s="97"/>
      <c r="W903" s="40"/>
      <c r="X903" s="40"/>
      <c r="Y903" s="41"/>
      <c r="Z903" s="36"/>
      <c r="AA903" s="36"/>
      <c r="AD903" s="41"/>
      <c r="AE903" s="42"/>
      <c r="AF903" s="36"/>
      <c r="AG903" s="36"/>
    </row>
    <row r="904" spans="1:33" ht="21.95" hidden="1" customHeight="1" x14ac:dyDescent="0.25">
      <c r="A904" s="39" t="str">
        <f>+IF(PROVEEDORES[[#This Row],[FECHA DE PAGO]]=PROVEEDORES[[#This Row],[FECHA DE FACTURACIÓN]],"DE CONTADO","CRÉDITO")</f>
        <v>CRÉDITO</v>
      </c>
      <c r="B904" s="67" t="b">
        <f>+IF((PROVEEDORES[[#This Row],[FECHA DE PAGO]]-PROVEEDORES[[#This Row],[FECHA DE FACTURACIÓN]])&gt;PROVEEDORES[[#This Row],[PLAZO Días]],"PAGO VENCIDO")</f>
        <v>0</v>
      </c>
      <c r="C904" s="27">
        <f>+VLOOKUP(PROVEEDORES[[#This Row],[PROVEEDOR]],TERCEROS_INFO[#All],2,FALSE)</f>
        <v>30</v>
      </c>
      <c r="D904" s="37">
        <f>+SUMIFS(PROVEEDORES[Total],PROVEEDORES[PROVEEDOR],PROVEEDORES[[#This Row],[PROVEEDOR]],PROVEEDORES[FECHA DE PAGO],"")</f>
        <v>0</v>
      </c>
      <c r="E904" s="37" t="s">
        <v>356</v>
      </c>
      <c r="F904" s="108" t="str">
        <f>+VLOOKUP(PROVEEDORES[[#This Row],[PROVEEDOR]],TERCEROS_INFO[[PROVEEDOR]:[CORREO]],5,FALSE)</f>
        <v>vromero@flashinternational.us;girlesa.ruiz@servipilas.com;joriescobar64@gmail.com</v>
      </c>
      <c r="G904" s="143">
        <v>44089</v>
      </c>
      <c r="H904" s="38" t="s">
        <v>323</v>
      </c>
      <c r="I904" s="30">
        <v>44085</v>
      </c>
      <c r="J904" s="58" t="s">
        <v>139</v>
      </c>
      <c r="K904" s="32">
        <v>1862000</v>
      </c>
      <c r="L904" s="32"/>
      <c r="M904" s="33">
        <f>(PROVEEDORES[[#This Row],[SUBTOTAL]]-PROVEEDORES[[#This Row],[descuento antes de IVA]])*VLOOKUP(PROVEEDORES[[#This Row],[PROVEEDOR]],TERCEROS_INFO[#All],3,FALSE)</f>
        <v>0</v>
      </c>
      <c r="N904" s="34"/>
      <c r="O904" s="33">
        <f>+PROVEEDORES[[#This Row],[Descuento sobre subtotal %]]*(PROVEEDORES[[#This Row],[SUBTOTAL]]-PROVEEDORES[[#This Row],[descuento antes de IVA]])</f>
        <v>0</v>
      </c>
      <c r="P9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4" s="33">
        <f>+(PROVEEDORES[[#This Row],[SUBTOTAL]]-PROVEEDORES[[#This Row],[descuento antes de IVA]])*PROVEEDORES[[#This Row],[Rete Fuente %]]</f>
        <v>0</v>
      </c>
      <c r="R904" s="32">
        <f>+PROVEEDORES[[#This Row],[SUBTOTAL]]+PROVEEDORES[[#This Row],[IVA 19%]]-PROVEEDORES[[#This Row],[descuento antes de IVA]]-PROVEEDORES[[#This Row],[Descuento sobre subtotal $]]-PROVEEDORES[[#This Row],[Rete Fuente $]]</f>
        <v>1862000</v>
      </c>
      <c r="S90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4"/>
      <c r="U904" s="97"/>
      <c r="W904" s="40"/>
      <c r="X904" s="40"/>
      <c r="Y904" s="41"/>
      <c r="Z904" s="36"/>
      <c r="AA904" s="36"/>
      <c r="AD904" s="41"/>
      <c r="AE904" s="42"/>
      <c r="AF904" s="36"/>
      <c r="AG904" s="36"/>
    </row>
    <row r="905" spans="1:33" ht="21.95" hidden="1" customHeight="1" x14ac:dyDescent="0.25">
      <c r="A905" s="39" t="str">
        <f>+IF(PROVEEDORES[[#This Row],[FECHA DE PAGO]]=PROVEEDORES[[#This Row],[FECHA DE FACTURACIÓN]],"DE CONTADO","CRÉDITO")</f>
        <v>CRÉDITO</v>
      </c>
      <c r="B905" s="67" t="b">
        <f>+IF((PROVEEDORES[[#This Row],[FECHA DE PAGO]]-PROVEEDORES[[#This Row],[FECHA DE FACTURACIÓN]])&gt;PROVEEDORES[[#This Row],[PLAZO Días]],"PAGO VENCIDO")</f>
        <v>0</v>
      </c>
      <c r="C905" s="27">
        <f>+VLOOKUP(PROVEEDORES[[#This Row],[PROVEEDOR]],TERCEROS_INFO[#All],2,FALSE)</f>
        <v>30</v>
      </c>
      <c r="D905" s="37">
        <f>+SUMIFS(PROVEEDORES[Total],PROVEEDORES[PROVEEDOR],PROVEEDORES[[#This Row],[PROVEEDOR]],PROVEEDORES[FECHA DE PAGO],"")</f>
        <v>0</v>
      </c>
      <c r="E905" s="37"/>
      <c r="F905" s="108" t="str">
        <f>+VLOOKUP(PROVEEDORES[[#This Row],[PROVEEDOR]],TERCEROS_INFO[[PROVEEDOR]:[CORREO]],5,FALSE)</f>
        <v>vromero@flashinternational.us;girlesa.ruiz@servipilas.com;joriescobar64@gmail.com</v>
      </c>
      <c r="G905" s="143">
        <v>44104</v>
      </c>
      <c r="H905" s="38" t="s">
        <v>323</v>
      </c>
      <c r="I905" s="30">
        <v>44098</v>
      </c>
      <c r="J905" s="58" t="s">
        <v>148</v>
      </c>
      <c r="K905" s="32">
        <v>1911000</v>
      </c>
      <c r="L905" s="32"/>
      <c r="M905" s="33">
        <f>(PROVEEDORES[[#This Row],[SUBTOTAL]]-PROVEEDORES[[#This Row],[descuento antes de IVA]])*VLOOKUP(PROVEEDORES[[#This Row],[PROVEEDOR]],TERCEROS_INFO[#All],3,FALSE)</f>
        <v>0</v>
      </c>
      <c r="N905" s="34"/>
      <c r="O905" s="33">
        <f>+PROVEEDORES[[#This Row],[Descuento sobre subtotal %]]*(PROVEEDORES[[#This Row],[SUBTOTAL]]-PROVEEDORES[[#This Row],[descuento antes de IVA]])</f>
        <v>0</v>
      </c>
      <c r="P9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5" s="33">
        <f>+(PROVEEDORES[[#This Row],[SUBTOTAL]]-PROVEEDORES[[#This Row],[descuento antes de IVA]])*PROVEEDORES[[#This Row],[Rete Fuente %]]</f>
        <v>0</v>
      </c>
      <c r="R905" s="32">
        <f>+PROVEEDORES[[#This Row],[SUBTOTAL]]+PROVEEDORES[[#This Row],[IVA 19%]]-PROVEEDORES[[#This Row],[descuento antes de IVA]]-PROVEEDORES[[#This Row],[Descuento sobre subtotal $]]-PROVEEDORES[[#This Row],[Rete Fuente $]]</f>
        <v>1911000</v>
      </c>
      <c r="S9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5"/>
      <c r="U905" s="97"/>
      <c r="W905" s="40"/>
      <c r="X905" s="40"/>
      <c r="Y905" s="41"/>
      <c r="Z905" s="36"/>
      <c r="AA905" s="36"/>
      <c r="AD905" s="41"/>
      <c r="AE905" s="42"/>
      <c r="AF905" s="36"/>
      <c r="AG905" s="36"/>
    </row>
    <row r="906" spans="1:33" ht="21.95" hidden="1" customHeight="1" x14ac:dyDescent="0.25">
      <c r="A906" s="39" t="str">
        <f>+IF(PROVEEDORES[[#This Row],[FECHA DE PAGO]]=PROVEEDORES[[#This Row],[FECHA DE FACTURACIÓN]],"DE CONTADO","CRÉDITO")</f>
        <v>CRÉDITO</v>
      </c>
      <c r="B906" s="67" t="b">
        <f>+IF((PROVEEDORES[[#This Row],[FECHA DE PAGO]]-PROVEEDORES[[#This Row],[FECHA DE FACTURACIÓN]])&gt;PROVEEDORES[[#This Row],[PLAZO Días]],"PAGO VENCIDO")</f>
        <v>0</v>
      </c>
      <c r="C906" s="27">
        <f>+VLOOKUP(PROVEEDORES[[#This Row],[PROVEEDOR]],TERCEROS_INFO[#All],2,FALSE)</f>
        <v>30</v>
      </c>
      <c r="D906" s="37">
        <f>+SUMIFS(PROVEEDORES[Total],PROVEEDORES[PROVEEDOR],PROVEEDORES[[#This Row],[PROVEEDOR]],PROVEEDORES[FECHA DE PAGO],"")</f>
        <v>0</v>
      </c>
      <c r="E906" s="37"/>
      <c r="F906" s="108" t="str">
        <f>+VLOOKUP(PROVEEDORES[[#This Row],[PROVEEDOR]],TERCEROS_INFO[[PROVEEDOR]:[CORREO]],5,FALSE)</f>
        <v>vromero@flashinternational.us;girlesa.ruiz@servipilas.com;joriescobar64@gmail.com</v>
      </c>
      <c r="G906" s="143">
        <v>44165</v>
      </c>
      <c r="H906" s="38" t="s">
        <v>323</v>
      </c>
      <c r="I906" s="30">
        <v>44152</v>
      </c>
      <c r="J906" s="58" t="s">
        <v>182</v>
      </c>
      <c r="K906" s="32">
        <v>1900000</v>
      </c>
      <c r="L906" s="32"/>
      <c r="M906" s="33">
        <f>(PROVEEDORES[[#This Row],[SUBTOTAL]]-PROVEEDORES[[#This Row],[descuento antes de IVA]])*VLOOKUP(PROVEEDORES[[#This Row],[PROVEEDOR]],TERCEROS_INFO[#All],3,FALSE)</f>
        <v>0</v>
      </c>
      <c r="N906" s="34"/>
      <c r="O906" s="33">
        <f>+PROVEEDORES[[#This Row],[Descuento sobre subtotal %]]*(PROVEEDORES[[#This Row],[SUBTOTAL]]-PROVEEDORES[[#This Row],[descuento antes de IVA]])</f>
        <v>0</v>
      </c>
      <c r="P9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6" s="33">
        <f>+(PROVEEDORES[[#This Row],[SUBTOTAL]]-PROVEEDORES[[#This Row],[descuento antes de IVA]])*PROVEEDORES[[#This Row],[Rete Fuente %]]</f>
        <v>0</v>
      </c>
      <c r="R906" s="32">
        <f>+PROVEEDORES[[#This Row],[SUBTOTAL]]+PROVEEDORES[[#This Row],[IVA 19%]]-PROVEEDORES[[#This Row],[descuento antes de IVA]]-PROVEEDORES[[#This Row],[Descuento sobre subtotal $]]-PROVEEDORES[[#This Row],[Rete Fuente $]]</f>
        <v>1900000</v>
      </c>
      <c r="S9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6"/>
      <c r="U906" s="97"/>
      <c r="W906" s="40"/>
      <c r="X906" s="40"/>
      <c r="Y906" s="41"/>
      <c r="Z906" s="36"/>
      <c r="AA906" s="36"/>
      <c r="AD906" s="41"/>
      <c r="AE906" s="42"/>
      <c r="AF906" s="36"/>
      <c r="AG906" s="36"/>
    </row>
    <row r="907" spans="1:33" ht="21.95" hidden="1" customHeight="1" x14ac:dyDescent="0.25">
      <c r="A907" s="39" t="str">
        <f>+IF(PROVEEDORES[[#This Row],[FECHA DE PAGO]]=PROVEEDORES[[#This Row],[FECHA DE FACTURACIÓN]],"DE CONTADO","CRÉDITO")</f>
        <v>DE CONTADO</v>
      </c>
      <c r="B907" s="67" t="b">
        <f>+IF((PROVEEDORES[[#This Row],[FECHA DE PAGO]]-PROVEEDORES[[#This Row],[FECHA DE FACTURACIÓN]])&gt;PROVEEDORES[[#This Row],[PLAZO Días]],"PAGO VENCIDO")</f>
        <v>0</v>
      </c>
      <c r="C907" s="27">
        <f>+VLOOKUP(PROVEEDORES[[#This Row],[PROVEEDOR]],TERCEROS_INFO[#All],2,FALSE)</f>
        <v>30</v>
      </c>
      <c r="D907" s="37">
        <f>+SUMIFS(PROVEEDORES[Total],PROVEEDORES[PROVEEDOR],PROVEEDORES[[#This Row],[PROVEEDOR]],PROVEEDORES[FECHA DE PAGO],"")</f>
        <v>0</v>
      </c>
      <c r="E907" s="37"/>
      <c r="F907" s="108" t="str">
        <f>+VLOOKUP(PROVEEDORES[[#This Row],[PROVEEDOR]],TERCEROS_INFO[[PROVEEDOR]:[CORREO]],5,FALSE)</f>
        <v>vromero@flashinternational.us;girlesa.ruiz@servipilas.com;joriescobar64@gmail.com</v>
      </c>
      <c r="G907" s="143">
        <v>44222</v>
      </c>
      <c r="H907" s="38" t="s">
        <v>323</v>
      </c>
      <c r="I907" s="30">
        <v>44222</v>
      </c>
      <c r="J907" s="58">
        <v>9731</v>
      </c>
      <c r="K907" s="32">
        <f>540*3600</f>
        <v>1944000</v>
      </c>
      <c r="L907" s="32"/>
      <c r="M907" s="33">
        <f>(PROVEEDORES[[#This Row],[SUBTOTAL]]-PROVEEDORES[[#This Row],[descuento antes de IVA]])*VLOOKUP(PROVEEDORES[[#This Row],[PROVEEDOR]],TERCEROS_INFO[#All],3,FALSE)</f>
        <v>0</v>
      </c>
      <c r="N907" s="34"/>
      <c r="O907" s="33">
        <f>+PROVEEDORES[[#This Row],[Descuento sobre subtotal %]]*(PROVEEDORES[[#This Row],[SUBTOTAL]]-PROVEEDORES[[#This Row],[descuento antes de IVA]])</f>
        <v>0</v>
      </c>
      <c r="P9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7" s="33">
        <f>+(PROVEEDORES[[#This Row],[SUBTOTAL]]-PROVEEDORES[[#This Row],[descuento antes de IVA]])*PROVEEDORES[[#This Row],[Rete Fuente %]]</f>
        <v>0</v>
      </c>
      <c r="R907" s="32">
        <f>+PROVEEDORES[[#This Row],[SUBTOTAL]]+PROVEEDORES[[#This Row],[IVA 19%]]-PROVEEDORES[[#This Row],[descuento antes de IVA]]-PROVEEDORES[[#This Row],[Descuento sobre subtotal $]]-PROVEEDORES[[#This Row],[Rete Fuente $]]</f>
        <v>1944000</v>
      </c>
      <c r="S9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7"/>
      <c r="U907" s="97"/>
      <c r="W907" s="40"/>
      <c r="X907" s="40"/>
      <c r="Y907" s="41"/>
      <c r="Z907" s="36"/>
      <c r="AA907" s="36"/>
      <c r="AD907" s="41"/>
      <c r="AE907" s="42"/>
      <c r="AF907" s="36"/>
      <c r="AG907" s="36"/>
    </row>
    <row r="908" spans="1:33" ht="21.95" hidden="1" customHeight="1" x14ac:dyDescent="0.25">
      <c r="A908" s="35" t="str">
        <f>+IF(PROVEEDORES[[#This Row],[FECHA DE PAGO]]=PROVEEDORES[[#This Row],[FECHA DE FACTURACIÓN]],"DE CONTADO","CRÉDITO")</f>
        <v>CRÉDITO</v>
      </c>
      <c r="B908" s="70" t="b">
        <f>+IF((PROVEEDORES[[#This Row],[FECHA DE PAGO]]-PROVEEDORES[[#This Row],[FECHA DE FACTURACIÓN]])&gt;PROVEEDORES[[#This Row],[PLAZO Días]],"PAGO VENCIDO")</f>
        <v>0</v>
      </c>
      <c r="C908" s="27">
        <f>+VLOOKUP(PROVEEDORES[[#This Row],[PROVEEDOR]],TERCEROS_INFO[#All],2,FALSE)</f>
        <v>30</v>
      </c>
      <c r="D908" s="37">
        <f>+SUMIFS(PROVEEDORES[Total],PROVEEDORES[PROVEEDOR],PROVEEDORES[[#This Row],[PROVEEDOR]],PROVEEDORES[FECHA DE PAGO],"")</f>
        <v>0</v>
      </c>
      <c r="E908" s="37"/>
      <c r="F908" s="108" t="str">
        <f>+VLOOKUP(PROVEEDORES[[#This Row],[PROVEEDOR]],TERCEROS_INFO[[PROVEEDOR]:[CORREO]],5,FALSE)</f>
        <v>vromero@flashinternational.us;girlesa.ruiz@servipilas.com;joriescobar64@gmail.com</v>
      </c>
      <c r="G908" s="143">
        <v>44272</v>
      </c>
      <c r="H908" s="38" t="s">
        <v>65</v>
      </c>
      <c r="I908" s="30">
        <v>44271</v>
      </c>
      <c r="J908" s="58">
        <v>9839</v>
      </c>
      <c r="K908" s="32">
        <f>540*3600</f>
        <v>1944000</v>
      </c>
      <c r="L908" s="32"/>
      <c r="M908" s="33">
        <f>(PROVEEDORES[[#This Row],[SUBTOTAL]]-PROVEEDORES[[#This Row],[descuento antes de IVA]])*VLOOKUP(PROVEEDORES[[#This Row],[PROVEEDOR]],TERCEROS_INFO[#All],3,FALSE)</f>
        <v>0</v>
      </c>
      <c r="N908" s="34"/>
      <c r="O908" s="33">
        <f>+PROVEEDORES[[#This Row],[Descuento sobre subtotal %]]*(PROVEEDORES[[#This Row],[SUBTOTAL]]-PROVEEDORES[[#This Row],[descuento antes de IVA]])</f>
        <v>0</v>
      </c>
      <c r="P9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8" s="33">
        <f>+(PROVEEDORES[[#This Row],[SUBTOTAL]]-PROVEEDORES[[#This Row],[descuento antes de IVA]])*PROVEEDORES[[#This Row],[Rete Fuente %]]</f>
        <v>0</v>
      </c>
      <c r="R908" s="32">
        <f>+PROVEEDORES[[#This Row],[SUBTOTAL]]+PROVEEDORES[[#This Row],[IVA 19%]]-PROVEEDORES[[#This Row],[descuento antes de IVA]]-PROVEEDORES[[#This Row],[Descuento sobre subtotal $]]-PROVEEDORES[[#This Row],[Rete Fuente $]]</f>
        <v>1944000</v>
      </c>
      <c r="S90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8"/>
      <c r="U908" s="97"/>
      <c r="W908" s="40"/>
      <c r="X908" s="40"/>
      <c r="Y908" s="41"/>
      <c r="Z908" s="36"/>
      <c r="AA908" s="36"/>
      <c r="AD908" s="41"/>
      <c r="AE908" s="42"/>
      <c r="AF908" s="36"/>
      <c r="AG908" s="36"/>
    </row>
    <row r="909" spans="1:33" ht="21.95" hidden="1" customHeight="1" x14ac:dyDescent="0.25">
      <c r="A909" s="39" t="str">
        <f>+IF(PROVEEDORES[[#This Row],[FECHA DE PAGO]]=PROVEEDORES[[#This Row],[FECHA DE FACTURACIÓN]],"DE CONTADO","CRÉDITO")</f>
        <v>CRÉDITO</v>
      </c>
      <c r="B909" s="67" t="b">
        <f>+IF((PROVEEDORES[[#This Row],[FECHA DE PAGO]]-PROVEEDORES[[#This Row],[FECHA DE FACTURACIÓN]])&gt;PROVEEDORES[[#This Row],[PLAZO Días]],"PAGO VENCIDO")</f>
        <v>0</v>
      </c>
      <c r="C909" s="27">
        <f>+VLOOKUP(PROVEEDORES[[#This Row],[PROVEEDOR]],TERCEROS_INFO[#All],2,FALSE)</f>
        <v>30</v>
      </c>
      <c r="D909" s="37">
        <f>+SUMIFS(PROVEEDORES[Total],PROVEEDORES[PROVEEDOR],PROVEEDORES[[#This Row],[PROVEEDOR]],PROVEEDORES[FECHA DE PAGO],"")</f>
        <v>0</v>
      </c>
      <c r="E909" s="37" t="s">
        <v>354</v>
      </c>
      <c r="F909" s="108" t="str">
        <f>+VLOOKUP(PROVEEDORES[[#This Row],[PROVEEDOR]],TERCEROS_INFO[[PROVEEDOR]:[CORREO]],5,FALSE)</f>
        <v>vromero@flashinternational.us;girlesa.ruiz@servipilas.com;joriescobar64@gmail.com</v>
      </c>
      <c r="G909" s="143">
        <v>43993</v>
      </c>
      <c r="H909" s="38" t="s">
        <v>75</v>
      </c>
      <c r="I909" s="30">
        <v>43992</v>
      </c>
      <c r="J909" s="58" t="s">
        <v>76</v>
      </c>
      <c r="K909" s="32">
        <v>1905500</v>
      </c>
      <c r="L909" s="32"/>
      <c r="M909" s="33">
        <f>(PROVEEDORES[[#This Row],[SUBTOTAL]]-PROVEEDORES[[#This Row],[descuento antes de IVA]])*VLOOKUP(PROVEEDORES[[#This Row],[PROVEEDOR]],TERCEROS_INFO[#All],3,FALSE)</f>
        <v>0</v>
      </c>
      <c r="N909" s="34"/>
      <c r="O909" s="33">
        <f>+PROVEEDORES[[#This Row],[Descuento sobre subtotal %]]*(PROVEEDORES[[#This Row],[SUBTOTAL]]-PROVEEDORES[[#This Row],[descuento antes de IVA]])</f>
        <v>0</v>
      </c>
      <c r="P9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09" s="33">
        <f>+(PROVEEDORES[[#This Row],[SUBTOTAL]]-PROVEEDORES[[#This Row],[descuento antes de IVA]])*PROVEEDORES[[#This Row],[Rete Fuente %]]</f>
        <v>0</v>
      </c>
      <c r="R909" s="32">
        <f>+PROVEEDORES[[#This Row],[SUBTOTAL]]+PROVEEDORES[[#This Row],[IVA 19%]]-PROVEEDORES[[#This Row],[descuento antes de IVA]]-PROVEEDORES[[#This Row],[Descuento sobre subtotal $]]-PROVEEDORES[[#This Row],[Rete Fuente $]]</f>
        <v>1905500</v>
      </c>
      <c r="S9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9"/>
      <c r="U909" s="97"/>
      <c r="W909" s="40"/>
      <c r="X909" s="40"/>
      <c r="Y909" s="41"/>
      <c r="Z909" s="36"/>
      <c r="AA909" s="36"/>
      <c r="AD909" s="41"/>
      <c r="AE909" s="42"/>
      <c r="AF909" s="36"/>
      <c r="AG909" s="36"/>
    </row>
    <row r="910" spans="1:33" ht="21.95" hidden="1" customHeight="1" x14ac:dyDescent="0.25">
      <c r="A910" s="39" t="str">
        <f>+IF(PROVEEDORES[[#This Row],[FECHA DE PAGO]]=PROVEEDORES[[#This Row],[FECHA DE FACTURACIÓN]],"DE CONTADO","CRÉDITO")</f>
        <v>CRÉDITO</v>
      </c>
      <c r="B910" s="67" t="b">
        <f>+IF((PROVEEDORES[[#This Row],[FECHA DE PAGO]]-PROVEEDORES[[#This Row],[FECHA DE FACTURACIÓN]])&gt;PROVEEDORES[[#This Row],[PLAZO Días]],"PAGO VENCIDO")</f>
        <v>0</v>
      </c>
      <c r="C910" s="27">
        <f>+VLOOKUP(PROVEEDORES[[#This Row],[PROVEEDOR]],TERCEROS_INFO[#All],2,FALSE)</f>
        <v>30</v>
      </c>
      <c r="D910" s="37">
        <f>+SUMIFS(PROVEEDORES[Total],PROVEEDORES[PROVEEDOR],PROVEEDORES[[#This Row],[PROVEEDOR]],PROVEEDORES[FECHA DE PAGO],"")</f>
        <v>0</v>
      </c>
      <c r="E910" s="37"/>
      <c r="F910" s="108" t="str">
        <f>+VLOOKUP(PROVEEDORES[[#This Row],[PROVEEDOR]],TERCEROS_INFO[[PROVEEDOR]:[CORREO]],5,FALSE)</f>
        <v>vromero@flashinternational.us;girlesa.ruiz@servipilas.com;joriescobar64@gmail.com</v>
      </c>
      <c r="G910" s="143">
        <v>44180</v>
      </c>
      <c r="H910" s="38" t="s">
        <v>324</v>
      </c>
      <c r="I910" s="30">
        <v>44181</v>
      </c>
      <c r="J910" s="58" t="s">
        <v>204</v>
      </c>
      <c r="K910" s="32">
        <v>1275000</v>
      </c>
      <c r="L910" s="32"/>
      <c r="M910" s="33">
        <f>(PROVEEDORES[[#This Row],[SUBTOTAL]]-PROVEEDORES[[#This Row],[descuento antes de IVA]])*VLOOKUP(PROVEEDORES[[#This Row],[PROVEEDOR]],TERCEROS_INFO[#All],3,FALSE)</f>
        <v>0</v>
      </c>
      <c r="N910" s="34"/>
      <c r="O910" s="33">
        <f>+PROVEEDORES[[#This Row],[Descuento sobre subtotal %]]*(PROVEEDORES[[#This Row],[SUBTOTAL]]-PROVEEDORES[[#This Row],[descuento antes de IVA]])</f>
        <v>0</v>
      </c>
      <c r="P9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0" s="33">
        <f>+(PROVEEDORES[[#This Row],[SUBTOTAL]]-PROVEEDORES[[#This Row],[descuento antes de IVA]])*PROVEEDORES[[#This Row],[Rete Fuente %]]</f>
        <v>0</v>
      </c>
      <c r="R910" s="32">
        <f>+PROVEEDORES[[#This Row],[SUBTOTAL]]+PROVEEDORES[[#This Row],[IVA 19%]]-PROVEEDORES[[#This Row],[descuento antes de IVA]]-PROVEEDORES[[#This Row],[Descuento sobre subtotal $]]-PROVEEDORES[[#This Row],[Rete Fuente $]]</f>
        <v>1275000</v>
      </c>
      <c r="S9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0"/>
      <c r="U910" s="97"/>
      <c r="W910" s="40"/>
      <c r="X910" s="40"/>
      <c r="Y910" s="41"/>
      <c r="Z910" s="36"/>
      <c r="AA910" s="36"/>
      <c r="AD910" s="41"/>
      <c r="AE910" s="42"/>
      <c r="AF910" s="36"/>
      <c r="AG910" s="36"/>
    </row>
    <row r="911" spans="1:33" ht="21.95" hidden="1" customHeight="1" x14ac:dyDescent="0.25">
      <c r="A911" s="39" t="str">
        <f>+IF(PROVEEDORES[[#This Row],[FECHA DE PAGO]]=PROVEEDORES[[#This Row],[FECHA DE FACTURACIÓN]],"DE CONTADO","CRÉDITO")</f>
        <v>CRÉDITO</v>
      </c>
      <c r="B911" s="67" t="b">
        <f>+IF((PROVEEDORES[[#This Row],[FECHA DE PAGO]]-PROVEEDORES[[#This Row],[FECHA DE FACTURACIÓN]])&gt;PROVEEDORES[[#This Row],[PLAZO Días]],"PAGO VENCIDO")</f>
        <v>0</v>
      </c>
      <c r="C911" s="27">
        <f>+VLOOKUP(PROVEEDORES[[#This Row],[PROVEEDOR]],TERCEROS_INFO[#All],2,FALSE)</f>
        <v>30</v>
      </c>
      <c r="D911" s="37">
        <f>+SUMIFS(PROVEEDORES[Total],PROVEEDORES[PROVEEDOR],PROVEEDORES[[#This Row],[PROVEEDOR]],PROVEEDORES[FECHA DE PAGO],"")</f>
        <v>0</v>
      </c>
      <c r="E911" s="37"/>
      <c r="F911" s="108" t="str">
        <f>+VLOOKUP(PROVEEDORES[[#This Row],[PROVEEDOR]],TERCEROS_INFO[[PROVEEDOR]:[CORREO]],5,FALSE)</f>
        <v>vromero@flashinternational.us;girlesa.ruiz@servipilas.com;joriescobar64@gmail.com</v>
      </c>
      <c r="G911" s="143">
        <v>44198</v>
      </c>
      <c r="H911" s="38" t="s">
        <v>324</v>
      </c>
      <c r="I911" s="30">
        <v>44204</v>
      </c>
      <c r="J911" s="58" t="s">
        <v>224</v>
      </c>
      <c r="K911" s="32">
        <v>1732000</v>
      </c>
      <c r="L911" s="32"/>
      <c r="M911" s="33">
        <f>(PROVEEDORES[[#This Row],[SUBTOTAL]]-PROVEEDORES[[#This Row],[descuento antes de IVA]])*VLOOKUP(PROVEEDORES[[#This Row],[PROVEEDOR]],TERCEROS_INFO[#All],3,FALSE)</f>
        <v>0</v>
      </c>
      <c r="N911" s="34"/>
      <c r="O911" s="33">
        <f>+PROVEEDORES[[#This Row],[Descuento sobre subtotal %]]*(PROVEEDORES[[#This Row],[SUBTOTAL]]-PROVEEDORES[[#This Row],[descuento antes de IVA]])</f>
        <v>0</v>
      </c>
      <c r="P9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1" s="33">
        <f>+(PROVEEDORES[[#This Row],[SUBTOTAL]]-PROVEEDORES[[#This Row],[descuento antes de IVA]])*PROVEEDORES[[#This Row],[Rete Fuente %]]</f>
        <v>0</v>
      </c>
      <c r="R911" s="32">
        <f>+PROVEEDORES[[#This Row],[SUBTOTAL]]+PROVEEDORES[[#This Row],[IVA 19%]]-PROVEEDORES[[#This Row],[descuento antes de IVA]]-PROVEEDORES[[#This Row],[Descuento sobre subtotal $]]-PROVEEDORES[[#This Row],[Rete Fuente $]]</f>
        <v>1732000</v>
      </c>
      <c r="S9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1"/>
      <c r="U911" s="97"/>
      <c r="W911" s="40"/>
      <c r="X911" s="40"/>
      <c r="Y911" s="41"/>
      <c r="Z911" s="36"/>
      <c r="AA911" s="36"/>
      <c r="AD911" s="41"/>
      <c r="AE911" s="42"/>
      <c r="AF911" s="36"/>
      <c r="AG911" s="36"/>
    </row>
    <row r="912" spans="1:33" ht="21.95" hidden="1" customHeight="1" x14ac:dyDescent="0.25">
      <c r="A912" s="88" t="str">
        <f>+IF(PROVEEDORES[[#This Row],[FECHA DE PAGO]]=PROVEEDORES[[#This Row],[FECHA DE FACTURACIÓN]],"DE CONTADO","CRÉDITO")</f>
        <v>CRÉDITO</v>
      </c>
      <c r="B912" s="70" t="str">
        <f>+IF((PROVEEDORES[[#This Row],[FECHA DE PAGO]]-PROVEEDORES[[#This Row],[FECHA DE FACTURACIÓN]])&gt;PROVEEDORES[[#This Row],[PLAZO Días]],"PAGO VENCIDO")</f>
        <v>PAGO VENCIDO</v>
      </c>
      <c r="C912" s="27">
        <f>+VLOOKUP(PROVEEDORES[[#This Row],[PROVEEDOR]],TERCEROS_INFO[#All],2,FALSE)</f>
        <v>30</v>
      </c>
      <c r="D912" s="37">
        <f>+SUMIFS(PROVEEDORES[Total],PROVEEDORES[PROVEEDOR],PROVEEDORES[[#This Row],[PROVEEDOR]],PROVEEDORES[FECHA DE PAGO],"")</f>
        <v>0</v>
      </c>
      <c r="E912" s="37"/>
      <c r="F912" s="108" t="str">
        <f>+VLOOKUP(PROVEEDORES[[#This Row],[PROVEEDOR]],TERCEROS_INFO[[PROVEEDOR]:[CORREO]],5,FALSE)</f>
        <v>vromero@flashinternational.us;girlesa.ruiz@servipilas.com;joriescobar64@gmail.com</v>
      </c>
      <c r="G912" s="143">
        <v>44248</v>
      </c>
      <c r="H912" s="38" t="s">
        <v>324</v>
      </c>
      <c r="I912" s="30">
        <v>44204</v>
      </c>
      <c r="J912" s="58" t="s">
        <v>1097</v>
      </c>
      <c r="K912" s="32">
        <v>1372000</v>
      </c>
      <c r="L912" s="32"/>
      <c r="M912" s="33">
        <f>(PROVEEDORES[[#This Row],[SUBTOTAL]]-PROVEEDORES[[#This Row],[descuento antes de IVA]])*VLOOKUP(PROVEEDORES[[#This Row],[PROVEEDOR]],TERCEROS_INFO[#All],3,FALSE)</f>
        <v>0</v>
      </c>
      <c r="N912" s="34"/>
      <c r="O912" s="33">
        <f>+PROVEEDORES[[#This Row],[Descuento sobre subtotal %]]*(PROVEEDORES[[#This Row],[SUBTOTAL]]-PROVEEDORES[[#This Row],[descuento antes de IVA]])</f>
        <v>0</v>
      </c>
      <c r="P9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2" s="33">
        <f>+(PROVEEDORES[[#This Row],[SUBTOTAL]]-PROVEEDORES[[#This Row],[descuento antes de IVA]])*PROVEEDORES[[#This Row],[Rete Fuente %]]</f>
        <v>0</v>
      </c>
      <c r="R912" s="32">
        <f>+PROVEEDORES[[#This Row],[SUBTOTAL]]+PROVEEDORES[[#This Row],[IVA 19%]]-PROVEEDORES[[#This Row],[descuento antes de IVA]]-PROVEEDORES[[#This Row],[Descuento sobre subtotal $]]-PROVEEDORES[[#This Row],[Rete Fuente $]]</f>
        <v>1372000</v>
      </c>
      <c r="S91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2"/>
      <c r="U912" s="97"/>
      <c r="W912" s="40"/>
      <c r="X912" s="40"/>
      <c r="Y912" s="41"/>
      <c r="Z912" s="36"/>
      <c r="AA912" s="36"/>
      <c r="AD912" s="41"/>
      <c r="AE912" s="42"/>
      <c r="AF912" s="36"/>
      <c r="AG912" s="36"/>
    </row>
    <row r="913" spans="1:33" ht="21.95" hidden="1" customHeight="1" x14ac:dyDescent="0.25">
      <c r="A913" s="88" t="str">
        <f>+IF(PROVEEDORES[[#This Row],[FECHA DE PAGO]]=PROVEEDORES[[#This Row],[FECHA DE FACTURACIÓN]],"DE CONTADO","CRÉDITO")</f>
        <v>CRÉDITO</v>
      </c>
      <c r="B913" s="70" t="b">
        <f>+IF((PROVEEDORES[[#This Row],[FECHA DE PAGO]]-PROVEEDORES[[#This Row],[FECHA DE FACTURACIÓN]])&gt;PROVEEDORES[[#This Row],[PLAZO Días]],"PAGO VENCIDO")</f>
        <v>0</v>
      </c>
      <c r="C913" s="27">
        <f>+VLOOKUP(PROVEEDORES[[#This Row],[PROVEEDOR]],TERCEROS_INFO[#All],2,FALSE)</f>
        <v>30</v>
      </c>
      <c r="D913" s="37">
        <f>+SUMIFS(PROVEEDORES[Total],PROVEEDORES[PROVEEDOR],PROVEEDORES[[#This Row],[PROVEEDOR]],PROVEEDORES[FECHA DE PAGO],"")</f>
        <v>0</v>
      </c>
      <c r="E913" s="37"/>
      <c r="F913" s="108" t="str">
        <f>+VLOOKUP(PROVEEDORES[[#This Row],[PROVEEDOR]],TERCEROS_INFO[[PROVEEDOR]:[CORREO]],5,FALSE)</f>
        <v>vromero@flashinternational.us;girlesa.ruiz@servipilas.com;joriescobar64@gmail.com</v>
      </c>
      <c r="G913" s="143">
        <v>44245</v>
      </c>
      <c r="H913" s="38" t="s">
        <v>324</v>
      </c>
      <c r="I913" s="30">
        <v>44244</v>
      </c>
      <c r="J913" s="58" t="s">
        <v>495</v>
      </c>
      <c r="K913" s="32">
        <v>1190000</v>
      </c>
      <c r="L913" s="32"/>
      <c r="M913" s="33">
        <f>(PROVEEDORES[[#This Row],[SUBTOTAL]]-PROVEEDORES[[#This Row],[descuento antes de IVA]])*VLOOKUP(PROVEEDORES[[#This Row],[PROVEEDOR]],TERCEROS_INFO[#All],3,FALSE)</f>
        <v>0</v>
      </c>
      <c r="N913" s="34"/>
      <c r="O913" s="33">
        <f>+PROVEEDORES[[#This Row],[Descuento sobre subtotal %]]*(PROVEEDORES[[#This Row],[SUBTOTAL]]-PROVEEDORES[[#This Row],[descuento antes de IVA]])</f>
        <v>0</v>
      </c>
      <c r="P9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3" s="33">
        <f>+(PROVEEDORES[[#This Row],[SUBTOTAL]]-PROVEEDORES[[#This Row],[descuento antes de IVA]])*PROVEEDORES[[#This Row],[Rete Fuente %]]</f>
        <v>0</v>
      </c>
      <c r="R913" s="32">
        <f>+PROVEEDORES[[#This Row],[SUBTOTAL]]+PROVEEDORES[[#This Row],[IVA 19%]]-PROVEEDORES[[#This Row],[descuento antes de IVA]]-PROVEEDORES[[#This Row],[Descuento sobre subtotal $]]-PROVEEDORES[[#This Row],[Rete Fuente $]]</f>
        <v>1190000</v>
      </c>
      <c r="S91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3"/>
      <c r="U913" s="97"/>
      <c r="W913" s="40"/>
      <c r="X913" s="40"/>
      <c r="Y913" s="41"/>
      <c r="Z913" s="36"/>
      <c r="AA913" s="36"/>
      <c r="AD913" s="41"/>
      <c r="AE913" s="42"/>
      <c r="AF913" s="36"/>
      <c r="AG913" s="36"/>
    </row>
    <row r="914" spans="1:33" ht="21.95" hidden="1" customHeight="1" x14ac:dyDescent="0.25">
      <c r="A914" s="39" t="str">
        <f>+IF(PROVEEDORES[[#This Row],[FECHA DE PAGO]]=PROVEEDORES[[#This Row],[FECHA DE FACTURACIÓN]],"DE CONTADO","CRÉDITO")</f>
        <v>CRÉDITO</v>
      </c>
      <c r="B914" s="67" t="b">
        <f>+IF((PROVEEDORES[[#This Row],[FECHA DE PAGO]]-PROVEEDORES[[#This Row],[FECHA DE FACTURACIÓN]])&gt;PROVEEDORES[[#This Row],[PLAZO Días]],"PAGO VENCIDO")</f>
        <v>0</v>
      </c>
      <c r="C914" s="27">
        <f>+VLOOKUP(PROVEEDORES[[#This Row],[PROVEEDOR]],TERCEROS_INFO[#All],2,FALSE)</f>
        <v>30</v>
      </c>
      <c r="D914" s="37">
        <f>+SUMIFS(PROVEEDORES[Total],PROVEEDORES[PROVEEDOR],PROVEEDORES[[#This Row],[PROVEEDOR]],PROVEEDORES[FECHA DE PAGO],"")</f>
        <v>0</v>
      </c>
      <c r="E914" s="37"/>
      <c r="F914" s="108" t="str">
        <f>+VLOOKUP(PROVEEDORES[[#This Row],[PROVEEDOR]],TERCEROS_INFO[[PROVEEDOR]:[CORREO]],5,FALSE)</f>
        <v>vromero@flashinternational.us;girlesa.ruiz@servipilas.com;joriescobar64@gmail.com</v>
      </c>
      <c r="G914" s="143">
        <v>44109</v>
      </c>
      <c r="H914" s="38" t="s">
        <v>325</v>
      </c>
      <c r="I914" s="30">
        <v>44098</v>
      </c>
      <c r="J914" s="58" t="s">
        <v>149</v>
      </c>
      <c r="K914" s="32">
        <v>1788000</v>
      </c>
      <c r="L914" s="32"/>
      <c r="M914" s="33">
        <f>(PROVEEDORES[[#This Row],[SUBTOTAL]]-PROVEEDORES[[#This Row],[descuento antes de IVA]])*VLOOKUP(PROVEEDORES[[#This Row],[PROVEEDOR]],TERCEROS_INFO[#All],3,FALSE)</f>
        <v>0</v>
      </c>
      <c r="N914" s="34"/>
      <c r="O914" s="33">
        <f>+PROVEEDORES[[#This Row],[Descuento sobre subtotal %]]*(PROVEEDORES[[#This Row],[SUBTOTAL]]-PROVEEDORES[[#This Row],[descuento antes de IVA]])</f>
        <v>0</v>
      </c>
      <c r="P9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4" s="33">
        <f>+(PROVEEDORES[[#This Row],[SUBTOTAL]]-PROVEEDORES[[#This Row],[descuento antes de IVA]])*PROVEEDORES[[#This Row],[Rete Fuente %]]</f>
        <v>0</v>
      </c>
      <c r="R914" s="32">
        <f>+PROVEEDORES[[#This Row],[SUBTOTAL]]+PROVEEDORES[[#This Row],[IVA 19%]]-PROVEEDORES[[#This Row],[descuento antes de IVA]]-PROVEEDORES[[#This Row],[Descuento sobre subtotal $]]-PROVEEDORES[[#This Row],[Rete Fuente $]]</f>
        <v>1788000</v>
      </c>
      <c r="S9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4"/>
      <c r="U914" s="97"/>
      <c r="W914" s="40"/>
      <c r="X914" s="40"/>
      <c r="Y914" s="41"/>
      <c r="Z914" s="36"/>
      <c r="AA914" s="36"/>
      <c r="AD914" s="41"/>
      <c r="AE914" s="42"/>
      <c r="AF914" s="36"/>
      <c r="AG914" s="36"/>
    </row>
    <row r="915" spans="1:33" ht="21.95" hidden="1" customHeight="1" x14ac:dyDescent="0.25">
      <c r="A915" s="39" t="str">
        <f>+IF(PROVEEDORES[[#This Row],[FECHA DE PAGO]]=PROVEEDORES[[#This Row],[FECHA DE FACTURACIÓN]],"DE CONTADO","CRÉDITO")</f>
        <v>CRÉDITO</v>
      </c>
      <c r="B915" s="67" t="b">
        <f>+IF((PROVEEDORES[[#This Row],[FECHA DE PAGO]]-PROVEEDORES[[#This Row],[FECHA DE FACTURACIÓN]])&gt;PROVEEDORES[[#This Row],[PLAZO Días]],"PAGO VENCIDO")</f>
        <v>0</v>
      </c>
      <c r="C915" s="27">
        <f>+VLOOKUP(PROVEEDORES[[#This Row],[PROVEEDOR]],TERCEROS_INFO[#All],2,FALSE)</f>
        <v>30</v>
      </c>
      <c r="D915" s="37">
        <f>+SUMIFS(PROVEEDORES[Total],PROVEEDORES[PROVEEDOR],PROVEEDORES[[#This Row],[PROVEEDOR]],PROVEEDORES[FECHA DE PAGO],"")</f>
        <v>0</v>
      </c>
      <c r="E915" s="37"/>
      <c r="F915" s="108" t="str">
        <f>+VLOOKUP(PROVEEDORES[[#This Row],[PROVEEDOR]],TERCEROS_INFO[[PROVEEDOR]:[CORREO]],5,FALSE)</f>
        <v>vromero@flashinternational.us;girlesa.ruiz@servipilas.com;joriescobar64@gmail.com</v>
      </c>
      <c r="G915" s="143">
        <v>44165</v>
      </c>
      <c r="H915" s="38" t="s">
        <v>325</v>
      </c>
      <c r="I915" s="30">
        <v>44153</v>
      </c>
      <c r="J915" s="58" t="s">
        <v>183</v>
      </c>
      <c r="K915" s="32">
        <v>788956</v>
      </c>
      <c r="L915" s="32"/>
      <c r="M915" s="33">
        <f>(PROVEEDORES[[#This Row],[SUBTOTAL]]-PROVEEDORES[[#This Row],[descuento antes de IVA]])*VLOOKUP(PROVEEDORES[[#This Row],[PROVEEDOR]],TERCEROS_INFO[#All],3,FALSE)</f>
        <v>0</v>
      </c>
      <c r="N915" s="34"/>
      <c r="O915" s="33">
        <f>+PROVEEDORES[[#This Row],[Descuento sobre subtotal %]]*(PROVEEDORES[[#This Row],[SUBTOTAL]]-PROVEEDORES[[#This Row],[descuento antes de IVA]])</f>
        <v>0</v>
      </c>
      <c r="P9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5" s="33">
        <f>+(PROVEEDORES[[#This Row],[SUBTOTAL]]-PROVEEDORES[[#This Row],[descuento antes de IVA]])*PROVEEDORES[[#This Row],[Rete Fuente %]]</f>
        <v>0</v>
      </c>
      <c r="R915" s="32">
        <f>+PROVEEDORES[[#This Row],[SUBTOTAL]]+PROVEEDORES[[#This Row],[IVA 19%]]-PROVEEDORES[[#This Row],[descuento antes de IVA]]-PROVEEDORES[[#This Row],[Descuento sobre subtotal $]]-PROVEEDORES[[#This Row],[Rete Fuente $]]</f>
        <v>788956</v>
      </c>
      <c r="S9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5"/>
      <c r="U915" s="97"/>
      <c r="W915" s="40"/>
      <c r="X915" s="40"/>
      <c r="Y915" s="41"/>
      <c r="Z915" s="36"/>
      <c r="AA915" s="36"/>
      <c r="AD915" s="41"/>
      <c r="AE915" s="42"/>
      <c r="AF915" s="36"/>
      <c r="AG915" s="36"/>
    </row>
    <row r="916" spans="1:33" ht="21.95" hidden="1" customHeight="1" x14ac:dyDescent="0.25">
      <c r="A916" s="39" t="str">
        <f>+IF(PROVEEDORES[[#This Row],[FECHA DE PAGO]]=PROVEEDORES[[#This Row],[FECHA DE FACTURACIÓN]],"DE CONTADO","CRÉDITO")</f>
        <v>CRÉDITO</v>
      </c>
      <c r="B916" s="67" t="str">
        <f>+IF((PROVEEDORES[[#This Row],[FECHA DE PAGO]]-PROVEEDORES[[#This Row],[FECHA DE FACTURACIÓN]])&gt;PROVEEDORES[[#This Row],[PLAZO Días]],"PAGO VENCIDO")</f>
        <v>PAGO VENCIDO</v>
      </c>
      <c r="C916" s="27">
        <f>+VLOOKUP(PROVEEDORES[[#This Row],[PROVEEDOR]],TERCEROS_INFO[#All],2,FALSE)</f>
        <v>30</v>
      </c>
      <c r="D916" s="37">
        <f>+SUMIFS(PROVEEDORES[Total],PROVEEDORES[PROVEEDOR],PROVEEDORES[[#This Row],[PROVEEDOR]],PROVEEDORES[FECHA DE PAGO],"")</f>
        <v>0</v>
      </c>
      <c r="E916" s="37" t="s">
        <v>433</v>
      </c>
      <c r="F916" s="108" t="str">
        <f>+VLOOKUP(PROVEEDORES[[#This Row],[PROVEEDOR]],TERCEROS_INFO[[PROVEEDOR]:[CORREO]],5,FALSE)</f>
        <v>vromero@flashinternational.us;girlesa.ruiz@servipilas.com;joriescobar64@gmail.com</v>
      </c>
      <c r="G916" s="143">
        <v>44250</v>
      </c>
      <c r="H916" s="38" t="s">
        <v>325</v>
      </c>
      <c r="I916" s="30">
        <v>44216</v>
      </c>
      <c r="J916" s="58" t="s">
        <v>1030</v>
      </c>
      <c r="K916" s="32">
        <v>-62000</v>
      </c>
      <c r="L916" s="32"/>
      <c r="M916" s="33">
        <f>(PROVEEDORES[[#This Row],[SUBTOTAL]]-PROVEEDORES[[#This Row],[descuento antes de IVA]])*VLOOKUP(PROVEEDORES[[#This Row],[PROVEEDOR]],TERCEROS_INFO[#All],3,FALSE)</f>
        <v>0</v>
      </c>
      <c r="N916" s="34"/>
      <c r="O916" s="33">
        <f>+PROVEEDORES[[#This Row],[Descuento sobre subtotal %]]*(PROVEEDORES[[#This Row],[SUBTOTAL]]-PROVEEDORES[[#This Row],[descuento antes de IVA]])</f>
        <v>0</v>
      </c>
      <c r="P9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6" s="33">
        <f>+(PROVEEDORES[[#This Row],[SUBTOTAL]]-PROVEEDORES[[#This Row],[descuento antes de IVA]])*PROVEEDORES[[#This Row],[Rete Fuente %]]</f>
        <v>0</v>
      </c>
      <c r="R916" s="32">
        <f>+PROVEEDORES[[#This Row],[SUBTOTAL]]+PROVEEDORES[[#This Row],[IVA 19%]]-PROVEEDORES[[#This Row],[descuento antes de IVA]]-PROVEEDORES[[#This Row],[Descuento sobre subtotal $]]-PROVEEDORES[[#This Row],[Rete Fuente $]]</f>
        <v>-62000</v>
      </c>
      <c r="S9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6"/>
      <c r="U916" s="97"/>
      <c r="W916" s="40"/>
      <c r="X916" s="40"/>
      <c r="Y916" s="41"/>
      <c r="Z916" s="36"/>
      <c r="AA916" s="36"/>
      <c r="AD916" s="41"/>
      <c r="AE916" s="42"/>
      <c r="AF916" s="36"/>
      <c r="AG916" s="36"/>
    </row>
    <row r="917" spans="1:33" ht="21.95" hidden="1" customHeight="1" x14ac:dyDescent="0.25">
      <c r="A917" s="39" t="str">
        <f>+IF(PROVEEDORES[[#This Row],[FECHA DE PAGO]]=PROVEEDORES[[#This Row],[FECHA DE FACTURACIÓN]],"DE CONTADO","CRÉDITO")</f>
        <v>CRÉDITO</v>
      </c>
      <c r="B917" s="67" t="b">
        <f>+IF((PROVEEDORES[[#This Row],[FECHA DE PAGO]]-PROVEEDORES[[#This Row],[FECHA DE FACTURACIÓN]])&gt;PROVEEDORES[[#This Row],[PLAZO Días]],"PAGO VENCIDO")</f>
        <v>0</v>
      </c>
      <c r="C917" s="27">
        <f>+VLOOKUP(PROVEEDORES[[#This Row],[PROVEEDOR]],TERCEROS_INFO[#All],2,FALSE)</f>
        <v>30</v>
      </c>
      <c r="D917" s="37">
        <f>+SUMIFS(PROVEEDORES[Total],PROVEEDORES[PROVEEDOR],PROVEEDORES[[#This Row],[PROVEEDOR]],PROVEEDORES[FECHA DE PAGO],"")</f>
        <v>0</v>
      </c>
      <c r="E917" s="37"/>
      <c r="F917" s="108" t="str">
        <f>+VLOOKUP(PROVEEDORES[[#This Row],[PROVEEDOR]],TERCEROS_INFO[[PROVEEDOR]:[CORREO]],5,FALSE)</f>
        <v>vromero@flashinternational.us;girlesa.ruiz@servipilas.com;joriescobar64@gmail.com</v>
      </c>
      <c r="G917" s="143">
        <v>44198</v>
      </c>
      <c r="H917" s="38" t="s">
        <v>325</v>
      </c>
      <c r="I917" s="30">
        <v>44219</v>
      </c>
      <c r="J917" s="58" t="s">
        <v>423</v>
      </c>
      <c r="K917" s="32">
        <v>1266000</v>
      </c>
      <c r="L917" s="32"/>
      <c r="M917" s="33">
        <f>(PROVEEDORES[[#This Row],[SUBTOTAL]]-PROVEEDORES[[#This Row],[descuento antes de IVA]])*VLOOKUP(PROVEEDORES[[#This Row],[PROVEEDOR]],TERCEROS_INFO[#All],3,FALSE)</f>
        <v>0</v>
      </c>
      <c r="N917" s="34"/>
      <c r="O917" s="33">
        <f>+PROVEEDORES[[#This Row],[Descuento sobre subtotal %]]*(PROVEEDORES[[#This Row],[SUBTOTAL]]-PROVEEDORES[[#This Row],[descuento antes de IVA]])</f>
        <v>0</v>
      </c>
      <c r="P9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7" s="33">
        <f>+(PROVEEDORES[[#This Row],[SUBTOTAL]]-PROVEEDORES[[#This Row],[descuento antes de IVA]])*PROVEEDORES[[#This Row],[Rete Fuente %]]</f>
        <v>0</v>
      </c>
      <c r="R917" s="32">
        <f>+PROVEEDORES[[#This Row],[SUBTOTAL]]+PROVEEDORES[[#This Row],[IVA 19%]]-PROVEEDORES[[#This Row],[descuento antes de IVA]]-PROVEEDORES[[#This Row],[Descuento sobre subtotal $]]-PROVEEDORES[[#This Row],[Rete Fuente $]]</f>
        <v>1266000</v>
      </c>
      <c r="S91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7"/>
      <c r="U917" s="97"/>
      <c r="W917" s="40"/>
      <c r="X917" s="40"/>
      <c r="Y917" s="41"/>
      <c r="Z917" s="36"/>
      <c r="AA917" s="36"/>
      <c r="AD917" s="41"/>
      <c r="AE917" s="42"/>
      <c r="AF917" s="36"/>
      <c r="AG917" s="36"/>
    </row>
    <row r="918" spans="1:33" ht="21.95" hidden="1" customHeight="1" x14ac:dyDescent="0.25">
      <c r="A918" s="88" t="str">
        <f>+IF(PROVEEDORES[[#This Row],[FECHA DE PAGO]]=PROVEEDORES[[#This Row],[FECHA DE FACTURACIÓN]],"DE CONTADO","CRÉDITO")</f>
        <v>CRÉDITO</v>
      </c>
      <c r="B918" s="70" t="b">
        <f>+IF((PROVEEDORES[[#This Row],[FECHA DE PAGO]]-PROVEEDORES[[#This Row],[FECHA DE FACTURACIÓN]])&gt;PROVEEDORES[[#This Row],[PLAZO Días]],"PAGO VENCIDO")</f>
        <v>0</v>
      </c>
      <c r="C918" s="27">
        <f>+VLOOKUP(PROVEEDORES[[#This Row],[PROVEEDOR]],TERCEROS_INFO[#All],2,FALSE)</f>
        <v>30</v>
      </c>
      <c r="D918" s="37">
        <f>+SUMIFS(PROVEEDORES[Total],PROVEEDORES[PROVEEDOR],PROVEEDORES[[#This Row],[PROVEEDOR]],PROVEEDORES[FECHA DE PAGO],"")</f>
        <v>0</v>
      </c>
      <c r="E918" s="37"/>
      <c r="F918" s="108" t="str">
        <f>+VLOOKUP(PROVEEDORES[[#This Row],[PROVEEDOR]],TERCEROS_INFO[[PROVEEDOR]:[CORREO]],5,FALSE)</f>
        <v>vromero@flashinternational.us;girlesa.ruiz@servipilas.com;joriescobar64@gmail.com</v>
      </c>
      <c r="G918" s="143">
        <v>44250</v>
      </c>
      <c r="H918" s="38" t="s">
        <v>325</v>
      </c>
      <c r="I918" s="30">
        <v>44246</v>
      </c>
      <c r="J918" s="58" t="s">
        <v>503</v>
      </c>
      <c r="K918" s="32">
        <v>1667000</v>
      </c>
      <c r="L918" s="32"/>
      <c r="M918" s="33">
        <f>(PROVEEDORES[[#This Row],[SUBTOTAL]]-PROVEEDORES[[#This Row],[descuento antes de IVA]])*VLOOKUP(PROVEEDORES[[#This Row],[PROVEEDOR]],TERCEROS_INFO[#All],3,FALSE)</f>
        <v>0</v>
      </c>
      <c r="N918" s="34"/>
      <c r="O918" s="33">
        <f>+PROVEEDORES[[#This Row],[Descuento sobre subtotal %]]*(PROVEEDORES[[#This Row],[SUBTOTAL]]-PROVEEDORES[[#This Row],[descuento antes de IVA]])</f>
        <v>0</v>
      </c>
      <c r="P9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8" s="33">
        <f>+(PROVEEDORES[[#This Row],[SUBTOTAL]]-PROVEEDORES[[#This Row],[descuento antes de IVA]])*PROVEEDORES[[#This Row],[Rete Fuente %]]</f>
        <v>0</v>
      </c>
      <c r="R918" s="32">
        <f>+PROVEEDORES[[#This Row],[SUBTOTAL]]+PROVEEDORES[[#This Row],[IVA 19%]]-PROVEEDORES[[#This Row],[descuento antes de IVA]]-PROVEEDORES[[#This Row],[Descuento sobre subtotal $]]-PROVEEDORES[[#This Row],[Rete Fuente $]]</f>
        <v>1667000</v>
      </c>
      <c r="S918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8"/>
      <c r="U918" s="97"/>
      <c r="W918" s="40"/>
      <c r="X918" s="40"/>
      <c r="Y918" s="41"/>
      <c r="Z918" s="36"/>
      <c r="AA918" s="36"/>
      <c r="AD918" s="41"/>
      <c r="AE918" s="42"/>
      <c r="AF918" s="36"/>
      <c r="AG918" s="36"/>
    </row>
    <row r="919" spans="1:33" ht="21.95" hidden="1" customHeight="1" x14ac:dyDescent="0.25">
      <c r="A919" s="88" t="str">
        <f>+IF(PROVEEDORES[[#This Row],[FECHA DE PAGO]]=PROVEEDORES[[#This Row],[FECHA DE FACTURACIÓN]],"DE CONTADO","CRÉDITO")</f>
        <v>CRÉDITO</v>
      </c>
      <c r="B919" s="70" t="b">
        <f>+IF((PROVEEDORES[[#This Row],[FECHA DE PAGO]]-PROVEEDORES[[#This Row],[FECHA DE FACTURACIÓN]])&gt;PROVEEDORES[[#This Row],[PLAZO Días]],"PAGO VENCIDO")</f>
        <v>0</v>
      </c>
      <c r="C919" s="27">
        <f>+VLOOKUP(PROVEEDORES[[#This Row],[PROVEEDOR]],TERCEROS_INFO[#All],2,FALSE)</f>
        <v>30</v>
      </c>
      <c r="D919" s="37">
        <f>+SUMIFS(PROVEEDORES[Total],PROVEEDORES[PROVEEDOR],PROVEEDORES[[#This Row],[PROVEEDOR]],PROVEEDORES[FECHA DE PAGO],"")</f>
        <v>0</v>
      </c>
      <c r="E919" s="37"/>
      <c r="F919" s="108" t="str">
        <f>+VLOOKUP(PROVEEDORES[[#This Row],[PROVEEDOR]],TERCEROS_INFO[[PROVEEDOR]:[CORREO]],5,FALSE)</f>
        <v>vromero@flashinternational.us;girlesa.ruiz@servipilas.com;joriescobar64@gmail.com</v>
      </c>
      <c r="G919" s="143">
        <v>44279</v>
      </c>
      <c r="H919" s="38" t="s">
        <v>235</v>
      </c>
      <c r="I919" s="30">
        <v>44277</v>
      </c>
      <c r="J919" s="58" t="s">
        <v>541</v>
      </c>
      <c r="K919" s="32">
        <v>1649000</v>
      </c>
      <c r="L919" s="32"/>
      <c r="M919" s="33">
        <f>(PROVEEDORES[[#This Row],[SUBTOTAL]]-PROVEEDORES[[#This Row],[descuento antes de IVA]])*VLOOKUP(PROVEEDORES[[#This Row],[PROVEEDOR]],TERCEROS_INFO[#All],3,FALSE)</f>
        <v>0</v>
      </c>
      <c r="N919" s="34"/>
      <c r="O919" s="33">
        <f>+PROVEEDORES[[#This Row],[Descuento sobre subtotal %]]*(PROVEEDORES[[#This Row],[SUBTOTAL]]-PROVEEDORES[[#This Row],[descuento antes de IVA]])</f>
        <v>0</v>
      </c>
      <c r="P9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19" s="33">
        <f>+(PROVEEDORES[[#This Row],[SUBTOTAL]]-PROVEEDORES[[#This Row],[descuento antes de IVA]])*PROVEEDORES[[#This Row],[Rete Fuente %]]</f>
        <v>0</v>
      </c>
      <c r="R919" s="32">
        <f>+PROVEEDORES[[#This Row],[SUBTOTAL]]+PROVEEDORES[[#This Row],[IVA 19%]]-PROVEEDORES[[#This Row],[descuento antes de IVA]]-PROVEEDORES[[#This Row],[Descuento sobre subtotal $]]-PROVEEDORES[[#This Row],[Rete Fuente $]]</f>
        <v>1649000</v>
      </c>
      <c r="S91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9"/>
      <c r="U919" s="97"/>
      <c r="W919" s="40"/>
      <c r="X919" s="40"/>
      <c r="Y919" s="41"/>
      <c r="Z919" s="36"/>
      <c r="AA919" s="36"/>
      <c r="AD919" s="41"/>
      <c r="AE919" s="42"/>
      <c r="AF919" s="36"/>
      <c r="AG919" s="36"/>
    </row>
    <row r="920" spans="1:33" ht="21.95" hidden="1" customHeight="1" x14ac:dyDescent="0.25">
      <c r="A920" s="39" t="str">
        <f>+IF(PROVEEDORES[[#This Row],[FECHA DE PAGO]]=PROVEEDORES[[#This Row],[FECHA DE FACTURACIÓN]],"DE CONTADO","CRÉDITO")</f>
        <v>CRÉDITO</v>
      </c>
      <c r="B920" s="67" t="b">
        <f>+IF((PROVEEDORES[[#This Row],[FECHA DE PAGO]]-PROVEEDORES[[#This Row],[FECHA DE FACTURACIÓN]])&gt;PROVEEDORES[[#This Row],[PLAZO Días]],"PAGO VENCIDO")</f>
        <v>0</v>
      </c>
      <c r="C920" s="27">
        <f>+VLOOKUP(PROVEEDORES[[#This Row],[PROVEEDOR]],TERCEROS_INFO[#All],2,FALSE)</f>
        <v>30</v>
      </c>
      <c r="D920" s="37">
        <f>+SUMIFS(PROVEEDORES[Total],PROVEEDORES[PROVEEDOR],PROVEEDORES[[#This Row],[PROVEEDOR]],PROVEEDORES[FECHA DE PAGO],"")</f>
        <v>0</v>
      </c>
      <c r="E920" s="37" t="s">
        <v>357</v>
      </c>
      <c r="F920" s="108" t="str">
        <f>+VLOOKUP(PROVEEDORES[[#This Row],[PROVEEDOR]],TERCEROS_INFO[[PROVEEDOR]:[CORREO]],5,FALSE)</f>
        <v>vromero@flashinternational.us;girlesa.ruiz@servipilas.com;joriescobar64@gmail.com</v>
      </c>
      <c r="G920" s="143">
        <v>43840</v>
      </c>
      <c r="H920" s="38" t="s">
        <v>23</v>
      </c>
      <c r="I920" s="30">
        <v>43837</v>
      </c>
      <c r="J920" s="58">
        <v>1981</v>
      </c>
      <c r="K920" s="32">
        <v>1136000</v>
      </c>
      <c r="L920" s="32"/>
      <c r="M920" s="33">
        <f>(PROVEEDORES[[#This Row],[SUBTOTAL]]-PROVEEDORES[[#This Row],[descuento antes de IVA]])*VLOOKUP(PROVEEDORES[[#This Row],[PROVEEDOR]],TERCEROS_INFO[#All],3,FALSE)</f>
        <v>0</v>
      </c>
      <c r="N920" s="34"/>
      <c r="O920" s="33">
        <f>+PROVEEDORES[[#This Row],[Descuento sobre subtotal %]]*(PROVEEDORES[[#This Row],[SUBTOTAL]]-PROVEEDORES[[#This Row],[descuento antes de IVA]])</f>
        <v>0</v>
      </c>
      <c r="P9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0" s="33">
        <f>+(PROVEEDORES[[#This Row],[SUBTOTAL]]-PROVEEDORES[[#This Row],[descuento antes de IVA]])*PROVEEDORES[[#This Row],[Rete Fuente %]]</f>
        <v>0</v>
      </c>
      <c r="R920" s="32">
        <f>+PROVEEDORES[[#This Row],[SUBTOTAL]]+PROVEEDORES[[#This Row],[IVA 19%]]-PROVEEDORES[[#This Row],[descuento antes de IVA]]-PROVEEDORES[[#This Row],[Descuento sobre subtotal $]]-PROVEEDORES[[#This Row],[Rete Fuente $]]</f>
        <v>1136000</v>
      </c>
      <c r="S9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0"/>
      <c r="U920" s="97"/>
      <c r="W920" s="40"/>
      <c r="X920" s="40"/>
      <c r="Y920" s="41"/>
      <c r="Z920" s="36"/>
      <c r="AA920" s="36"/>
      <c r="AD920" s="41"/>
      <c r="AE920" s="42"/>
      <c r="AF920" s="36"/>
      <c r="AG920" s="36"/>
    </row>
    <row r="921" spans="1:33" ht="21.95" hidden="1" customHeight="1" x14ac:dyDescent="0.25">
      <c r="A921" s="39" t="str">
        <f>+IF(PROVEEDORES[[#This Row],[FECHA DE PAGO]]=PROVEEDORES[[#This Row],[FECHA DE FACTURACIÓN]],"DE CONTADO","CRÉDITO")</f>
        <v>CRÉDITO</v>
      </c>
      <c r="B921" s="67" t="b">
        <f>+IF((PROVEEDORES[[#This Row],[FECHA DE PAGO]]-PROVEEDORES[[#This Row],[FECHA DE FACTURACIÓN]])&gt;PROVEEDORES[[#This Row],[PLAZO Días]],"PAGO VENCIDO")</f>
        <v>0</v>
      </c>
      <c r="C921" s="27">
        <f>+VLOOKUP(PROVEEDORES[[#This Row],[PROVEEDOR]],TERCEROS_INFO[#All],2,FALSE)</f>
        <v>30</v>
      </c>
      <c r="D921" s="37">
        <f>+SUMIFS(PROVEEDORES[Total],PROVEEDORES[PROVEEDOR],PROVEEDORES[[#This Row],[PROVEEDOR]],PROVEEDORES[FECHA DE PAGO],"")</f>
        <v>0</v>
      </c>
      <c r="E921" s="37" t="s">
        <v>357</v>
      </c>
      <c r="F921" s="108" t="str">
        <f>+VLOOKUP(PROVEEDORES[[#This Row],[PROVEEDOR]],TERCEROS_INFO[[PROVEEDOR]:[CORREO]],5,FALSE)</f>
        <v>vromero@flashinternational.us;girlesa.ruiz@servipilas.com;joriescobar64@gmail.com</v>
      </c>
      <c r="G921" s="143">
        <v>43853</v>
      </c>
      <c r="H921" s="38" t="s">
        <v>23</v>
      </c>
      <c r="I921" s="30">
        <v>43837</v>
      </c>
      <c r="J921" s="58">
        <v>8990</v>
      </c>
      <c r="K921" s="32">
        <v>1369500</v>
      </c>
      <c r="L921" s="32"/>
      <c r="M921" s="33">
        <f>(PROVEEDORES[[#This Row],[SUBTOTAL]]-PROVEEDORES[[#This Row],[descuento antes de IVA]])*VLOOKUP(PROVEEDORES[[#This Row],[PROVEEDOR]],TERCEROS_INFO[#All],3,FALSE)</f>
        <v>0</v>
      </c>
      <c r="N921" s="34"/>
      <c r="O921" s="33">
        <f>+PROVEEDORES[[#This Row],[Descuento sobre subtotal %]]*(PROVEEDORES[[#This Row],[SUBTOTAL]]-PROVEEDORES[[#This Row],[descuento antes de IVA]])</f>
        <v>0</v>
      </c>
      <c r="P9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1" s="33">
        <f>+(PROVEEDORES[[#This Row],[SUBTOTAL]]-PROVEEDORES[[#This Row],[descuento antes de IVA]])*PROVEEDORES[[#This Row],[Rete Fuente %]]</f>
        <v>0</v>
      </c>
      <c r="R921" s="32">
        <f>+PROVEEDORES[[#This Row],[SUBTOTAL]]+PROVEEDORES[[#This Row],[IVA 19%]]-PROVEEDORES[[#This Row],[descuento antes de IVA]]-PROVEEDORES[[#This Row],[Descuento sobre subtotal $]]-PROVEEDORES[[#This Row],[Rete Fuente $]]</f>
        <v>1369500</v>
      </c>
      <c r="S9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1"/>
      <c r="U921" s="97"/>
      <c r="W921" s="40"/>
      <c r="X921" s="40"/>
      <c r="Y921" s="41"/>
      <c r="Z921" s="36"/>
      <c r="AA921" s="36"/>
      <c r="AD921" s="41"/>
      <c r="AE921" s="42"/>
      <c r="AF921" s="36"/>
      <c r="AG921" s="36"/>
    </row>
    <row r="922" spans="1:33" ht="21.95" hidden="1" customHeight="1" x14ac:dyDescent="0.25">
      <c r="A922" s="39" t="str">
        <f>+IF(PROVEEDORES[[#This Row],[FECHA DE PAGO]]=PROVEEDORES[[#This Row],[FECHA DE FACTURACIÓN]],"DE CONTADO","CRÉDITO")</f>
        <v>CRÉDITO</v>
      </c>
      <c r="B922" s="67" t="b">
        <f>+IF((PROVEEDORES[[#This Row],[FECHA DE PAGO]]-PROVEEDORES[[#This Row],[FECHA DE FACTURACIÓN]])&gt;PROVEEDORES[[#This Row],[PLAZO Días]],"PAGO VENCIDO")</f>
        <v>0</v>
      </c>
      <c r="C922" s="27">
        <f>+VLOOKUP(PROVEEDORES[[#This Row],[PROVEEDOR]],TERCEROS_INFO[#All],2,FALSE)</f>
        <v>30</v>
      </c>
      <c r="D922" s="37">
        <f>+SUMIFS(PROVEEDORES[Total],PROVEEDORES[PROVEEDOR],PROVEEDORES[[#This Row],[PROVEEDOR]],PROVEEDORES[FECHA DE PAGO],"")</f>
        <v>0</v>
      </c>
      <c r="E922" s="37" t="s">
        <v>357</v>
      </c>
      <c r="F922" s="108" t="str">
        <f>+VLOOKUP(PROVEEDORES[[#This Row],[PROVEEDOR]],TERCEROS_INFO[[PROVEEDOR]:[CORREO]],5,FALSE)</f>
        <v>vromero@flashinternational.us;girlesa.ruiz@servipilas.com;joriescobar64@gmail.com</v>
      </c>
      <c r="G922" s="143">
        <v>43853</v>
      </c>
      <c r="H922" s="38" t="s">
        <v>23</v>
      </c>
      <c r="I922" s="30">
        <v>43837</v>
      </c>
      <c r="J922" s="58">
        <v>8991</v>
      </c>
      <c r="K922" s="32">
        <v>161000</v>
      </c>
      <c r="L922" s="32"/>
      <c r="M922" s="33">
        <f>(PROVEEDORES[[#This Row],[SUBTOTAL]]-PROVEEDORES[[#This Row],[descuento antes de IVA]])*VLOOKUP(PROVEEDORES[[#This Row],[PROVEEDOR]],TERCEROS_INFO[#All],3,FALSE)</f>
        <v>0</v>
      </c>
      <c r="N922" s="34"/>
      <c r="O922" s="33">
        <f>+PROVEEDORES[[#This Row],[Descuento sobre subtotal %]]*(PROVEEDORES[[#This Row],[SUBTOTAL]]-PROVEEDORES[[#This Row],[descuento antes de IVA]])</f>
        <v>0</v>
      </c>
      <c r="P9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2" s="33">
        <f>+(PROVEEDORES[[#This Row],[SUBTOTAL]]-PROVEEDORES[[#This Row],[descuento antes de IVA]])*PROVEEDORES[[#This Row],[Rete Fuente %]]</f>
        <v>0</v>
      </c>
      <c r="R922" s="32">
        <f>+PROVEEDORES[[#This Row],[SUBTOTAL]]+PROVEEDORES[[#This Row],[IVA 19%]]-PROVEEDORES[[#This Row],[descuento antes de IVA]]-PROVEEDORES[[#This Row],[Descuento sobre subtotal $]]-PROVEEDORES[[#This Row],[Rete Fuente $]]</f>
        <v>161000</v>
      </c>
      <c r="S9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2"/>
      <c r="U922" s="97"/>
      <c r="W922" s="40"/>
      <c r="X922" s="40"/>
      <c r="Y922" s="41"/>
      <c r="Z922" s="36"/>
      <c r="AA922" s="36"/>
      <c r="AD922" s="41"/>
      <c r="AE922" s="42"/>
      <c r="AF922" s="36"/>
      <c r="AG922" s="36"/>
    </row>
    <row r="923" spans="1:33" ht="21.95" hidden="1" customHeight="1" x14ac:dyDescent="0.25">
      <c r="A923" s="39" t="str">
        <f>+IF(PROVEEDORES[[#This Row],[FECHA DE PAGO]]=PROVEEDORES[[#This Row],[FECHA DE FACTURACIÓN]],"DE CONTADO","CRÉDITO")</f>
        <v>CRÉDITO</v>
      </c>
      <c r="B923" s="67" t="b">
        <f>+IF((PROVEEDORES[[#This Row],[FECHA DE PAGO]]-PROVEEDORES[[#This Row],[FECHA DE FACTURACIÓN]])&gt;PROVEEDORES[[#This Row],[PLAZO Días]],"PAGO VENCIDO")</f>
        <v>0</v>
      </c>
      <c r="C923" s="27">
        <f>+VLOOKUP(PROVEEDORES[[#This Row],[PROVEEDOR]],TERCEROS_INFO[#All],2,FALSE)</f>
        <v>30</v>
      </c>
      <c r="D923" s="37">
        <f>+SUMIFS(PROVEEDORES[Total],PROVEEDORES[PROVEEDOR],PROVEEDORES[[#This Row],[PROVEEDOR]],PROVEEDORES[FECHA DE PAGO],"")</f>
        <v>0</v>
      </c>
      <c r="E923" s="37" t="s">
        <v>358</v>
      </c>
      <c r="F923" s="108" t="str">
        <f>+VLOOKUP(PROVEEDORES[[#This Row],[PROVEEDOR]],TERCEROS_INFO[[PROVEEDOR]:[CORREO]],5,FALSE)</f>
        <v>vromero@flashinternational.us;girlesa.ruiz@servipilas.com;joriescobar64@gmail.com</v>
      </c>
      <c r="G923" s="143">
        <v>43880</v>
      </c>
      <c r="H923" s="38" t="s">
        <v>23</v>
      </c>
      <c r="I923" s="30">
        <v>43868</v>
      </c>
      <c r="J923" s="58">
        <v>9072</v>
      </c>
      <c r="K923" s="32">
        <v>432616</v>
      </c>
      <c r="L923" s="32"/>
      <c r="M923" s="33">
        <f>(PROVEEDORES[[#This Row],[SUBTOTAL]]-PROVEEDORES[[#This Row],[descuento antes de IVA]])*VLOOKUP(PROVEEDORES[[#This Row],[PROVEEDOR]],TERCEROS_INFO[#All],3,FALSE)</f>
        <v>0</v>
      </c>
      <c r="N923" s="34"/>
      <c r="O923" s="33">
        <f>+PROVEEDORES[[#This Row],[Descuento sobre subtotal %]]*(PROVEEDORES[[#This Row],[SUBTOTAL]]-PROVEEDORES[[#This Row],[descuento antes de IVA]])</f>
        <v>0</v>
      </c>
      <c r="P9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3" s="33">
        <f>+(PROVEEDORES[[#This Row],[SUBTOTAL]]-PROVEEDORES[[#This Row],[descuento antes de IVA]])*PROVEEDORES[[#This Row],[Rete Fuente %]]</f>
        <v>0</v>
      </c>
      <c r="R923" s="32">
        <f>+PROVEEDORES[[#This Row],[SUBTOTAL]]+PROVEEDORES[[#This Row],[IVA 19%]]-PROVEEDORES[[#This Row],[descuento antes de IVA]]-PROVEEDORES[[#This Row],[Descuento sobre subtotal $]]-PROVEEDORES[[#This Row],[Rete Fuente $]]</f>
        <v>432616</v>
      </c>
      <c r="S9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3"/>
      <c r="U923" s="97"/>
      <c r="W923" s="40"/>
      <c r="X923" s="40"/>
      <c r="Y923" s="41"/>
      <c r="Z923" s="36"/>
      <c r="AA923" s="36"/>
      <c r="AD923" s="41"/>
      <c r="AE923" s="42"/>
      <c r="AF923" s="36"/>
      <c r="AG923" s="36"/>
    </row>
    <row r="924" spans="1:33" ht="21.95" hidden="1" customHeight="1" x14ac:dyDescent="0.25">
      <c r="A924" s="39" t="str">
        <f>+IF(PROVEEDORES[[#This Row],[FECHA DE PAGO]]=PROVEEDORES[[#This Row],[FECHA DE FACTURACIÓN]],"DE CONTADO","CRÉDITO")</f>
        <v>CRÉDITO</v>
      </c>
      <c r="B924" s="67" t="b">
        <f>+IF((PROVEEDORES[[#This Row],[FECHA DE PAGO]]-PROVEEDORES[[#This Row],[FECHA DE FACTURACIÓN]])&gt;PROVEEDORES[[#This Row],[PLAZO Días]],"PAGO VENCIDO")</f>
        <v>0</v>
      </c>
      <c r="C924" s="27">
        <f>+VLOOKUP(PROVEEDORES[[#This Row],[PROVEEDOR]],TERCEROS_INFO[#All],2,FALSE)</f>
        <v>30</v>
      </c>
      <c r="D924" s="37">
        <f>+SUMIFS(PROVEEDORES[Total],PROVEEDORES[PROVEEDOR],PROVEEDORES[[#This Row],[PROVEEDOR]],PROVEEDORES[FECHA DE PAGO],"")</f>
        <v>0</v>
      </c>
      <c r="E924" s="37" t="s">
        <v>360</v>
      </c>
      <c r="F924" s="108" t="str">
        <f>+VLOOKUP(PROVEEDORES[[#This Row],[PROVEEDOR]],TERCEROS_INFO[[PROVEEDOR]:[CORREO]],5,FALSE)</f>
        <v>vromero@flashinternational.us;girlesa.ruiz@servipilas.com;joriescobar64@gmail.com</v>
      </c>
      <c r="G924" s="143">
        <v>43887</v>
      </c>
      <c r="H924" s="38" t="s">
        <v>23</v>
      </c>
      <c r="I924" s="30">
        <v>43880</v>
      </c>
      <c r="J924" s="58">
        <v>2011</v>
      </c>
      <c r="K924" s="32">
        <v>1340000</v>
      </c>
      <c r="L924" s="32"/>
      <c r="M924" s="33">
        <f>(PROVEEDORES[[#This Row],[SUBTOTAL]]-PROVEEDORES[[#This Row],[descuento antes de IVA]])*VLOOKUP(PROVEEDORES[[#This Row],[PROVEEDOR]],TERCEROS_INFO[#All],3,FALSE)</f>
        <v>0</v>
      </c>
      <c r="N924" s="34"/>
      <c r="O924" s="33">
        <f>+PROVEEDORES[[#This Row],[Descuento sobre subtotal %]]*(PROVEEDORES[[#This Row],[SUBTOTAL]]-PROVEEDORES[[#This Row],[descuento antes de IVA]])</f>
        <v>0</v>
      </c>
      <c r="P9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4" s="33">
        <f>+(PROVEEDORES[[#This Row],[SUBTOTAL]]-PROVEEDORES[[#This Row],[descuento antes de IVA]])*PROVEEDORES[[#This Row],[Rete Fuente %]]</f>
        <v>0</v>
      </c>
      <c r="R924" s="32">
        <f>+PROVEEDORES[[#This Row],[SUBTOTAL]]+PROVEEDORES[[#This Row],[IVA 19%]]-PROVEEDORES[[#This Row],[descuento antes de IVA]]-PROVEEDORES[[#This Row],[Descuento sobre subtotal $]]-PROVEEDORES[[#This Row],[Rete Fuente $]]</f>
        <v>1340000</v>
      </c>
      <c r="S9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4"/>
      <c r="U924" s="97"/>
      <c r="W924" s="40"/>
      <c r="X924" s="40"/>
      <c r="Y924" s="41"/>
      <c r="Z924" s="36"/>
      <c r="AA924" s="36"/>
      <c r="AD924" s="41"/>
      <c r="AE924" s="42"/>
      <c r="AF924" s="36"/>
      <c r="AG924" s="36"/>
    </row>
    <row r="925" spans="1:33" ht="21.95" hidden="1" customHeight="1" x14ac:dyDescent="0.25">
      <c r="A925" s="39" t="str">
        <f>+IF(PROVEEDORES[[#This Row],[FECHA DE PAGO]]=PROVEEDORES[[#This Row],[FECHA DE FACTURACIÓN]],"DE CONTADO","CRÉDITO")</f>
        <v>DE CONTADO</v>
      </c>
      <c r="B925" s="67" t="b">
        <f>+IF((PROVEEDORES[[#This Row],[FECHA DE PAGO]]-PROVEEDORES[[#This Row],[FECHA DE FACTURACIÓN]])&gt;PROVEEDORES[[#This Row],[PLAZO Días]],"PAGO VENCIDO")</f>
        <v>0</v>
      </c>
      <c r="C925" s="27">
        <f>+VLOOKUP(PROVEEDORES[[#This Row],[PROVEEDOR]],TERCEROS_INFO[#All],2,FALSE)</f>
        <v>30</v>
      </c>
      <c r="D925" s="37">
        <f>+SUMIFS(PROVEEDORES[Total],PROVEEDORES[PROVEEDOR],PROVEEDORES[[#This Row],[PROVEEDOR]],PROVEEDORES[FECHA DE PAGO],"")</f>
        <v>0</v>
      </c>
      <c r="E925" s="37" t="s">
        <v>359</v>
      </c>
      <c r="F925" s="108" t="str">
        <f>+VLOOKUP(PROVEEDORES[[#This Row],[PROVEEDOR]],TERCEROS_INFO[[PROVEEDOR]:[CORREO]],5,FALSE)</f>
        <v>vromero@flashinternational.us;girlesa.ruiz@servipilas.com;joriescobar64@gmail.com</v>
      </c>
      <c r="G925" s="143">
        <v>43880</v>
      </c>
      <c r="H925" s="38" t="s">
        <v>23</v>
      </c>
      <c r="I925" s="30">
        <v>43880</v>
      </c>
      <c r="J925" s="58">
        <v>9089</v>
      </c>
      <c r="K925" s="32">
        <v>1632000</v>
      </c>
      <c r="L925" s="32"/>
      <c r="M925" s="33">
        <f>(PROVEEDORES[[#This Row],[SUBTOTAL]]-PROVEEDORES[[#This Row],[descuento antes de IVA]])*VLOOKUP(PROVEEDORES[[#This Row],[PROVEEDOR]],TERCEROS_INFO[#All],3,FALSE)</f>
        <v>0</v>
      </c>
      <c r="N925" s="34"/>
      <c r="O925" s="33">
        <f>+PROVEEDORES[[#This Row],[Descuento sobre subtotal %]]*(PROVEEDORES[[#This Row],[SUBTOTAL]]-PROVEEDORES[[#This Row],[descuento antes de IVA]])</f>
        <v>0</v>
      </c>
      <c r="P9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5" s="33">
        <f>+(PROVEEDORES[[#This Row],[SUBTOTAL]]-PROVEEDORES[[#This Row],[descuento antes de IVA]])*PROVEEDORES[[#This Row],[Rete Fuente %]]</f>
        <v>0</v>
      </c>
      <c r="R925" s="32">
        <f>+PROVEEDORES[[#This Row],[SUBTOTAL]]+PROVEEDORES[[#This Row],[IVA 19%]]-PROVEEDORES[[#This Row],[descuento antes de IVA]]-PROVEEDORES[[#This Row],[Descuento sobre subtotal $]]-PROVEEDORES[[#This Row],[Rete Fuente $]]</f>
        <v>1632000</v>
      </c>
      <c r="S9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5"/>
      <c r="U925" s="97"/>
      <c r="W925" s="40"/>
      <c r="X925" s="40"/>
      <c r="Y925" s="41"/>
      <c r="Z925" s="36"/>
      <c r="AA925" s="36"/>
      <c r="AD925" s="41"/>
      <c r="AE925" s="42"/>
      <c r="AF925" s="36"/>
      <c r="AG925" s="36"/>
    </row>
    <row r="926" spans="1:33" ht="21.95" hidden="1" customHeight="1" x14ac:dyDescent="0.25">
      <c r="A926" s="39" t="str">
        <f>+IF(PROVEEDORES[[#This Row],[FECHA DE PAGO]]=PROVEEDORES[[#This Row],[FECHA DE FACTURACIÓN]],"DE CONTADO","CRÉDITO")</f>
        <v>DE CONTADO</v>
      </c>
      <c r="B926" s="67" t="b">
        <f>+IF((PROVEEDORES[[#This Row],[FECHA DE PAGO]]-PROVEEDORES[[#This Row],[FECHA DE FACTURACIÓN]])&gt;PROVEEDORES[[#This Row],[PLAZO Días]],"PAGO VENCIDO")</f>
        <v>0</v>
      </c>
      <c r="C926" s="27">
        <f>+VLOOKUP(PROVEEDORES[[#This Row],[PROVEEDOR]],TERCEROS_INFO[#All],2,FALSE)</f>
        <v>30</v>
      </c>
      <c r="D926" s="37">
        <f>+SUMIFS(PROVEEDORES[Total],PROVEEDORES[PROVEEDOR],PROVEEDORES[[#This Row],[PROVEEDOR]],PROVEEDORES[FECHA DE PAGO],"")</f>
        <v>0</v>
      </c>
      <c r="E926" s="37"/>
      <c r="F926" s="108" t="str">
        <f>+VLOOKUP(PROVEEDORES[[#This Row],[PROVEEDOR]],TERCEROS_INFO[[PROVEEDOR]:[CORREO]],5,FALSE)</f>
        <v/>
      </c>
      <c r="G926" s="143">
        <v>44209</v>
      </c>
      <c r="H926" s="38" t="s">
        <v>226</v>
      </c>
      <c r="I926" s="30">
        <v>44209</v>
      </c>
      <c r="J926" s="58">
        <v>245</v>
      </c>
      <c r="K926" s="32">
        <v>46386.478991596647</v>
      </c>
      <c r="L926" s="32"/>
      <c r="M926" s="33">
        <f>(PROVEEDORES[[#This Row],[SUBTOTAL]]-PROVEEDORES[[#This Row],[descuento antes de IVA]])*VLOOKUP(PROVEEDORES[[#This Row],[PROVEEDOR]],TERCEROS_INFO[#All],3,FALSE)</f>
        <v>8813.4310084033623</v>
      </c>
      <c r="N926" s="34"/>
      <c r="O926" s="33">
        <f>+PROVEEDORES[[#This Row],[Descuento sobre subtotal %]]*(PROVEEDORES[[#This Row],[SUBTOTAL]]-PROVEEDORES[[#This Row],[descuento antes de IVA]])</f>
        <v>0</v>
      </c>
      <c r="P9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6" s="33">
        <f>+(PROVEEDORES[[#This Row],[SUBTOTAL]]-PROVEEDORES[[#This Row],[descuento antes de IVA]])*PROVEEDORES[[#This Row],[Rete Fuente %]]</f>
        <v>0</v>
      </c>
      <c r="R926" s="32">
        <f>+PROVEEDORES[[#This Row],[SUBTOTAL]]+PROVEEDORES[[#This Row],[IVA 19%]]-PROVEEDORES[[#This Row],[descuento antes de IVA]]-PROVEEDORES[[#This Row],[Descuento sobre subtotal $]]-PROVEEDORES[[#This Row],[Rete Fuente $]]</f>
        <v>55199.910000000011</v>
      </c>
      <c r="S92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6"/>
      <c r="U926" s="97"/>
      <c r="W926" s="40"/>
      <c r="X926" s="40"/>
      <c r="Y926" s="41"/>
      <c r="Z926" s="36"/>
      <c r="AA926" s="36"/>
      <c r="AD926" s="41"/>
      <c r="AE926" s="42"/>
      <c r="AF926" s="36"/>
      <c r="AG926" s="36"/>
    </row>
    <row r="927" spans="1:33" ht="21.95" hidden="1" customHeight="1" x14ac:dyDescent="0.25">
      <c r="A927" s="155" t="str">
        <f>+IF(PROVEEDORES[[#This Row],[FECHA DE PAGO]]=PROVEEDORES[[#This Row],[FECHA DE FACTURACIÓN]],"DE CONTADO","CRÉDITO")</f>
        <v>CRÉDITO</v>
      </c>
      <c r="B927" s="70" t="b">
        <f>+IF((PROVEEDORES[[#This Row],[FECHA DE PAGO]]-PROVEEDORES[[#This Row],[FECHA DE FACTURACIÓN]])&gt;PROVEEDORES[[#This Row],[PLAZO Días]],"PAGO VENCIDO")</f>
        <v>0</v>
      </c>
      <c r="C927" s="27">
        <f>+VLOOKUP(PROVEEDORES[[#This Row],[PROVEEDOR]],TERCEROS_INFO[#All],2,FALSE)</f>
        <v>30</v>
      </c>
      <c r="D927" s="37">
        <f>+SUMIFS(PROVEEDORES[Total],PROVEEDORES[PROVEEDOR],PROVEEDORES[[#This Row],[PROVEEDOR]],PROVEEDORES[FECHA DE PAGO],"")</f>
        <v>0</v>
      </c>
      <c r="E927" s="37"/>
      <c r="F927" s="108">
        <f>+VLOOKUP(PROVEEDORES[[#This Row],[PROVEEDOR]],TERCEROS_INFO[[PROVEEDOR]:[CORREO]],5,FALSE)</f>
        <v>0</v>
      </c>
      <c r="G927" s="143">
        <v>44477</v>
      </c>
      <c r="H927" s="57" t="s">
        <v>883</v>
      </c>
      <c r="I927" s="30">
        <v>44470</v>
      </c>
      <c r="J927" s="58" t="s">
        <v>1263</v>
      </c>
      <c r="K927" s="32">
        <v>200000</v>
      </c>
      <c r="L927" s="32"/>
      <c r="M927" s="33">
        <f>(PROVEEDORES[[#This Row],[SUBTOTAL]]-PROVEEDORES[[#This Row],[descuento antes de IVA]])*VLOOKUP(PROVEEDORES[[#This Row],[PROVEEDOR]],TERCEROS_INFO[#All],3,FALSE)</f>
        <v>0</v>
      </c>
      <c r="N927" s="34"/>
      <c r="O927" s="33">
        <f>+PROVEEDORES[[#This Row],[Descuento sobre subtotal %]]*(PROVEEDORES[[#This Row],[SUBTOTAL]]-PROVEEDORES[[#This Row],[descuento antes de IVA]])</f>
        <v>0</v>
      </c>
      <c r="P9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7" s="33">
        <f>+(PROVEEDORES[[#This Row],[SUBTOTAL]]-PROVEEDORES[[#This Row],[descuento antes de IVA]])*PROVEEDORES[[#This Row],[Rete Fuente %]]</f>
        <v>0</v>
      </c>
      <c r="R927" s="32">
        <f>+PROVEEDORES[[#This Row],[SUBTOTAL]]+PROVEEDORES[[#This Row],[IVA 19%]]-PROVEEDORES[[#This Row],[descuento antes de IVA]]-PROVEEDORES[[#This Row],[Descuento sobre subtotal $]]-PROVEEDORES[[#This Row],[Rete Fuente $]]</f>
        <v>200000</v>
      </c>
      <c r="S927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7"/>
      <c r="U927" s="97"/>
      <c r="W927" s="40"/>
      <c r="X927" s="40"/>
      <c r="Y927" s="41"/>
      <c r="Z927" s="36"/>
      <c r="AA927" s="36"/>
      <c r="AD927" s="41"/>
      <c r="AE927" s="42"/>
      <c r="AF927" s="36"/>
      <c r="AG927" s="36"/>
    </row>
    <row r="928" spans="1:33" ht="21.95" hidden="1" customHeight="1" x14ac:dyDescent="0.25">
      <c r="A928" s="155" t="str">
        <f>+IF(PROVEEDORES[[#This Row],[FECHA DE PAGO]]=PROVEEDORES[[#This Row],[FECHA DE FACTURACIÓN]],"DE CONTADO","CRÉDITO")</f>
        <v>CRÉDITO</v>
      </c>
      <c r="B928" s="70" t="b">
        <f>+IF((PROVEEDORES[[#This Row],[FECHA DE PAGO]]-PROVEEDORES[[#This Row],[FECHA DE FACTURACIÓN]])&gt;PROVEEDORES[[#This Row],[PLAZO Días]],"PAGO VENCIDO")</f>
        <v>0</v>
      </c>
      <c r="C928" s="27">
        <f>+VLOOKUP(PROVEEDORES[[#This Row],[PROVEEDOR]],TERCEROS_INFO[#All],2,FALSE)</f>
        <v>30</v>
      </c>
      <c r="D928" s="37">
        <f>+SUMIFS(PROVEEDORES[Total],PROVEEDORES[PROVEEDOR],PROVEEDORES[[#This Row],[PROVEEDOR]],PROVEEDORES[FECHA DE PAGO],"")</f>
        <v>0</v>
      </c>
      <c r="E928" s="37"/>
      <c r="F928" s="108" t="str">
        <f>+VLOOKUP(PROVEEDORES[[#This Row],[PROVEEDOR]],TERCEROS_INFO[[PROVEEDOR]:[CORREO]],5,FALSE)</f>
        <v>pse</v>
      </c>
      <c r="G928" s="143">
        <v>44484</v>
      </c>
      <c r="H928" s="57" t="s">
        <v>879</v>
      </c>
      <c r="I928" s="30">
        <v>44473</v>
      </c>
      <c r="J928" s="58" t="s">
        <v>1268</v>
      </c>
      <c r="K928" s="32">
        <v>1869843</v>
      </c>
      <c r="L928" s="32"/>
      <c r="M928" s="33">
        <f>(PROVEEDORES[[#This Row],[SUBTOTAL]]-PROVEEDORES[[#This Row],[descuento antes de IVA]])*VLOOKUP(PROVEEDORES[[#This Row],[PROVEEDOR]],TERCEROS_INFO[#All],3,FALSE)</f>
        <v>355270.17</v>
      </c>
      <c r="N928" s="34"/>
      <c r="O928" s="33">
        <f>+PROVEEDORES[[#This Row],[Descuento sobre subtotal %]]*(PROVEEDORES[[#This Row],[SUBTOTAL]]-PROVEEDORES[[#This Row],[descuento antes de IVA]])</f>
        <v>0</v>
      </c>
      <c r="P9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28" s="33">
        <f>+(PROVEEDORES[[#This Row],[SUBTOTAL]]-PROVEEDORES[[#This Row],[descuento antes de IVA]])*PROVEEDORES[[#This Row],[Rete Fuente %]]</f>
        <v>0</v>
      </c>
      <c r="R928" s="32">
        <f>+PROVEEDORES[[#This Row],[SUBTOTAL]]+PROVEEDORES[[#This Row],[IVA 19%]]-PROVEEDORES[[#This Row],[descuento antes de IVA]]-PROVEEDORES[[#This Row],[Descuento sobre subtotal $]]-PROVEEDORES[[#This Row],[Rete Fuente $]]</f>
        <v>2225113.17</v>
      </c>
      <c r="S928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8"/>
      <c r="U928" s="97"/>
      <c r="W928" s="40"/>
      <c r="X928" s="40"/>
      <c r="Y928" s="41"/>
      <c r="Z928" s="36"/>
      <c r="AA928" s="36"/>
      <c r="AD928" s="41"/>
      <c r="AE928" s="42"/>
      <c r="AF928" s="36"/>
      <c r="AG928" s="36"/>
    </row>
    <row r="929" spans="1:33" ht="21.95" hidden="1" customHeight="1" x14ac:dyDescent="0.25">
      <c r="A929" s="166" t="str">
        <f>+IF(PROVEEDORES[[#This Row],[FECHA DE PAGO]]=PROVEEDORES[[#This Row],[FECHA DE FACTURACIÓN]],"DE CONTADO","CRÉDITO")</f>
        <v>CRÉDITO</v>
      </c>
      <c r="B929" s="70" t="b">
        <f>+IF((PROVEEDORES[[#This Row],[FECHA DE PAGO]]-PROVEEDORES[[#This Row],[FECHA DE FACTURACIÓN]])&gt;PROVEEDORES[[#This Row],[PLAZO Días]],"PAGO VENCIDO")</f>
        <v>0</v>
      </c>
      <c r="C929" s="27">
        <f>+VLOOKUP(PROVEEDORES[[#This Row],[PROVEEDOR]],TERCEROS_INFO[#All],2,FALSE)</f>
        <v>30</v>
      </c>
      <c r="D929" s="37">
        <f>+SUMIFS(PROVEEDORES[Total],PROVEEDORES[PROVEEDOR],PROVEEDORES[[#This Row],[PROVEEDOR]],PROVEEDORES[FECHA DE PAGO],"")</f>
        <v>0</v>
      </c>
      <c r="E929" s="37"/>
      <c r="F929" s="108">
        <f>+VLOOKUP(PROVEEDORES[[#This Row],[PROVEEDOR]],TERCEROS_INFO[[PROVEEDOR]:[CORREO]],5,FALSE)</f>
        <v>0</v>
      </c>
      <c r="G929" s="143">
        <v>44537</v>
      </c>
      <c r="H929" s="57" t="s">
        <v>977</v>
      </c>
      <c r="I929" s="30">
        <v>44523</v>
      </c>
      <c r="J929" s="58" t="s">
        <v>1304</v>
      </c>
      <c r="K929" s="32">
        <v>1848739.49</v>
      </c>
      <c r="L929" s="32"/>
      <c r="M929" s="33">
        <f>(PROVEEDORES[[#This Row],[SUBTOTAL]]-PROVEEDORES[[#This Row],[descuento antes de IVA]])*VLOOKUP(PROVEEDORES[[#This Row],[PROVEEDOR]],TERCEROS_INFO[#All],3,FALSE)</f>
        <v>351260.50310000003</v>
      </c>
      <c r="N929" s="34"/>
      <c r="O929" s="33">
        <f>+PROVEEDORES[[#This Row],[Descuento sobre subtotal %]]*(PROVEEDORES[[#This Row],[SUBTOTAL]]-PROVEEDORES[[#This Row],[descuento antes de IVA]])</f>
        <v>0</v>
      </c>
      <c r="P929" s="34">
        <v>0.04</v>
      </c>
      <c r="Q929" s="33">
        <f>+(PROVEEDORES[[#This Row],[SUBTOTAL]]-PROVEEDORES[[#This Row],[descuento antes de IVA]])*PROVEEDORES[[#This Row],[Rete Fuente %]]</f>
        <v>73949.579599999997</v>
      </c>
      <c r="R929" s="32">
        <f>+PROVEEDORES[[#This Row],[SUBTOTAL]]+PROVEEDORES[[#This Row],[IVA 19%]]-PROVEEDORES[[#This Row],[descuento antes de IVA]]-PROVEEDORES[[#This Row],[Descuento sobre subtotal $]]-PROVEEDORES[[#This Row],[Rete Fuente $]]</f>
        <v>2126050.4135000003</v>
      </c>
      <c r="S929" s="1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9"/>
      <c r="U929" s="97"/>
      <c r="W929" s="40"/>
      <c r="X929" s="40"/>
      <c r="Y929" s="41"/>
      <c r="Z929" s="36"/>
      <c r="AA929" s="36"/>
      <c r="AD929" s="41"/>
      <c r="AE929" s="42"/>
      <c r="AF929" s="36"/>
      <c r="AG929" s="36"/>
    </row>
    <row r="930" spans="1:33" ht="21.95" hidden="1" customHeight="1" x14ac:dyDescent="0.25">
      <c r="A930" s="35" t="str">
        <f>+IF(PROVEEDORES[[#This Row],[FECHA DE PAGO]]=PROVEEDORES[[#This Row],[FECHA DE FACTURACIÓN]],"DE CONTADO","CRÉDITO")</f>
        <v>CRÉDITO</v>
      </c>
      <c r="B930" s="70" t="b">
        <f>+IF((PROVEEDORES[[#This Row],[FECHA DE PAGO]]-PROVEEDORES[[#This Row],[FECHA DE FACTURACIÓN]])&gt;PROVEEDORES[[#This Row],[PLAZO Días]],"PAGO VENCIDO")</f>
        <v>0</v>
      </c>
      <c r="C930" s="27">
        <f>+VLOOKUP(PROVEEDORES[[#This Row],[PROVEEDOR]],TERCEROS_INFO[#All],2,FALSE)</f>
        <v>10</v>
      </c>
      <c r="D930" s="37">
        <f>+SUMIFS(PROVEEDORES[Total],PROVEEDORES[PROVEEDOR],PROVEEDORES[[#This Row],[PROVEEDOR]],PROVEEDORES[FECHA DE PAGO],"")</f>
        <v>0</v>
      </c>
      <c r="E930" s="37"/>
      <c r="F930" s="108">
        <f>+VLOOKUP(PROVEEDORES[[#This Row],[PROVEEDOR]],TERCEROS_INFO[[PROVEEDOR]:[CORREO]],5,FALSE)</f>
        <v>0</v>
      </c>
      <c r="G930" s="143">
        <v>44540</v>
      </c>
      <c r="H930" s="57" t="s">
        <v>1000</v>
      </c>
      <c r="I930" s="30">
        <v>44539</v>
      </c>
      <c r="J930" s="58" t="s">
        <v>1001</v>
      </c>
      <c r="K930" s="32">
        <v>100840.34</v>
      </c>
      <c r="L930" s="32"/>
      <c r="M930" s="33">
        <f>(PROVEEDORES[[#This Row],[SUBTOTAL]]-PROVEEDORES[[#This Row],[descuento antes de IVA]])*VLOOKUP(PROVEEDORES[[#This Row],[PROVEEDOR]],TERCEROS_INFO[#All],3,FALSE)</f>
        <v>19159.6646</v>
      </c>
      <c r="N930" s="34"/>
      <c r="O930" s="33">
        <f>+PROVEEDORES[[#This Row],[Descuento sobre subtotal %]]*(PROVEEDORES[[#This Row],[SUBTOTAL]]-PROVEEDORES[[#This Row],[descuento antes de IVA]])</f>
        <v>0</v>
      </c>
      <c r="P9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0" s="33">
        <f>+(PROVEEDORES[[#This Row],[SUBTOTAL]]-PROVEEDORES[[#This Row],[descuento antes de IVA]])*PROVEEDORES[[#This Row],[Rete Fuente %]]</f>
        <v>0</v>
      </c>
      <c r="R930" s="32">
        <f>+PROVEEDORES[[#This Row],[SUBTOTAL]]+PROVEEDORES[[#This Row],[IVA 19%]]-PROVEEDORES[[#This Row],[descuento antes de IVA]]-PROVEEDORES[[#This Row],[Descuento sobre subtotal $]]-PROVEEDORES[[#This Row],[Rete Fuente $]]</f>
        <v>120000.0046</v>
      </c>
      <c r="S93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0"/>
      <c r="U930" s="97"/>
      <c r="W930" s="40"/>
      <c r="X930" s="40"/>
      <c r="Y930" s="41"/>
      <c r="Z930" s="36"/>
      <c r="AA930" s="36"/>
      <c r="AD930" s="41"/>
      <c r="AE930" s="42"/>
      <c r="AF930" s="36"/>
      <c r="AG930" s="36"/>
    </row>
    <row r="931" spans="1:33" ht="21.95" hidden="1" customHeight="1" x14ac:dyDescent="0.25">
      <c r="A931" s="133" t="str">
        <f>+IF(PROVEEDORES[[#This Row],[FECHA DE PAGO]]=PROVEEDORES[[#This Row],[FECHA DE FACTURACIÓN]],"DE CONTADO","CRÉDITO")</f>
        <v>CRÉDITO</v>
      </c>
      <c r="B931" s="70" t="b">
        <f>+IF((PROVEEDORES[[#This Row],[FECHA DE PAGO]]-PROVEEDORES[[#This Row],[FECHA DE FACTURACIÓN]])&gt;PROVEEDORES[[#This Row],[PLAZO Días]],"PAGO VENCIDO")</f>
        <v>0</v>
      </c>
      <c r="C931" s="27">
        <f>+VLOOKUP(PROVEEDORES[[#This Row],[PROVEEDOR]],TERCEROS_INFO[#All],2,FALSE)</f>
        <v>30</v>
      </c>
      <c r="D931" s="37">
        <f>+SUMIFS(PROVEEDORES[Total],PROVEEDORES[PROVEEDOR],PROVEEDORES[[#This Row],[PROVEEDOR]],PROVEEDORES[FECHA DE PAGO],"")</f>
        <v>0</v>
      </c>
      <c r="E931" s="37"/>
      <c r="F931" s="108" t="str">
        <f>+VLOOKUP(PROVEEDORES[[#This Row],[PROVEEDOR]],TERCEROS_INFO[[PROVEEDOR]:[CORREO]],5,FALSE)</f>
        <v>inspecciones@bomberossabaneta.com;girlesa.ruiz@servipilas.com;joriescobar64@gmail.com</v>
      </c>
      <c r="G931" s="143">
        <v>44396</v>
      </c>
      <c r="H931" s="57" t="s">
        <v>751</v>
      </c>
      <c r="I931" s="30">
        <v>44392</v>
      </c>
      <c r="J931" s="58">
        <v>2132</v>
      </c>
      <c r="K931" s="32">
        <v>259473</v>
      </c>
      <c r="L931" s="32"/>
      <c r="M931" s="33">
        <f>(PROVEEDORES[[#This Row],[SUBTOTAL]]-PROVEEDORES[[#This Row],[descuento antes de IVA]])*VLOOKUP(PROVEEDORES[[#This Row],[PROVEEDOR]],TERCEROS_INFO[#All],3,FALSE)</f>
        <v>0</v>
      </c>
      <c r="N931" s="34"/>
      <c r="O931" s="33">
        <f>+PROVEEDORES[[#This Row],[Descuento sobre subtotal %]]*(PROVEEDORES[[#This Row],[SUBTOTAL]]-PROVEEDORES[[#This Row],[descuento antes de IVA]])</f>
        <v>0</v>
      </c>
      <c r="P9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1" s="33">
        <f>+(PROVEEDORES[[#This Row],[SUBTOTAL]]-PROVEEDORES[[#This Row],[descuento antes de IVA]])*PROVEEDORES[[#This Row],[Rete Fuente %]]</f>
        <v>0</v>
      </c>
      <c r="R931" s="32">
        <f>+PROVEEDORES[[#This Row],[SUBTOTAL]]+PROVEEDORES[[#This Row],[IVA 19%]]-PROVEEDORES[[#This Row],[descuento antes de IVA]]-PROVEEDORES[[#This Row],[Descuento sobre subtotal $]]-PROVEEDORES[[#This Row],[Rete Fuente $]]</f>
        <v>259473</v>
      </c>
      <c r="S931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1"/>
      <c r="U931" s="97"/>
      <c r="W931" s="40"/>
      <c r="X931" s="40"/>
      <c r="Y931" s="41"/>
      <c r="Z931" s="36"/>
      <c r="AA931" s="36"/>
      <c r="AD931" s="41"/>
      <c r="AE931" s="42"/>
      <c r="AF931" s="36"/>
      <c r="AG931" s="36"/>
    </row>
    <row r="932" spans="1:33" ht="21.95" hidden="1" customHeight="1" x14ac:dyDescent="0.25">
      <c r="A932" s="124" t="str">
        <f>+IF(PROVEEDORES[[#This Row],[FECHA DE PAGO]]=PROVEEDORES[[#This Row],[FECHA DE FACTURACIÓN]],"DE CONTADO","CRÉDITO")</f>
        <v>CRÉDITO</v>
      </c>
      <c r="B932" s="70" t="str">
        <f>+IF((PROVEEDORES[[#This Row],[FECHA DE PAGO]]-PROVEEDORES[[#This Row],[FECHA DE FACTURACIÓN]])&gt;PROVEEDORES[[#This Row],[PLAZO Días]],"PAGO VENCIDO")</f>
        <v>PAGO VENCIDO</v>
      </c>
      <c r="C932" s="27">
        <f>+VLOOKUP(PROVEEDORES[[#This Row],[PROVEEDOR]],TERCEROS_INFO[#All],2,FALSE)</f>
        <v>0</v>
      </c>
      <c r="D932" s="37">
        <f>+SUMIFS(PROVEEDORES[Total],PROVEEDORES[PROVEEDOR],PROVEEDORES[[#This Row],[PROVEEDOR]],PROVEEDORES[FECHA DE PAGO],"")</f>
        <v>0</v>
      </c>
      <c r="E932" s="37"/>
      <c r="F932" s="108" t="str">
        <f>+VLOOKUP(PROVEEDORES[[#This Row],[PROVEEDOR]],TERCEROS_INFO[[PROVEEDOR]:[CORREO]],5,FALSE)</f>
        <v>pse</v>
      </c>
      <c r="G932" s="143">
        <v>44357</v>
      </c>
      <c r="H932" s="57" t="s">
        <v>706</v>
      </c>
      <c r="I932" s="30">
        <v>44356</v>
      </c>
      <c r="J932" s="58" t="s">
        <v>1150</v>
      </c>
      <c r="K932" s="32">
        <v>914200</v>
      </c>
      <c r="L932" s="32"/>
      <c r="M932" s="33">
        <f>(PROVEEDORES[[#This Row],[SUBTOTAL]]-PROVEEDORES[[#This Row],[descuento antes de IVA]])*VLOOKUP(PROVEEDORES[[#This Row],[PROVEEDOR]],TERCEROS_INFO[#All],3,FALSE)</f>
        <v>0</v>
      </c>
      <c r="N932" s="34"/>
      <c r="O932" s="33">
        <f>+PROVEEDORES[[#This Row],[Descuento sobre subtotal %]]*(PROVEEDORES[[#This Row],[SUBTOTAL]]-PROVEEDORES[[#This Row],[descuento antes de IVA]])</f>
        <v>0</v>
      </c>
      <c r="P9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2" s="33">
        <f>+(PROVEEDORES[[#This Row],[SUBTOTAL]]-PROVEEDORES[[#This Row],[descuento antes de IVA]])*PROVEEDORES[[#This Row],[Rete Fuente %]]</f>
        <v>0</v>
      </c>
      <c r="R932" s="32">
        <f>+PROVEEDORES[[#This Row],[SUBTOTAL]]+PROVEEDORES[[#This Row],[IVA 19%]]-PROVEEDORES[[#This Row],[descuento antes de IVA]]-PROVEEDORES[[#This Row],[Descuento sobre subtotal $]]-PROVEEDORES[[#This Row],[Rete Fuente $]]</f>
        <v>914200</v>
      </c>
      <c r="S932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2"/>
      <c r="U932" s="97"/>
      <c r="W932" s="40"/>
      <c r="X932" s="40"/>
      <c r="Y932" s="41"/>
      <c r="Z932" s="36"/>
      <c r="AA932" s="36"/>
      <c r="AD932" s="41"/>
      <c r="AE932" s="42"/>
      <c r="AF932" s="36"/>
      <c r="AG932" s="36"/>
    </row>
    <row r="933" spans="1:33" ht="21.95" hidden="1" customHeight="1" x14ac:dyDescent="0.25">
      <c r="A933" s="39" t="str">
        <f>+IF(PROVEEDORES[[#This Row],[FECHA DE PAGO]]=PROVEEDORES[[#This Row],[FECHA DE FACTURACIÓN]],"DE CONTADO","CRÉDITO")</f>
        <v>CRÉDITO</v>
      </c>
      <c r="B933" s="67" t="b">
        <f>+IF((PROVEEDORES[[#This Row],[FECHA DE PAGO]]-PROVEEDORES[[#This Row],[FECHA DE FACTURACIÓN]])&gt;PROVEEDORES[[#This Row],[PLAZO Días]],"PAGO VENCIDO")</f>
        <v>0</v>
      </c>
      <c r="C933" s="27">
        <f>+VLOOKUP(PROVEEDORES[[#This Row],[PROVEEDOR]],TERCEROS_INFO[#All],2,FALSE)</f>
        <v>30</v>
      </c>
      <c r="D933" s="37">
        <f>+SUMIFS(PROVEEDORES[Total],PROVEEDORES[PROVEEDOR],PROVEEDORES[[#This Row],[PROVEEDOR]],PROVEEDORES[FECHA DE PAGO],"")</f>
        <v>0</v>
      </c>
      <c r="E933" s="37"/>
      <c r="F933" s="108" t="str">
        <f>+VLOOKUP(PROVEEDORES[[#This Row],[PROVEEDOR]],TERCEROS_INFO[[PROVEEDOR]:[CORREO]],5,FALSE)</f>
        <v>contabilidad@comercialweb.com.co;info@servipilas.com</v>
      </c>
      <c r="G933" s="143">
        <v>43851</v>
      </c>
      <c r="H933" s="38" t="s">
        <v>683</v>
      </c>
      <c r="I933" s="30">
        <v>43831</v>
      </c>
      <c r="J933" s="58">
        <v>990</v>
      </c>
      <c r="K933" s="32">
        <v>411764.70588235295</v>
      </c>
      <c r="L933" s="32"/>
      <c r="M933" s="33">
        <f>(PROVEEDORES[[#This Row],[SUBTOTAL]]-PROVEEDORES[[#This Row],[descuento antes de IVA]])*VLOOKUP(PROVEEDORES[[#This Row],[PROVEEDOR]],TERCEROS_INFO[#All],3,FALSE)</f>
        <v>0</v>
      </c>
      <c r="N933" s="34"/>
      <c r="O933" s="33">
        <f>+PROVEEDORES[[#This Row],[Descuento sobre subtotal %]]*(PROVEEDORES[[#This Row],[SUBTOTAL]]-PROVEEDORES[[#This Row],[descuento antes de IVA]])</f>
        <v>0</v>
      </c>
      <c r="P9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3" s="33">
        <f>+(PROVEEDORES[[#This Row],[SUBTOTAL]]-PROVEEDORES[[#This Row],[descuento antes de IVA]])*PROVEEDORES[[#This Row],[Rete Fuente %]]</f>
        <v>0</v>
      </c>
      <c r="R933" s="32">
        <f>+PROVEEDORES[[#This Row],[SUBTOTAL]]+PROVEEDORES[[#This Row],[IVA 19%]]-PROVEEDORES[[#This Row],[descuento antes de IVA]]-PROVEEDORES[[#This Row],[Descuento sobre subtotal $]]-PROVEEDORES[[#This Row],[Rete Fuente $]]</f>
        <v>411764.70588235295</v>
      </c>
      <c r="S93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3"/>
      <c r="U933" s="97"/>
      <c r="W933" s="40"/>
      <c r="X933" s="40"/>
      <c r="Y933" s="41"/>
      <c r="Z933" s="36"/>
      <c r="AA933" s="36"/>
      <c r="AD933" s="41"/>
      <c r="AE933" s="42"/>
      <c r="AF933" s="36"/>
      <c r="AG933" s="36"/>
    </row>
    <row r="934" spans="1:33" ht="21.95" hidden="1" customHeight="1" x14ac:dyDescent="0.25">
      <c r="A934" s="39" t="str">
        <f>+IF(PROVEEDORES[[#This Row],[FECHA DE PAGO]]=PROVEEDORES[[#This Row],[FECHA DE FACTURACIÓN]],"DE CONTADO","CRÉDITO")</f>
        <v>CRÉDITO</v>
      </c>
      <c r="B934" s="67" t="b">
        <f>+IF((PROVEEDORES[[#This Row],[FECHA DE PAGO]]-PROVEEDORES[[#This Row],[FECHA DE FACTURACIÓN]])&gt;PROVEEDORES[[#This Row],[PLAZO Días]],"PAGO VENCIDO")</f>
        <v>0</v>
      </c>
      <c r="C934" s="27">
        <f>+VLOOKUP(PROVEEDORES[[#This Row],[PROVEEDOR]],TERCEROS_INFO[#All],2,FALSE)</f>
        <v>30</v>
      </c>
      <c r="D934" s="37">
        <f>+SUMIFS(PROVEEDORES[Total],PROVEEDORES[PROVEEDOR],PROVEEDORES[[#This Row],[PROVEEDOR]],PROVEEDORES[FECHA DE PAGO],"")</f>
        <v>0</v>
      </c>
      <c r="E934" s="37"/>
      <c r="F934" s="108" t="str">
        <f>+VLOOKUP(PROVEEDORES[[#This Row],[PROVEEDOR]],TERCEROS_INFO[[PROVEEDOR]:[CORREO]],5,FALSE)</f>
        <v>contabilidad@comercialweb.com.co;info@servipilas.com</v>
      </c>
      <c r="G934" s="143">
        <v>43892</v>
      </c>
      <c r="H934" s="38" t="s">
        <v>683</v>
      </c>
      <c r="I934" s="30">
        <v>43891</v>
      </c>
      <c r="J934" s="58">
        <v>1025</v>
      </c>
      <c r="K934" s="32">
        <v>504201.68067226891</v>
      </c>
      <c r="L934" s="32"/>
      <c r="M934" s="33">
        <f>(PROVEEDORES[[#This Row],[SUBTOTAL]]-PROVEEDORES[[#This Row],[descuento antes de IVA]])*VLOOKUP(PROVEEDORES[[#This Row],[PROVEEDOR]],TERCEROS_INFO[#All],3,FALSE)</f>
        <v>0</v>
      </c>
      <c r="N934" s="34"/>
      <c r="O934" s="33">
        <f>+PROVEEDORES[[#This Row],[Descuento sobre subtotal %]]*(PROVEEDORES[[#This Row],[SUBTOTAL]]-PROVEEDORES[[#This Row],[descuento antes de IVA]])</f>
        <v>0</v>
      </c>
      <c r="P9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4" s="33">
        <f>+(PROVEEDORES[[#This Row],[SUBTOTAL]]-PROVEEDORES[[#This Row],[descuento antes de IVA]])*PROVEEDORES[[#This Row],[Rete Fuente %]]</f>
        <v>0</v>
      </c>
      <c r="R934" s="32">
        <f>+PROVEEDORES[[#This Row],[SUBTOTAL]]+PROVEEDORES[[#This Row],[IVA 19%]]-PROVEEDORES[[#This Row],[descuento antes de IVA]]-PROVEEDORES[[#This Row],[Descuento sobre subtotal $]]-PROVEEDORES[[#This Row],[Rete Fuente $]]</f>
        <v>504201.68067226891</v>
      </c>
      <c r="S93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4"/>
      <c r="U934" s="97"/>
      <c r="W934" s="40"/>
      <c r="X934" s="40"/>
      <c r="Y934" s="41"/>
      <c r="Z934" s="36"/>
      <c r="AA934" s="36"/>
      <c r="AD934" s="41"/>
      <c r="AE934" s="42"/>
      <c r="AF934" s="36"/>
      <c r="AG934" s="36"/>
    </row>
    <row r="935" spans="1:33" ht="21.95" hidden="1" customHeight="1" x14ac:dyDescent="0.25">
      <c r="A935" s="107" t="str">
        <f>+IF(PROVEEDORES[[#This Row],[FECHA DE PAGO]]=PROVEEDORES[[#This Row],[FECHA DE FACTURACIÓN]],"DE CONTADO","CRÉDITO")</f>
        <v>CRÉDITO</v>
      </c>
      <c r="B935" s="70" t="str">
        <f>+IF((PROVEEDORES[[#This Row],[FECHA DE PAGO]]-PROVEEDORES[[#This Row],[FECHA DE FACTURACIÓN]])&gt;PROVEEDORES[[#This Row],[PLAZO Días]],"PAGO VENCIDO")</f>
        <v>PAGO VENCIDO</v>
      </c>
      <c r="C935" s="27">
        <f>+VLOOKUP(PROVEEDORES[[#This Row],[PROVEEDOR]],TERCEROS_INFO[#All],2,FALSE)</f>
        <v>30</v>
      </c>
      <c r="D935" s="37">
        <f>+SUMIFS(PROVEEDORES[Total],PROVEEDORES[PROVEEDOR],PROVEEDORES[[#This Row],[PROVEEDOR]],PROVEEDORES[FECHA DE PAGO],"")</f>
        <v>0</v>
      </c>
      <c r="E935" s="37"/>
      <c r="F935" s="108" t="str">
        <f>+VLOOKUP(PROVEEDORES[[#This Row],[PROVEEDOR]],TERCEROS_INFO[[PROVEEDOR]:[CORREO]],5,FALSE)</f>
        <v>contabilidad@comercialweb.com.co;info@servipilas.com</v>
      </c>
      <c r="G935" s="143">
        <v>44229</v>
      </c>
      <c r="H935" s="38" t="s">
        <v>643</v>
      </c>
      <c r="I935" s="30">
        <v>44197</v>
      </c>
      <c r="J935" s="58">
        <v>204</v>
      </c>
      <c r="K935" s="32">
        <v>490000</v>
      </c>
      <c r="L935" s="32"/>
      <c r="M935" s="33">
        <f>(PROVEEDORES[[#This Row],[SUBTOTAL]]-PROVEEDORES[[#This Row],[descuento antes de IVA]])*VLOOKUP(PROVEEDORES[[#This Row],[PROVEEDOR]],TERCEROS_INFO[#All],3,FALSE)</f>
        <v>0</v>
      </c>
      <c r="N935" s="34"/>
      <c r="O935" s="33">
        <f>+PROVEEDORES[[#This Row],[Descuento sobre subtotal %]]*(PROVEEDORES[[#This Row],[SUBTOTAL]]-PROVEEDORES[[#This Row],[descuento antes de IVA]])</f>
        <v>0</v>
      </c>
      <c r="P9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5" s="33">
        <f>+(PROVEEDORES[[#This Row],[SUBTOTAL]]-PROVEEDORES[[#This Row],[descuento antes de IVA]])*PROVEEDORES[[#This Row],[Rete Fuente %]]</f>
        <v>0</v>
      </c>
      <c r="R935" s="32">
        <f>+PROVEEDORES[[#This Row],[SUBTOTAL]]+PROVEEDORES[[#This Row],[IVA 19%]]-PROVEEDORES[[#This Row],[descuento antes de IVA]]-PROVEEDORES[[#This Row],[Descuento sobre subtotal $]]-PROVEEDORES[[#This Row],[Rete Fuente $]]</f>
        <v>490000</v>
      </c>
      <c r="S935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5"/>
      <c r="U935" s="97"/>
      <c r="W935" s="40"/>
      <c r="X935" s="40"/>
      <c r="Y935" s="41"/>
      <c r="Z935" s="36"/>
      <c r="AA935" s="36"/>
      <c r="AD935" s="41"/>
      <c r="AE935" s="42"/>
      <c r="AF935" s="36"/>
      <c r="AG935" s="36"/>
    </row>
    <row r="936" spans="1:33" ht="21.95" hidden="1" customHeight="1" x14ac:dyDescent="0.25">
      <c r="A936" s="107" t="str">
        <f>+IF(PROVEEDORES[[#This Row],[FECHA DE PAGO]]=PROVEEDORES[[#This Row],[FECHA DE FACTURACIÓN]],"DE CONTADO","CRÉDITO")</f>
        <v>CRÉDITO</v>
      </c>
      <c r="B936" s="70" t="b">
        <f>+IF((PROVEEDORES[[#This Row],[FECHA DE PAGO]]-PROVEEDORES[[#This Row],[FECHA DE FACTURACIÓN]])&gt;PROVEEDORES[[#This Row],[PLAZO Días]],"PAGO VENCIDO")</f>
        <v>0</v>
      </c>
      <c r="C936" s="27">
        <f>+VLOOKUP(PROVEEDORES[[#This Row],[PROVEEDOR]],TERCEROS_INFO[#All],2,FALSE)</f>
        <v>30</v>
      </c>
      <c r="D936" s="37">
        <f>+SUMIFS(PROVEEDORES[Total],PROVEEDORES[PROVEEDOR],PROVEEDORES[[#This Row],[PROVEEDOR]],PROVEEDORES[FECHA DE PAGO],"")</f>
        <v>0</v>
      </c>
      <c r="E936" s="37"/>
      <c r="F936" s="108" t="str">
        <f>+VLOOKUP(PROVEEDORES[[#This Row],[PROVEEDOR]],TERCEROS_INFO[[PROVEEDOR]:[CORREO]],5,FALSE)</f>
        <v>contabilidad@comercialweb.com.co;info@servipilas.com</v>
      </c>
      <c r="G936" s="143">
        <v>44239</v>
      </c>
      <c r="H936" s="38" t="s">
        <v>643</v>
      </c>
      <c r="I936" s="30">
        <v>44228</v>
      </c>
      <c r="J936" s="58">
        <v>252</v>
      </c>
      <c r="K936" s="32">
        <v>600000</v>
      </c>
      <c r="L936" s="32"/>
      <c r="M936" s="33">
        <f>(PROVEEDORES[[#This Row],[SUBTOTAL]]-PROVEEDORES[[#This Row],[descuento antes de IVA]])*VLOOKUP(PROVEEDORES[[#This Row],[PROVEEDOR]],TERCEROS_INFO[#All],3,FALSE)</f>
        <v>0</v>
      </c>
      <c r="N936" s="34"/>
      <c r="O936" s="33">
        <f>+PROVEEDORES[[#This Row],[Descuento sobre subtotal %]]*(PROVEEDORES[[#This Row],[SUBTOTAL]]-PROVEEDORES[[#This Row],[descuento antes de IVA]])</f>
        <v>0</v>
      </c>
      <c r="P9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6" s="33">
        <f>+(PROVEEDORES[[#This Row],[SUBTOTAL]]-PROVEEDORES[[#This Row],[descuento antes de IVA]])*PROVEEDORES[[#This Row],[Rete Fuente %]]</f>
        <v>0</v>
      </c>
      <c r="R936" s="32">
        <f>+PROVEEDORES[[#This Row],[SUBTOTAL]]+PROVEEDORES[[#This Row],[IVA 19%]]-PROVEEDORES[[#This Row],[descuento antes de IVA]]-PROVEEDORES[[#This Row],[Descuento sobre subtotal $]]-PROVEEDORES[[#This Row],[Rete Fuente $]]</f>
        <v>600000</v>
      </c>
      <c r="S936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6"/>
      <c r="U936" s="97"/>
      <c r="W936" s="40"/>
      <c r="X936" s="40"/>
      <c r="Y936" s="41"/>
      <c r="Z936" s="36"/>
      <c r="AA936" s="36"/>
      <c r="AD936" s="41"/>
      <c r="AE936" s="42"/>
      <c r="AF936" s="36"/>
      <c r="AG936" s="36"/>
    </row>
    <row r="937" spans="1:33" ht="21.95" hidden="1" customHeight="1" x14ac:dyDescent="0.25">
      <c r="A937" s="133" t="str">
        <f>+IF(PROVEEDORES[[#This Row],[FECHA DE PAGO]]=PROVEEDORES[[#This Row],[FECHA DE FACTURACIÓN]],"DE CONTADO","CRÉDITO")</f>
        <v>CRÉDITO</v>
      </c>
      <c r="B937" s="70" t="str">
        <f>+IF((PROVEEDORES[[#This Row],[FECHA DE PAGO]]-PROVEEDORES[[#This Row],[FECHA DE FACTURACIÓN]])&gt;PROVEEDORES[[#This Row],[PLAZO Días]],"PAGO VENCIDO")</f>
        <v>PAGO VENCIDO</v>
      </c>
      <c r="C937" s="27">
        <f>+VLOOKUP(PROVEEDORES[[#This Row],[PROVEEDOR]],TERCEROS_INFO[#All],2,FALSE)</f>
        <v>30</v>
      </c>
      <c r="D937" s="37">
        <f>+SUMIFS(PROVEEDORES[Total],PROVEEDORES[PROVEEDOR],PROVEEDORES[[#This Row],[PROVEEDOR]],PROVEEDORES[FECHA DE PAGO],"")</f>
        <v>0</v>
      </c>
      <c r="E937" s="37"/>
      <c r="F937" s="108" t="str">
        <f>+VLOOKUP(PROVEEDORES[[#This Row],[PROVEEDOR]],TERCEROS_INFO[[PROVEEDOR]:[CORREO]],5,FALSE)</f>
        <v>contabilidad@comercialweb.com.co;info@servipilas.com</v>
      </c>
      <c r="G937" s="143">
        <v>44552</v>
      </c>
      <c r="H937" s="38" t="s">
        <v>643</v>
      </c>
      <c r="I937" s="30">
        <v>44393</v>
      </c>
      <c r="J937" s="58" t="s">
        <v>1006</v>
      </c>
      <c r="K937" s="32">
        <v>-21000</v>
      </c>
      <c r="L937" s="32"/>
      <c r="M937" s="33">
        <f>(PROVEEDORES[[#This Row],[SUBTOTAL]]-PROVEEDORES[[#This Row],[descuento antes de IVA]])*VLOOKUP(PROVEEDORES[[#This Row],[PROVEEDOR]],TERCEROS_INFO[#All],3,FALSE)</f>
        <v>0</v>
      </c>
      <c r="N937" s="34"/>
      <c r="O937" s="33">
        <f>+PROVEEDORES[[#This Row],[Descuento sobre subtotal %]]*(PROVEEDORES[[#This Row],[SUBTOTAL]]-PROVEEDORES[[#This Row],[descuento antes de IVA]])</f>
        <v>0</v>
      </c>
      <c r="P9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7" s="33">
        <f>+(PROVEEDORES[[#This Row],[SUBTOTAL]]-PROVEEDORES[[#This Row],[descuento antes de IVA]])*PROVEEDORES[[#This Row],[Rete Fuente %]]</f>
        <v>0</v>
      </c>
      <c r="R937" s="32">
        <f>+PROVEEDORES[[#This Row],[SUBTOTAL]]+PROVEEDORES[[#This Row],[IVA 19%]]-PROVEEDORES[[#This Row],[descuento antes de IVA]]-PROVEEDORES[[#This Row],[Descuento sobre subtotal $]]-PROVEEDORES[[#This Row],[Rete Fuente $]]</f>
        <v>-21000</v>
      </c>
      <c r="S937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7"/>
      <c r="U937" s="97"/>
      <c r="W937" s="40"/>
      <c r="X937" s="40"/>
      <c r="Y937" s="41"/>
      <c r="Z937" s="36"/>
      <c r="AA937" s="36"/>
      <c r="AD937" s="41"/>
      <c r="AE937" s="42"/>
      <c r="AF937" s="36"/>
      <c r="AG937" s="36"/>
    </row>
    <row r="938" spans="1:33" ht="21.95" hidden="1" customHeight="1" x14ac:dyDescent="0.25">
      <c r="A938" s="35" t="str">
        <f>+IF(PROVEEDORES[[#This Row],[FECHA DE PAGO]]=PROVEEDORES[[#This Row],[FECHA DE FACTURACIÓN]],"DE CONTADO","CRÉDITO")</f>
        <v>CRÉDITO</v>
      </c>
      <c r="B938" s="70" t="b">
        <f>+IF((PROVEEDORES[[#This Row],[FECHA DE PAGO]]-PROVEEDORES[[#This Row],[FECHA DE FACTURACIÓN]])&gt;PROVEEDORES[[#This Row],[PLAZO Días]],"PAGO VENCIDO")</f>
        <v>0</v>
      </c>
      <c r="C938" s="27">
        <f>+VLOOKUP(PROVEEDORES[[#This Row],[PROVEEDOR]],TERCEROS_INFO[#All],2,FALSE)</f>
        <v>30</v>
      </c>
      <c r="D938" s="37">
        <f>+SUMIFS(PROVEEDORES[Total],PROVEEDORES[PROVEEDOR],PROVEEDORES[[#This Row],[PROVEEDOR]],PROVEEDORES[FECHA DE PAGO],"")</f>
        <v>0</v>
      </c>
      <c r="E938" s="37"/>
      <c r="F938" s="108" t="str">
        <f>+VLOOKUP(PROVEEDORES[[#This Row],[PROVEEDOR]],TERCEROS_INFO[[PROVEEDOR]:[CORREO]],5,FALSE)</f>
        <v>contabilidad@comercialweb.com.co;info@servipilas.com</v>
      </c>
      <c r="G938" s="143">
        <v>44552</v>
      </c>
      <c r="H938" s="38" t="s">
        <v>643</v>
      </c>
      <c r="I938" s="30">
        <v>44536</v>
      </c>
      <c r="J938" s="58">
        <v>804</v>
      </c>
      <c r="K938" s="32">
        <v>600000</v>
      </c>
      <c r="L938" s="32"/>
      <c r="M938" s="33">
        <f>(PROVEEDORES[[#This Row],[SUBTOTAL]]-PROVEEDORES[[#This Row],[descuento antes de IVA]])*VLOOKUP(PROVEEDORES[[#This Row],[PROVEEDOR]],TERCEROS_INFO[#All],3,FALSE)</f>
        <v>0</v>
      </c>
      <c r="N938" s="34"/>
      <c r="O938" s="33">
        <f>+PROVEEDORES[[#This Row],[Descuento sobre subtotal %]]*(PROVEEDORES[[#This Row],[SUBTOTAL]]-PROVEEDORES[[#This Row],[descuento antes de IVA]])</f>
        <v>0</v>
      </c>
      <c r="P9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8" s="33">
        <f>+(PROVEEDORES[[#This Row],[SUBTOTAL]]-PROVEEDORES[[#This Row],[descuento antes de IVA]])*PROVEEDORES[[#This Row],[Rete Fuente %]]</f>
        <v>0</v>
      </c>
      <c r="R938" s="32">
        <f>+PROVEEDORES[[#This Row],[SUBTOTAL]]+PROVEEDORES[[#This Row],[IVA 19%]]-PROVEEDORES[[#This Row],[descuento antes de IVA]]-PROVEEDORES[[#This Row],[Descuento sobre subtotal $]]-PROVEEDORES[[#This Row],[Rete Fuente $]]</f>
        <v>600000</v>
      </c>
      <c r="S93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8"/>
      <c r="U938" s="97"/>
      <c r="W938" s="40"/>
      <c r="X938" s="40"/>
      <c r="Y938" s="41"/>
      <c r="Z938" s="36"/>
      <c r="AA938" s="36"/>
      <c r="AD938" s="41"/>
      <c r="AE938" s="42"/>
      <c r="AF938" s="36"/>
      <c r="AG938" s="36"/>
    </row>
    <row r="939" spans="1:33" ht="21.95" hidden="1" customHeight="1" x14ac:dyDescent="0.25">
      <c r="A939" s="107" t="str">
        <f>+IF(PROVEEDORES[[#This Row],[FECHA DE PAGO]]=PROVEEDORES[[#This Row],[FECHA DE FACTURACIÓN]],"DE CONTADO","CRÉDITO")</f>
        <v>CRÉDITO</v>
      </c>
      <c r="B939" s="70" t="b">
        <f>+IF((PROVEEDORES[[#This Row],[FECHA DE PAGO]]-PROVEEDORES[[#This Row],[FECHA DE FACTURACIÓN]])&gt;PROVEEDORES[[#This Row],[PLAZO Días]],"PAGO VENCIDO")</f>
        <v>0</v>
      </c>
      <c r="C939" s="27">
        <f>+VLOOKUP(PROVEEDORES[[#This Row],[PROVEEDOR]],TERCEROS_INFO[#All],2,FALSE)</f>
        <v>30</v>
      </c>
      <c r="D939" s="37">
        <f>+SUMIFS(PROVEEDORES[Total],PROVEEDORES[PROVEEDOR],PROVEEDORES[[#This Row],[PROVEEDOR]],PROVEEDORES[FECHA DE PAGO],"")</f>
        <v>4495474.9000000004</v>
      </c>
      <c r="E939" s="37"/>
      <c r="F939" s="108" t="str">
        <f>+VLOOKUP(PROVEEDORES[[#This Row],[PROVEEDOR]],TERCEROS_INFO[[PROVEEDOR]:[CORREO]],5,FALSE)</f>
        <v>carlan@mayorcainversiones.com;girlesa.ruiz@servipilas.com;joriescobar64@gmail.com</v>
      </c>
      <c r="G939" s="143">
        <v>44250</v>
      </c>
      <c r="H939" s="38" t="s">
        <v>648</v>
      </c>
      <c r="I939" s="30">
        <v>44228</v>
      </c>
      <c r="J939" s="58">
        <v>4792</v>
      </c>
      <c r="K939" s="32">
        <v>716544</v>
      </c>
      <c r="L939" s="32"/>
      <c r="M939" s="33">
        <f>(PROVEEDORES[[#This Row],[SUBTOTAL]]-PROVEEDORES[[#This Row],[descuento antes de IVA]])*VLOOKUP(PROVEEDORES[[#This Row],[PROVEEDOR]],TERCEROS_INFO[#All],3,FALSE)</f>
        <v>136143.36000000002</v>
      </c>
      <c r="N939" s="34"/>
      <c r="O939" s="33">
        <f>+PROVEEDORES[[#This Row],[Descuento sobre subtotal %]]*(PROVEEDORES[[#This Row],[SUBTOTAL]]-PROVEEDORES[[#This Row],[descuento antes de IVA]])</f>
        <v>0</v>
      </c>
      <c r="P9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39" s="33">
        <f>+(PROVEEDORES[[#This Row],[SUBTOTAL]]-PROVEEDORES[[#This Row],[descuento antes de IVA]])*PROVEEDORES[[#This Row],[Rete Fuente %]]</f>
        <v>0</v>
      </c>
      <c r="R939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39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9"/>
      <c r="U939" s="97"/>
      <c r="W939" s="40"/>
      <c r="X939" s="40"/>
      <c r="Y939" s="41"/>
      <c r="Z939" s="36"/>
      <c r="AA939" s="36"/>
      <c r="AD939" s="41"/>
      <c r="AE939" s="42"/>
      <c r="AF939" s="36"/>
      <c r="AG939" s="36"/>
    </row>
    <row r="940" spans="1:33" ht="21.95" hidden="1" customHeight="1" x14ac:dyDescent="0.25">
      <c r="A940" s="107" t="str">
        <f>+IF(PROVEEDORES[[#This Row],[FECHA DE PAGO]]=PROVEEDORES[[#This Row],[FECHA DE FACTURACIÓN]],"DE CONTADO","CRÉDITO")</f>
        <v>CRÉDITO</v>
      </c>
      <c r="B940" s="70" t="b">
        <f>+IF((PROVEEDORES[[#This Row],[FECHA DE PAGO]]-PROVEEDORES[[#This Row],[FECHA DE FACTURACIÓN]])&gt;PROVEEDORES[[#This Row],[PLAZO Días]],"PAGO VENCIDO")</f>
        <v>0</v>
      </c>
      <c r="C940" s="27">
        <f>+VLOOKUP(PROVEEDORES[[#This Row],[PROVEEDOR]],TERCEROS_INFO[#All],2,FALSE)</f>
        <v>30</v>
      </c>
      <c r="D940" s="37">
        <f>+SUMIFS(PROVEEDORES[Total],PROVEEDORES[PROVEEDOR],PROVEEDORES[[#This Row],[PROVEEDOR]],PROVEEDORES[FECHA DE PAGO],"")</f>
        <v>4495474.9000000004</v>
      </c>
      <c r="E940" s="37"/>
      <c r="F940" s="108" t="str">
        <f>+VLOOKUP(PROVEEDORES[[#This Row],[PROVEEDOR]],TERCEROS_INFO[[PROVEEDOR]:[CORREO]],5,FALSE)</f>
        <v>carlan@mayorcainversiones.com;girlesa.ruiz@servipilas.com;joriescobar64@gmail.com</v>
      </c>
      <c r="G940" s="143">
        <v>44250</v>
      </c>
      <c r="H940" s="38" t="s">
        <v>648</v>
      </c>
      <c r="I940" s="30">
        <v>44228</v>
      </c>
      <c r="J940" s="58">
        <v>5070</v>
      </c>
      <c r="K940" s="32">
        <v>3061166</v>
      </c>
      <c r="L940" s="32"/>
      <c r="M940" s="33">
        <f>(PROVEEDORES[[#This Row],[SUBTOTAL]]-PROVEEDORES[[#This Row],[descuento antes de IVA]])*VLOOKUP(PROVEEDORES[[#This Row],[PROVEEDOR]],TERCEROS_INFO[#All],3,FALSE)</f>
        <v>581621.54</v>
      </c>
      <c r="N940" s="34"/>
      <c r="O940" s="33">
        <f>+PROVEEDORES[[#This Row],[Descuento sobre subtotal %]]*(PROVEEDORES[[#This Row],[SUBTOTAL]]-PROVEEDORES[[#This Row],[descuento antes de IVA]])</f>
        <v>0</v>
      </c>
      <c r="P9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0" s="33">
        <f>+(PROVEEDORES[[#This Row],[SUBTOTAL]]-PROVEEDORES[[#This Row],[descuento antes de IVA]])*PROVEEDORES[[#This Row],[Rete Fuente %]]</f>
        <v>0</v>
      </c>
      <c r="R940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40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0"/>
      <c r="U940" s="97"/>
      <c r="W940" s="40"/>
      <c r="X940" s="40"/>
      <c r="Y940" s="41"/>
      <c r="Z940" s="36"/>
      <c r="AA940" s="36"/>
      <c r="AD940" s="41"/>
      <c r="AE940" s="42"/>
      <c r="AF940" s="36"/>
      <c r="AG940" s="36"/>
    </row>
    <row r="941" spans="1:33" ht="21.95" hidden="1" customHeight="1" x14ac:dyDescent="0.25">
      <c r="A941" s="107" t="str">
        <f>+IF(PROVEEDORES[[#This Row],[FECHA DE PAGO]]=PROVEEDORES[[#This Row],[FECHA DE FACTURACIÓN]],"DE CONTADO","CRÉDITO")</f>
        <v>CRÉDITO</v>
      </c>
      <c r="B941" s="70" t="b">
        <f>+IF((PROVEEDORES[[#This Row],[FECHA DE PAGO]]-PROVEEDORES[[#This Row],[FECHA DE FACTURACIÓN]])&gt;PROVEEDORES[[#This Row],[PLAZO Días]],"PAGO VENCIDO")</f>
        <v>0</v>
      </c>
      <c r="C941" s="27">
        <f>+VLOOKUP(PROVEEDORES[[#This Row],[PROVEEDOR]],TERCEROS_INFO[#All],2,FALSE)</f>
        <v>30</v>
      </c>
      <c r="D941" s="37">
        <f>+SUMIFS(PROVEEDORES[Total],PROVEEDORES[PROVEEDOR],PROVEEDORES[[#This Row],[PROVEEDOR]],PROVEEDORES[FECHA DE PAGO],"")</f>
        <v>4495474.9000000004</v>
      </c>
      <c r="E941" s="37"/>
      <c r="F941" s="108" t="str">
        <f>+VLOOKUP(PROVEEDORES[[#This Row],[PROVEEDOR]],TERCEROS_INFO[[PROVEEDOR]:[CORREO]],5,FALSE)</f>
        <v>carlan@mayorcainversiones.com;girlesa.ruiz@servipilas.com;joriescobar64@gmail.com</v>
      </c>
      <c r="G941" s="143">
        <v>44284</v>
      </c>
      <c r="H941" s="38" t="s">
        <v>648</v>
      </c>
      <c r="I941" s="30">
        <v>44256</v>
      </c>
      <c r="J941" s="58">
        <v>234</v>
      </c>
      <c r="K941" s="32">
        <v>716544</v>
      </c>
      <c r="L941" s="32"/>
      <c r="M941" s="33">
        <f>(PROVEEDORES[[#This Row],[SUBTOTAL]]-PROVEEDORES[[#This Row],[descuento antes de IVA]])*VLOOKUP(PROVEEDORES[[#This Row],[PROVEEDOR]],TERCEROS_INFO[#All],3,FALSE)</f>
        <v>136143.36000000002</v>
      </c>
      <c r="N941" s="34"/>
      <c r="O941" s="33">
        <f>+PROVEEDORES[[#This Row],[Descuento sobre subtotal %]]*(PROVEEDORES[[#This Row],[SUBTOTAL]]-PROVEEDORES[[#This Row],[descuento antes de IVA]])</f>
        <v>0</v>
      </c>
      <c r="P9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1" s="33">
        <f>+(PROVEEDORES[[#This Row],[SUBTOTAL]]-PROVEEDORES[[#This Row],[descuento antes de IVA]])*PROVEEDORES[[#This Row],[Rete Fuente %]]</f>
        <v>0</v>
      </c>
      <c r="R941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41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1"/>
      <c r="U941" s="97"/>
      <c r="W941" s="40"/>
      <c r="X941" s="40"/>
      <c r="Y941" s="41"/>
      <c r="Z941" s="36"/>
      <c r="AA941" s="36"/>
      <c r="AD941" s="41"/>
      <c r="AE941" s="42"/>
      <c r="AF941" s="36"/>
      <c r="AG941" s="36"/>
    </row>
    <row r="942" spans="1:33" ht="21.95" hidden="1" customHeight="1" x14ac:dyDescent="0.25">
      <c r="A942" s="107" t="str">
        <f>+IF(PROVEEDORES[[#This Row],[FECHA DE PAGO]]=PROVEEDORES[[#This Row],[FECHA DE FACTURACIÓN]],"DE CONTADO","CRÉDITO")</f>
        <v>CRÉDITO</v>
      </c>
      <c r="B942" s="70" t="b">
        <f>+IF((PROVEEDORES[[#This Row],[FECHA DE PAGO]]-PROVEEDORES[[#This Row],[FECHA DE FACTURACIÓN]])&gt;PROVEEDORES[[#This Row],[PLAZO Días]],"PAGO VENCIDO")</f>
        <v>0</v>
      </c>
      <c r="C942" s="27">
        <f>+VLOOKUP(PROVEEDORES[[#This Row],[PROVEEDOR]],TERCEROS_INFO[#All],2,FALSE)</f>
        <v>30</v>
      </c>
      <c r="D942" s="37">
        <f>+SUMIFS(PROVEEDORES[Total],PROVEEDORES[PROVEEDOR],PROVEEDORES[[#This Row],[PROVEEDOR]],PROVEEDORES[FECHA DE PAGO],"")</f>
        <v>4495474.9000000004</v>
      </c>
      <c r="E942" s="37"/>
      <c r="F942" s="108" t="str">
        <f>+VLOOKUP(PROVEEDORES[[#This Row],[PROVEEDOR]],TERCEROS_INFO[[PROVEEDOR]:[CORREO]],5,FALSE)</f>
        <v>carlan@mayorcainversiones.com;girlesa.ruiz@servipilas.com;joriescobar64@gmail.com</v>
      </c>
      <c r="G942" s="143">
        <v>44284</v>
      </c>
      <c r="H942" s="38" t="s">
        <v>648</v>
      </c>
      <c r="I942" s="30">
        <v>44256</v>
      </c>
      <c r="J942" s="58">
        <v>486</v>
      </c>
      <c r="K942" s="32">
        <v>3061166</v>
      </c>
      <c r="L942" s="32"/>
      <c r="M942" s="33">
        <f>(PROVEEDORES[[#This Row],[SUBTOTAL]]-PROVEEDORES[[#This Row],[descuento antes de IVA]])*VLOOKUP(PROVEEDORES[[#This Row],[PROVEEDOR]],TERCEROS_INFO[#All],3,FALSE)</f>
        <v>581621.54</v>
      </c>
      <c r="N942" s="34"/>
      <c r="O942" s="33">
        <f>+PROVEEDORES[[#This Row],[Descuento sobre subtotal %]]*(PROVEEDORES[[#This Row],[SUBTOTAL]]-PROVEEDORES[[#This Row],[descuento antes de IVA]])</f>
        <v>0</v>
      </c>
      <c r="P9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2" s="33">
        <f>+(PROVEEDORES[[#This Row],[SUBTOTAL]]-PROVEEDORES[[#This Row],[descuento antes de IVA]])*PROVEEDORES[[#This Row],[Rete Fuente %]]</f>
        <v>0</v>
      </c>
      <c r="R942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42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2"/>
      <c r="U942" s="97"/>
      <c r="W942" s="40"/>
      <c r="X942" s="40"/>
      <c r="Y942" s="41"/>
      <c r="Z942" s="36"/>
      <c r="AA942" s="36"/>
      <c r="AD942" s="41"/>
      <c r="AE942" s="42"/>
      <c r="AF942" s="36"/>
      <c r="AG942" s="36"/>
    </row>
    <row r="943" spans="1:33" ht="21.95" hidden="1" customHeight="1" x14ac:dyDescent="0.25">
      <c r="A943" s="107" t="str">
        <f>+IF(PROVEEDORES[[#This Row],[FECHA DE PAGO]]=PROVEEDORES[[#This Row],[FECHA DE FACTURACIÓN]],"DE CONTADO","CRÉDITO")</f>
        <v>CRÉDITO</v>
      </c>
      <c r="B943" s="70" t="str">
        <f>+IF((PROVEEDORES[[#This Row],[FECHA DE PAGO]]-PROVEEDORES[[#This Row],[FECHA DE FACTURACIÓN]])&gt;PROVEEDORES[[#This Row],[PLAZO Días]],"PAGO VENCIDO")</f>
        <v>PAGO VENCIDO</v>
      </c>
      <c r="C943" s="27">
        <f>+VLOOKUP(PROVEEDORES[[#This Row],[PROVEEDOR]],TERCEROS_INFO[#All],2,FALSE)</f>
        <v>30</v>
      </c>
      <c r="D943" s="37">
        <f>+SUMIFS(PROVEEDORES[Total],PROVEEDORES[PROVEEDOR],PROVEEDORES[[#This Row],[PROVEEDOR]],PROVEEDORES[FECHA DE PAGO],"")</f>
        <v>4495474.9000000004</v>
      </c>
      <c r="E943" s="112"/>
      <c r="F943" s="108" t="str">
        <f>+VLOOKUP(PROVEEDORES[[#This Row],[PROVEEDOR]],TERCEROS_INFO[[PROVEEDOR]:[CORREO]],5,FALSE)</f>
        <v>carlan@mayorcainversiones.com;girlesa.ruiz@servipilas.com;joriescobar64@gmail.com</v>
      </c>
      <c r="G943" s="143">
        <v>44341</v>
      </c>
      <c r="H943" s="38" t="s">
        <v>648</v>
      </c>
      <c r="I943" s="30">
        <v>44284</v>
      </c>
      <c r="J943" s="58" t="s">
        <v>511</v>
      </c>
      <c r="K943" s="32">
        <v>-136143.00000000003</v>
      </c>
      <c r="L943" s="32"/>
      <c r="M943" s="33">
        <f>(PROVEEDORES[[#This Row],[SUBTOTAL]]-PROVEEDORES[[#This Row],[descuento antes de IVA]])*VLOOKUP(PROVEEDORES[[#This Row],[PROVEEDOR]],TERCEROS_INFO[#All],3,FALSE)</f>
        <v>-25867.170000000006</v>
      </c>
      <c r="N943" s="34"/>
      <c r="O943" s="33">
        <f>+PROVEEDORES[[#This Row],[Descuento sobre subtotal %]]*(PROVEEDORES[[#This Row],[SUBTOTAL]]-PROVEEDORES[[#This Row],[descuento antes de IVA]])</f>
        <v>0</v>
      </c>
      <c r="P9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3" s="33">
        <f>+(PROVEEDORES[[#This Row],[SUBTOTAL]]-PROVEEDORES[[#This Row],[descuento antes de IVA]])*PROVEEDORES[[#This Row],[Rete Fuente %]]</f>
        <v>0</v>
      </c>
      <c r="R943" s="32">
        <f>+PROVEEDORES[[#This Row],[SUBTOTAL]]+PROVEEDORES[[#This Row],[IVA 19%]]-PROVEEDORES[[#This Row],[descuento antes de IVA]]-PROVEEDORES[[#This Row],[Descuento sobre subtotal $]]-PROVEEDORES[[#This Row],[Rete Fuente $]]</f>
        <v>-162010.17000000004</v>
      </c>
      <c r="S943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3"/>
      <c r="U943" s="97"/>
      <c r="W943" s="40"/>
      <c r="X943" s="40"/>
      <c r="Y943" s="41"/>
      <c r="Z943" s="36"/>
      <c r="AA943" s="36"/>
      <c r="AD943" s="41"/>
      <c r="AE943" s="42"/>
      <c r="AF943" s="36"/>
      <c r="AG943" s="36"/>
    </row>
    <row r="944" spans="1:33" ht="21.95" hidden="1" customHeight="1" x14ac:dyDescent="0.25">
      <c r="A944" s="107" t="str">
        <f>+IF(PROVEEDORES[[#This Row],[FECHA DE PAGO]]=PROVEEDORES[[#This Row],[FECHA DE FACTURACIÓN]],"DE CONTADO","CRÉDITO")</f>
        <v>CRÉDITO</v>
      </c>
      <c r="B944" s="70" t="b">
        <f>+IF((PROVEEDORES[[#This Row],[FECHA DE PAGO]]-PROVEEDORES[[#This Row],[FECHA DE FACTURACIÓN]])&gt;PROVEEDORES[[#This Row],[PLAZO Días]],"PAGO VENCIDO")</f>
        <v>0</v>
      </c>
      <c r="C944" s="27">
        <f>+VLOOKUP(PROVEEDORES[[#This Row],[PROVEEDOR]],TERCEROS_INFO[#All],2,FALSE)</f>
        <v>30</v>
      </c>
      <c r="D944" s="37">
        <f>+SUMIFS(PROVEEDORES[Total],PROVEEDORES[PROVEEDOR],PROVEEDORES[[#This Row],[PROVEEDOR]],PROVEEDORES[FECHA DE PAGO],"")</f>
        <v>4495474.9000000004</v>
      </c>
      <c r="E944" s="37"/>
      <c r="F944" s="108" t="str">
        <f>+VLOOKUP(PROVEEDORES[[#This Row],[PROVEEDOR]],TERCEROS_INFO[[PROVEEDOR]:[CORREO]],5,FALSE)</f>
        <v>carlan@mayorcainversiones.com;girlesa.ruiz@servipilas.com;joriescobar64@gmail.com</v>
      </c>
      <c r="G944" s="143">
        <v>44314</v>
      </c>
      <c r="H944" s="38" t="s">
        <v>648</v>
      </c>
      <c r="I944" s="30">
        <v>44287</v>
      </c>
      <c r="J944" s="58" t="s">
        <v>627</v>
      </c>
      <c r="K944" s="32">
        <v>716544</v>
      </c>
      <c r="L944" s="32"/>
      <c r="M944" s="33">
        <f>(PROVEEDORES[[#This Row],[SUBTOTAL]]-PROVEEDORES[[#This Row],[descuento antes de IVA]])*VLOOKUP(PROVEEDORES[[#This Row],[PROVEEDOR]],TERCEROS_INFO[#All],3,FALSE)</f>
        <v>136143.36000000002</v>
      </c>
      <c r="N944" s="34"/>
      <c r="O944" s="33">
        <f>+PROVEEDORES[[#This Row],[Descuento sobre subtotal %]]*(PROVEEDORES[[#This Row],[SUBTOTAL]]-PROVEEDORES[[#This Row],[descuento antes de IVA]])</f>
        <v>0</v>
      </c>
      <c r="P9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4" s="33">
        <f>+(PROVEEDORES[[#This Row],[SUBTOTAL]]-PROVEEDORES[[#This Row],[descuento antes de IVA]])*PROVEEDORES[[#This Row],[Rete Fuente %]]</f>
        <v>0</v>
      </c>
      <c r="R944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44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4"/>
      <c r="U944" s="97"/>
      <c r="W944" s="40"/>
      <c r="X944" s="40"/>
      <c r="Y944" s="41"/>
      <c r="Z944" s="36"/>
      <c r="AA944" s="36"/>
      <c r="AD944" s="41"/>
      <c r="AE944" s="42"/>
      <c r="AF944" s="36"/>
      <c r="AG944" s="36"/>
    </row>
    <row r="945" spans="1:33" ht="21.95" hidden="1" customHeight="1" x14ac:dyDescent="0.25">
      <c r="A945" s="107" t="str">
        <f>+IF(PROVEEDORES[[#This Row],[FECHA DE PAGO]]=PROVEEDORES[[#This Row],[FECHA DE FACTURACIÓN]],"DE CONTADO","CRÉDITO")</f>
        <v>CRÉDITO</v>
      </c>
      <c r="B945" s="70" t="str">
        <f>+IF((PROVEEDORES[[#This Row],[FECHA DE PAGO]]-PROVEEDORES[[#This Row],[FECHA DE FACTURACIÓN]])&gt;PROVEEDORES[[#This Row],[PLAZO Días]],"PAGO VENCIDO")</f>
        <v>PAGO VENCIDO</v>
      </c>
      <c r="C945" s="27">
        <f>+VLOOKUP(PROVEEDORES[[#This Row],[PROVEEDOR]],TERCEROS_INFO[#All],2,FALSE)</f>
        <v>30</v>
      </c>
      <c r="D945" s="37">
        <f>+SUMIFS(PROVEEDORES[Total],PROVEEDORES[PROVEEDOR],PROVEEDORES[[#This Row],[PROVEEDOR]],PROVEEDORES[FECHA DE PAGO],"")</f>
        <v>4495474.9000000004</v>
      </c>
      <c r="E945" s="37"/>
      <c r="F945" s="108" t="str">
        <f>+VLOOKUP(PROVEEDORES[[#This Row],[PROVEEDOR]],TERCEROS_INFO[[PROVEEDOR]:[CORREO]],5,FALSE)</f>
        <v>carlan@mayorcainversiones.com;girlesa.ruiz@servipilas.com;joriescobar64@gmail.com</v>
      </c>
      <c r="G945" s="143">
        <v>44341</v>
      </c>
      <c r="H945" s="38" t="s">
        <v>648</v>
      </c>
      <c r="I945" s="30">
        <v>44287</v>
      </c>
      <c r="J945" s="58" t="s">
        <v>622</v>
      </c>
      <c r="K945" s="32">
        <v>3061166</v>
      </c>
      <c r="L945" s="32"/>
      <c r="M945" s="33">
        <f>(PROVEEDORES[[#This Row],[SUBTOTAL]]-PROVEEDORES[[#This Row],[descuento antes de IVA]])*VLOOKUP(PROVEEDORES[[#This Row],[PROVEEDOR]],TERCEROS_INFO[#All],3,FALSE)</f>
        <v>581621.54</v>
      </c>
      <c r="N945" s="34"/>
      <c r="O945" s="33">
        <f>+PROVEEDORES[[#This Row],[Descuento sobre subtotal %]]*(PROVEEDORES[[#This Row],[SUBTOTAL]]-PROVEEDORES[[#This Row],[descuento antes de IVA]])</f>
        <v>0</v>
      </c>
      <c r="P9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5" s="33">
        <f>+(PROVEEDORES[[#This Row],[SUBTOTAL]]-PROVEEDORES[[#This Row],[descuento antes de IVA]])*PROVEEDORES[[#This Row],[Rete Fuente %]]</f>
        <v>0</v>
      </c>
      <c r="R945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45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5"/>
      <c r="U945" s="97"/>
      <c r="W945" s="40"/>
      <c r="X945" s="40"/>
      <c r="Y945" s="41"/>
      <c r="Z945" s="36"/>
      <c r="AA945" s="36"/>
      <c r="AD945" s="41"/>
      <c r="AE945" s="42"/>
      <c r="AF945" s="36"/>
      <c r="AG945" s="36"/>
    </row>
    <row r="946" spans="1:33" ht="21.95" hidden="1" customHeight="1" x14ac:dyDescent="0.25">
      <c r="A946" s="107" t="str">
        <f>+IF(PROVEEDORES[[#This Row],[FECHA DE PAGO]]=PROVEEDORES[[#This Row],[FECHA DE FACTURACIÓN]],"DE CONTADO","CRÉDITO")</f>
        <v>CRÉDITO</v>
      </c>
      <c r="B946" s="70" t="str">
        <f>+IF((PROVEEDORES[[#This Row],[FECHA DE PAGO]]-PROVEEDORES[[#This Row],[FECHA DE FACTURACIÓN]])&gt;PROVEEDORES[[#This Row],[PLAZO Días]],"PAGO VENCIDO")</f>
        <v>PAGO VENCIDO</v>
      </c>
      <c r="C946" s="27">
        <f>+VLOOKUP(PROVEEDORES[[#This Row],[PROVEEDOR]],TERCEROS_INFO[#All],2,FALSE)</f>
        <v>30</v>
      </c>
      <c r="D946" s="37">
        <f>+SUMIFS(PROVEEDORES[Total],PROVEEDORES[PROVEEDOR],PROVEEDORES[[#This Row],[PROVEEDOR]],PROVEEDORES[FECHA DE PAGO],"")</f>
        <v>4495474.9000000004</v>
      </c>
      <c r="E946" s="37"/>
      <c r="F946" s="108" t="str">
        <f>+VLOOKUP(PROVEEDORES[[#This Row],[PROVEEDOR]],TERCEROS_INFO[[PROVEEDOR]:[CORREO]],5,FALSE)</f>
        <v>carlan@mayorcainversiones.com;girlesa.ruiz@servipilas.com;joriescobar64@gmail.com</v>
      </c>
      <c r="G946" s="143">
        <v>44341</v>
      </c>
      <c r="H946" s="38" t="s">
        <v>648</v>
      </c>
      <c r="I946" s="30">
        <v>44287</v>
      </c>
      <c r="J946" s="58" t="s">
        <v>623</v>
      </c>
      <c r="K946" s="32">
        <v>-918350</v>
      </c>
      <c r="L946" s="32"/>
      <c r="M946" s="33">
        <f>(PROVEEDORES[[#This Row],[SUBTOTAL]]-PROVEEDORES[[#This Row],[descuento antes de IVA]])*VLOOKUP(PROVEEDORES[[#This Row],[PROVEEDOR]],TERCEROS_INFO[#All],3,FALSE)</f>
        <v>-174486.5</v>
      </c>
      <c r="N946" s="34"/>
      <c r="O946" s="33">
        <f>+PROVEEDORES[[#This Row],[Descuento sobre subtotal %]]*(PROVEEDORES[[#This Row],[SUBTOTAL]]-PROVEEDORES[[#This Row],[descuento antes de IVA]])</f>
        <v>0</v>
      </c>
      <c r="P9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6" s="33">
        <f>+(PROVEEDORES[[#This Row],[SUBTOTAL]]-PROVEEDORES[[#This Row],[descuento antes de IVA]])*PROVEEDORES[[#This Row],[Rete Fuente %]]</f>
        <v>0</v>
      </c>
      <c r="R946" s="32">
        <f>+PROVEEDORES[[#This Row],[SUBTOTAL]]+PROVEEDORES[[#This Row],[IVA 19%]]-PROVEEDORES[[#This Row],[descuento antes de IVA]]-PROVEEDORES[[#This Row],[Descuento sobre subtotal $]]-PROVEEDORES[[#This Row],[Rete Fuente $]]</f>
        <v>-1092836.5</v>
      </c>
      <c r="S946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6"/>
      <c r="U946" s="97"/>
      <c r="W946" s="40"/>
      <c r="X946" s="40"/>
      <c r="Y946" s="41"/>
      <c r="Z946" s="36"/>
      <c r="AA946" s="36"/>
      <c r="AD946" s="41"/>
      <c r="AE946" s="42"/>
      <c r="AF946" s="36"/>
      <c r="AG946" s="36"/>
    </row>
    <row r="947" spans="1:33" ht="21.95" hidden="1" customHeight="1" x14ac:dyDescent="0.25">
      <c r="A947" s="107" t="str">
        <f>+IF(PROVEEDORES[[#This Row],[FECHA DE PAGO]]=PROVEEDORES[[#This Row],[FECHA DE FACTURACIÓN]],"DE CONTADO","CRÉDITO")</f>
        <v>CRÉDITO</v>
      </c>
      <c r="B947" s="70" t="b">
        <f>+IF((PROVEEDORES[[#This Row],[FECHA DE PAGO]]-PROVEEDORES[[#This Row],[FECHA DE FACTURACIÓN]])&gt;PROVEEDORES[[#This Row],[PLAZO Días]],"PAGO VENCIDO")</f>
        <v>0</v>
      </c>
      <c r="C947" s="27">
        <f>+VLOOKUP(PROVEEDORES[[#This Row],[PROVEEDOR]],TERCEROS_INFO[#All],2,FALSE)</f>
        <v>30</v>
      </c>
      <c r="D947" s="37">
        <f>+SUMIFS(PROVEEDORES[Total],PROVEEDORES[PROVEEDOR],PROVEEDORES[[#This Row],[PROVEEDOR]],PROVEEDORES[FECHA DE PAGO],"")</f>
        <v>4495474.9000000004</v>
      </c>
      <c r="E947" s="37"/>
      <c r="F947" s="108" t="str">
        <f>+VLOOKUP(PROVEEDORES[[#This Row],[PROVEEDOR]],TERCEROS_INFO[[PROVEEDOR]:[CORREO]],5,FALSE)</f>
        <v>carlan@mayorcainversiones.com;girlesa.ruiz@servipilas.com;joriescobar64@gmail.com</v>
      </c>
      <c r="G947" s="143">
        <v>44341</v>
      </c>
      <c r="H947" s="38" t="s">
        <v>648</v>
      </c>
      <c r="I947" s="30">
        <v>44317</v>
      </c>
      <c r="J947" s="58" t="s">
        <v>620</v>
      </c>
      <c r="K947" s="32">
        <v>716544</v>
      </c>
      <c r="L947" s="32"/>
      <c r="M947" s="33">
        <f>(PROVEEDORES[[#This Row],[SUBTOTAL]]-PROVEEDORES[[#This Row],[descuento antes de IVA]])*VLOOKUP(PROVEEDORES[[#This Row],[PROVEEDOR]],TERCEROS_INFO[#All],3,FALSE)</f>
        <v>136143.36000000002</v>
      </c>
      <c r="N947" s="34"/>
      <c r="O947" s="33">
        <f>+PROVEEDORES[[#This Row],[Descuento sobre subtotal %]]*(PROVEEDORES[[#This Row],[SUBTOTAL]]-PROVEEDORES[[#This Row],[descuento antes de IVA]])</f>
        <v>0</v>
      </c>
      <c r="P9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7" s="33">
        <f>+(PROVEEDORES[[#This Row],[SUBTOTAL]]-PROVEEDORES[[#This Row],[descuento antes de IVA]])*PROVEEDORES[[#This Row],[Rete Fuente %]]</f>
        <v>0</v>
      </c>
      <c r="R947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47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7"/>
      <c r="U947" s="97"/>
      <c r="W947" s="40"/>
      <c r="X947" s="40"/>
      <c r="Y947" s="41"/>
      <c r="Z947" s="36"/>
      <c r="AA947" s="36"/>
      <c r="AD947" s="41"/>
      <c r="AE947" s="42"/>
      <c r="AF947" s="36"/>
      <c r="AG947" s="36"/>
    </row>
    <row r="948" spans="1:33" ht="21.95" hidden="1" customHeight="1" x14ac:dyDescent="0.25">
      <c r="A948" s="107" t="str">
        <f>+IF(PROVEEDORES[[#This Row],[FECHA DE PAGO]]=PROVEEDORES[[#This Row],[FECHA DE FACTURACIÓN]],"DE CONTADO","CRÉDITO")</f>
        <v>CRÉDITO</v>
      </c>
      <c r="B948" s="70" t="str">
        <f>+IF((PROVEEDORES[[#This Row],[FECHA DE PAGO]]-PROVEEDORES[[#This Row],[FECHA DE FACTURACIÓN]])&gt;PROVEEDORES[[#This Row],[PLAZO Días]],"PAGO VENCIDO")</f>
        <v>PAGO VENCIDO</v>
      </c>
      <c r="C948" s="27">
        <f>+VLOOKUP(PROVEEDORES[[#This Row],[PROVEEDOR]],TERCEROS_INFO[#All],2,FALSE)</f>
        <v>30</v>
      </c>
      <c r="D948" s="37">
        <f>+SUMIFS(PROVEEDORES[Total],PROVEEDORES[PROVEEDOR],PROVEEDORES[[#This Row],[PROVEEDOR]],PROVEEDORES[FECHA DE PAGO],"")</f>
        <v>4495474.9000000004</v>
      </c>
      <c r="E948" s="37"/>
      <c r="F948" s="108" t="str">
        <f>+VLOOKUP(PROVEEDORES[[#This Row],[PROVEEDOR]],TERCEROS_INFO[[PROVEEDOR]:[CORREO]],5,FALSE)</f>
        <v>carlan@mayorcainversiones.com;girlesa.ruiz@servipilas.com;joriescobar64@gmail.com</v>
      </c>
      <c r="G948" s="143">
        <v>44461</v>
      </c>
      <c r="H948" s="38" t="s">
        <v>648</v>
      </c>
      <c r="I948" s="30">
        <v>44317</v>
      </c>
      <c r="J948" s="58" t="s">
        <v>621</v>
      </c>
      <c r="K948" s="32">
        <v>3061166</v>
      </c>
      <c r="L948" s="32"/>
      <c r="M948" s="33">
        <f>(PROVEEDORES[[#This Row],[SUBTOTAL]]-PROVEEDORES[[#This Row],[descuento antes de IVA]])*VLOOKUP(PROVEEDORES[[#This Row],[PROVEEDOR]],TERCEROS_INFO[#All],3,FALSE)</f>
        <v>581621.54</v>
      </c>
      <c r="N948" s="34"/>
      <c r="O948" s="33">
        <f>+PROVEEDORES[[#This Row],[Descuento sobre subtotal %]]*(PROVEEDORES[[#This Row],[SUBTOTAL]]-PROVEEDORES[[#This Row],[descuento antes de IVA]])</f>
        <v>0</v>
      </c>
      <c r="P9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8" s="33">
        <f>+(PROVEEDORES[[#This Row],[SUBTOTAL]]-PROVEEDORES[[#This Row],[descuento antes de IVA]])*PROVEEDORES[[#This Row],[Rete Fuente %]]</f>
        <v>0</v>
      </c>
      <c r="R948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48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8"/>
      <c r="U948" s="97"/>
      <c r="W948" s="40"/>
      <c r="X948" s="40"/>
      <c r="Y948" s="41"/>
      <c r="Z948" s="36"/>
      <c r="AA948" s="36"/>
      <c r="AD948" s="41"/>
      <c r="AE948" s="42"/>
      <c r="AF948" s="36"/>
      <c r="AG948" s="36"/>
    </row>
    <row r="949" spans="1:33" ht="21.95" hidden="1" customHeight="1" x14ac:dyDescent="0.25">
      <c r="A949" s="118" t="str">
        <f>+IF(PROVEEDORES[[#This Row],[FECHA DE PAGO]]=PROVEEDORES[[#This Row],[FECHA DE FACTURACIÓN]],"DE CONTADO","CRÉDITO")</f>
        <v>CRÉDITO</v>
      </c>
      <c r="B949" s="70" t="str">
        <f>+IF((PROVEEDORES[[#This Row],[FECHA DE PAGO]]-PROVEEDORES[[#This Row],[FECHA DE FACTURACIÓN]])&gt;PROVEEDORES[[#This Row],[PLAZO Días]],"PAGO VENCIDO")</f>
        <v>PAGO VENCIDO</v>
      </c>
      <c r="C949" s="27">
        <f>+VLOOKUP(PROVEEDORES[[#This Row],[PROVEEDOR]],TERCEROS_INFO[#All],2,FALSE)</f>
        <v>30</v>
      </c>
      <c r="D949" s="37">
        <f>+SUMIFS(PROVEEDORES[Total],PROVEEDORES[PROVEEDOR],PROVEEDORES[[#This Row],[PROVEEDOR]],PROVEEDORES[FECHA DE PAGO],"")</f>
        <v>4495474.9000000004</v>
      </c>
      <c r="E949" s="37"/>
      <c r="F949" s="108" t="str">
        <f>+VLOOKUP(PROVEEDORES[[#This Row],[PROVEEDOR]],TERCEROS_INFO[[PROVEEDOR]:[CORREO]],5,FALSE)</f>
        <v>carlan@mayorcainversiones.com;girlesa.ruiz@servipilas.com;joriescobar64@gmail.com</v>
      </c>
      <c r="G949" s="143">
        <v>44369</v>
      </c>
      <c r="H949" s="38" t="s">
        <v>648</v>
      </c>
      <c r="I949" s="30">
        <v>44317</v>
      </c>
      <c r="J949" s="58" t="s">
        <v>920</v>
      </c>
      <c r="K949" s="32">
        <v>-612233</v>
      </c>
      <c r="L949" s="32"/>
      <c r="M949" s="33">
        <f>(PROVEEDORES[[#This Row],[SUBTOTAL]]-PROVEEDORES[[#This Row],[descuento antes de IVA]])*VLOOKUP(PROVEEDORES[[#This Row],[PROVEEDOR]],TERCEROS_INFO[#All],3,FALSE)</f>
        <v>-116324.27</v>
      </c>
      <c r="N949" s="34"/>
      <c r="O949" s="33">
        <f>+PROVEEDORES[[#This Row],[Descuento sobre subtotal %]]*(PROVEEDORES[[#This Row],[SUBTOTAL]]-PROVEEDORES[[#This Row],[descuento antes de IVA]])</f>
        <v>0</v>
      </c>
      <c r="P9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49" s="33">
        <f>+(PROVEEDORES[[#This Row],[SUBTOTAL]]-PROVEEDORES[[#This Row],[descuento antes de IVA]])*PROVEEDORES[[#This Row],[Rete Fuente %]]</f>
        <v>0</v>
      </c>
      <c r="R949" s="32">
        <f>+PROVEEDORES[[#This Row],[SUBTOTAL]]+PROVEEDORES[[#This Row],[IVA 19%]]-PROVEEDORES[[#This Row],[descuento antes de IVA]]-PROVEEDORES[[#This Row],[Descuento sobre subtotal $]]-PROVEEDORES[[#This Row],[Rete Fuente $]]</f>
        <v>-728557.27</v>
      </c>
      <c r="S949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9"/>
      <c r="U949" s="97"/>
      <c r="W949" s="40"/>
      <c r="X949" s="40"/>
      <c r="Y949" s="41"/>
      <c r="Z949" s="36"/>
      <c r="AA949" s="36"/>
      <c r="AD949" s="41"/>
      <c r="AE949" s="42"/>
      <c r="AF949" s="36"/>
      <c r="AG949" s="36"/>
    </row>
    <row r="950" spans="1:33" ht="21.95" hidden="1" customHeight="1" x14ac:dyDescent="0.25">
      <c r="A950" s="35" t="str">
        <f>+IF(PROVEEDORES[[#This Row],[FECHA DE PAGO]]=PROVEEDORES[[#This Row],[FECHA DE FACTURACIÓN]],"DE CONTADO","CRÉDITO")</f>
        <v>CRÉDITO</v>
      </c>
      <c r="B950" s="70" t="b">
        <f>+IF((PROVEEDORES[[#This Row],[FECHA DE PAGO]]-PROVEEDORES[[#This Row],[FECHA DE FACTURACIÓN]])&gt;PROVEEDORES[[#This Row],[PLAZO Días]],"PAGO VENCIDO")</f>
        <v>0</v>
      </c>
      <c r="C950" s="27">
        <f>+VLOOKUP(PROVEEDORES[[#This Row],[PROVEEDOR]],TERCEROS_INFO[#All],2,FALSE)</f>
        <v>30</v>
      </c>
      <c r="D950" s="37">
        <f>+SUMIFS(PROVEEDORES[Total],PROVEEDORES[PROVEEDOR],PROVEEDORES[[#This Row],[PROVEEDOR]],PROVEEDORES[FECHA DE PAGO],"")</f>
        <v>4495474.9000000004</v>
      </c>
      <c r="E950" s="37"/>
      <c r="F950" s="108" t="str">
        <f>+VLOOKUP(PROVEEDORES[[#This Row],[PROVEEDOR]],TERCEROS_INFO[[PROVEEDOR]:[CORREO]],5,FALSE)</f>
        <v>carlan@mayorcainversiones.com;girlesa.ruiz@servipilas.com;joriescobar64@gmail.com</v>
      </c>
      <c r="G950" s="143">
        <v>44369</v>
      </c>
      <c r="H950" s="38" t="s">
        <v>648</v>
      </c>
      <c r="I950" s="30">
        <v>44348</v>
      </c>
      <c r="J950" s="58" t="s">
        <v>921</v>
      </c>
      <c r="K950" s="32">
        <v>716544</v>
      </c>
      <c r="L950" s="32"/>
      <c r="M950" s="33">
        <f>(PROVEEDORES[[#This Row],[SUBTOTAL]]-PROVEEDORES[[#This Row],[descuento antes de IVA]])*VLOOKUP(PROVEEDORES[[#This Row],[PROVEEDOR]],TERCEROS_INFO[#All],3,FALSE)</f>
        <v>136143.36000000002</v>
      </c>
      <c r="N950" s="34"/>
      <c r="O950" s="33">
        <f>+PROVEEDORES[[#This Row],[Descuento sobre subtotal %]]*(PROVEEDORES[[#This Row],[SUBTOTAL]]-PROVEEDORES[[#This Row],[descuento antes de IVA]])</f>
        <v>0</v>
      </c>
      <c r="P9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0" s="33">
        <f>+(PROVEEDORES[[#This Row],[SUBTOTAL]]-PROVEEDORES[[#This Row],[descuento antes de IVA]])*PROVEEDORES[[#This Row],[Rete Fuente %]]</f>
        <v>0</v>
      </c>
      <c r="R950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5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0"/>
      <c r="U950" s="97"/>
      <c r="W950" s="40"/>
      <c r="X950" s="40"/>
      <c r="Y950" s="41"/>
      <c r="Z950" s="36"/>
      <c r="AA950" s="36"/>
      <c r="AD950" s="41"/>
      <c r="AE950" s="42"/>
      <c r="AF950" s="36"/>
      <c r="AG950" s="36"/>
    </row>
    <row r="951" spans="1:33" ht="21.95" hidden="1" customHeight="1" x14ac:dyDescent="0.25">
      <c r="A951" s="35" t="str">
        <f>+IF(PROVEEDORES[[#This Row],[FECHA DE PAGO]]=PROVEEDORES[[#This Row],[FECHA DE FACTURACIÓN]],"DE CONTADO","CRÉDITO")</f>
        <v>CRÉDITO</v>
      </c>
      <c r="B951" s="70" t="b">
        <f>+IF((PROVEEDORES[[#This Row],[FECHA DE PAGO]]-PROVEEDORES[[#This Row],[FECHA DE FACTURACIÓN]])&gt;PROVEEDORES[[#This Row],[PLAZO Días]],"PAGO VENCIDO")</f>
        <v>0</v>
      </c>
      <c r="C951" s="27">
        <f>+VLOOKUP(PROVEEDORES[[#This Row],[PROVEEDOR]],TERCEROS_INFO[#All],2,FALSE)</f>
        <v>30</v>
      </c>
      <c r="D951" s="37">
        <f>+SUMIFS(PROVEEDORES[Total],PROVEEDORES[PROVEEDOR],PROVEEDORES[[#This Row],[PROVEEDOR]],PROVEEDORES[FECHA DE PAGO],"")</f>
        <v>4495474.9000000004</v>
      </c>
      <c r="E951" s="37"/>
      <c r="F951" s="108" t="str">
        <f>+VLOOKUP(PROVEEDORES[[#This Row],[PROVEEDOR]],TERCEROS_INFO[[PROVEEDOR]:[CORREO]],5,FALSE)</f>
        <v>carlan@mayorcainversiones.com;girlesa.ruiz@servipilas.com;joriescobar64@gmail.com</v>
      </c>
      <c r="G951" s="143">
        <v>44369</v>
      </c>
      <c r="H951" s="38" t="s">
        <v>648</v>
      </c>
      <c r="I951" s="30">
        <v>44348</v>
      </c>
      <c r="J951" s="58" t="s">
        <v>922</v>
      </c>
      <c r="K951" s="32">
        <v>3061166</v>
      </c>
      <c r="L951" s="32"/>
      <c r="M951" s="33">
        <f>(PROVEEDORES[[#This Row],[SUBTOTAL]]-PROVEEDORES[[#This Row],[descuento antes de IVA]])*VLOOKUP(PROVEEDORES[[#This Row],[PROVEEDOR]],TERCEROS_INFO[#All],3,FALSE)</f>
        <v>581621.54</v>
      </c>
      <c r="N951" s="34"/>
      <c r="O951" s="33">
        <f>+PROVEEDORES[[#This Row],[Descuento sobre subtotal %]]*(PROVEEDORES[[#This Row],[SUBTOTAL]]-PROVEEDORES[[#This Row],[descuento antes de IVA]])</f>
        <v>0</v>
      </c>
      <c r="P9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1" s="33">
        <f>+(PROVEEDORES[[#This Row],[SUBTOTAL]]-PROVEEDORES[[#This Row],[descuento antes de IVA]])*PROVEEDORES[[#This Row],[Rete Fuente %]]</f>
        <v>0</v>
      </c>
      <c r="R951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5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1"/>
      <c r="U951" s="97"/>
      <c r="W951" s="40"/>
      <c r="X951" s="40"/>
      <c r="Y951" s="41"/>
      <c r="Z951" s="36"/>
      <c r="AA951" s="36"/>
      <c r="AD951" s="41"/>
      <c r="AE951" s="42"/>
      <c r="AF951" s="36"/>
      <c r="AG951" s="36"/>
    </row>
    <row r="952" spans="1:33" ht="21.95" hidden="1" customHeight="1" x14ac:dyDescent="0.25">
      <c r="A952" s="129" t="str">
        <f>+IF(PROVEEDORES[[#This Row],[FECHA DE PAGO]]=PROVEEDORES[[#This Row],[FECHA DE FACTURACIÓN]],"DE CONTADO","CRÉDITO")</f>
        <v>CRÉDITO</v>
      </c>
      <c r="B952" s="70" t="b">
        <f>+IF((PROVEEDORES[[#This Row],[FECHA DE PAGO]]-PROVEEDORES[[#This Row],[FECHA DE FACTURACIÓN]])&gt;PROVEEDORES[[#This Row],[PLAZO Días]],"PAGO VENCIDO")</f>
        <v>0</v>
      </c>
      <c r="C952" s="27">
        <f>+VLOOKUP(PROVEEDORES[[#This Row],[PROVEEDOR]],TERCEROS_INFO[#All],2,FALSE)</f>
        <v>30</v>
      </c>
      <c r="D952" s="37">
        <f>+SUMIFS(PROVEEDORES[Total],PROVEEDORES[PROVEEDOR],PROVEEDORES[[#This Row],[PROVEEDOR]],PROVEEDORES[FECHA DE PAGO],"")</f>
        <v>4495474.9000000004</v>
      </c>
      <c r="E952" s="37"/>
      <c r="F952" s="108" t="str">
        <f>+VLOOKUP(PROVEEDORES[[#This Row],[PROVEEDOR]],TERCEROS_INFO[[PROVEEDOR]:[CORREO]],5,FALSE)</f>
        <v>carlan@mayorcainversiones.com;girlesa.ruiz@servipilas.com;joriescobar64@gmail.com</v>
      </c>
      <c r="G952" s="143">
        <v>44396</v>
      </c>
      <c r="H952" s="38" t="s">
        <v>648</v>
      </c>
      <c r="I952" s="30">
        <v>44378</v>
      </c>
      <c r="J952" s="58" t="s">
        <v>923</v>
      </c>
      <c r="K952" s="32">
        <v>716544</v>
      </c>
      <c r="L952" s="32"/>
      <c r="M952" s="33">
        <f>(PROVEEDORES[[#This Row],[SUBTOTAL]]-PROVEEDORES[[#This Row],[descuento antes de IVA]])*VLOOKUP(PROVEEDORES[[#This Row],[PROVEEDOR]],TERCEROS_INFO[#All],3,FALSE)</f>
        <v>136143.36000000002</v>
      </c>
      <c r="N952" s="34"/>
      <c r="O952" s="33">
        <f>+PROVEEDORES[[#This Row],[Descuento sobre subtotal %]]*(PROVEEDORES[[#This Row],[SUBTOTAL]]-PROVEEDORES[[#This Row],[descuento antes de IVA]])</f>
        <v>0</v>
      </c>
      <c r="P9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2" s="33">
        <f>+(PROVEEDORES[[#This Row],[SUBTOTAL]]-PROVEEDORES[[#This Row],[descuento antes de IVA]])*PROVEEDORES[[#This Row],[Rete Fuente %]]</f>
        <v>0</v>
      </c>
      <c r="R952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52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2"/>
      <c r="U952" s="97"/>
      <c r="W952" s="40"/>
      <c r="X952" s="40"/>
      <c r="Y952" s="41"/>
      <c r="Z952" s="36"/>
      <c r="AA952" s="36"/>
      <c r="AD952" s="41"/>
      <c r="AE952" s="42"/>
      <c r="AF952" s="36"/>
      <c r="AG952" s="36"/>
    </row>
    <row r="953" spans="1:33" ht="21.95" hidden="1" customHeight="1" x14ac:dyDescent="0.25">
      <c r="A953" s="129" t="str">
        <f>+IF(PROVEEDORES[[#This Row],[FECHA DE PAGO]]=PROVEEDORES[[#This Row],[FECHA DE FACTURACIÓN]],"DE CONTADO","CRÉDITO")</f>
        <v>CRÉDITO</v>
      </c>
      <c r="B953" s="70" t="b">
        <f>+IF((PROVEEDORES[[#This Row],[FECHA DE PAGO]]-PROVEEDORES[[#This Row],[FECHA DE FACTURACIÓN]])&gt;PROVEEDORES[[#This Row],[PLAZO Días]],"PAGO VENCIDO")</f>
        <v>0</v>
      </c>
      <c r="C953" s="27">
        <f>+VLOOKUP(PROVEEDORES[[#This Row],[PROVEEDOR]],TERCEROS_INFO[#All],2,FALSE)</f>
        <v>30</v>
      </c>
      <c r="D953" s="37">
        <f>+SUMIFS(PROVEEDORES[Total],PROVEEDORES[PROVEEDOR],PROVEEDORES[[#This Row],[PROVEEDOR]],PROVEEDORES[FECHA DE PAGO],"")</f>
        <v>4495474.9000000004</v>
      </c>
      <c r="E953" s="37"/>
      <c r="F953" s="108" t="str">
        <f>+VLOOKUP(PROVEEDORES[[#This Row],[PROVEEDOR]],TERCEROS_INFO[[PROVEEDOR]:[CORREO]],5,FALSE)</f>
        <v>carlan@mayorcainversiones.com;girlesa.ruiz@servipilas.com;joriescobar64@gmail.com</v>
      </c>
      <c r="G953" s="143">
        <v>44396</v>
      </c>
      <c r="H953" s="38" t="s">
        <v>648</v>
      </c>
      <c r="I953" s="30">
        <v>44378</v>
      </c>
      <c r="J953" s="58" t="s">
        <v>924</v>
      </c>
      <c r="K953" s="32">
        <v>3061166</v>
      </c>
      <c r="L953" s="32"/>
      <c r="M953" s="33">
        <f>(PROVEEDORES[[#This Row],[SUBTOTAL]]-PROVEEDORES[[#This Row],[descuento antes de IVA]])*VLOOKUP(PROVEEDORES[[#This Row],[PROVEEDOR]],TERCEROS_INFO[#All],3,FALSE)</f>
        <v>581621.54</v>
      </c>
      <c r="N953" s="34"/>
      <c r="O953" s="33">
        <f>+PROVEEDORES[[#This Row],[Descuento sobre subtotal %]]*(PROVEEDORES[[#This Row],[SUBTOTAL]]-PROVEEDORES[[#This Row],[descuento antes de IVA]])</f>
        <v>0</v>
      </c>
      <c r="P9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3" s="33">
        <f>+(PROVEEDORES[[#This Row],[SUBTOTAL]]-PROVEEDORES[[#This Row],[descuento antes de IVA]])*PROVEEDORES[[#This Row],[Rete Fuente %]]</f>
        <v>0</v>
      </c>
      <c r="R953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53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3"/>
      <c r="U953" s="97"/>
      <c r="W953" s="40"/>
      <c r="X953" s="40"/>
      <c r="Y953" s="41"/>
      <c r="Z953" s="36"/>
      <c r="AA953" s="36"/>
      <c r="AD953" s="41"/>
      <c r="AE953" s="42"/>
      <c r="AF953" s="36"/>
      <c r="AG953" s="36"/>
    </row>
    <row r="954" spans="1:33" ht="21.95" hidden="1" customHeight="1" x14ac:dyDescent="0.25">
      <c r="A954" s="138" t="str">
        <f>+IF(PROVEEDORES[[#This Row],[FECHA DE PAGO]]=PROVEEDORES[[#This Row],[FECHA DE FACTURACIÓN]],"DE CONTADO","CRÉDITO")</f>
        <v>CRÉDITO</v>
      </c>
      <c r="B954" s="70" t="b">
        <f>+IF((PROVEEDORES[[#This Row],[FECHA DE PAGO]]-PROVEEDORES[[#This Row],[FECHA DE FACTURACIÓN]])&gt;PROVEEDORES[[#This Row],[PLAZO Días]],"PAGO VENCIDO")</f>
        <v>0</v>
      </c>
      <c r="C954" s="27">
        <f>+VLOOKUP(PROVEEDORES[[#This Row],[PROVEEDOR]],TERCEROS_INFO[#All],2,FALSE)</f>
        <v>30</v>
      </c>
      <c r="D954" s="37">
        <f>+SUMIFS(PROVEEDORES[Total],PROVEEDORES[PROVEEDOR],PROVEEDORES[[#This Row],[PROVEEDOR]],PROVEEDORES[FECHA DE PAGO],"")</f>
        <v>4495474.9000000004</v>
      </c>
      <c r="E954" s="37"/>
      <c r="F954" s="108" t="str">
        <f>+VLOOKUP(PROVEEDORES[[#This Row],[PROVEEDOR]],TERCEROS_INFO[[PROVEEDOR]:[CORREO]],5,FALSE)</f>
        <v>carlan@mayorcainversiones.com;girlesa.ruiz@servipilas.com;joriescobar64@gmail.com</v>
      </c>
      <c r="G954" s="143">
        <v>44432</v>
      </c>
      <c r="H954" s="38" t="s">
        <v>648</v>
      </c>
      <c r="I954" s="30">
        <v>44409</v>
      </c>
      <c r="J954" s="58" t="s">
        <v>925</v>
      </c>
      <c r="K954" s="32">
        <v>716544</v>
      </c>
      <c r="L954" s="32"/>
      <c r="M954" s="33">
        <f>(PROVEEDORES[[#This Row],[SUBTOTAL]]-PROVEEDORES[[#This Row],[descuento antes de IVA]])*VLOOKUP(PROVEEDORES[[#This Row],[PROVEEDOR]],TERCEROS_INFO[#All],3,FALSE)</f>
        <v>136143.36000000002</v>
      </c>
      <c r="N954" s="34"/>
      <c r="O954" s="33">
        <f>+PROVEEDORES[[#This Row],[Descuento sobre subtotal %]]*(PROVEEDORES[[#This Row],[SUBTOTAL]]-PROVEEDORES[[#This Row],[descuento antes de IVA]])</f>
        <v>0</v>
      </c>
      <c r="P9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4" s="33">
        <f>+(PROVEEDORES[[#This Row],[SUBTOTAL]]-PROVEEDORES[[#This Row],[descuento antes de IVA]])*PROVEEDORES[[#This Row],[Rete Fuente %]]</f>
        <v>0</v>
      </c>
      <c r="R954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54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4"/>
      <c r="U954" s="97"/>
      <c r="W954" s="40"/>
      <c r="X954" s="40"/>
      <c r="Y954" s="41"/>
      <c r="Z954" s="36"/>
      <c r="AA954" s="36"/>
      <c r="AD954" s="41"/>
      <c r="AE954" s="42"/>
      <c r="AF954" s="36"/>
      <c r="AG954" s="36"/>
    </row>
    <row r="955" spans="1:33" ht="21.95" hidden="1" customHeight="1" x14ac:dyDescent="0.25">
      <c r="A955" s="138" t="str">
        <f>+IF(PROVEEDORES[[#This Row],[FECHA DE PAGO]]=PROVEEDORES[[#This Row],[FECHA DE FACTURACIÓN]],"DE CONTADO","CRÉDITO")</f>
        <v>CRÉDITO</v>
      </c>
      <c r="B955" s="70" t="b">
        <f>+IF((PROVEEDORES[[#This Row],[FECHA DE PAGO]]-PROVEEDORES[[#This Row],[FECHA DE FACTURACIÓN]])&gt;PROVEEDORES[[#This Row],[PLAZO Días]],"PAGO VENCIDO")</f>
        <v>0</v>
      </c>
      <c r="C955" s="27">
        <f>+VLOOKUP(PROVEEDORES[[#This Row],[PROVEEDOR]],TERCEROS_INFO[#All],2,FALSE)</f>
        <v>30</v>
      </c>
      <c r="D955" s="37">
        <f>+SUMIFS(PROVEEDORES[Total],PROVEEDORES[PROVEEDOR],PROVEEDORES[[#This Row],[PROVEEDOR]],PROVEEDORES[FECHA DE PAGO],"")</f>
        <v>4495474.9000000004</v>
      </c>
      <c r="E955" s="37"/>
      <c r="F955" s="108" t="str">
        <f>+VLOOKUP(PROVEEDORES[[#This Row],[PROVEEDOR]],TERCEROS_INFO[[PROVEEDOR]:[CORREO]],5,FALSE)</f>
        <v>carlan@mayorcainversiones.com;girlesa.ruiz@servipilas.com;joriescobar64@gmail.com</v>
      </c>
      <c r="G955" s="143">
        <v>44432</v>
      </c>
      <c r="H955" s="38" t="s">
        <v>648</v>
      </c>
      <c r="I955" s="30">
        <v>44409</v>
      </c>
      <c r="J955" s="58" t="s">
        <v>926</v>
      </c>
      <c r="K955" s="32">
        <v>3061166</v>
      </c>
      <c r="L955" s="32"/>
      <c r="M955" s="33">
        <f>(PROVEEDORES[[#This Row],[SUBTOTAL]]-PROVEEDORES[[#This Row],[descuento antes de IVA]])*VLOOKUP(PROVEEDORES[[#This Row],[PROVEEDOR]],TERCEROS_INFO[#All],3,FALSE)</f>
        <v>581621.54</v>
      </c>
      <c r="N955" s="34"/>
      <c r="O955" s="33">
        <f>+PROVEEDORES[[#This Row],[Descuento sobre subtotal %]]*(PROVEEDORES[[#This Row],[SUBTOTAL]]-PROVEEDORES[[#This Row],[descuento antes de IVA]])</f>
        <v>0</v>
      </c>
      <c r="P9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5" s="33">
        <f>+(PROVEEDORES[[#This Row],[SUBTOTAL]]-PROVEEDORES[[#This Row],[descuento antes de IVA]])*PROVEEDORES[[#This Row],[Rete Fuente %]]</f>
        <v>0</v>
      </c>
      <c r="R955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55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5"/>
      <c r="U955" s="97"/>
      <c r="W955" s="40"/>
      <c r="X955" s="40"/>
      <c r="Y955" s="41"/>
      <c r="Z955" s="36"/>
      <c r="AA955" s="36"/>
      <c r="AD955" s="41"/>
      <c r="AE955" s="42"/>
      <c r="AF955" s="36"/>
      <c r="AG955" s="36"/>
    </row>
    <row r="956" spans="1:33" ht="21.95" hidden="1" customHeight="1" x14ac:dyDescent="0.25">
      <c r="A956" s="147" t="str">
        <f>+IF(PROVEEDORES[[#This Row],[FECHA DE PAGO]]=PROVEEDORES[[#This Row],[FECHA DE FACTURACIÓN]],"DE CONTADO","CRÉDITO")</f>
        <v>CRÉDITO</v>
      </c>
      <c r="B956" s="70" t="b">
        <f>+IF((PROVEEDORES[[#This Row],[FECHA DE PAGO]]-PROVEEDORES[[#This Row],[FECHA DE FACTURACIÓN]])&gt;PROVEEDORES[[#This Row],[PLAZO Días]],"PAGO VENCIDO")</f>
        <v>0</v>
      </c>
      <c r="C956" s="27">
        <f>+VLOOKUP(PROVEEDORES[[#This Row],[PROVEEDOR]],TERCEROS_INFO[#All],2,FALSE)</f>
        <v>30</v>
      </c>
      <c r="D956" s="37">
        <f>+SUMIFS(PROVEEDORES[Total],PROVEEDORES[PROVEEDOR],PROVEEDORES[[#This Row],[PROVEEDOR]],PROVEEDORES[FECHA DE PAGO],"")</f>
        <v>4495474.9000000004</v>
      </c>
      <c r="E956" s="37"/>
      <c r="F956" s="108" t="str">
        <f>+VLOOKUP(PROVEEDORES[[#This Row],[PROVEEDOR]],TERCEROS_INFO[[PROVEEDOR]:[CORREO]],5,FALSE)</f>
        <v>carlan@mayorcainversiones.com;girlesa.ruiz@servipilas.com;joriescobar64@gmail.com</v>
      </c>
      <c r="G956" s="143">
        <v>44461</v>
      </c>
      <c r="H956" s="38" t="s">
        <v>648</v>
      </c>
      <c r="I956" s="30">
        <v>44440</v>
      </c>
      <c r="J956" s="58" t="s">
        <v>927</v>
      </c>
      <c r="K956" s="32">
        <v>716544</v>
      </c>
      <c r="L956" s="32"/>
      <c r="M956" s="33">
        <f>(PROVEEDORES[[#This Row],[SUBTOTAL]]-PROVEEDORES[[#This Row],[descuento antes de IVA]])*VLOOKUP(PROVEEDORES[[#This Row],[PROVEEDOR]],TERCEROS_INFO[#All],3,FALSE)</f>
        <v>136143.36000000002</v>
      </c>
      <c r="N956" s="34"/>
      <c r="O956" s="33">
        <f>+PROVEEDORES[[#This Row],[Descuento sobre subtotal %]]*(PROVEEDORES[[#This Row],[SUBTOTAL]]-PROVEEDORES[[#This Row],[descuento antes de IVA]])</f>
        <v>0</v>
      </c>
      <c r="P9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6" s="33">
        <f>+(PROVEEDORES[[#This Row],[SUBTOTAL]]-PROVEEDORES[[#This Row],[descuento antes de IVA]])*PROVEEDORES[[#This Row],[Rete Fuente %]]</f>
        <v>0</v>
      </c>
      <c r="R956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56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6"/>
      <c r="U956" s="97"/>
      <c r="W956" s="40"/>
      <c r="X956" s="40"/>
      <c r="Y956" s="41"/>
      <c r="Z956" s="36"/>
      <c r="AA956" s="36"/>
      <c r="AD956" s="41"/>
      <c r="AE956" s="42"/>
      <c r="AF956" s="36"/>
      <c r="AG956" s="36"/>
    </row>
    <row r="957" spans="1:33" ht="21.95" hidden="1" customHeight="1" x14ac:dyDescent="0.25">
      <c r="A957" s="147" t="str">
        <f>+IF(PROVEEDORES[[#This Row],[FECHA DE PAGO]]=PROVEEDORES[[#This Row],[FECHA DE FACTURACIÓN]],"DE CONTADO","CRÉDITO")</f>
        <v>CRÉDITO</v>
      </c>
      <c r="B957" s="70" t="b">
        <f>+IF((PROVEEDORES[[#This Row],[FECHA DE PAGO]]-PROVEEDORES[[#This Row],[FECHA DE FACTURACIÓN]])&gt;PROVEEDORES[[#This Row],[PLAZO Días]],"PAGO VENCIDO")</f>
        <v>0</v>
      </c>
      <c r="C957" s="27">
        <f>+VLOOKUP(PROVEEDORES[[#This Row],[PROVEEDOR]],TERCEROS_INFO[#All],2,FALSE)</f>
        <v>30</v>
      </c>
      <c r="D957" s="37">
        <f>+SUMIFS(PROVEEDORES[Total],PROVEEDORES[PROVEEDOR],PROVEEDORES[[#This Row],[PROVEEDOR]],PROVEEDORES[FECHA DE PAGO],"")</f>
        <v>4495474.9000000004</v>
      </c>
      <c r="E957" s="37"/>
      <c r="F957" s="108" t="str">
        <f>+VLOOKUP(PROVEEDORES[[#This Row],[PROVEEDOR]],TERCEROS_INFO[[PROVEEDOR]:[CORREO]],5,FALSE)</f>
        <v>carlan@mayorcainversiones.com;girlesa.ruiz@servipilas.com;joriescobar64@gmail.com</v>
      </c>
      <c r="G957" s="143">
        <v>44461</v>
      </c>
      <c r="H957" s="38" t="s">
        <v>648</v>
      </c>
      <c r="I957" s="30">
        <v>44440</v>
      </c>
      <c r="J957" s="58" t="s">
        <v>928</v>
      </c>
      <c r="K957" s="32">
        <v>3061166</v>
      </c>
      <c r="L957" s="32"/>
      <c r="M957" s="33">
        <f>(PROVEEDORES[[#This Row],[SUBTOTAL]]-PROVEEDORES[[#This Row],[descuento antes de IVA]])*VLOOKUP(PROVEEDORES[[#This Row],[PROVEEDOR]],TERCEROS_INFO[#All],3,FALSE)</f>
        <v>581621.54</v>
      </c>
      <c r="N957" s="34"/>
      <c r="O957" s="33">
        <f>+PROVEEDORES[[#This Row],[Descuento sobre subtotal %]]*(PROVEEDORES[[#This Row],[SUBTOTAL]]-PROVEEDORES[[#This Row],[descuento antes de IVA]])</f>
        <v>0</v>
      </c>
      <c r="P9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7" s="33">
        <f>+(PROVEEDORES[[#This Row],[SUBTOTAL]]-PROVEEDORES[[#This Row],[descuento antes de IVA]])*PROVEEDORES[[#This Row],[Rete Fuente %]]</f>
        <v>0</v>
      </c>
      <c r="R957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57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7"/>
      <c r="U957" s="97"/>
      <c r="W957" s="40"/>
      <c r="X957" s="40"/>
      <c r="Y957" s="41"/>
      <c r="Z957" s="36"/>
      <c r="AA957" s="36"/>
      <c r="AD957" s="41"/>
      <c r="AE957" s="42"/>
      <c r="AF957" s="36"/>
      <c r="AG957" s="36"/>
    </row>
    <row r="958" spans="1:33" ht="21.95" hidden="1" customHeight="1" x14ac:dyDescent="0.25">
      <c r="A958" s="154" t="str">
        <f>+IF(PROVEEDORES[[#This Row],[FECHA DE PAGO]]=PROVEEDORES[[#This Row],[FECHA DE FACTURACIÓN]],"DE CONTADO","CRÉDITO")</f>
        <v>CRÉDITO</v>
      </c>
      <c r="B958" s="70" t="b">
        <f>+IF((PROVEEDORES[[#This Row],[FECHA DE PAGO]]-PROVEEDORES[[#This Row],[FECHA DE FACTURACIÓN]])&gt;PROVEEDORES[[#This Row],[PLAZO Días]],"PAGO VENCIDO")</f>
        <v>0</v>
      </c>
      <c r="C958" s="27">
        <f>+VLOOKUP(PROVEEDORES[[#This Row],[PROVEEDOR]],TERCEROS_INFO[#All],2,FALSE)</f>
        <v>30</v>
      </c>
      <c r="D958" s="37">
        <f>+SUMIFS(PROVEEDORES[Total],PROVEEDORES[PROVEEDOR],PROVEEDORES[[#This Row],[PROVEEDOR]],PROVEEDORES[FECHA DE PAGO],"")</f>
        <v>4495474.9000000004</v>
      </c>
      <c r="E958" s="37"/>
      <c r="F958" s="108" t="str">
        <f>+VLOOKUP(PROVEEDORES[[#This Row],[PROVEEDOR]],TERCEROS_INFO[[PROVEEDOR]:[CORREO]],5,FALSE)</f>
        <v>carlan@mayorcainversiones.com;girlesa.ruiz@servipilas.com;joriescobar64@gmail.com</v>
      </c>
      <c r="G958" s="143">
        <v>44496</v>
      </c>
      <c r="H958" s="38" t="s">
        <v>648</v>
      </c>
      <c r="I958" s="30">
        <v>44470</v>
      </c>
      <c r="J958" s="58" t="s">
        <v>929</v>
      </c>
      <c r="K958" s="32">
        <v>716544</v>
      </c>
      <c r="L958" s="32"/>
      <c r="M958" s="33">
        <f>(PROVEEDORES[[#This Row],[SUBTOTAL]]-PROVEEDORES[[#This Row],[descuento antes de IVA]])*VLOOKUP(PROVEEDORES[[#This Row],[PROVEEDOR]],TERCEROS_INFO[#All],3,FALSE)</f>
        <v>136143.36000000002</v>
      </c>
      <c r="N958" s="34"/>
      <c r="O958" s="33">
        <f>+PROVEEDORES[[#This Row],[Descuento sobre subtotal %]]*(PROVEEDORES[[#This Row],[SUBTOTAL]]-PROVEEDORES[[#This Row],[descuento antes de IVA]])</f>
        <v>0</v>
      </c>
      <c r="P9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8" s="33">
        <f>+(PROVEEDORES[[#This Row],[SUBTOTAL]]-PROVEEDORES[[#This Row],[descuento antes de IVA]])*PROVEEDORES[[#This Row],[Rete Fuente %]]</f>
        <v>0</v>
      </c>
      <c r="R958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58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8"/>
      <c r="U958" s="97"/>
      <c r="W958" s="40"/>
      <c r="X958" s="40"/>
      <c r="Y958" s="41"/>
      <c r="Z958" s="36"/>
      <c r="AA958" s="36"/>
      <c r="AD958" s="41"/>
      <c r="AE958" s="42"/>
      <c r="AF958" s="36"/>
      <c r="AG958" s="36"/>
    </row>
    <row r="959" spans="1:33" ht="21.95" hidden="1" customHeight="1" x14ac:dyDescent="0.25">
      <c r="A959" s="154" t="str">
        <f>+IF(PROVEEDORES[[#This Row],[FECHA DE PAGO]]=PROVEEDORES[[#This Row],[FECHA DE FACTURACIÓN]],"DE CONTADO","CRÉDITO")</f>
        <v>CRÉDITO</v>
      </c>
      <c r="B959" s="70" t="b">
        <f>+IF((PROVEEDORES[[#This Row],[FECHA DE PAGO]]-PROVEEDORES[[#This Row],[FECHA DE FACTURACIÓN]])&gt;PROVEEDORES[[#This Row],[PLAZO Días]],"PAGO VENCIDO")</f>
        <v>0</v>
      </c>
      <c r="C959" s="27">
        <f>+VLOOKUP(PROVEEDORES[[#This Row],[PROVEEDOR]],TERCEROS_INFO[#All],2,FALSE)</f>
        <v>30</v>
      </c>
      <c r="D959" s="37">
        <f>+SUMIFS(PROVEEDORES[Total],PROVEEDORES[PROVEEDOR],PROVEEDORES[[#This Row],[PROVEEDOR]],PROVEEDORES[FECHA DE PAGO],"")</f>
        <v>4495474.9000000004</v>
      </c>
      <c r="E959" s="37"/>
      <c r="F959" s="108" t="str">
        <f>+VLOOKUP(PROVEEDORES[[#This Row],[PROVEEDOR]],TERCEROS_INFO[[PROVEEDOR]:[CORREO]],5,FALSE)</f>
        <v>carlan@mayorcainversiones.com;girlesa.ruiz@servipilas.com;joriescobar64@gmail.com</v>
      </c>
      <c r="G959" s="143">
        <v>44496</v>
      </c>
      <c r="H959" s="38" t="s">
        <v>648</v>
      </c>
      <c r="I959" s="30">
        <v>44470</v>
      </c>
      <c r="J959" s="58" t="s">
        <v>930</v>
      </c>
      <c r="K959" s="32">
        <v>3061166</v>
      </c>
      <c r="L959" s="32"/>
      <c r="M959" s="33">
        <f>(PROVEEDORES[[#This Row],[SUBTOTAL]]-PROVEEDORES[[#This Row],[descuento antes de IVA]])*VLOOKUP(PROVEEDORES[[#This Row],[PROVEEDOR]],TERCEROS_INFO[#All],3,FALSE)</f>
        <v>581621.54</v>
      </c>
      <c r="N959" s="34"/>
      <c r="O959" s="33">
        <f>+PROVEEDORES[[#This Row],[Descuento sobre subtotal %]]*(PROVEEDORES[[#This Row],[SUBTOTAL]]-PROVEEDORES[[#This Row],[descuento antes de IVA]])</f>
        <v>0</v>
      </c>
      <c r="P9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59" s="33">
        <f>+(PROVEEDORES[[#This Row],[SUBTOTAL]]-PROVEEDORES[[#This Row],[descuento antes de IVA]])*PROVEEDORES[[#This Row],[Rete Fuente %]]</f>
        <v>0</v>
      </c>
      <c r="R959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59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9"/>
      <c r="U959" s="97"/>
      <c r="W959" s="40"/>
      <c r="X959" s="40"/>
      <c r="Y959" s="41"/>
      <c r="Z959" s="36"/>
      <c r="AA959" s="36"/>
      <c r="AD959" s="41"/>
      <c r="AE959" s="42"/>
      <c r="AF959" s="36"/>
      <c r="AG959" s="36"/>
    </row>
    <row r="960" spans="1:33" ht="21.95" hidden="1" customHeight="1" x14ac:dyDescent="0.25">
      <c r="A960" s="161" t="str">
        <f>+IF(PROVEEDORES[[#This Row],[FECHA DE PAGO]]=PROVEEDORES[[#This Row],[FECHA DE FACTURACIÓN]],"DE CONTADO","CRÉDITO")</f>
        <v>CRÉDITO</v>
      </c>
      <c r="B960" s="70" t="b">
        <f>+IF((PROVEEDORES[[#This Row],[FECHA DE PAGO]]-PROVEEDORES[[#This Row],[FECHA DE FACTURACIÓN]])&gt;PROVEEDORES[[#This Row],[PLAZO Días]],"PAGO VENCIDO")</f>
        <v>0</v>
      </c>
      <c r="C960" s="27">
        <f>+VLOOKUP(PROVEEDORES[[#This Row],[PROVEEDOR]],TERCEROS_INFO[#All],2,FALSE)</f>
        <v>30</v>
      </c>
      <c r="D960" s="37">
        <f>+SUMIFS(PROVEEDORES[Total],PROVEEDORES[PROVEEDOR],PROVEEDORES[[#This Row],[PROVEEDOR]],PROVEEDORES[FECHA DE PAGO],"")</f>
        <v>4495474.9000000004</v>
      </c>
      <c r="E960" s="37"/>
      <c r="F960" s="108" t="str">
        <f>+VLOOKUP(PROVEEDORES[[#This Row],[PROVEEDOR]],TERCEROS_INFO[[PROVEEDOR]:[CORREO]],5,FALSE)</f>
        <v>carlan@mayorcainversiones.com;girlesa.ruiz@servipilas.com;joriescobar64@gmail.com</v>
      </c>
      <c r="G960" s="143">
        <v>44527</v>
      </c>
      <c r="H960" s="38" t="s">
        <v>648</v>
      </c>
      <c r="I960" s="30">
        <v>44501</v>
      </c>
      <c r="J960" s="58" t="s">
        <v>931</v>
      </c>
      <c r="K960" s="32">
        <v>3061166</v>
      </c>
      <c r="L960" s="32"/>
      <c r="M960" s="33">
        <f>(PROVEEDORES[[#This Row],[SUBTOTAL]]-PROVEEDORES[[#This Row],[descuento antes de IVA]])*VLOOKUP(PROVEEDORES[[#This Row],[PROVEEDOR]],TERCEROS_INFO[#All],3,FALSE)</f>
        <v>581621.54</v>
      </c>
      <c r="N960" s="34"/>
      <c r="O960" s="33">
        <f>+PROVEEDORES[[#This Row],[Descuento sobre subtotal %]]*(PROVEEDORES[[#This Row],[SUBTOTAL]]-PROVEEDORES[[#This Row],[descuento antes de IVA]])</f>
        <v>0</v>
      </c>
      <c r="P9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0" s="33">
        <f>+(PROVEEDORES[[#This Row],[SUBTOTAL]]-PROVEEDORES[[#This Row],[descuento antes de IVA]])*PROVEEDORES[[#This Row],[Rete Fuente %]]</f>
        <v>0</v>
      </c>
      <c r="R960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60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0"/>
      <c r="U960" s="97"/>
      <c r="W960" s="40"/>
      <c r="X960" s="40"/>
      <c r="Y960" s="41"/>
      <c r="Z960" s="36"/>
      <c r="AA960" s="36"/>
      <c r="AD960" s="41"/>
      <c r="AE960" s="42"/>
      <c r="AF960" s="36"/>
      <c r="AG960" s="36"/>
    </row>
    <row r="961" spans="1:33" ht="21.95" hidden="1" customHeight="1" x14ac:dyDescent="0.25">
      <c r="A961" s="161" t="str">
        <f>+IF(PROVEEDORES[[#This Row],[FECHA DE PAGO]]=PROVEEDORES[[#This Row],[FECHA DE FACTURACIÓN]],"DE CONTADO","CRÉDITO")</f>
        <v>CRÉDITO</v>
      </c>
      <c r="B961" s="70" t="b">
        <f>+IF((PROVEEDORES[[#This Row],[FECHA DE PAGO]]-PROVEEDORES[[#This Row],[FECHA DE FACTURACIÓN]])&gt;PROVEEDORES[[#This Row],[PLAZO Días]],"PAGO VENCIDO")</f>
        <v>0</v>
      </c>
      <c r="C961" s="27">
        <f>+VLOOKUP(PROVEEDORES[[#This Row],[PROVEEDOR]],TERCEROS_INFO[#All],2,FALSE)</f>
        <v>30</v>
      </c>
      <c r="D961" s="37">
        <f>+SUMIFS(PROVEEDORES[Total],PROVEEDORES[PROVEEDOR],PROVEEDORES[[#This Row],[PROVEEDOR]],PROVEEDORES[FECHA DE PAGO],"")</f>
        <v>4495474.9000000004</v>
      </c>
      <c r="E961" s="37"/>
      <c r="F961" s="108" t="str">
        <f>+VLOOKUP(PROVEEDORES[[#This Row],[PROVEEDOR]],TERCEROS_INFO[[PROVEEDOR]:[CORREO]],5,FALSE)</f>
        <v>carlan@mayorcainversiones.com;girlesa.ruiz@servipilas.com;joriescobar64@gmail.com</v>
      </c>
      <c r="G961" s="143">
        <v>44527</v>
      </c>
      <c r="H961" s="38" t="s">
        <v>648</v>
      </c>
      <c r="I961" s="30">
        <v>44501</v>
      </c>
      <c r="J961" s="58" t="s">
        <v>932</v>
      </c>
      <c r="K961" s="32">
        <v>716544</v>
      </c>
      <c r="L961" s="32"/>
      <c r="M961" s="33">
        <f>(PROVEEDORES[[#This Row],[SUBTOTAL]]-PROVEEDORES[[#This Row],[descuento antes de IVA]])*VLOOKUP(PROVEEDORES[[#This Row],[PROVEEDOR]],TERCEROS_INFO[#All],3,FALSE)</f>
        <v>136143.36000000002</v>
      </c>
      <c r="N961" s="34"/>
      <c r="O961" s="33">
        <f>+PROVEEDORES[[#This Row],[Descuento sobre subtotal %]]*(PROVEEDORES[[#This Row],[SUBTOTAL]]-PROVEEDORES[[#This Row],[descuento antes de IVA]])</f>
        <v>0</v>
      </c>
      <c r="P9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1" s="33">
        <f>+(PROVEEDORES[[#This Row],[SUBTOTAL]]-PROVEEDORES[[#This Row],[descuento antes de IVA]])*PROVEEDORES[[#This Row],[Rete Fuente %]]</f>
        <v>0</v>
      </c>
      <c r="R961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61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1"/>
      <c r="U961" s="97"/>
      <c r="W961" s="40"/>
      <c r="X961" s="40"/>
      <c r="Y961" s="41"/>
      <c r="Z961" s="36"/>
      <c r="AA961" s="36"/>
      <c r="AD961" s="41"/>
      <c r="AE961" s="42"/>
      <c r="AF961" s="36"/>
      <c r="AG961" s="36"/>
    </row>
    <row r="962" spans="1:33" ht="21.95" hidden="1" customHeight="1" x14ac:dyDescent="0.25">
      <c r="A962" s="167" t="str">
        <f>+IF(PROVEEDORES[[#This Row],[FECHA DE PAGO]]=PROVEEDORES[[#This Row],[FECHA DE FACTURACIÓN]],"DE CONTADO","CRÉDITO")</f>
        <v>CRÉDITO</v>
      </c>
      <c r="B962" s="70" t="b">
        <f>+IF((PROVEEDORES[[#This Row],[FECHA DE PAGO]]-PROVEEDORES[[#This Row],[FECHA DE FACTURACIÓN]])&gt;PROVEEDORES[[#This Row],[PLAZO Días]],"PAGO VENCIDO")</f>
        <v>0</v>
      </c>
      <c r="C962" s="27">
        <f>+VLOOKUP(PROVEEDORES[[#This Row],[PROVEEDOR]],TERCEROS_INFO[#All],2,FALSE)</f>
        <v>30</v>
      </c>
      <c r="D962" s="37">
        <f>+SUMIFS(PROVEEDORES[Total],PROVEEDORES[PROVEEDOR],PROVEEDORES[[#This Row],[PROVEEDOR]],PROVEEDORES[FECHA DE PAGO],"")</f>
        <v>4495474.9000000004</v>
      </c>
      <c r="E962" s="37"/>
      <c r="F962" s="108" t="str">
        <f>+VLOOKUP(PROVEEDORES[[#This Row],[PROVEEDOR]],TERCEROS_INFO[[PROVEEDOR]:[CORREO]],5,FALSE)</f>
        <v>carlan@mayorcainversiones.com;girlesa.ruiz@servipilas.com;joriescobar64@gmail.com</v>
      </c>
      <c r="G962" s="143">
        <v>44554</v>
      </c>
      <c r="H962" s="38" t="s">
        <v>648</v>
      </c>
      <c r="I962" s="30">
        <v>44531</v>
      </c>
      <c r="J962" s="58" t="s">
        <v>989</v>
      </c>
      <c r="K962" s="32">
        <v>716544</v>
      </c>
      <c r="L962" s="32"/>
      <c r="M962" s="33">
        <f>(PROVEEDORES[[#This Row],[SUBTOTAL]]-PROVEEDORES[[#This Row],[descuento antes de IVA]])*VLOOKUP(PROVEEDORES[[#This Row],[PROVEEDOR]],TERCEROS_INFO[#All],3,FALSE)</f>
        <v>136143.36000000002</v>
      </c>
      <c r="N962" s="34"/>
      <c r="O962" s="33">
        <f>+PROVEEDORES[[#This Row],[Descuento sobre subtotal %]]*(PROVEEDORES[[#This Row],[SUBTOTAL]]-PROVEEDORES[[#This Row],[descuento antes de IVA]])</f>
        <v>0</v>
      </c>
      <c r="P9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2" s="33">
        <f>+(PROVEEDORES[[#This Row],[SUBTOTAL]]-PROVEEDORES[[#This Row],[descuento antes de IVA]])*PROVEEDORES[[#This Row],[Rete Fuente %]]</f>
        <v>0</v>
      </c>
      <c r="R962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62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2"/>
      <c r="U962" s="97"/>
      <c r="W962" s="40"/>
      <c r="X962" s="40"/>
      <c r="Y962" s="41"/>
      <c r="Z962" s="36"/>
      <c r="AA962" s="36"/>
      <c r="AD962" s="41"/>
      <c r="AE962" s="42"/>
      <c r="AF962" s="36"/>
      <c r="AG962" s="36"/>
    </row>
    <row r="963" spans="1:33" ht="21.95" hidden="1" customHeight="1" x14ac:dyDescent="0.25">
      <c r="A963" s="167" t="str">
        <f>+IF(PROVEEDORES[[#This Row],[FECHA DE PAGO]]=PROVEEDORES[[#This Row],[FECHA DE FACTURACIÓN]],"DE CONTADO","CRÉDITO")</f>
        <v>CRÉDITO</v>
      </c>
      <c r="B963" s="70" t="b">
        <f>+IF((PROVEEDORES[[#This Row],[FECHA DE PAGO]]-PROVEEDORES[[#This Row],[FECHA DE FACTURACIÓN]])&gt;PROVEEDORES[[#This Row],[PLAZO Días]],"PAGO VENCIDO")</f>
        <v>0</v>
      </c>
      <c r="C963" s="27">
        <f>+VLOOKUP(PROVEEDORES[[#This Row],[PROVEEDOR]],TERCEROS_INFO[#All],2,FALSE)</f>
        <v>30</v>
      </c>
      <c r="D963" s="37">
        <f>+SUMIFS(PROVEEDORES[Total],PROVEEDORES[PROVEEDOR],PROVEEDORES[[#This Row],[PROVEEDOR]],PROVEEDORES[FECHA DE PAGO],"")</f>
        <v>4495474.9000000004</v>
      </c>
      <c r="E963" s="37"/>
      <c r="F963" s="108" t="str">
        <f>+VLOOKUP(PROVEEDORES[[#This Row],[PROVEEDOR]],TERCEROS_INFO[[PROVEEDOR]:[CORREO]],5,FALSE)</f>
        <v>carlan@mayorcainversiones.com;girlesa.ruiz@servipilas.com;joriescobar64@gmail.com</v>
      </c>
      <c r="G963" s="143">
        <v>44554</v>
      </c>
      <c r="H963" s="38" t="s">
        <v>648</v>
      </c>
      <c r="I963" s="30">
        <v>44531</v>
      </c>
      <c r="J963" s="58" t="s">
        <v>990</v>
      </c>
      <c r="K963" s="32">
        <v>3061166</v>
      </c>
      <c r="L963" s="32"/>
      <c r="M963" s="33">
        <f>(PROVEEDORES[[#This Row],[SUBTOTAL]]-PROVEEDORES[[#This Row],[descuento antes de IVA]])*VLOOKUP(PROVEEDORES[[#This Row],[PROVEEDOR]],TERCEROS_INFO[#All],3,FALSE)</f>
        <v>581621.54</v>
      </c>
      <c r="N963" s="34"/>
      <c r="O963" s="33">
        <f>+PROVEEDORES[[#This Row],[Descuento sobre subtotal %]]*(PROVEEDORES[[#This Row],[SUBTOTAL]]-PROVEEDORES[[#This Row],[descuento antes de IVA]])</f>
        <v>0</v>
      </c>
      <c r="P9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3" s="33">
        <f>+(PROVEEDORES[[#This Row],[SUBTOTAL]]-PROVEEDORES[[#This Row],[descuento antes de IVA]])*PROVEEDORES[[#This Row],[Rete Fuente %]]</f>
        <v>0</v>
      </c>
      <c r="R963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63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3"/>
      <c r="U963" s="97"/>
      <c r="W963" s="40"/>
      <c r="X963" s="40"/>
      <c r="Y963" s="41"/>
      <c r="Z963" s="36"/>
      <c r="AA963" s="36"/>
      <c r="AD963" s="41"/>
      <c r="AE963" s="42"/>
      <c r="AF963" s="36"/>
      <c r="AG963" s="36"/>
    </row>
    <row r="964" spans="1:33" ht="21.95" hidden="1" customHeight="1" x14ac:dyDescent="0.25">
      <c r="A964" s="175" t="str">
        <f>+IF(PROVEEDORES[[#This Row],[FECHA DE PAGO]]=PROVEEDORES[[#This Row],[FECHA DE FACTURACIÓN]],"DE CONTADO","CRÉDITO")</f>
        <v>CRÉDITO</v>
      </c>
      <c r="B964" s="70" t="b">
        <f>+IF((PROVEEDORES[[#This Row],[FECHA DE PAGO]]-PROVEEDORES[[#This Row],[FECHA DE FACTURACIÓN]])&gt;PROVEEDORES[[#This Row],[PLAZO Días]],"PAGO VENCIDO")</f>
        <v>0</v>
      </c>
      <c r="C964" s="27">
        <f>+VLOOKUP(PROVEEDORES[[#This Row],[PROVEEDOR]],TERCEROS_INFO[#All],2,FALSE)</f>
        <v>30</v>
      </c>
      <c r="D964" s="37">
        <f>+SUMIFS(PROVEEDORES[Total],PROVEEDORES[PROVEEDOR],PROVEEDORES[[#This Row],[PROVEEDOR]],PROVEEDORES[FECHA DE PAGO],"")</f>
        <v>4495474.9000000004</v>
      </c>
      <c r="E964" s="37"/>
      <c r="F964" s="108" t="str">
        <f>+VLOOKUP(PROVEEDORES[[#This Row],[PROVEEDOR]],TERCEROS_INFO[[PROVEEDOR]:[CORREO]],5,FALSE)</f>
        <v>carlan@mayorcainversiones.com;girlesa.ruiz@servipilas.com;joriescobar64@gmail.com</v>
      </c>
      <c r="H964" s="38" t="s">
        <v>648</v>
      </c>
      <c r="I964" s="30">
        <v>44562</v>
      </c>
      <c r="J964" s="58" t="s">
        <v>1364</v>
      </c>
      <c r="K964" s="32">
        <v>3061166</v>
      </c>
      <c r="L964" s="32"/>
      <c r="M964" s="33">
        <f>(PROVEEDORES[[#This Row],[SUBTOTAL]]-PROVEEDORES[[#This Row],[descuento antes de IVA]])*VLOOKUP(PROVEEDORES[[#This Row],[PROVEEDOR]],TERCEROS_INFO[#All],3,FALSE)</f>
        <v>581621.54</v>
      </c>
      <c r="N964" s="34"/>
      <c r="O964" s="33">
        <f>+PROVEEDORES[[#This Row],[Descuento sobre subtotal %]]*(PROVEEDORES[[#This Row],[SUBTOTAL]]-PROVEEDORES[[#This Row],[descuento antes de IVA]])</f>
        <v>0</v>
      </c>
      <c r="P9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4" s="33">
        <f>+(PROVEEDORES[[#This Row],[SUBTOTAL]]-PROVEEDORES[[#This Row],[descuento antes de IVA]])*PROVEEDORES[[#This Row],[Rete Fuente %]]</f>
        <v>0</v>
      </c>
      <c r="R964" s="32">
        <f>+PROVEEDORES[[#This Row],[SUBTOTAL]]+PROVEEDORES[[#This Row],[IVA 19%]]-PROVEEDORES[[#This Row],[descuento antes de IVA]]-PROVEEDORES[[#This Row],[Descuento sobre subtotal $]]-PROVEEDORES[[#This Row],[Rete Fuente $]]</f>
        <v>3642787.54</v>
      </c>
      <c r="S964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964"/>
      <c r="U964" s="97"/>
      <c r="W964" s="40"/>
      <c r="X964" s="40"/>
      <c r="Y964" s="41"/>
      <c r="Z964" s="36"/>
      <c r="AA964" s="36"/>
      <c r="AD964" s="41"/>
      <c r="AE964" s="42"/>
      <c r="AF964" s="36"/>
      <c r="AG964" s="36"/>
    </row>
    <row r="965" spans="1:33" ht="21.95" hidden="1" customHeight="1" x14ac:dyDescent="0.25">
      <c r="A965" s="175" t="str">
        <f>+IF(PROVEEDORES[[#This Row],[FECHA DE PAGO]]=PROVEEDORES[[#This Row],[FECHA DE FACTURACIÓN]],"DE CONTADO","CRÉDITO")</f>
        <v>CRÉDITO</v>
      </c>
      <c r="B965" s="70" t="b">
        <f>+IF((PROVEEDORES[[#This Row],[FECHA DE PAGO]]-PROVEEDORES[[#This Row],[FECHA DE FACTURACIÓN]])&gt;PROVEEDORES[[#This Row],[PLAZO Días]],"PAGO VENCIDO")</f>
        <v>0</v>
      </c>
      <c r="C965" s="27">
        <f>+VLOOKUP(PROVEEDORES[[#This Row],[PROVEEDOR]],TERCEROS_INFO[#All],2,FALSE)</f>
        <v>30</v>
      </c>
      <c r="D965" s="37">
        <f>+SUMIFS(PROVEEDORES[Total],PROVEEDORES[PROVEEDOR],PROVEEDORES[[#This Row],[PROVEEDOR]],PROVEEDORES[FECHA DE PAGO],"")</f>
        <v>4495474.9000000004</v>
      </c>
      <c r="E965" s="37"/>
      <c r="F965" s="108" t="str">
        <f>+VLOOKUP(PROVEEDORES[[#This Row],[PROVEEDOR]],TERCEROS_INFO[[PROVEEDOR]:[CORREO]],5,FALSE)</f>
        <v>carlan@mayorcainversiones.com;girlesa.ruiz@servipilas.com;joriescobar64@gmail.com</v>
      </c>
      <c r="H965" s="38" t="s">
        <v>648</v>
      </c>
      <c r="I965" s="30">
        <v>44562</v>
      </c>
      <c r="J965" s="58" t="s">
        <v>1365</v>
      </c>
      <c r="K965" s="32">
        <v>716544</v>
      </c>
      <c r="L965" s="32"/>
      <c r="M965" s="33">
        <f>(PROVEEDORES[[#This Row],[SUBTOTAL]]-PROVEEDORES[[#This Row],[descuento antes de IVA]])*VLOOKUP(PROVEEDORES[[#This Row],[PROVEEDOR]],TERCEROS_INFO[#All],3,FALSE)</f>
        <v>136143.36000000002</v>
      </c>
      <c r="N965" s="34"/>
      <c r="O965" s="33">
        <f>+PROVEEDORES[[#This Row],[Descuento sobre subtotal %]]*(PROVEEDORES[[#This Row],[SUBTOTAL]]-PROVEEDORES[[#This Row],[descuento antes de IVA]])</f>
        <v>0</v>
      </c>
      <c r="P9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5" s="33">
        <f>+(PROVEEDORES[[#This Row],[SUBTOTAL]]-PROVEEDORES[[#This Row],[descuento antes de IVA]])*PROVEEDORES[[#This Row],[Rete Fuente %]]</f>
        <v>0</v>
      </c>
      <c r="R965" s="32">
        <f>+PROVEEDORES[[#This Row],[SUBTOTAL]]+PROVEEDORES[[#This Row],[IVA 19%]]-PROVEEDORES[[#This Row],[descuento antes de IVA]]-PROVEEDORES[[#This Row],[Descuento sobre subtotal $]]-PROVEEDORES[[#This Row],[Rete Fuente $]]</f>
        <v>852687.35999999999</v>
      </c>
      <c r="S965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965"/>
      <c r="U965" s="97"/>
      <c r="W965" s="40"/>
      <c r="X965" s="40"/>
      <c r="Y965" s="41"/>
      <c r="Z965" s="36"/>
      <c r="AA965" s="36"/>
      <c r="AD965" s="41"/>
      <c r="AE965" s="42"/>
      <c r="AF965" s="36"/>
      <c r="AG965" s="36"/>
    </row>
    <row r="966" spans="1:33" ht="21.95" hidden="1" customHeight="1" x14ac:dyDescent="0.25">
      <c r="A966" s="107" t="str">
        <f>+IF(PROVEEDORES[[#This Row],[FECHA DE PAGO]]=PROVEEDORES[[#This Row],[FECHA DE FACTURACIÓN]],"DE CONTADO","CRÉDITO")</f>
        <v>DE CONTADO</v>
      </c>
      <c r="B966" s="70" t="b">
        <f>+IF((PROVEEDORES[[#This Row],[FECHA DE PAGO]]-PROVEEDORES[[#This Row],[FECHA DE FACTURACIÓN]])&gt;PROVEEDORES[[#This Row],[PLAZO Días]],"PAGO VENCIDO")</f>
        <v>0</v>
      </c>
      <c r="C966" s="27">
        <f>+VLOOKUP(PROVEEDORES[[#This Row],[PROVEEDOR]],TERCEROS_INFO[#All],2,FALSE)</f>
        <v>30</v>
      </c>
      <c r="D966" s="37">
        <f>+SUMIFS(PROVEEDORES[Total],PROVEEDORES[PROVEEDOR],PROVEEDORES[[#This Row],[PROVEEDOR]],PROVEEDORES[FECHA DE PAGO],"")</f>
        <v>0</v>
      </c>
      <c r="E966" s="37"/>
      <c r="F966" s="108" t="str">
        <f>+VLOOKUP(PROVEEDORES[[#This Row],[PROVEEDOR]],TERCEROS_INFO[[PROVEEDOR]:[CORREO]],5,FALSE)</f>
        <v>PSE</v>
      </c>
      <c r="G966" s="143">
        <v>44117</v>
      </c>
      <c r="H966" s="38" t="s">
        <v>632</v>
      </c>
      <c r="I966" s="30">
        <v>44117</v>
      </c>
      <c r="J966" s="58">
        <v>3489</v>
      </c>
      <c r="K966" s="32">
        <v>348320.16806722688</v>
      </c>
      <c r="L966" s="32"/>
      <c r="M966" s="33">
        <f>(PROVEEDORES[[#This Row],[SUBTOTAL]]-PROVEEDORES[[#This Row],[descuento antes de IVA]])*VLOOKUP(PROVEEDORES[[#This Row],[PROVEEDOR]],TERCEROS_INFO[#All],3,FALSE)</f>
        <v>66180.831932773115</v>
      </c>
      <c r="N966" s="34"/>
      <c r="O966" s="33">
        <f>+PROVEEDORES[[#This Row],[Descuento sobre subtotal %]]*(PROVEEDORES[[#This Row],[SUBTOTAL]]-PROVEEDORES[[#This Row],[descuento antes de IVA]])</f>
        <v>0</v>
      </c>
      <c r="P9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6" s="33">
        <f>+(PROVEEDORES[[#This Row],[SUBTOTAL]]-PROVEEDORES[[#This Row],[descuento antes de IVA]])*PROVEEDORES[[#This Row],[Rete Fuente %]]</f>
        <v>0</v>
      </c>
      <c r="R966" s="32">
        <f>+PROVEEDORES[[#This Row],[SUBTOTAL]]+PROVEEDORES[[#This Row],[IVA 19%]]-PROVEEDORES[[#This Row],[descuento antes de IVA]]-PROVEEDORES[[#This Row],[Descuento sobre subtotal $]]-PROVEEDORES[[#This Row],[Rete Fuente $]]</f>
        <v>414501</v>
      </c>
      <c r="S966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6"/>
      <c r="U966" s="97"/>
      <c r="W966" s="40"/>
      <c r="X966" s="40"/>
      <c r="Y966" s="41"/>
      <c r="Z966" s="36"/>
      <c r="AA966" s="36"/>
      <c r="AD966" s="41"/>
      <c r="AE966" s="42"/>
      <c r="AF966" s="36"/>
      <c r="AG966" s="36"/>
    </row>
    <row r="967" spans="1:33" ht="21.95" hidden="1" customHeight="1" x14ac:dyDescent="0.25">
      <c r="A967" s="107" t="str">
        <f>+IF(PROVEEDORES[[#This Row],[FECHA DE PAGO]]=PROVEEDORES[[#This Row],[FECHA DE FACTURACIÓN]],"DE CONTADO","CRÉDITO")</f>
        <v>CRÉDITO</v>
      </c>
      <c r="B967" s="70" t="str">
        <f>+IF((PROVEEDORES[[#This Row],[FECHA DE PAGO]]-PROVEEDORES[[#This Row],[FECHA DE FACTURACIÓN]])&gt;PROVEEDORES[[#This Row],[PLAZO Días]],"PAGO VENCIDO")</f>
        <v>PAGO VENCIDO</v>
      </c>
      <c r="C967" s="27">
        <f>+VLOOKUP(PROVEEDORES[[#This Row],[PROVEEDOR]],TERCEROS_INFO[#All],2,FALSE)</f>
        <v>30</v>
      </c>
      <c r="D967" s="37">
        <f>+SUMIFS(PROVEEDORES[Total],PROVEEDORES[PROVEEDOR],PROVEEDORES[[#This Row],[PROVEEDOR]],PROVEEDORES[FECHA DE PAGO],"")</f>
        <v>0</v>
      </c>
      <c r="E967" s="37"/>
      <c r="F967" s="108" t="str">
        <f>+VLOOKUP(PROVEEDORES[[#This Row],[PROVEEDOR]],TERCEROS_INFO[[PROVEEDOR]:[CORREO]],5,FALSE)</f>
        <v>PSE</v>
      </c>
      <c r="G967" s="143">
        <v>44165</v>
      </c>
      <c r="H967" s="38" t="s">
        <v>632</v>
      </c>
      <c r="I967" s="30">
        <v>44117</v>
      </c>
      <c r="J967" s="58"/>
      <c r="K967" s="32">
        <v>131932.77310924372</v>
      </c>
      <c r="L967" s="32"/>
      <c r="M967" s="33">
        <f>(PROVEEDORES[[#This Row],[SUBTOTAL]]-PROVEEDORES[[#This Row],[descuento antes de IVA]])*VLOOKUP(PROVEEDORES[[#This Row],[PROVEEDOR]],TERCEROS_INFO[#All],3,FALSE)</f>
        <v>25067.226890756305</v>
      </c>
      <c r="N967" s="34"/>
      <c r="O967" s="33">
        <f>+PROVEEDORES[[#This Row],[Descuento sobre subtotal %]]*(PROVEEDORES[[#This Row],[SUBTOTAL]]-PROVEEDORES[[#This Row],[descuento antes de IVA]])</f>
        <v>0</v>
      </c>
      <c r="P9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7" s="33">
        <f>+(PROVEEDORES[[#This Row],[SUBTOTAL]]-PROVEEDORES[[#This Row],[descuento antes de IVA]])*PROVEEDORES[[#This Row],[Rete Fuente %]]</f>
        <v>0</v>
      </c>
      <c r="R967" s="32">
        <f>+PROVEEDORES[[#This Row],[SUBTOTAL]]+PROVEEDORES[[#This Row],[IVA 19%]]-PROVEEDORES[[#This Row],[descuento antes de IVA]]-PROVEEDORES[[#This Row],[Descuento sobre subtotal $]]-PROVEEDORES[[#This Row],[Rete Fuente $]]</f>
        <v>157000.00000000003</v>
      </c>
      <c r="S967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7"/>
      <c r="U967" s="97"/>
      <c r="W967" s="40"/>
      <c r="X967" s="40"/>
      <c r="Y967" s="41"/>
      <c r="Z967" s="36"/>
      <c r="AA967" s="36"/>
      <c r="AD967" s="41"/>
      <c r="AE967" s="42"/>
      <c r="AF967" s="36"/>
      <c r="AG967" s="36"/>
    </row>
    <row r="968" spans="1:33" ht="21.95" hidden="1" customHeight="1" x14ac:dyDescent="0.25">
      <c r="A968" s="35" t="str">
        <f>+IF(PROVEEDORES[[#This Row],[FECHA DE PAGO]]=PROVEEDORES[[#This Row],[FECHA DE FACTURACIÓN]],"DE CONTADO","CRÉDITO")</f>
        <v>CRÉDITO</v>
      </c>
      <c r="B968" s="70" t="b">
        <f>+IF((PROVEEDORES[[#This Row],[FECHA DE PAGO]]-PROVEEDORES[[#This Row],[FECHA DE FACTURACIÓN]])&gt;PROVEEDORES[[#This Row],[PLAZO Días]],"PAGO VENCIDO")</f>
        <v>0</v>
      </c>
      <c r="C968" s="27">
        <f>+VLOOKUP(PROVEEDORES[[#This Row],[PROVEEDOR]],TERCEROS_INFO[#All],2,FALSE)</f>
        <v>30</v>
      </c>
      <c r="D968" s="37">
        <f>+SUMIFS(PROVEEDORES[Total],PROVEEDORES[PROVEEDOR],PROVEEDORES[[#This Row],[PROVEEDOR]],PROVEEDORES[FECHA DE PAGO],"")</f>
        <v>0</v>
      </c>
      <c r="E968" s="37"/>
      <c r="F968" s="108" t="str">
        <f>+VLOOKUP(PROVEEDORES[[#This Row],[PROVEEDOR]],TERCEROS_INFO[[PROVEEDOR]:[CORREO]],5,FALSE)</f>
        <v>PSE</v>
      </c>
      <c r="G968" s="143">
        <v>44509</v>
      </c>
      <c r="H968" s="38" t="s">
        <v>632</v>
      </c>
      <c r="I968" s="30">
        <v>44504</v>
      </c>
      <c r="J968" s="58"/>
      <c r="K968" s="32">
        <v>168360</v>
      </c>
      <c r="L968" s="32"/>
      <c r="M968" s="33">
        <f>(PROVEEDORES[[#This Row],[SUBTOTAL]]-PROVEEDORES[[#This Row],[descuento antes de IVA]])*VLOOKUP(PROVEEDORES[[#This Row],[PROVEEDOR]],TERCEROS_INFO[#All],3,FALSE)</f>
        <v>31988.400000000001</v>
      </c>
      <c r="N968" s="34"/>
      <c r="O968" s="33">
        <f>+PROVEEDORES[[#This Row],[Descuento sobre subtotal %]]*(PROVEEDORES[[#This Row],[SUBTOTAL]]-PROVEEDORES[[#This Row],[descuento antes de IVA]])</f>
        <v>0</v>
      </c>
      <c r="P9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8" s="33">
        <f>+(PROVEEDORES[[#This Row],[SUBTOTAL]]-PROVEEDORES[[#This Row],[descuento antes de IVA]])*PROVEEDORES[[#This Row],[Rete Fuente %]]</f>
        <v>0</v>
      </c>
      <c r="R968" s="32">
        <f>+PROVEEDORES[[#This Row],[SUBTOTAL]]+PROVEEDORES[[#This Row],[IVA 19%]]-PROVEEDORES[[#This Row],[descuento antes de IVA]]-PROVEEDORES[[#This Row],[Descuento sobre subtotal $]]-PROVEEDORES[[#This Row],[Rete Fuente $]]</f>
        <v>200348.4</v>
      </c>
      <c r="S96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8"/>
      <c r="U968" s="97"/>
      <c r="W968" s="40"/>
      <c r="X968" s="40"/>
      <c r="Y968" s="41"/>
      <c r="Z968" s="36"/>
      <c r="AA968" s="36"/>
      <c r="AD968" s="41"/>
      <c r="AE968" s="42"/>
      <c r="AF968" s="36"/>
      <c r="AG968" s="36"/>
    </row>
    <row r="969" spans="1:33" ht="21.95" hidden="1" customHeight="1" x14ac:dyDescent="0.25">
      <c r="A969" s="111" t="str">
        <f>+IF(PROVEEDORES[[#This Row],[FECHA DE PAGO]]=PROVEEDORES[[#This Row],[FECHA DE FACTURACIÓN]],"DE CONTADO","CRÉDITO")</f>
        <v>CRÉDITO</v>
      </c>
      <c r="B969" s="70" t="b">
        <f>+IF((PROVEEDORES[[#This Row],[FECHA DE PAGO]]-PROVEEDORES[[#This Row],[FECHA DE FACTURACIÓN]])&gt;PROVEEDORES[[#This Row],[PLAZO Días]],"PAGO VENCIDO")</f>
        <v>0</v>
      </c>
      <c r="C969" s="27">
        <f>+VLOOKUP(PROVEEDORES[[#This Row],[PROVEEDOR]],TERCEROS_INFO[#All],2,FALSE)</f>
        <v>180</v>
      </c>
      <c r="D969" s="37">
        <f>+SUMIFS(PROVEEDORES[Total],PROVEEDORES[PROVEEDOR],PROVEEDORES[[#This Row],[PROVEEDOR]],PROVEEDORES[FECHA DE PAGO],"")</f>
        <v>0</v>
      </c>
      <c r="E969" s="37"/>
      <c r="F969" s="108" t="str">
        <f>+VLOOKUP(PROVEEDORES[[#This Row],[PROVEEDOR]],TERCEROS_INFO[[PROVEEDOR]:[CORREO]],5,FALSE)</f>
        <v>pse</v>
      </c>
      <c r="G969" s="143">
        <v>44436</v>
      </c>
      <c r="H969" s="38" t="s">
        <v>674</v>
      </c>
      <c r="I969" s="30">
        <v>44435</v>
      </c>
      <c r="J969" s="58" t="s">
        <v>31</v>
      </c>
      <c r="K969" s="32"/>
      <c r="L969" s="32"/>
      <c r="M969" s="33">
        <f>(PROVEEDORES[[#This Row],[SUBTOTAL]]-PROVEEDORES[[#This Row],[descuento antes de IVA]])*VLOOKUP(PROVEEDORES[[#This Row],[PROVEEDOR]],TERCEROS_INFO[#All],3,FALSE)</f>
        <v>0</v>
      </c>
      <c r="N969" s="34"/>
      <c r="O969" s="33">
        <v>1604000</v>
      </c>
      <c r="P9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69" s="33">
        <f>+(PROVEEDORES[[#This Row],[SUBTOTAL]]-PROVEEDORES[[#This Row],[descuento antes de IVA]])*PROVEEDORES[[#This Row],[Rete Fuente %]]</f>
        <v>0</v>
      </c>
      <c r="R969" s="32">
        <v>0</v>
      </c>
      <c r="S969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9"/>
      <c r="U969" s="97"/>
      <c r="W969" s="40"/>
      <c r="X969" s="40"/>
      <c r="Y969" s="41"/>
      <c r="Z969" s="36"/>
      <c r="AA969" s="36"/>
      <c r="AD969" s="41"/>
      <c r="AE969" s="42"/>
      <c r="AF969" s="36"/>
      <c r="AG969" s="36"/>
    </row>
    <row r="970" spans="1:33" ht="21.95" hidden="1" customHeight="1" x14ac:dyDescent="0.25">
      <c r="A970" s="159" t="str">
        <f>+IF(PROVEEDORES[[#This Row],[FECHA DE PAGO]]=PROVEEDORES[[#This Row],[FECHA DE FACTURACIÓN]],"DE CONTADO","CRÉDITO")</f>
        <v>CRÉDITO</v>
      </c>
      <c r="B970" s="70" t="b">
        <f>+IF((PROVEEDORES[[#This Row],[FECHA DE PAGO]]-PROVEEDORES[[#This Row],[FECHA DE FACTURACIÓN]])&gt;PROVEEDORES[[#This Row],[PLAZO Días]],"PAGO VENCIDO")</f>
        <v>0</v>
      </c>
      <c r="C970" s="27">
        <f>+VLOOKUP(PROVEEDORES[[#This Row],[PROVEEDOR]],TERCEROS_INFO[#All],2,FALSE)</f>
        <v>10</v>
      </c>
      <c r="D970" s="37">
        <f>+SUMIFS(PROVEEDORES[Total],PROVEEDORES[PROVEEDOR],PROVEEDORES[[#This Row],[PROVEEDOR]],PROVEEDORES[FECHA DE PAGO],"")</f>
        <v>0</v>
      </c>
      <c r="E970" s="37"/>
      <c r="F970" s="108" t="str">
        <f>+VLOOKUP(PROVEEDORES[[#This Row],[PROVEEDOR]],TERCEROS_INFO[[PROVEEDOR]:[CORREO]],5,FALSE)</f>
        <v>ventasonline@disantioquia.com.co;girlesa.ruiz@servipilas.com;joriescobar64@gmail.com</v>
      </c>
      <c r="G970" s="143">
        <v>44498</v>
      </c>
      <c r="H970" s="57" t="s">
        <v>910</v>
      </c>
      <c r="I970" s="30">
        <v>44492</v>
      </c>
      <c r="J970" s="58">
        <v>273100</v>
      </c>
      <c r="K970" s="32">
        <v>440292</v>
      </c>
      <c r="L970" s="32"/>
      <c r="M970" s="33">
        <f>(PROVEEDORES[[#This Row],[SUBTOTAL]]-PROVEEDORES[[#This Row],[descuento antes de IVA]])*VLOOKUP(PROVEEDORES[[#This Row],[PROVEEDOR]],TERCEROS_INFO[#All],3,FALSE)</f>
        <v>83655.48</v>
      </c>
      <c r="N970" s="34"/>
      <c r="O970" s="33">
        <f>+PROVEEDORES[[#This Row],[Descuento sobre subtotal %]]*(PROVEEDORES[[#This Row],[SUBTOTAL]]-PROVEEDORES[[#This Row],[descuento antes de IVA]])</f>
        <v>0</v>
      </c>
      <c r="P9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0" s="33">
        <f>+(PROVEEDORES[[#This Row],[SUBTOTAL]]-PROVEEDORES[[#This Row],[descuento antes de IVA]])*PROVEEDORES[[#This Row],[Rete Fuente %]]</f>
        <v>0</v>
      </c>
      <c r="R970" s="32">
        <f>+PROVEEDORES[[#This Row],[SUBTOTAL]]+PROVEEDORES[[#This Row],[IVA 19%]]-PROVEEDORES[[#This Row],[descuento antes de IVA]]-PROVEEDORES[[#This Row],[Descuento sobre subtotal $]]-PROVEEDORES[[#This Row],[Rete Fuente $]]</f>
        <v>523947.48</v>
      </c>
      <c r="S970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0"/>
      <c r="U970" s="97"/>
      <c r="W970" s="40"/>
      <c r="X970" s="40"/>
      <c r="Y970" s="41"/>
      <c r="Z970" s="36"/>
      <c r="AA970" s="36"/>
      <c r="AD970" s="41"/>
      <c r="AE970" s="42"/>
      <c r="AF970" s="36"/>
      <c r="AG970" s="36"/>
    </row>
    <row r="971" spans="1:33" ht="21.95" hidden="1" customHeight="1" x14ac:dyDescent="0.25">
      <c r="A971" s="152" t="str">
        <f>+IF(PROVEEDORES[[#This Row],[FECHA DE PAGO]]=PROVEEDORES[[#This Row],[FECHA DE FACTURACIÓN]],"DE CONTADO","CRÉDITO")</f>
        <v>CRÉDITO</v>
      </c>
      <c r="B971" s="70" t="b">
        <f>+IF((PROVEEDORES[[#This Row],[FECHA DE PAGO]]-PROVEEDORES[[#This Row],[FECHA DE FACTURACIÓN]])&gt;PROVEEDORES[[#This Row],[PLAZO Días]],"PAGO VENCIDO")</f>
        <v>0</v>
      </c>
      <c r="C971" s="27">
        <f>+VLOOKUP(PROVEEDORES[[#This Row],[PROVEEDOR]],TERCEROS_INFO[#All],2,FALSE)</f>
        <v>10</v>
      </c>
      <c r="D971" s="37">
        <f>+SUMIFS(PROVEEDORES[Total],PROVEEDORES[PROVEEDOR],PROVEEDORES[[#This Row],[PROVEEDOR]],PROVEEDORES[FECHA DE PAGO],"")</f>
        <v>0</v>
      </c>
      <c r="E971" s="37"/>
      <c r="F971" s="108" t="str">
        <f>+VLOOKUP(PROVEEDORES[[#This Row],[PROVEEDOR]],TERCEROS_INFO[[PROVEEDOR]:[CORREO]],5,FALSE)</f>
        <v>juanzuluaga@ducon.com.co;girlesa.ruiz@servipilas.com;joriescobar64@gmail.com</v>
      </c>
      <c r="G971" s="143">
        <v>44460</v>
      </c>
      <c r="H971" s="57" t="s">
        <v>863</v>
      </c>
      <c r="I971" s="30">
        <v>44455</v>
      </c>
      <c r="J971" s="58">
        <v>18203</v>
      </c>
      <c r="K971" s="32">
        <v>405000</v>
      </c>
      <c r="L971" s="32"/>
      <c r="M971" s="33">
        <f>(PROVEEDORES[[#This Row],[SUBTOTAL]]-PROVEEDORES[[#This Row],[descuento antes de IVA]])*VLOOKUP(PROVEEDORES[[#This Row],[PROVEEDOR]],TERCEROS_INFO[#All],3,FALSE)</f>
        <v>76950</v>
      </c>
      <c r="N971" s="34"/>
      <c r="O971" s="33">
        <f>+PROVEEDORES[[#This Row],[Descuento sobre subtotal %]]*(PROVEEDORES[[#This Row],[SUBTOTAL]]-PROVEEDORES[[#This Row],[descuento antes de IVA]])</f>
        <v>0</v>
      </c>
      <c r="P9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1" s="33">
        <f>+(PROVEEDORES[[#This Row],[SUBTOTAL]]-PROVEEDORES[[#This Row],[descuento antes de IVA]])*PROVEEDORES[[#This Row],[Rete Fuente %]]</f>
        <v>0</v>
      </c>
      <c r="R971" s="32">
        <f>+PROVEEDORES[[#This Row],[SUBTOTAL]]+PROVEEDORES[[#This Row],[IVA 19%]]-PROVEEDORES[[#This Row],[descuento antes de IVA]]-PROVEEDORES[[#This Row],[Descuento sobre subtotal $]]-PROVEEDORES[[#This Row],[Rete Fuente $]]</f>
        <v>481950</v>
      </c>
      <c r="S971" s="15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1"/>
      <c r="U971" s="97"/>
      <c r="W971" s="40"/>
      <c r="X971" s="40"/>
      <c r="Y971" s="41"/>
      <c r="Z971" s="36"/>
      <c r="AA971" s="36"/>
      <c r="AD971" s="41"/>
      <c r="AE971" s="42"/>
      <c r="AF971" s="36"/>
      <c r="AG971" s="36"/>
    </row>
    <row r="972" spans="1:33" ht="21.95" hidden="1" customHeight="1" x14ac:dyDescent="0.25">
      <c r="A972" s="107" t="str">
        <f>+IF(PROVEEDORES[[#This Row],[FECHA DE PAGO]]=PROVEEDORES[[#This Row],[FECHA DE FACTURACIÓN]],"DE CONTADO","CRÉDITO")</f>
        <v>CRÉDITO</v>
      </c>
      <c r="B972" s="70" t="b">
        <f>+IF((PROVEEDORES[[#This Row],[FECHA DE PAGO]]-PROVEEDORES[[#This Row],[FECHA DE FACTURACIÓN]])&gt;PROVEEDORES[[#This Row],[PLAZO Días]],"PAGO VENCIDO")</f>
        <v>0</v>
      </c>
      <c r="C972" s="27">
        <f>+VLOOKUP(PROVEEDORES[[#This Row],[PROVEEDOR]],TERCEROS_INFO[#All],2,FALSE)</f>
        <v>30</v>
      </c>
      <c r="D972" s="37">
        <f>+SUMIFS(PROVEEDORES[Total],PROVEEDORES[PROVEEDOR],PROVEEDORES[[#This Row],[PROVEEDOR]],PROVEEDORES[FECHA DE PAGO],"")</f>
        <v>0</v>
      </c>
      <c r="E972" s="37"/>
      <c r="F972" s="108" t="str">
        <f>+VLOOKUP(PROVEEDORES[[#This Row],[PROVEEDOR]],TERCEROS_INFO[[PROVEEDOR]:[CORREO]],5,FALSE)</f>
        <v>tesoreria@lacentral.com.co;girlesa.ruiz@servipilas.com;joriescobar64@gmail.com</v>
      </c>
      <c r="G972" s="143">
        <v>44250</v>
      </c>
      <c r="H972" s="38" t="s">
        <v>634</v>
      </c>
      <c r="I972" s="30">
        <v>44228</v>
      </c>
      <c r="J972" s="58"/>
      <c r="K972" s="32">
        <v>1327746</v>
      </c>
      <c r="L972" s="32"/>
      <c r="M972" s="33">
        <f>(PROVEEDORES[[#This Row],[SUBTOTAL]]-PROVEEDORES[[#This Row],[descuento antes de IVA]])*VLOOKUP(PROVEEDORES[[#This Row],[PROVEEDOR]],TERCEROS_INFO[#All],3,FALSE)</f>
        <v>0</v>
      </c>
      <c r="N972" s="34"/>
      <c r="O972" s="33">
        <v>131601</v>
      </c>
      <c r="P9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2" s="33">
        <f>+(PROVEEDORES[[#This Row],[SUBTOTAL]]-PROVEEDORES[[#This Row],[descuento antes de IVA]])*PROVEEDORES[[#This Row],[Rete Fuente %]]</f>
        <v>0</v>
      </c>
      <c r="R972" s="32">
        <f>+PROVEEDORES[[#This Row],[SUBTOTAL]]+PROVEEDORES[[#This Row],[IVA 19%]]-PROVEEDORES[[#This Row],[descuento antes de IVA]]-PROVEEDORES[[#This Row],[Descuento sobre subtotal $]]-PROVEEDORES[[#This Row],[Rete Fuente $]]</f>
        <v>1196145</v>
      </c>
      <c r="S972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2"/>
      <c r="U972" s="97"/>
      <c r="W972" s="40"/>
      <c r="X972" s="40"/>
      <c r="Y972" s="41"/>
      <c r="Z972" s="36"/>
      <c r="AA972" s="36"/>
      <c r="AD972" s="41"/>
      <c r="AE972" s="42"/>
      <c r="AF972" s="36"/>
      <c r="AG972" s="36"/>
    </row>
    <row r="973" spans="1:33" ht="21.95" hidden="1" customHeight="1" x14ac:dyDescent="0.25">
      <c r="A973" s="107" t="str">
        <f>+IF(PROVEEDORES[[#This Row],[FECHA DE PAGO]]=PROVEEDORES[[#This Row],[FECHA DE FACTURACIÓN]],"DE CONTADO","CRÉDITO")</f>
        <v>CRÉDITO</v>
      </c>
      <c r="B973" s="70" t="b">
        <f>+IF((PROVEEDORES[[#This Row],[FECHA DE PAGO]]-PROVEEDORES[[#This Row],[FECHA DE FACTURACIÓN]])&gt;PROVEEDORES[[#This Row],[PLAZO Días]],"PAGO VENCIDO")</f>
        <v>0</v>
      </c>
      <c r="C973" s="27">
        <f>+VLOOKUP(PROVEEDORES[[#This Row],[PROVEEDOR]],TERCEROS_INFO[#All],2,FALSE)</f>
        <v>30</v>
      </c>
      <c r="D973" s="37">
        <f>+SUMIFS(PROVEEDORES[Total],PROVEEDORES[PROVEEDOR],PROVEEDORES[[#This Row],[PROVEEDOR]],PROVEEDORES[FECHA DE PAGO],"")</f>
        <v>0</v>
      </c>
      <c r="E973" s="37"/>
      <c r="F973" s="108" t="str">
        <f>+VLOOKUP(PROVEEDORES[[#This Row],[PROVEEDOR]],TERCEROS_INFO[[PROVEEDOR]:[CORREO]],5,FALSE)</f>
        <v>tesoreria@lacentral.com.co;girlesa.ruiz@servipilas.com;joriescobar64@gmail.com</v>
      </c>
      <c r="G973" s="143">
        <v>44285</v>
      </c>
      <c r="H973" s="38" t="s">
        <v>634</v>
      </c>
      <c r="I973" s="30">
        <v>44256</v>
      </c>
      <c r="J973" s="58">
        <v>7708</v>
      </c>
      <c r="K973" s="32">
        <v>1327746</v>
      </c>
      <c r="L973" s="32"/>
      <c r="M973" s="33">
        <f>(PROVEEDORES[[#This Row],[SUBTOTAL]]-PROVEEDORES[[#This Row],[descuento antes de IVA]])*VLOOKUP(PROVEEDORES[[#This Row],[PROVEEDOR]],TERCEROS_INFO[#All],3,FALSE)</f>
        <v>0</v>
      </c>
      <c r="N973" s="34"/>
      <c r="O973" s="33">
        <v>131601</v>
      </c>
      <c r="P9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3" s="33">
        <f>+(PROVEEDORES[[#This Row],[SUBTOTAL]]-PROVEEDORES[[#This Row],[descuento antes de IVA]])*PROVEEDORES[[#This Row],[Rete Fuente %]]</f>
        <v>0</v>
      </c>
      <c r="R973" s="32">
        <f>+PROVEEDORES[[#This Row],[SUBTOTAL]]+PROVEEDORES[[#This Row],[IVA 19%]]-PROVEEDORES[[#This Row],[descuento antes de IVA]]-PROVEEDORES[[#This Row],[Descuento sobre subtotal $]]-PROVEEDORES[[#This Row],[Rete Fuente $]]</f>
        <v>1196145</v>
      </c>
      <c r="S973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3"/>
      <c r="U973" s="97"/>
      <c r="W973" s="40"/>
      <c r="X973" s="40"/>
      <c r="Y973" s="41"/>
      <c r="Z973" s="36"/>
      <c r="AA973" s="36"/>
      <c r="AD973" s="41"/>
      <c r="AE973" s="42"/>
      <c r="AF973" s="36"/>
      <c r="AG973" s="36"/>
    </row>
    <row r="974" spans="1:33" ht="21.95" hidden="1" customHeight="1" x14ac:dyDescent="0.25">
      <c r="A974" s="107" t="str">
        <f>+IF(PROVEEDORES[[#This Row],[FECHA DE PAGO]]=PROVEEDORES[[#This Row],[FECHA DE FACTURACIÓN]],"DE CONTADO","CRÉDITO")</f>
        <v>CRÉDITO</v>
      </c>
      <c r="B974" s="70" t="b">
        <f>+IF((PROVEEDORES[[#This Row],[FECHA DE PAGO]]-PROVEEDORES[[#This Row],[FECHA DE FACTURACIÓN]])&gt;PROVEEDORES[[#This Row],[PLAZO Días]],"PAGO VENCIDO")</f>
        <v>0</v>
      </c>
      <c r="C974" s="27">
        <f>+VLOOKUP(PROVEEDORES[[#This Row],[PROVEEDOR]],TERCEROS_INFO[#All],2,FALSE)</f>
        <v>30</v>
      </c>
      <c r="D974" s="37">
        <f>+SUMIFS(PROVEEDORES[Total],PROVEEDORES[PROVEEDOR],PROVEEDORES[[#This Row],[PROVEEDOR]],PROVEEDORES[FECHA DE PAGO],"")</f>
        <v>0</v>
      </c>
      <c r="E974" s="37"/>
      <c r="F974" s="108" t="str">
        <f>+VLOOKUP(PROVEEDORES[[#This Row],[PROVEEDOR]],TERCEROS_INFO[[PROVEEDOR]:[CORREO]],5,FALSE)</f>
        <v>tesoreria@lacentral.com.co;girlesa.ruiz@servipilas.com;joriescobar64@gmail.com</v>
      </c>
      <c r="G974" s="143">
        <v>44314</v>
      </c>
      <c r="H974" s="38" t="s">
        <v>634</v>
      </c>
      <c r="I974" s="30">
        <v>44287</v>
      </c>
      <c r="J974" s="58">
        <v>7921</v>
      </c>
      <c r="K974" s="32">
        <v>1517363</v>
      </c>
      <c r="L974" s="32"/>
      <c r="M974" s="33">
        <f>(PROVEEDORES[[#This Row],[SUBTOTAL]]-PROVEEDORES[[#This Row],[descuento antes de IVA]])*VLOOKUP(PROVEEDORES[[#This Row],[PROVEEDOR]],TERCEROS_INFO[#All],3,FALSE)</f>
        <v>0</v>
      </c>
      <c r="N974" s="34"/>
      <c r="O974" s="33">
        <v>360724</v>
      </c>
      <c r="P9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4" s="33">
        <f>+(PROVEEDORES[[#This Row],[SUBTOTAL]]-PROVEEDORES[[#This Row],[descuento antes de IVA]])*PROVEEDORES[[#This Row],[Rete Fuente %]]</f>
        <v>0</v>
      </c>
      <c r="R974" s="32">
        <f>+PROVEEDORES[[#This Row],[SUBTOTAL]]+PROVEEDORES[[#This Row],[IVA 19%]]-PROVEEDORES[[#This Row],[descuento antes de IVA]]-PROVEEDORES[[#This Row],[Descuento sobre subtotal $]]-PROVEEDORES[[#This Row],[Rete Fuente $]]</f>
        <v>1156639</v>
      </c>
      <c r="S974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4"/>
      <c r="U974" s="97"/>
      <c r="W974" s="40"/>
      <c r="X974" s="40"/>
      <c r="Y974" s="41"/>
      <c r="Z974" s="36"/>
      <c r="AA974" s="36"/>
      <c r="AD974" s="41"/>
      <c r="AE974" s="42"/>
      <c r="AF974" s="36"/>
      <c r="AG974" s="36"/>
    </row>
    <row r="975" spans="1:33" ht="21.95" hidden="1" customHeight="1" x14ac:dyDescent="0.25">
      <c r="A975" s="35" t="str">
        <f>+IF(PROVEEDORES[[#This Row],[FECHA DE PAGO]]=PROVEEDORES[[#This Row],[FECHA DE FACTURACIÓN]],"DE CONTADO","CRÉDITO")</f>
        <v>CRÉDITO</v>
      </c>
      <c r="B975" s="70" t="str">
        <f>+IF((PROVEEDORES[[#This Row],[FECHA DE PAGO]]-PROVEEDORES[[#This Row],[FECHA DE FACTURACIÓN]])&gt;PROVEEDORES[[#This Row],[PLAZO Días]],"PAGO VENCIDO")</f>
        <v>PAGO VENCIDO</v>
      </c>
      <c r="C975" s="27">
        <f>+VLOOKUP(PROVEEDORES[[#This Row],[PROVEEDOR]],TERCEROS_INFO[#All],2,FALSE)</f>
        <v>30</v>
      </c>
      <c r="D975" s="37">
        <f>+SUMIFS(PROVEEDORES[Total],PROVEEDORES[PROVEEDOR],PROVEEDORES[[#This Row],[PROVEEDOR]],PROVEEDORES[FECHA DE PAGO],"")</f>
        <v>0</v>
      </c>
      <c r="E975" s="37"/>
      <c r="F975" s="108" t="str">
        <f>+VLOOKUP(PROVEEDORES[[#This Row],[PROVEEDOR]],TERCEROS_INFO[[PROVEEDOR]:[CORREO]],5,FALSE)</f>
        <v>tesoreria@lacentral.com.co;girlesa.ruiz@servipilas.com;joriescobar64@gmail.com</v>
      </c>
      <c r="G975" s="143">
        <v>44498</v>
      </c>
      <c r="H975" s="38" t="s">
        <v>634</v>
      </c>
      <c r="I975" s="30">
        <v>44314</v>
      </c>
      <c r="J975" s="58" t="s">
        <v>1119</v>
      </c>
      <c r="K975" s="32">
        <v>240387</v>
      </c>
      <c r="L975" s="32"/>
      <c r="M975" s="33">
        <f>(PROVEEDORES[[#This Row],[SUBTOTAL]]-PROVEEDORES[[#This Row],[descuento antes de IVA]])*VLOOKUP(PROVEEDORES[[#This Row],[PROVEEDOR]],TERCEROS_INFO[#All],3,FALSE)</f>
        <v>0</v>
      </c>
      <c r="N975" s="34"/>
      <c r="O975" s="33">
        <f>+PROVEEDORES[[#This Row],[Descuento sobre subtotal %]]*(PROVEEDORES[[#This Row],[SUBTOTAL]]-PROVEEDORES[[#This Row],[descuento antes de IVA]])</f>
        <v>0</v>
      </c>
      <c r="P9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5" s="33">
        <f>+(PROVEEDORES[[#This Row],[SUBTOTAL]]-PROVEEDORES[[#This Row],[descuento antes de IVA]])*PROVEEDORES[[#This Row],[Rete Fuente %]]</f>
        <v>0</v>
      </c>
      <c r="R975" s="32">
        <f>+PROVEEDORES[[#This Row],[SUBTOTAL]]+PROVEEDORES[[#This Row],[IVA 19%]]-PROVEEDORES[[#This Row],[descuento antes de IVA]]-PROVEEDORES[[#This Row],[Descuento sobre subtotal $]]-PROVEEDORES[[#This Row],[Rete Fuente $]]</f>
        <v>240387</v>
      </c>
      <c r="S97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5"/>
      <c r="U975" s="97"/>
      <c r="W975" s="40"/>
      <c r="X975" s="40"/>
      <c r="Y975" s="41"/>
      <c r="Z975" s="36"/>
      <c r="AA975" s="36"/>
      <c r="AD975" s="41"/>
      <c r="AE975" s="42"/>
      <c r="AF975" s="36"/>
      <c r="AG975" s="36"/>
    </row>
    <row r="976" spans="1:33" ht="21.95" hidden="1" customHeight="1" x14ac:dyDescent="0.25">
      <c r="A976" s="109" t="str">
        <f>+IF(PROVEEDORES[[#This Row],[FECHA DE PAGO]]=PROVEEDORES[[#This Row],[FECHA DE FACTURACIÓN]],"DE CONTADO","CRÉDITO")</f>
        <v>CRÉDITO</v>
      </c>
      <c r="B976" s="70" t="b">
        <f>+IF((PROVEEDORES[[#This Row],[FECHA DE PAGO]]-PROVEEDORES[[#This Row],[FECHA DE FACTURACIÓN]])&gt;PROVEEDORES[[#This Row],[PLAZO Días]],"PAGO VENCIDO")</f>
        <v>0</v>
      </c>
      <c r="C976" s="27">
        <f>+VLOOKUP(PROVEEDORES[[#This Row],[PROVEEDOR]],TERCEROS_INFO[#All],2,FALSE)</f>
        <v>30</v>
      </c>
      <c r="D976" s="37">
        <f>+SUMIFS(PROVEEDORES[Total],PROVEEDORES[PROVEEDOR],PROVEEDORES[[#This Row],[PROVEEDOR]],PROVEEDORES[FECHA DE PAGO],"")</f>
        <v>0</v>
      </c>
      <c r="E976" s="37"/>
      <c r="F976" s="108" t="str">
        <f>+VLOOKUP(PROVEEDORES[[#This Row],[PROVEEDOR]],TERCEROS_INFO[[PROVEEDOR]:[CORREO]],5,FALSE)</f>
        <v>tesoreria@lacentral.com.co;girlesa.ruiz@servipilas.com;joriescobar64@gmail.com</v>
      </c>
      <c r="G976" s="143">
        <v>44341</v>
      </c>
      <c r="H976" s="57" t="s">
        <v>634</v>
      </c>
      <c r="I976" s="30">
        <v>44317</v>
      </c>
      <c r="J976" s="58">
        <v>8123</v>
      </c>
      <c r="K976" s="32">
        <v>1454122</v>
      </c>
      <c r="L976" s="32"/>
      <c r="M976" s="33">
        <f>(PROVEEDORES[[#This Row],[SUBTOTAL]]-PROVEEDORES[[#This Row],[descuento antes de IVA]])*VLOOKUP(PROVEEDORES[[#This Row],[PROVEEDOR]],TERCEROS_INFO[#All],3,FALSE)</f>
        <v>0</v>
      </c>
      <c r="N976" s="34"/>
      <c r="O976" s="33">
        <v>144160</v>
      </c>
      <c r="P9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6" s="33">
        <f>+(PROVEEDORES[[#This Row],[SUBTOTAL]]-PROVEEDORES[[#This Row],[descuento antes de IVA]])*PROVEEDORES[[#This Row],[Rete Fuente %]]</f>
        <v>0</v>
      </c>
      <c r="R976" s="32">
        <f>+PROVEEDORES[[#This Row],[SUBTOTAL]]+PROVEEDORES[[#This Row],[IVA 19%]]-PROVEEDORES[[#This Row],[descuento antes de IVA]]-PROVEEDORES[[#This Row],[Descuento sobre subtotal $]]-PROVEEDORES[[#This Row],[Rete Fuente $]]</f>
        <v>1309962</v>
      </c>
      <c r="S976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6"/>
      <c r="U976" s="97"/>
      <c r="W976" s="40"/>
      <c r="X976" s="40"/>
      <c r="Y976" s="41"/>
      <c r="Z976" s="36"/>
      <c r="AA976" s="36"/>
      <c r="AD976" s="41"/>
      <c r="AE976" s="42"/>
      <c r="AF976" s="36"/>
      <c r="AG976" s="36"/>
    </row>
    <row r="977" spans="1:33" ht="21.95" hidden="1" customHeight="1" x14ac:dyDescent="0.25">
      <c r="A977" s="35" t="str">
        <f>+IF(PROVEEDORES[[#This Row],[FECHA DE PAGO]]=PROVEEDORES[[#This Row],[FECHA DE FACTURACIÓN]],"DE CONTADO","CRÉDITO")</f>
        <v>CRÉDITO</v>
      </c>
      <c r="B977" s="70" t="b">
        <f>+IF((PROVEEDORES[[#This Row],[FECHA DE PAGO]]-PROVEEDORES[[#This Row],[FECHA DE FACTURACIÓN]])&gt;PROVEEDORES[[#This Row],[PLAZO Días]],"PAGO VENCIDO")</f>
        <v>0</v>
      </c>
      <c r="C977" s="27">
        <f>+VLOOKUP(PROVEEDORES[[#This Row],[PROVEEDOR]],TERCEROS_INFO[#All],2,FALSE)</f>
        <v>30</v>
      </c>
      <c r="D977" s="37">
        <f>+SUMIFS(PROVEEDORES[Total],PROVEEDORES[PROVEEDOR],PROVEEDORES[[#This Row],[PROVEEDOR]],PROVEEDORES[FECHA DE PAGO],"")</f>
        <v>0</v>
      </c>
      <c r="E977" s="37"/>
      <c r="F977" s="108" t="str">
        <f>+VLOOKUP(PROVEEDORES[[#This Row],[PROVEEDOR]],TERCEROS_INFO[[PROVEEDOR]:[CORREO]],5,FALSE)</f>
        <v>tesoreria@lacentral.com.co;girlesa.ruiz@servipilas.com;joriescobar64@gmail.com</v>
      </c>
      <c r="G977" s="143">
        <v>44370</v>
      </c>
      <c r="H977" s="57" t="s">
        <v>634</v>
      </c>
      <c r="I977" s="30">
        <v>44348</v>
      </c>
      <c r="J977" s="58">
        <v>8322</v>
      </c>
      <c r="K977" s="32">
        <v>1516048</v>
      </c>
      <c r="L977" s="32"/>
      <c r="M977" s="33">
        <f>(PROVEEDORES[[#This Row],[SUBTOTAL]]-PROVEEDORES[[#This Row],[descuento antes de IVA]])*VLOOKUP(PROVEEDORES[[#This Row],[PROVEEDOR]],TERCEROS_INFO[#All],3,FALSE)</f>
        <v>0</v>
      </c>
      <c r="N977" s="34"/>
      <c r="O977" s="33">
        <v>150421</v>
      </c>
      <c r="P9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7" s="33">
        <f>+(PROVEEDORES[[#This Row],[SUBTOTAL]]-PROVEEDORES[[#This Row],[descuento antes de IVA]])*PROVEEDORES[[#This Row],[Rete Fuente %]]</f>
        <v>0</v>
      </c>
      <c r="R977" s="32">
        <f>+PROVEEDORES[[#This Row],[SUBTOTAL]]+PROVEEDORES[[#This Row],[IVA 19%]]-PROVEEDORES[[#This Row],[descuento antes de IVA]]-PROVEEDORES[[#This Row],[Descuento sobre subtotal $]]-PROVEEDORES[[#This Row],[Rete Fuente $]]</f>
        <v>1365627</v>
      </c>
      <c r="S97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7"/>
      <c r="U977" s="97"/>
      <c r="W977" s="40"/>
      <c r="X977" s="40"/>
      <c r="Y977" s="41"/>
      <c r="Z977" s="36"/>
      <c r="AA977" s="36"/>
      <c r="AD977" s="41"/>
      <c r="AE977" s="42"/>
      <c r="AF977" s="36"/>
      <c r="AG977" s="36"/>
    </row>
    <row r="978" spans="1:33" ht="21.95" hidden="1" customHeight="1" x14ac:dyDescent="0.25">
      <c r="A978" s="129" t="str">
        <f>+IF(PROVEEDORES[[#This Row],[FECHA DE PAGO]]=PROVEEDORES[[#This Row],[FECHA DE FACTURACIÓN]],"DE CONTADO","CRÉDITO")</f>
        <v>CRÉDITO</v>
      </c>
      <c r="B978" s="70" t="b">
        <f>+IF((PROVEEDORES[[#This Row],[FECHA DE PAGO]]-PROVEEDORES[[#This Row],[FECHA DE FACTURACIÓN]])&gt;PROVEEDORES[[#This Row],[PLAZO Días]],"PAGO VENCIDO")</f>
        <v>0</v>
      </c>
      <c r="C978" s="27">
        <f>+VLOOKUP(PROVEEDORES[[#This Row],[PROVEEDOR]],TERCEROS_INFO[#All],2,FALSE)</f>
        <v>30</v>
      </c>
      <c r="D978" s="37">
        <f>+SUMIFS(PROVEEDORES[Total],PROVEEDORES[PROVEEDOR],PROVEEDORES[[#This Row],[PROVEEDOR]],PROVEEDORES[FECHA DE PAGO],"")</f>
        <v>0</v>
      </c>
      <c r="E978" s="37"/>
      <c r="F978" s="108" t="str">
        <f>+VLOOKUP(PROVEEDORES[[#This Row],[PROVEEDOR]],TERCEROS_INFO[[PROVEEDOR]:[CORREO]],5,FALSE)</f>
        <v>tesoreria@lacentral.com.co;girlesa.ruiz@servipilas.com;joriescobar64@gmail.com</v>
      </c>
      <c r="G978" s="143">
        <v>44396</v>
      </c>
      <c r="H978" s="57" t="s">
        <v>634</v>
      </c>
      <c r="I978" s="30">
        <v>44378</v>
      </c>
      <c r="J978" s="58">
        <v>8521</v>
      </c>
      <c r="K978" s="32">
        <v>1547710</v>
      </c>
      <c r="L978" s="32"/>
      <c r="M978" s="33">
        <f>(PROVEEDORES[[#This Row],[SUBTOTAL]]-PROVEEDORES[[#This Row],[descuento antes de IVA]])*VLOOKUP(PROVEEDORES[[#This Row],[PROVEEDOR]],TERCEROS_INFO[#All],3,FALSE)</f>
        <v>0</v>
      </c>
      <c r="N978" s="34"/>
      <c r="O978" s="33">
        <v>138087</v>
      </c>
      <c r="P9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8" s="33">
        <f>+(PROVEEDORES[[#This Row],[SUBTOTAL]]-PROVEEDORES[[#This Row],[descuento antes de IVA]])*PROVEEDORES[[#This Row],[Rete Fuente %]]</f>
        <v>0</v>
      </c>
      <c r="R978" s="32">
        <f>+PROVEEDORES[[#This Row],[SUBTOTAL]]+PROVEEDORES[[#This Row],[IVA 19%]]-PROVEEDORES[[#This Row],[descuento antes de IVA]]-PROVEEDORES[[#This Row],[Descuento sobre subtotal $]]-PROVEEDORES[[#This Row],[Rete Fuente $]]</f>
        <v>1409623</v>
      </c>
      <c r="S978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8"/>
      <c r="U978" s="97"/>
      <c r="W978" s="40"/>
      <c r="X978" s="40"/>
      <c r="Y978" s="41"/>
      <c r="Z978" s="36"/>
      <c r="AA978" s="36"/>
      <c r="AD978" s="41"/>
      <c r="AE978" s="42"/>
      <c r="AF978" s="36"/>
      <c r="AG978" s="36"/>
    </row>
    <row r="979" spans="1:33" ht="21.95" hidden="1" customHeight="1" x14ac:dyDescent="0.25">
      <c r="A979" s="139" t="str">
        <f>+IF(PROVEEDORES[[#This Row],[FECHA DE PAGO]]=PROVEEDORES[[#This Row],[FECHA DE FACTURACIÓN]],"DE CONTADO","CRÉDITO")</f>
        <v>CRÉDITO</v>
      </c>
      <c r="B979" s="70" t="b">
        <f>+IF((PROVEEDORES[[#This Row],[FECHA DE PAGO]]-PROVEEDORES[[#This Row],[FECHA DE FACTURACIÓN]])&gt;PROVEEDORES[[#This Row],[PLAZO Días]],"PAGO VENCIDO")</f>
        <v>0</v>
      </c>
      <c r="C979" s="27">
        <f>+VLOOKUP(PROVEEDORES[[#This Row],[PROVEEDOR]],TERCEROS_INFO[#All],2,FALSE)</f>
        <v>30</v>
      </c>
      <c r="D979" s="37">
        <f>+SUMIFS(PROVEEDORES[Total],PROVEEDORES[PROVEEDOR],PROVEEDORES[[#This Row],[PROVEEDOR]],PROVEEDORES[FECHA DE PAGO],"")</f>
        <v>0</v>
      </c>
      <c r="E979" s="37"/>
      <c r="F979" s="108" t="str">
        <f>+VLOOKUP(PROVEEDORES[[#This Row],[PROVEEDOR]],TERCEROS_INFO[[PROVEEDOR]:[CORREO]],5,FALSE)</f>
        <v>tesoreria@lacentral.com.co;girlesa.ruiz@servipilas.com;joriescobar64@gmail.com</v>
      </c>
      <c r="G979" s="143">
        <v>44432</v>
      </c>
      <c r="H979" s="38" t="s">
        <v>634</v>
      </c>
      <c r="I979" s="30">
        <v>44409</v>
      </c>
      <c r="J979" s="58">
        <v>8720</v>
      </c>
      <c r="K979" s="32">
        <v>1547710</v>
      </c>
      <c r="L979" s="32"/>
      <c r="M979" s="33">
        <f>(PROVEEDORES[[#This Row],[SUBTOTAL]]-PROVEEDORES[[#This Row],[descuento antes de IVA]])*VLOOKUP(PROVEEDORES[[#This Row],[PROVEEDOR]],TERCEROS_INFO[#All],3,FALSE)</f>
        <v>0</v>
      </c>
      <c r="N979" s="34"/>
      <c r="O979" s="33">
        <v>107401</v>
      </c>
      <c r="P9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79" s="33">
        <f>+(PROVEEDORES[[#This Row],[SUBTOTAL]]-PROVEEDORES[[#This Row],[descuento antes de IVA]])*PROVEEDORES[[#This Row],[Rete Fuente %]]</f>
        <v>0</v>
      </c>
      <c r="R979" s="32">
        <f>+PROVEEDORES[[#This Row],[SUBTOTAL]]+PROVEEDORES[[#This Row],[IVA 19%]]-PROVEEDORES[[#This Row],[descuento antes de IVA]]-PROVEEDORES[[#This Row],[Descuento sobre subtotal $]]-PROVEEDORES[[#This Row],[Rete Fuente $]]</f>
        <v>1440309</v>
      </c>
      <c r="S979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9"/>
      <c r="U979" s="97"/>
      <c r="W979" s="40"/>
      <c r="X979" s="40"/>
      <c r="Y979" s="41"/>
      <c r="Z979" s="36"/>
      <c r="AA979" s="36"/>
      <c r="AD979" s="41"/>
      <c r="AE979" s="42"/>
      <c r="AF979" s="36"/>
      <c r="AG979" s="36"/>
    </row>
    <row r="980" spans="1:33" ht="21.95" hidden="1" customHeight="1" x14ac:dyDescent="0.25">
      <c r="A980" s="148" t="str">
        <f>+IF(PROVEEDORES[[#This Row],[FECHA DE PAGO]]=PROVEEDORES[[#This Row],[FECHA DE FACTURACIÓN]],"DE CONTADO","CRÉDITO")</f>
        <v>CRÉDITO</v>
      </c>
      <c r="B980" s="70" t="b">
        <f>+IF((PROVEEDORES[[#This Row],[FECHA DE PAGO]]-PROVEEDORES[[#This Row],[FECHA DE FACTURACIÓN]])&gt;PROVEEDORES[[#This Row],[PLAZO Días]],"PAGO VENCIDO")</f>
        <v>0</v>
      </c>
      <c r="C980" s="27">
        <f>+VLOOKUP(PROVEEDORES[[#This Row],[PROVEEDOR]],TERCEROS_INFO[#All],2,FALSE)</f>
        <v>30</v>
      </c>
      <c r="D980" s="37">
        <f>+SUMIFS(PROVEEDORES[Total],PROVEEDORES[PROVEEDOR],PROVEEDORES[[#This Row],[PROVEEDOR]],PROVEEDORES[FECHA DE PAGO],"")</f>
        <v>0</v>
      </c>
      <c r="E980" s="37"/>
      <c r="F980" s="108" t="str">
        <f>+VLOOKUP(PROVEEDORES[[#This Row],[PROVEEDOR]],TERCEROS_INFO[[PROVEEDOR]:[CORREO]],5,FALSE)</f>
        <v>tesoreria@lacentral.com.co;girlesa.ruiz@servipilas.com;joriescobar64@gmail.com</v>
      </c>
      <c r="G980" s="143">
        <v>44461</v>
      </c>
      <c r="H980" s="38" t="s">
        <v>634</v>
      </c>
      <c r="I980" s="30">
        <v>44440</v>
      </c>
      <c r="J980" s="58">
        <v>8919</v>
      </c>
      <c r="K980" s="32">
        <v>1547710</v>
      </c>
      <c r="L980" s="32"/>
      <c r="M980" s="33">
        <f>(PROVEEDORES[[#This Row],[SUBTOTAL]]-PROVEEDORES[[#This Row],[descuento antes de IVA]])*VLOOKUP(PROVEEDORES[[#This Row],[PROVEEDOR]],TERCEROS_INFO[#All],3,FALSE)</f>
        <v>0</v>
      </c>
      <c r="N980" s="34"/>
      <c r="O980" s="33">
        <v>75639</v>
      </c>
      <c r="P9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0" s="33">
        <f>+(PROVEEDORES[[#This Row],[SUBTOTAL]]-PROVEEDORES[[#This Row],[descuento antes de IVA]])*PROVEEDORES[[#This Row],[Rete Fuente %]]</f>
        <v>0</v>
      </c>
      <c r="R980" s="32">
        <f>+PROVEEDORES[[#This Row],[SUBTOTAL]]+PROVEEDORES[[#This Row],[IVA 19%]]-PROVEEDORES[[#This Row],[descuento antes de IVA]]-PROVEEDORES[[#This Row],[Descuento sobre subtotal $]]-PROVEEDORES[[#This Row],[Rete Fuente $]]</f>
        <v>1472071</v>
      </c>
      <c r="S980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0"/>
      <c r="U980" s="97"/>
      <c r="W980" s="40"/>
      <c r="X980" s="40"/>
      <c r="Y980" s="41"/>
      <c r="Z980" s="36"/>
      <c r="AA980" s="36"/>
      <c r="AD980" s="41"/>
      <c r="AE980" s="42"/>
      <c r="AF980" s="36"/>
      <c r="AG980" s="36"/>
    </row>
    <row r="981" spans="1:33" ht="21.95" hidden="1" customHeight="1" x14ac:dyDescent="0.25">
      <c r="A981" s="154" t="str">
        <f>+IF(PROVEEDORES[[#This Row],[FECHA DE PAGO]]=PROVEEDORES[[#This Row],[FECHA DE FACTURACIÓN]],"DE CONTADO","CRÉDITO")</f>
        <v>CRÉDITO</v>
      </c>
      <c r="B981" s="70" t="b">
        <f>+IF((PROVEEDORES[[#This Row],[FECHA DE PAGO]]-PROVEEDORES[[#This Row],[FECHA DE FACTURACIÓN]])&gt;PROVEEDORES[[#This Row],[PLAZO Días]],"PAGO VENCIDO")</f>
        <v>0</v>
      </c>
      <c r="C981" s="27">
        <f>+VLOOKUP(PROVEEDORES[[#This Row],[PROVEEDOR]],TERCEROS_INFO[#All],2,FALSE)</f>
        <v>30</v>
      </c>
      <c r="D981" s="37">
        <f>+SUMIFS(PROVEEDORES[Total],PROVEEDORES[PROVEEDOR],PROVEEDORES[[#This Row],[PROVEEDOR]],PROVEEDORES[FECHA DE PAGO],"")</f>
        <v>0</v>
      </c>
      <c r="E981" s="37"/>
      <c r="F981" s="108" t="str">
        <f>+VLOOKUP(PROVEEDORES[[#This Row],[PROVEEDOR]],TERCEROS_INFO[[PROVEEDOR]:[CORREO]],5,FALSE)</f>
        <v>tesoreria@lacentral.com.co;girlesa.ruiz@servipilas.com;joriescobar64@gmail.com</v>
      </c>
      <c r="G981" s="143">
        <v>44496</v>
      </c>
      <c r="H981" s="38" t="s">
        <v>634</v>
      </c>
      <c r="I981" s="30">
        <v>44470</v>
      </c>
      <c r="J981" s="58">
        <v>9120</v>
      </c>
      <c r="K981" s="32">
        <v>1547710</v>
      </c>
      <c r="L981" s="32"/>
      <c r="M981" s="33">
        <f>(PROVEEDORES[[#This Row],[SUBTOTAL]]-PROVEEDORES[[#This Row],[descuento antes de IVA]])*VLOOKUP(PROVEEDORES[[#This Row],[PROVEEDOR]],TERCEROS_INFO[#All],3,FALSE)</f>
        <v>0</v>
      </c>
      <c r="N981" s="34"/>
      <c r="O981" s="33">
        <v>75639</v>
      </c>
      <c r="P9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1" s="33">
        <f>+(PROVEEDORES[[#This Row],[SUBTOTAL]]-PROVEEDORES[[#This Row],[descuento antes de IVA]])*PROVEEDORES[[#This Row],[Rete Fuente %]]</f>
        <v>0</v>
      </c>
      <c r="R981" s="32">
        <f>+PROVEEDORES[[#This Row],[SUBTOTAL]]+PROVEEDORES[[#This Row],[IVA 19%]]-PROVEEDORES[[#This Row],[descuento antes de IVA]]-PROVEEDORES[[#This Row],[Descuento sobre subtotal $]]-PROVEEDORES[[#This Row],[Rete Fuente $]]</f>
        <v>1472071</v>
      </c>
      <c r="S981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1"/>
      <c r="U981" s="97"/>
      <c r="W981" s="40"/>
      <c r="X981" s="40"/>
      <c r="Y981" s="41"/>
      <c r="Z981" s="36"/>
      <c r="AA981" s="36"/>
      <c r="AD981" s="41"/>
      <c r="AE981" s="42"/>
      <c r="AF981" s="36"/>
      <c r="AG981" s="36"/>
    </row>
    <row r="982" spans="1:33" ht="21.95" hidden="1" customHeight="1" x14ac:dyDescent="0.25">
      <c r="A982" s="35" t="str">
        <f>+IF(PROVEEDORES[[#This Row],[FECHA DE PAGO]]=PROVEEDORES[[#This Row],[FECHA DE FACTURACIÓN]],"DE CONTADO","CRÉDITO")</f>
        <v>CRÉDITO</v>
      </c>
      <c r="B982" s="70" t="b">
        <f>+IF((PROVEEDORES[[#This Row],[FECHA DE PAGO]]-PROVEEDORES[[#This Row],[FECHA DE FACTURACIÓN]])&gt;PROVEEDORES[[#This Row],[PLAZO Días]],"PAGO VENCIDO")</f>
        <v>0</v>
      </c>
      <c r="C982" s="27">
        <f>+VLOOKUP(PROVEEDORES[[#This Row],[PROVEEDOR]],TERCEROS_INFO[#All],2,FALSE)</f>
        <v>30</v>
      </c>
      <c r="D982" s="37">
        <f>+SUMIFS(PROVEEDORES[Total],PROVEEDORES[PROVEEDOR],PROVEEDORES[[#This Row],[PROVEEDOR]],PROVEEDORES[FECHA DE PAGO],"")</f>
        <v>0</v>
      </c>
      <c r="E982" s="37"/>
      <c r="F982" s="108" t="str">
        <f>+VLOOKUP(PROVEEDORES[[#This Row],[PROVEEDOR]],TERCEROS_INFO[[PROVEEDOR]:[CORREO]],5,FALSE)</f>
        <v>tesoreria@lacentral.com.co;girlesa.ruiz@servipilas.com;joriescobar64@gmail.com</v>
      </c>
      <c r="G982" s="143">
        <v>44527</v>
      </c>
      <c r="H982" s="38" t="s">
        <v>634</v>
      </c>
      <c r="I982" s="30">
        <v>44501</v>
      </c>
      <c r="J982" s="58">
        <v>9319</v>
      </c>
      <c r="K982" s="32">
        <v>1547710</v>
      </c>
      <c r="L982" s="32"/>
      <c r="M982" s="33">
        <f>(PROVEEDORES[[#This Row],[SUBTOTAL]]-PROVEEDORES[[#This Row],[descuento antes de IVA]])*VLOOKUP(PROVEEDORES[[#This Row],[PROVEEDOR]],TERCEROS_INFO[#All],3,FALSE)</f>
        <v>0</v>
      </c>
      <c r="N982" s="34"/>
      <c r="O982" s="33">
        <v>75639</v>
      </c>
      <c r="P9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2" s="33">
        <f>+(PROVEEDORES[[#This Row],[SUBTOTAL]]-PROVEEDORES[[#This Row],[descuento antes de IVA]])*PROVEEDORES[[#This Row],[Rete Fuente %]]</f>
        <v>0</v>
      </c>
      <c r="R982" s="32">
        <f>+PROVEEDORES[[#This Row],[SUBTOTAL]]+PROVEEDORES[[#This Row],[IVA 19%]]-PROVEEDORES[[#This Row],[descuento antes de IVA]]-PROVEEDORES[[#This Row],[Descuento sobre subtotal $]]-PROVEEDORES[[#This Row],[Rete Fuente $]]</f>
        <v>1472071</v>
      </c>
      <c r="S98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2"/>
      <c r="U982" s="97"/>
      <c r="W982" s="40"/>
      <c r="X982" s="40"/>
      <c r="Y982" s="41"/>
      <c r="Z982" s="36"/>
      <c r="AA982" s="36"/>
      <c r="AD982" s="41"/>
      <c r="AE982" s="42"/>
      <c r="AF982" s="36"/>
      <c r="AG982" s="36"/>
    </row>
    <row r="983" spans="1:33" ht="21.95" hidden="1" customHeight="1" x14ac:dyDescent="0.25">
      <c r="A983" s="35" t="str">
        <f>+IF(PROVEEDORES[[#This Row],[FECHA DE PAGO]]=PROVEEDORES[[#This Row],[FECHA DE FACTURACIÓN]],"DE CONTADO","CRÉDITO")</f>
        <v>CRÉDITO</v>
      </c>
      <c r="B983" s="70" t="b">
        <f>+IF((PROVEEDORES[[#This Row],[FECHA DE PAGO]]-PROVEEDORES[[#This Row],[FECHA DE FACTURACIÓN]])&gt;PROVEEDORES[[#This Row],[PLAZO Días]],"PAGO VENCIDO")</f>
        <v>0</v>
      </c>
      <c r="C983" s="27">
        <f>+VLOOKUP(PROVEEDORES[[#This Row],[PROVEEDOR]],TERCEROS_INFO[#All],2,FALSE)</f>
        <v>30</v>
      </c>
      <c r="D983" s="37">
        <f>+SUMIFS(PROVEEDORES[Total],PROVEEDORES[PROVEEDOR],PROVEEDORES[[#This Row],[PROVEEDOR]],PROVEEDORES[FECHA DE PAGO],"")</f>
        <v>0</v>
      </c>
      <c r="E983" s="37"/>
      <c r="F983" s="108" t="str">
        <f>+VLOOKUP(PROVEEDORES[[#This Row],[PROVEEDOR]],TERCEROS_INFO[[PROVEEDOR]:[CORREO]],5,FALSE)</f>
        <v>tesoreria@lacentral.com.co;girlesa.ruiz@servipilas.com;joriescobar64@gmail.com</v>
      </c>
      <c r="G983" s="143">
        <v>44554</v>
      </c>
      <c r="H983" s="38" t="s">
        <v>634</v>
      </c>
      <c r="I983" s="30">
        <v>44531</v>
      </c>
      <c r="J983" s="58">
        <v>9520</v>
      </c>
      <c r="K983" s="32">
        <v>1803180</v>
      </c>
      <c r="L983" s="32"/>
      <c r="M983" s="33">
        <f>(PROVEEDORES[[#This Row],[SUBTOTAL]]-PROVEEDORES[[#This Row],[descuento antes de IVA]])*VLOOKUP(PROVEEDORES[[#This Row],[PROVEEDOR]],TERCEROS_INFO[#All],3,FALSE)</f>
        <v>0</v>
      </c>
      <c r="N983" s="34"/>
      <c r="O983" s="33">
        <f>255470+75639</f>
        <v>331109</v>
      </c>
      <c r="P9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3" s="33">
        <f>+(PROVEEDORES[[#This Row],[SUBTOTAL]]-PROVEEDORES[[#This Row],[descuento antes de IVA]])*PROVEEDORES[[#This Row],[Rete Fuente %]]</f>
        <v>0</v>
      </c>
      <c r="R983" s="32">
        <f>+PROVEEDORES[[#This Row],[SUBTOTAL]]+PROVEEDORES[[#This Row],[IVA 19%]]-PROVEEDORES[[#This Row],[descuento antes de IVA]]-PROVEEDORES[[#This Row],[Descuento sobre subtotal $]]-PROVEEDORES[[#This Row],[Rete Fuente $]]</f>
        <v>1472071</v>
      </c>
      <c r="S98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3"/>
      <c r="U983" s="97"/>
      <c r="W983" s="40"/>
      <c r="X983" s="40"/>
      <c r="Y983" s="41"/>
      <c r="Z983" s="36"/>
      <c r="AA983" s="36"/>
      <c r="AD983" s="41"/>
      <c r="AE983" s="42"/>
      <c r="AF983" s="36"/>
      <c r="AG983" s="36"/>
    </row>
    <row r="984" spans="1:33" ht="21.95" hidden="1" customHeight="1" x14ac:dyDescent="0.25">
      <c r="A984" s="119" t="str">
        <f>+IF(PROVEEDORES[[#This Row],[FECHA DE PAGO]]=PROVEEDORES[[#This Row],[FECHA DE FACTURACIÓN]],"DE CONTADO","CRÉDITO")</f>
        <v>CRÉDITO</v>
      </c>
      <c r="B984" s="70" t="b">
        <f>+IF((PROVEEDORES[[#This Row],[FECHA DE PAGO]]-PROVEEDORES[[#This Row],[FECHA DE FACTURACIÓN]])&gt;PROVEEDORES[[#This Row],[PLAZO Días]],"PAGO VENCIDO")</f>
        <v>0</v>
      </c>
      <c r="C984" s="27">
        <f>+VLOOKUP(PROVEEDORES[[#This Row],[PROVEEDOR]],TERCEROS_INFO[#All],2,FALSE)</f>
        <v>60</v>
      </c>
      <c r="D984" s="37">
        <f>+SUMIFS(PROVEEDORES[Total],PROVEEDORES[PROVEEDOR],PROVEEDORES[[#This Row],[PROVEEDOR]],PROVEEDORES[FECHA DE PAGO],"")</f>
        <v>0</v>
      </c>
      <c r="E984" s="37"/>
      <c r="F984" s="108" t="str">
        <f>+VLOOKUP(PROVEEDORES[[#This Row],[PROVEEDOR]],TERCEROS_INFO[[PROVEEDOR]:[CORREO]],5,FALSE)</f>
        <v>pse</v>
      </c>
      <c r="G984" s="143">
        <v>44404</v>
      </c>
      <c r="H984" s="38" t="s">
        <v>686</v>
      </c>
      <c r="I984" s="30">
        <v>44366</v>
      </c>
      <c r="J984" s="120" t="s">
        <v>1163</v>
      </c>
      <c r="K984" s="122">
        <v>1264021</v>
      </c>
      <c r="L984" s="32"/>
      <c r="M984" s="33">
        <f>(PROVEEDORES[[#This Row],[SUBTOTAL]]-PROVEEDORES[[#This Row],[descuento antes de IVA]])*VLOOKUP(PROVEEDORES[[#This Row],[PROVEEDOR]],TERCEROS_INFO[#All],3,FALSE)</f>
        <v>0</v>
      </c>
      <c r="N984" s="34"/>
      <c r="O984" s="33">
        <f>+PROVEEDORES[[#This Row],[Descuento sobre subtotal %]]*(PROVEEDORES[[#This Row],[SUBTOTAL]]-PROVEEDORES[[#This Row],[descuento antes de IVA]])</f>
        <v>0</v>
      </c>
      <c r="P9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4" s="33">
        <f>+(PROVEEDORES[[#This Row],[SUBTOTAL]]-PROVEEDORES[[#This Row],[descuento antes de IVA]])*PROVEEDORES[[#This Row],[Rete Fuente %]]</f>
        <v>0</v>
      </c>
      <c r="R984" s="32">
        <f>+PROVEEDORES[[#This Row],[SUBTOTAL]]+PROVEEDORES[[#This Row],[IVA 19%]]-PROVEEDORES[[#This Row],[descuento antes de IVA]]-PROVEEDORES[[#This Row],[Descuento sobre subtotal $]]-PROVEEDORES[[#This Row],[Rete Fuente $]]</f>
        <v>1264021</v>
      </c>
      <c r="S984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4"/>
      <c r="U984" s="97"/>
      <c r="W984" s="40"/>
      <c r="X984" s="40"/>
      <c r="Y984" s="41"/>
      <c r="Z984" s="36"/>
      <c r="AA984" s="36"/>
      <c r="AD984" s="41"/>
      <c r="AE984" s="42"/>
      <c r="AF984" s="36"/>
      <c r="AG984" s="36"/>
    </row>
    <row r="985" spans="1:33" ht="21.95" hidden="1" customHeight="1" x14ac:dyDescent="0.25">
      <c r="A985" s="157" t="str">
        <f>+IF(PROVEEDORES[[#This Row],[FECHA DE PAGO]]=PROVEEDORES[[#This Row],[FECHA DE FACTURACIÓN]],"DE CONTADO","CRÉDITO")</f>
        <v>CRÉDITO</v>
      </c>
      <c r="B985" s="70" t="b">
        <f>+IF((PROVEEDORES[[#This Row],[FECHA DE PAGO]]-PROVEEDORES[[#This Row],[FECHA DE FACTURACIÓN]])&gt;PROVEEDORES[[#This Row],[PLAZO Días]],"PAGO VENCIDO")</f>
        <v>0</v>
      </c>
      <c r="C985" s="27">
        <f>+VLOOKUP(PROVEEDORES[[#This Row],[PROVEEDOR]],TERCEROS_INFO[#All],2,FALSE)</f>
        <v>45</v>
      </c>
      <c r="D985" s="37">
        <f>+SUMIFS(PROVEEDORES[Total],PROVEEDORES[PROVEEDOR],PROVEEDORES[[#This Row],[PROVEEDOR]],PROVEEDORES[FECHA DE PAGO],"")</f>
        <v>0</v>
      </c>
      <c r="E985" s="37"/>
      <c r="F985" s="108">
        <f>+VLOOKUP(PROVEEDORES[[#This Row],[PROVEEDOR]],TERCEROS_INFO[[PROVEEDOR]:[CORREO]],5,FALSE)</f>
        <v>0</v>
      </c>
      <c r="G985" s="143">
        <v>44504</v>
      </c>
      <c r="H985" s="57" t="s">
        <v>903</v>
      </c>
      <c r="I985" s="30">
        <v>44489</v>
      </c>
      <c r="J985" s="58" t="s">
        <v>1277</v>
      </c>
      <c r="K985" s="32">
        <v>800000</v>
      </c>
      <c r="L985" s="32"/>
      <c r="M985" s="33">
        <f>(PROVEEDORES[[#This Row],[SUBTOTAL]]-PROVEEDORES[[#This Row],[descuento antes de IVA]])*VLOOKUP(PROVEEDORES[[#This Row],[PROVEEDOR]],TERCEROS_INFO[#All],3,FALSE)</f>
        <v>0</v>
      </c>
      <c r="N985" s="34"/>
      <c r="O985" s="33">
        <f>+PROVEEDORES[[#This Row],[Descuento sobre subtotal %]]*(PROVEEDORES[[#This Row],[SUBTOTAL]]-PROVEEDORES[[#This Row],[descuento antes de IVA]])</f>
        <v>0</v>
      </c>
      <c r="P9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5" s="33">
        <f>+(PROVEEDORES[[#This Row],[SUBTOTAL]]-PROVEEDORES[[#This Row],[descuento antes de IVA]])*PROVEEDORES[[#This Row],[Rete Fuente %]]</f>
        <v>0</v>
      </c>
      <c r="R985" s="32">
        <f>+PROVEEDORES[[#This Row],[SUBTOTAL]]+PROVEEDORES[[#This Row],[IVA 19%]]-PROVEEDORES[[#This Row],[descuento antes de IVA]]-PROVEEDORES[[#This Row],[Descuento sobre subtotal $]]-PROVEEDORES[[#This Row],[Rete Fuente $]]</f>
        <v>800000</v>
      </c>
      <c r="S985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5"/>
      <c r="U985" s="97"/>
      <c r="W985" s="40"/>
      <c r="X985" s="40"/>
      <c r="Y985" s="41"/>
      <c r="Z985" s="36"/>
      <c r="AA985" s="36"/>
      <c r="AD985" s="41"/>
      <c r="AE985" s="42"/>
      <c r="AF985" s="36"/>
      <c r="AG985" s="36"/>
    </row>
    <row r="986" spans="1:33" ht="21.95" hidden="1" customHeight="1" x14ac:dyDescent="0.25">
      <c r="A986" s="107" t="str">
        <f>+IF(PROVEEDORES[[#This Row],[FECHA DE PAGO]]=PROVEEDORES[[#This Row],[FECHA DE FACTURACIÓN]],"DE CONTADO","CRÉDITO")</f>
        <v>CRÉDITO</v>
      </c>
      <c r="B986" s="70" t="b">
        <f>+IF((PROVEEDORES[[#This Row],[FECHA DE PAGO]]-PROVEEDORES[[#This Row],[FECHA DE FACTURACIÓN]])&gt;PROVEEDORES[[#This Row],[PLAZO Días]],"PAGO VENCIDO")</f>
        <v>0</v>
      </c>
      <c r="C986" s="27">
        <f>+VLOOKUP(PROVEEDORES[[#This Row],[PROVEEDOR]],TERCEROS_INFO[#All],2,FALSE)</f>
        <v>30</v>
      </c>
      <c r="D986" s="37">
        <f>+SUMIFS(PROVEEDORES[Total],PROVEEDORES[PROVEEDOR],PROVEEDORES[[#This Row],[PROVEEDOR]],PROVEEDORES[FECHA DE PAGO],"")</f>
        <v>0</v>
      </c>
      <c r="E986" s="37"/>
      <c r="F986" s="108" t="str">
        <f>+VLOOKUP(PROVEEDORES[[#This Row],[PROVEEDOR]],TERCEROS_INFO[[PROVEEDOR]:[CORREO]],5,FALSE)</f>
        <v>pse</v>
      </c>
      <c r="G986" s="143">
        <v>44243</v>
      </c>
      <c r="H986" s="38" t="s">
        <v>645</v>
      </c>
      <c r="I986" s="30">
        <v>44228</v>
      </c>
      <c r="J986" s="58"/>
      <c r="K986" s="32">
        <v>250973</v>
      </c>
      <c r="L986" s="32"/>
      <c r="M986" s="33">
        <f>(PROVEEDORES[[#This Row],[SUBTOTAL]]-PROVEEDORES[[#This Row],[descuento antes de IVA]])*VLOOKUP(PROVEEDORES[[#This Row],[PROVEEDOR]],TERCEROS_INFO[#All],3,FALSE)</f>
        <v>0</v>
      </c>
      <c r="N986" s="34"/>
      <c r="O986" s="33">
        <v>32616.300000000003</v>
      </c>
      <c r="P9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6" s="33">
        <f>+(PROVEEDORES[[#This Row],[SUBTOTAL]]-PROVEEDORES[[#This Row],[descuento antes de IVA]])*PROVEEDORES[[#This Row],[Rete Fuente %]]</f>
        <v>0</v>
      </c>
      <c r="R986" s="32">
        <f>+PROVEEDORES[[#This Row],[SUBTOTAL]]+PROVEEDORES[[#This Row],[IVA 19%]]-PROVEEDORES[[#This Row],[descuento antes de IVA]]-PROVEEDORES[[#This Row],[Descuento sobre subtotal $]]-PROVEEDORES[[#This Row],[Rete Fuente $]]</f>
        <v>218356.7</v>
      </c>
      <c r="S986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6"/>
      <c r="U986" s="97"/>
      <c r="W986" s="40"/>
      <c r="X986" s="40"/>
      <c r="Y986" s="41"/>
      <c r="Z986" s="36"/>
      <c r="AA986" s="36"/>
      <c r="AD986" s="41"/>
      <c r="AE986" s="42"/>
      <c r="AF986" s="36"/>
      <c r="AG986" s="36"/>
    </row>
    <row r="987" spans="1:33" ht="21.95" hidden="1" customHeight="1" x14ac:dyDescent="0.25">
      <c r="A987" s="107" t="str">
        <f>+IF(PROVEEDORES[[#This Row],[FECHA DE PAGO]]=PROVEEDORES[[#This Row],[FECHA DE FACTURACIÓN]],"DE CONTADO","CRÉDITO")</f>
        <v>CRÉDITO</v>
      </c>
      <c r="B987" s="70" t="b">
        <f>+IF((PROVEEDORES[[#This Row],[FECHA DE PAGO]]-PROVEEDORES[[#This Row],[FECHA DE FACTURACIÓN]])&gt;PROVEEDORES[[#This Row],[PLAZO Días]],"PAGO VENCIDO")</f>
        <v>0</v>
      </c>
      <c r="C987" s="27">
        <f>+VLOOKUP(PROVEEDORES[[#This Row],[PROVEEDOR]],TERCEROS_INFO[#All],2,FALSE)</f>
        <v>30</v>
      </c>
      <c r="D987" s="37">
        <f>+SUMIFS(PROVEEDORES[Total],PROVEEDORES[PROVEEDOR],PROVEEDORES[[#This Row],[PROVEEDOR]],PROVEEDORES[FECHA DE PAGO],"")</f>
        <v>0</v>
      </c>
      <c r="E987" s="37"/>
      <c r="F987" s="108" t="str">
        <f>+VLOOKUP(PROVEEDORES[[#This Row],[PROVEEDOR]],TERCEROS_INFO[[PROVEEDOR]:[CORREO]],5,FALSE)</f>
        <v>pse</v>
      </c>
      <c r="G987" s="143">
        <v>44271</v>
      </c>
      <c r="H987" s="38" t="s">
        <v>645</v>
      </c>
      <c r="I987" s="30">
        <v>44256</v>
      </c>
      <c r="J987" s="58">
        <v>61974</v>
      </c>
      <c r="K987" s="32">
        <v>250973</v>
      </c>
      <c r="L987" s="32"/>
      <c r="M987" s="33">
        <f>(PROVEEDORES[[#This Row],[SUBTOTAL]]-PROVEEDORES[[#This Row],[descuento antes de IVA]])*VLOOKUP(PROVEEDORES[[#This Row],[PROVEEDOR]],TERCEROS_INFO[#All],3,FALSE)</f>
        <v>0</v>
      </c>
      <c r="N987" s="34"/>
      <c r="O987" s="33">
        <v>12532</v>
      </c>
      <c r="P9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7" s="33">
        <f>+(PROVEEDORES[[#This Row],[SUBTOTAL]]-PROVEEDORES[[#This Row],[descuento antes de IVA]])*PROVEEDORES[[#This Row],[Rete Fuente %]]</f>
        <v>0</v>
      </c>
      <c r="R987" s="32">
        <f>+PROVEEDORES[[#This Row],[SUBTOTAL]]+PROVEEDORES[[#This Row],[IVA 19%]]-PROVEEDORES[[#This Row],[descuento antes de IVA]]-PROVEEDORES[[#This Row],[Descuento sobre subtotal $]]-PROVEEDORES[[#This Row],[Rete Fuente $]]</f>
        <v>238441</v>
      </c>
      <c r="S987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7"/>
      <c r="U987" s="97"/>
      <c r="W987" s="40"/>
      <c r="X987" s="40"/>
      <c r="Y987" s="41"/>
      <c r="Z987" s="36"/>
      <c r="AA987" s="36"/>
      <c r="AD987" s="41"/>
      <c r="AE987" s="42"/>
      <c r="AF987" s="36"/>
      <c r="AG987" s="36"/>
    </row>
    <row r="988" spans="1:33" ht="21.95" hidden="1" customHeight="1" x14ac:dyDescent="0.25">
      <c r="A988" s="107" t="str">
        <f>+IF(PROVEEDORES[[#This Row],[FECHA DE PAGO]]=PROVEEDORES[[#This Row],[FECHA DE FACTURACIÓN]],"DE CONTADO","CRÉDITO")</f>
        <v>CRÉDITO</v>
      </c>
      <c r="B988" s="70" t="b">
        <f>+IF((PROVEEDORES[[#This Row],[FECHA DE PAGO]]-PROVEEDORES[[#This Row],[FECHA DE FACTURACIÓN]])&gt;PROVEEDORES[[#This Row],[PLAZO Días]],"PAGO VENCIDO")</f>
        <v>0</v>
      </c>
      <c r="C988" s="27">
        <f>+VLOOKUP(PROVEEDORES[[#This Row],[PROVEEDOR]],TERCEROS_INFO[#All],2,FALSE)</f>
        <v>30</v>
      </c>
      <c r="D988" s="37">
        <f>+SUMIFS(PROVEEDORES[Total],PROVEEDORES[PROVEEDOR],PROVEEDORES[[#This Row],[PROVEEDOR]],PROVEEDORES[FECHA DE PAGO],"")</f>
        <v>0</v>
      </c>
      <c r="E988" s="37"/>
      <c r="F988" s="108" t="str">
        <f>+VLOOKUP(PROVEEDORES[[#This Row],[PROVEEDOR]],TERCEROS_INFO[[PROVEEDOR]:[CORREO]],5,FALSE)</f>
        <v>pse</v>
      </c>
      <c r="G988" s="143">
        <v>44302</v>
      </c>
      <c r="H988" s="38" t="s">
        <v>645</v>
      </c>
      <c r="I988" s="30">
        <v>44287</v>
      </c>
      <c r="J988" s="58">
        <v>62349</v>
      </c>
      <c r="K988" s="32">
        <v>302625</v>
      </c>
      <c r="L988" s="32"/>
      <c r="M988" s="33">
        <f>(PROVEEDORES[[#This Row],[SUBTOTAL]]-PROVEEDORES[[#This Row],[descuento antes de IVA]])*VLOOKUP(PROVEEDORES[[#This Row],[PROVEEDOR]],TERCEROS_INFO[#All],3,FALSE)</f>
        <v>0</v>
      </c>
      <c r="N988" s="34"/>
      <c r="O988" s="33">
        <v>47919.55</v>
      </c>
      <c r="P9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8" s="33">
        <f>+(PROVEEDORES[[#This Row],[SUBTOTAL]]-PROVEEDORES[[#This Row],[descuento antes de IVA]])*PROVEEDORES[[#This Row],[Rete Fuente %]]</f>
        <v>0</v>
      </c>
      <c r="R988" s="32">
        <f>+PROVEEDORES[[#This Row],[SUBTOTAL]]+PROVEEDORES[[#This Row],[IVA 19%]]-PROVEEDORES[[#This Row],[descuento antes de IVA]]-PROVEEDORES[[#This Row],[Descuento sobre subtotal $]]-PROVEEDORES[[#This Row],[Rete Fuente $]]</f>
        <v>254705.45</v>
      </c>
      <c r="S988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8"/>
      <c r="U988" s="97"/>
      <c r="W988" s="40"/>
      <c r="X988" s="40"/>
      <c r="Y988" s="41"/>
      <c r="Z988" s="36"/>
      <c r="AA988" s="36"/>
      <c r="AD988" s="41"/>
      <c r="AE988" s="42"/>
      <c r="AF988" s="36"/>
      <c r="AG988" s="36"/>
    </row>
    <row r="989" spans="1:33" ht="21.95" hidden="1" customHeight="1" x14ac:dyDescent="0.25">
      <c r="A989" s="107" t="str">
        <f>+IF(PROVEEDORES[[#This Row],[FECHA DE PAGO]]=PROVEEDORES[[#This Row],[FECHA DE FACTURACIÓN]],"DE CONTADO","CRÉDITO")</f>
        <v>CRÉDITO</v>
      </c>
      <c r="B989" s="70" t="b">
        <f>+IF((PROVEEDORES[[#This Row],[FECHA DE PAGO]]-PROVEEDORES[[#This Row],[FECHA DE FACTURACIÓN]])&gt;PROVEEDORES[[#This Row],[PLAZO Días]],"PAGO VENCIDO")</f>
        <v>0</v>
      </c>
      <c r="C989" s="27">
        <f>+VLOOKUP(PROVEEDORES[[#This Row],[PROVEEDOR]],TERCEROS_INFO[#All],2,FALSE)</f>
        <v>30</v>
      </c>
      <c r="D989" s="37">
        <f>+SUMIFS(PROVEEDORES[Total],PROVEEDORES[PROVEEDOR],PROVEEDORES[[#This Row],[PROVEEDOR]],PROVEEDORES[FECHA DE PAGO],"")</f>
        <v>0</v>
      </c>
      <c r="E989" s="37"/>
      <c r="F989" s="108" t="str">
        <f>+VLOOKUP(PROVEEDORES[[#This Row],[PROVEEDOR]],TERCEROS_INFO[[PROVEEDOR]:[CORREO]],5,FALSE)</f>
        <v>pse</v>
      </c>
      <c r="G989" s="143">
        <v>44334</v>
      </c>
      <c r="H989" s="38" t="s">
        <v>645</v>
      </c>
      <c r="I989" s="30">
        <v>44317</v>
      </c>
      <c r="J989" s="58">
        <v>62725</v>
      </c>
      <c r="K989" s="32">
        <v>302625</v>
      </c>
      <c r="L989" s="32"/>
      <c r="M989" s="33">
        <f>(PROVEEDORES[[#This Row],[SUBTOTAL]]-PROVEEDORES[[#This Row],[descuento antes de IVA]])*VLOOKUP(PROVEEDORES[[#This Row],[PROVEEDOR]],TERCEROS_INFO[#All],3,FALSE)</f>
        <v>0</v>
      </c>
      <c r="N989" s="34"/>
      <c r="O989" s="33">
        <v>75570.05</v>
      </c>
      <c r="P9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89" s="33">
        <f>+(PROVEEDORES[[#This Row],[SUBTOTAL]]-PROVEEDORES[[#This Row],[descuento antes de IVA]])*PROVEEDORES[[#This Row],[Rete Fuente %]]</f>
        <v>0</v>
      </c>
      <c r="R989" s="32">
        <f>+PROVEEDORES[[#This Row],[SUBTOTAL]]+PROVEEDORES[[#This Row],[IVA 19%]]-PROVEEDORES[[#This Row],[descuento antes de IVA]]-PROVEEDORES[[#This Row],[Descuento sobre subtotal $]]-PROVEEDORES[[#This Row],[Rete Fuente $]]</f>
        <v>227054.95</v>
      </c>
      <c r="S989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9"/>
      <c r="U989" s="97"/>
      <c r="W989" s="40"/>
      <c r="X989" s="40"/>
      <c r="Y989" s="41"/>
      <c r="Z989" s="36"/>
      <c r="AA989" s="36"/>
      <c r="AD989" s="41"/>
      <c r="AE989" s="42"/>
      <c r="AF989" s="36"/>
      <c r="AG989" s="36"/>
    </row>
    <row r="990" spans="1:33" ht="21.95" hidden="1" customHeight="1" x14ac:dyDescent="0.25">
      <c r="A990" s="119" t="str">
        <f>+IF(PROVEEDORES[[#This Row],[FECHA DE PAGO]]=PROVEEDORES[[#This Row],[FECHA DE FACTURACIÓN]],"DE CONTADO","CRÉDITO")</f>
        <v>CRÉDITO</v>
      </c>
      <c r="B990" s="70" t="b">
        <f>+IF((PROVEEDORES[[#This Row],[FECHA DE PAGO]]-PROVEEDORES[[#This Row],[FECHA DE FACTURACIÓN]])&gt;PROVEEDORES[[#This Row],[PLAZO Días]],"PAGO VENCIDO")</f>
        <v>0</v>
      </c>
      <c r="C990" s="27">
        <f>+VLOOKUP(PROVEEDORES[[#This Row],[PROVEEDOR]],TERCEROS_INFO[#All],2,FALSE)</f>
        <v>30</v>
      </c>
      <c r="D990" s="37">
        <f>+SUMIFS(PROVEEDORES[Total],PROVEEDORES[PROVEEDOR],PROVEEDORES[[#This Row],[PROVEEDOR]],PROVEEDORES[FECHA DE PAGO],"")</f>
        <v>0</v>
      </c>
      <c r="E990" s="37"/>
      <c r="F990" s="108" t="str">
        <f>+VLOOKUP(PROVEEDORES[[#This Row],[PROVEEDOR]],TERCEROS_INFO[[PROVEEDOR]:[CORREO]],5,FALSE)</f>
        <v>pse</v>
      </c>
      <c r="G990" s="143">
        <v>44365</v>
      </c>
      <c r="H990" s="38" t="s">
        <v>645</v>
      </c>
      <c r="I990" s="30">
        <v>44348</v>
      </c>
      <c r="J990" s="58">
        <v>63100</v>
      </c>
      <c r="K990" s="32">
        <v>302625</v>
      </c>
      <c r="L990" s="32"/>
      <c r="M990" s="33">
        <f>(PROVEEDORES[[#This Row],[SUBTOTAL]]-PROVEEDORES[[#This Row],[descuento antes de IVA]])*VLOOKUP(PROVEEDORES[[#This Row],[PROVEEDOR]],TERCEROS_INFO[#All],3,FALSE)</f>
        <v>0</v>
      </c>
      <c r="N990" s="34"/>
      <c r="O990" s="33">
        <f>41693.54+26058.46</f>
        <v>67752</v>
      </c>
      <c r="P9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0" s="33">
        <f>+(PROVEEDORES[[#This Row],[SUBTOTAL]]-PROVEEDORES[[#This Row],[descuento antes de IVA]])*PROVEEDORES[[#This Row],[Rete Fuente %]]</f>
        <v>0</v>
      </c>
      <c r="R990" s="32">
        <f>+PROVEEDORES[[#This Row],[SUBTOTAL]]+PROVEEDORES[[#This Row],[IVA 19%]]-PROVEEDORES[[#This Row],[descuento antes de IVA]]-PROVEEDORES[[#This Row],[Descuento sobre subtotal $]]-PROVEEDORES[[#This Row],[Rete Fuente $]]</f>
        <v>234873</v>
      </c>
      <c r="S990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0"/>
      <c r="U990" s="97"/>
      <c r="W990" s="40"/>
      <c r="X990" s="40"/>
      <c r="Y990" s="41"/>
      <c r="Z990" s="36"/>
      <c r="AA990" s="36"/>
      <c r="AD990" s="41"/>
      <c r="AE990" s="42"/>
      <c r="AF990" s="36"/>
      <c r="AG990" s="36"/>
    </row>
    <row r="991" spans="1:33" ht="21.95" hidden="1" customHeight="1" x14ac:dyDescent="0.25">
      <c r="A991" s="129" t="str">
        <f>+IF(PROVEEDORES[[#This Row],[FECHA DE PAGO]]=PROVEEDORES[[#This Row],[FECHA DE FACTURACIÓN]],"DE CONTADO","CRÉDITO")</f>
        <v>CRÉDITO</v>
      </c>
      <c r="B991" s="70" t="b">
        <f>+IF((PROVEEDORES[[#This Row],[FECHA DE PAGO]]-PROVEEDORES[[#This Row],[FECHA DE FACTURACIÓN]])&gt;PROVEEDORES[[#This Row],[PLAZO Días]],"PAGO VENCIDO")</f>
        <v>0</v>
      </c>
      <c r="C991" s="27">
        <f>+VLOOKUP(PROVEEDORES[[#This Row],[PROVEEDOR]],TERCEROS_INFO[#All],2,FALSE)</f>
        <v>30</v>
      </c>
      <c r="D991" s="37">
        <f>+SUMIFS(PROVEEDORES[Total],PROVEEDORES[PROVEEDOR],PROVEEDORES[[#This Row],[PROVEEDOR]],PROVEEDORES[FECHA DE PAGO],"")</f>
        <v>0</v>
      </c>
      <c r="E991" s="37"/>
      <c r="F991" s="108" t="str">
        <f>+VLOOKUP(PROVEEDORES[[#This Row],[PROVEEDOR]],TERCEROS_INFO[[PROVEEDOR]:[CORREO]],5,FALSE)</f>
        <v>pse</v>
      </c>
      <c r="G991" s="143">
        <v>44391</v>
      </c>
      <c r="H991" s="38" t="s">
        <v>645</v>
      </c>
      <c r="I991" s="30">
        <v>44378</v>
      </c>
      <c r="J991" s="58">
        <v>63475</v>
      </c>
      <c r="K991" s="32">
        <v>302624.74</v>
      </c>
      <c r="L991" s="32"/>
      <c r="M991" s="33">
        <f>(PROVEEDORES[[#This Row],[SUBTOTAL]]-PROVEEDORES[[#This Row],[descuento antes de IVA]])*VLOOKUP(PROVEEDORES[[#This Row],[PROVEEDOR]],TERCEROS_INFO[#All],3,FALSE)</f>
        <v>0</v>
      </c>
      <c r="N991" s="34"/>
      <c r="O991" s="33">
        <f>41693.54+18240.92</f>
        <v>59934.46</v>
      </c>
      <c r="P9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1" s="33">
        <f>+(PROVEEDORES[[#This Row],[SUBTOTAL]]-PROVEEDORES[[#This Row],[descuento antes de IVA]])*PROVEEDORES[[#This Row],[Rete Fuente %]]</f>
        <v>0</v>
      </c>
      <c r="R991" s="32">
        <f>+PROVEEDORES[[#This Row],[SUBTOTAL]]+PROVEEDORES[[#This Row],[IVA 19%]]-PROVEEDORES[[#This Row],[descuento antes de IVA]]-PROVEEDORES[[#This Row],[Descuento sobre subtotal $]]-PROVEEDORES[[#This Row],[Rete Fuente $]]</f>
        <v>242690.28</v>
      </c>
      <c r="S991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1"/>
      <c r="U991" s="97"/>
      <c r="W991" s="40"/>
      <c r="X991" s="40"/>
      <c r="Y991" s="41"/>
      <c r="Z991" s="36"/>
      <c r="AA991" s="36"/>
      <c r="AD991" s="41"/>
      <c r="AE991" s="42"/>
      <c r="AF991" s="36"/>
      <c r="AG991" s="36"/>
    </row>
    <row r="992" spans="1:33" ht="21.95" hidden="1" customHeight="1" x14ac:dyDescent="0.25">
      <c r="A992" s="35" t="str">
        <f>+IF(PROVEEDORES[[#This Row],[FECHA DE PAGO]]=PROVEEDORES[[#This Row],[FECHA DE FACTURACIÓN]],"DE CONTADO","CRÉDITO")</f>
        <v>CRÉDITO</v>
      </c>
      <c r="B992" s="70" t="b">
        <f>+IF((PROVEEDORES[[#This Row],[FECHA DE PAGO]]-PROVEEDORES[[#This Row],[FECHA DE FACTURACIÓN]])&gt;PROVEEDORES[[#This Row],[PLAZO Días]],"PAGO VENCIDO")</f>
        <v>0</v>
      </c>
      <c r="C992" s="27">
        <f>+VLOOKUP(PROVEEDORES[[#This Row],[PROVEEDOR]],TERCEROS_INFO[#All],2,FALSE)</f>
        <v>30</v>
      </c>
      <c r="D992" s="37">
        <f>+SUMIFS(PROVEEDORES[Total],PROVEEDORES[PROVEEDOR],PROVEEDORES[[#This Row],[PROVEEDOR]],PROVEEDORES[FECHA DE PAGO],"")</f>
        <v>0</v>
      </c>
      <c r="E992" s="37"/>
      <c r="F992" s="108" t="str">
        <f>+VLOOKUP(PROVEEDORES[[#This Row],[PROVEEDOR]],TERCEROS_INFO[[PROVEEDOR]:[CORREO]],5,FALSE)</f>
        <v>pse</v>
      </c>
      <c r="G992" s="143">
        <v>44428</v>
      </c>
      <c r="H992" s="38" t="s">
        <v>645</v>
      </c>
      <c r="I992" s="30">
        <v>44409</v>
      </c>
      <c r="J992" s="58">
        <v>63851</v>
      </c>
      <c r="K992" s="32">
        <v>302624.74</v>
      </c>
      <c r="L992" s="32"/>
      <c r="M992" s="33">
        <f>(PROVEEDORES[[#This Row],[SUBTOTAL]]-PROVEEDORES[[#This Row],[descuento antes de IVA]])*VLOOKUP(PROVEEDORES[[#This Row],[PROVEEDOR]],TERCEROS_INFO[#All],3,FALSE)</f>
        <v>0</v>
      </c>
      <c r="N992" s="34"/>
      <c r="O992" s="33">
        <f>41693.54+13029.23</f>
        <v>54722.770000000004</v>
      </c>
      <c r="P9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2" s="33">
        <f>+(PROVEEDORES[[#This Row],[SUBTOTAL]]-PROVEEDORES[[#This Row],[descuento antes de IVA]])*PROVEEDORES[[#This Row],[Rete Fuente %]]</f>
        <v>0</v>
      </c>
      <c r="R992" s="32">
        <f>+PROVEEDORES[[#This Row],[SUBTOTAL]]+PROVEEDORES[[#This Row],[IVA 19%]]-PROVEEDORES[[#This Row],[descuento antes de IVA]]-PROVEEDORES[[#This Row],[Descuento sobre subtotal $]]-PROVEEDORES[[#This Row],[Rete Fuente $]]</f>
        <v>247901.96999999997</v>
      </c>
      <c r="S99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2"/>
      <c r="U992" s="97"/>
      <c r="W992" s="40"/>
      <c r="X992" s="40"/>
      <c r="Y992" s="41"/>
      <c r="Z992" s="36"/>
      <c r="AA992" s="36"/>
      <c r="AD992" s="41"/>
      <c r="AE992" s="42"/>
      <c r="AF992" s="36"/>
      <c r="AG992" s="36"/>
    </row>
    <row r="993" spans="1:33" ht="21.95" hidden="1" customHeight="1" x14ac:dyDescent="0.25">
      <c r="A993" s="144" t="str">
        <f>+IF(PROVEEDORES[[#This Row],[FECHA DE PAGO]]=PROVEEDORES[[#This Row],[FECHA DE FACTURACIÓN]],"DE CONTADO","CRÉDITO")</f>
        <v>CRÉDITO</v>
      </c>
      <c r="B993" s="70" t="b">
        <f>+IF((PROVEEDORES[[#This Row],[FECHA DE PAGO]]-PROVEEDORES[[#This Row],[FECHA DE FACTURACIÓN]])&gt;PROVEEDORES[[#This Row],[PLAZO Días]],"PAGO VENCIDO")</f>
        <v>0</v>
      </c>
      <c r="C993" s="27">
        <f>+VLOOKUP(PROVEEDORES[[#This Row],[PROVEEDOR]],TERCEROS_INFO[#All],2,FALSE)</f>
        <v>30</v>
      </c>
      <c r="D993" s="37">
        <f>+SUMIFS(PROVEEDORES[Total],PROVEEDORES[PROVEEDOR],PROVEEDORES[[#This Row],[PROVEEDOR]],PROVEEDORES[FECHA DE PAGO],"")</f>
        <v>0</v>
      </c>
      <c r="E993" s="37"/>
      <c r="F993" s="108" t="str">
        <f>+VLOOKUP(PROVEEDORES[[#This Row],[PROVEEDOR]],TERCEROS_INFO[[PROVEEDOR]:[CORREO]],5,FALSE)</f>
        <v>pse</v>
      </c>
      <c r="G993" s="143">
        <v>44456</v>
      </c>
      <c r="H993" s="38" t="s">
        <v>645</v>
      </c>
      <c r="I993" s="30">
        <v>44440</v>
      </c>
      <c r="J993" s="58">
        <v>64226</v>
      </c>
      <c r="K993" s="32">
        <v>302624.74</v>
      </c>
      <c r="L993" s="32"/>
      <c r="M993" s="33">
        <f>(PROVEEDORES[[#This Row],[SUBTOTAL]]-PROVEEDORES[[#This Row],[descuento antes de IVA]])*VLOOKUP(PROVEEDORES[[#This Row],[PROVEEDOR]],TERCEROS_INFO[#All],3,FALSE)</f>
        <v>0</v>
      </c>
      <c r="N993" s="34"/>
      <c r="O993" s="33">
        <f>41693.54+13029.23</f>
        <v>54722.770000000004</v>
      </c>
      <c r="P9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3" s="33">
        <f>+(PROVEEDORES[[#This Row],[SUBTOTAL]]-PROVEEDORES[[#This Row],[descuento antes de IVA]])*PROVEEDORES[[#This Row],[Rete Fuente %]]</f>
        <v>0</v>
      </c>
      <c r="R993" s="32">
        <f>+PROVEEDORES[[#This Row],[SUBTOTAL]]+PROVEEDORES[[#This Row],[IVA 19%]]-PROVEEDORES[[#This Row],[descuento antes de IVA]]-PROVEEDORES[[#This Row],[Descuento sobre subtotal $]]-PROVEEDORES[[#This Row],[Rete Fuente $]]</f>
        <v>247901.96999999997</v>
      </c>
      <c r="S993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3"/>
      <c r="U993" s="97"/>
      <c r="W993" s="40"/>
      <c r="X993" s="40"/>
      <c r="Y993" s="41"/>
      <c r="Z993" s="36"/>
      <c r="AA993" s="36"/>
      <c r="AD993" s="41"/>
      <c r="AE993" s="42"/>
      <c r="AF993" s="36"/>
      <c r="AG993" s="36"/>
    </row>
    <row r="994" spans="1:33" ht="21.95" hidden="1" customHeight="1" x14ac:dyDescent="0.25">
      <c r="A994" s="154" t="str">
        <f>+IF(PROVEEDORES[[#This Row],[FECHA DE PAGO]]=PROVEEDORES[[#This Row],[FECHA DE FACTURACIÓN]],"DE CONTADO","CRÉDITO")</f>
        <v>CRÉDITO</v>
      </c>
      <c r="B994" s="70" t="b">
        <f>+IF((PROVEEDORES[[#This Row],[FECHA DE PAGO]]-PROVEEDORES[[#This Row],[FECHA DE FACTURACIÓN]])&gt;PROVEEDORES[[#This Row],[PLAZO Días]],"PAGO VENCIDO")</f>
        <v>0</v>
      </c>
      <c r="C994" s="27">
        <f>+VLOOKUP(PROVEEDORES[[#This Row],[PROVEEDOR]],TERCEROS_INFO[#All],2,FALSE)</f>
        <v>30</v>
      </c>
      <c r="D994" s="37">
        <f>+SUMIFS(PROVEEDORES[Total],PROVEEDORES[PROVEEDOR],PROVEEDORES[[#This Row],[PROVEEDOR]],PROVEEDORES[FECHA DE PAGO],"")</f>
        <v>0</v>
      </c>
      <c r="E994" s="37"/>
      <c r="F994" s="108" t="str">
        <f>+VLOOKUP(PROVEEDORES[[#This Row],[PROVEEDOR]],TERCEROS_INFO[[PROVEEDOR]:[CORREO]],5,FALSE)</f>
        <v>pse</v>
      </c>
      <c r="G994" s="143">
        <v>44483</v>
      </c>
      <c r="H994" s="38" t="s">
        <v>645</v>
      </c>
      <c r="I994" s="30">
        <v>44470</v>
      </c>
      <c r="J994" s="58" t="s">
        <v>1264</v>
      </c>
      <c r="K994" s="32">
        <v>122980</v>
      </c>
      <c r="L994" s="32"/>
      <c r="M994" s="33">
        <v>23366.2</v>
      </c>
      <c r="N994" s="34"/>
      <c r="O994" s="33">
        <f>+PROVEEDORES[[#This Row],[Descuento sobre subtotal %]]*(PROVEEDORES[[#This Row],[SUBTOTAL]]-PROVEEDORES[[#This Row],[descuento antes de IVA]])</f>
        <v>0</v>
      </c>
      <c r="P9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4" s="33">
        <f>+(PROVEEDORES[[#This Row],[SUBTOTAL]]-PROVEEDORES[[#This Row],[descuento antes de IVA]])*PROVEEDORES[[#This Row],[Rete Fuente %]]</f>
        <v>0</v>
      </c>
      <c r="R994" s="32">
        <f>+PROVEEDORES[[#This Row],[SUBTOTAL]]+PROVEEDORES[[#This Row],[IVA 19%]]-PROVEEDORES[[#This Row],[descuento antes de IVA]]-PROVEEDORES[[#This Row],[Descuento sobre subtotal $]]-PROVEEDORES[[#This Row],[Rete Fuente $]]</f>
        <v>146346.20000000001</v>
      </c>
      <c r="S994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4"/>
      <c r="U994" s="97"/>
      <c r="W994" s="40"/>
      <c r="X994" s="40"/>
      <c r="Y994" s="41"/>
      <c r="Z994" s="36"/>
      <c r="AA994" s="36"/>
      <c r="AD994" s="41"/>
      <c r="AE994" s="42"/>
      <c r="AF994" s="36"/>
      <c r="AG994" s="36"/>
    </row>
    <row r="995" spans="1:33" ht="21.95" hidden="1" customHeight="1" x14ac:dyDescent="0.25">
      <c r="A995" s="154" t="str">
        <f>+IF(PROVEEDORES[[#This Row],[FECHA DE PAGO]]=PROVEEDORES[[#This Row],[FECHA DE FACTURACIÓN]],"DE CONTADO","CRÉDITO")</f>
        <v>CRÉDITO</v>
      </c>
      <c r="B995" s="70" t="b">
        <f>+IF((PROVEEDORES[[#This Row],[FECHA DE PAGO]]-PROVEEDORES[[#This Row],[FECHA DE FACTURACIÓN]])&gt;PROVEEDORES[[#This Row],[PLAZO Días]],"PAGO VENCIDO")</f>
        <v>0</v>
      </c>
      <c r="C995" s="27">
        <f>+VLOOKUP(PROVEEDORES[[#This Row],[PROVEEDOR]],TERCEROS_INFO[#All],2,FALSE)</f>
        <v>30</v>
      </c>
      <c r="D995" s="37">
        <f>+SUMIFS(PROVEEDORES[Total],PROVEEDORES[PROVEEDOR],PROVEEDORES[[#This Row],[PROVEEDOR]],PROVEEDORES[FECHA DE PAGO],"")</f>
        <v>0</v>
      </c>
      <c r="E995" s="37"/>
      <c r="F995" s="108" t="str">
        <f>+VLOOKUP(PROVEEDORES[[#This Row],[PROVEEDOR]],TERCEROS_INFO[[PROVEEDOR]:[CORREO]],5,FALSE)</f>
        <v>pse</v>
      </c>
      <c r="G995" s="143">
        <v>44483</v>
      </c>
      <c r="H995" s="38" t="s">
        <v>645</v>
      </c>
      <c r="I995" s="30">
        <v>44470</v>
      </c>
      <c r="J995" s="58">
        <v>64608</v>
      </c>
      <c r="K995" s="32">
        <v>302624.74</v>
      </c>
      <c r="L995" s="32"/>
      <c r="M995" s="33">
        <f>(PROVEEDORES[[#This Row],[SUBTOTAL]]-PROVEEDORES[[#This Row],[descuento antes de IVA]])*VLOOKUP(PROVEEDORES[[#This Row],[PROVEEDOR]],TERCEROS_INFO[#All],3,FALSE)</f>
        <v>0</v>
      </c>
      <c r="N995" s="34"/>
      <c r="O995" s="33">
        <f>41693.54+13029.23</f>
        <v>54722.770000000004</v>
      </c>
      <c r="P9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5" s="33">
        <f>+(PROVEEDORES[[#This Row],[SUBTOTAL]]-PROVEEDORES[[#This Row],[descuento antes de IVA]])*PROVEEDORES[[#This Row],[Rete Fuente %]]</f>
        <v>0</v>
      </c>
      <c r="R995" s="32">
        <f>+PROVEEDORES[[#This Row],[SUBTOTAL]]+PROVEEDORES[[#This Row],[IVA 19%]]-PROVEEDORES[[#This Row],[descuento antes de IVA]]-PROVEEDORES[[#This Row],[Descuento sobre subtotal $]]-PROVEEDORES[[#This Row],[Rete Fuente $]]</f>
        <v>247901.96999999997</v>
      </c>
      <c r="S995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5"/>
      <c r="U995" s="97"/>
      <c r="W995" s="40"/>
      <c r="X995" s="40"/>
      <c r="Y995" s="41"/>
      <c r="Z995" s="36"/>
      <c r="AA995" s="36"/>
      <c r="AD995" s="41"/>
      <c r="AE995" s="42"/>
      <c r="AF995" s="36"/>
      <c r="AG995" s="36"/>
    </row>
    <row r="996" spans="1:33" ht="21.95" hidden="1" customHeight="1" x14ac:dyDescent="0.25">
      <c r="A996" s="162" t="str">
        <f>+IF(PROVEEDORES[[#This Row],[FECHA DE PAGO]]=PROVEEDORES[[#This Row],[FECHA DE FACTURACIÓN]],"DE CONTADO","CRÉDITO")</f>
        <v>CRÉDITO</v>
      </c>
      <c r="B996" s="70" t="b">
        <f>+IF((PROVEEDORES[[#This Row],[FECHA DE PAGO]]-PROVEEDORES[[#This Row],[FECHA DE FACTURACIÓN]])&gt;PROVEEDORES[[#This Row],[PLAZO Días]],"PAGO VENCIDO")</f>
        <v>0</v>
      </c>
      <c r="C996" s="27">
        <f>+VLOOKUP(PROVEEDORES[[#This Row],[PROVEEDOR]],TERCEROS_INFO[#All],2,FALSE)</f>
        <v>30</v>
      </c>
      <c r="D996" s="37">
        <f>+SUMIFS(PROVEEDORES[Total],PROVEEDORES[PROVEEDOR],PROVEEDORES[[#This Row],[PROVEEDOR]],PROVEEDORES[FECHA DE PAGO],"")</f>
        <v>0</v>
      </c>
      <c r="E996" s="37"/>
      <c r="F996" s="108" t="str">
        <f>+VLOOKUP(PROVEEDORES[[#This Row],[PROVEEDOR]],TERCEROS_INFO[[PROVEEDOR]:[CORREO]],5,FALSE)</f>
        <v>pse</v>
      </c>
      <c r="G996" s="143">
        <v>44516</v>
      </c>
      <c r="H996" s="38" t="s">
        <v>645</v>
      </c>
      <c r="I996" s="30">
        <v>44501</v>
      </c>
      <c r="J996" s="58">
        <v>64995</v>
      </c>
      <c r="K996" s="32">
        <v>302624.74</v>
      </c>
      <c r="L996" s="32"/>
      <c r="M996" s="33">
        <f>(PROVEEDORES[[#This Row],[SUBTOTAL]]-PROVEEDORES[[#This Row],[descuento antes de IVA]])*VLOOKUP(PROVEEDORES[[#This Row],[PROVEEDOR]],TERCEROS_INFO[#All],3,FALSE)</f>
        <v>0</v>
      </c>
      <c r="N996" s="34"/>
      <c r="O996" s="33">
        <f>41693.54+7817.54</f>
        <v>49511.08</v>
      </c>
      <c r="P9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6" s="33">
        <f>+(PROVEEDORES[[#This Row],[SUBTOTAL]]-PROVEEDORES[[#This Row],[descuento antes de IVA]])*PROVEEDORES[[#This Row],[Rete Fuente %]]</f>
        <v>0</v>
      </c>
      <c r="R996" s="32">
        <f>+PROVEEDORES[[#This Row],[SUBTOTAL]]+PROVEEDORES[[#This Row],[IVA 19%]]-PROVEEDORES[[#This Row],[descuento antes de IVA]]-PROVEEDORES[[#This Row],[Descuento sobre subtotal $]]-PROVEEDORES[[#This Row],[Rete Fuente $]]</f>
        <v>253113.65999999997</v>
      </c>
      <c r="S996" s="16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6"/>
      <c r="U996" s="97"/>
      <c r="W996" s="40"/>
      <c r="X996" s="40"/>
      <c r="Y996" s="41"/>
      <c r="Z996" s="36"/>
      <c r="AA996" s="36"/>
      <c r="AD996" s="41"/>
      <c r="AE996" s="42"/>
      <c r="AF996" s="36"/>
      <c r="AG996" s="36"/>
    </row>
    <row r="997" spans="1:33" ht="21.95" hidden="1" customHeight="1" x14ac:dyDescent="0.25">
      <c r="A997" s="167" t="str">
        <f>+IF(PROVEEDORES[[#This Row],[FECHA DE PAGO]]=PROVEEDORES[[#This Row],[FECHA DE FACTURACIÓN]],"DE CONTADO","CRÉDITO")</f>
        <v>CRÉDITO</v>
      </c>
      <c r="B997" s="70" t="b">
        <f>+IF((PROVEEDORES[[#This Row],[FECHA DE PAGO]]-PROVEEDORES[[#This Row],[FECHA DE FACTURACIÓN]])&gt;PROVEEDORES[[#This Row],[PLAZO Días]],"PAGO VENCIDO")</f>
        <v>0</v>
      </c>
      <c r="C997" s="27">
        <f>+VLOOKUP(PROVEEDORES[[#This Row],[PROVEEDOR]],TERCEROS_INFO[#All],2,FALSE)</f>
        <v>30</v>
      </c>
      <c r="D997" s="37">
        <f>+SUMIFS(PROVEEDORES[Total],PROVEEDORES[PROVEEDOR],PROVEEDORES[[#This Row],[PROVEEDOR]],PROVEEDORES[FECHA DE PAGO],"")</f>
        <v>0</v>
      </c>
      <c r="E997" s="37"/>
      <c r="F997" s="108" t="str">
        <f>+VLOOKUP(PROVEEDORES[[#This Row],[PROVEEDOR]],TERCEROS_INFO[[PROVEEDOR]:[CORREO]],5,FALSE)</f>
        <v>pse</v>
      </c>
      <c r="G997" s="143">
        <v>44543</v>
      </c>
      <c r="H997" s="38" t="s">
        <v>645</v>
      </c>
      <c r="I997" s="30">
        <v>44531</v>
      </c>
      <c r="J997" s="58">
        <v>65384</v>
      </c>
      <c r="K997" s="32">
        <v>302624.74</v>
      </c>
      <c r="L997" s="32"/>
      <c r="M997" s="33">
        <f>(PROVEEDORES[[#This Row],[SUBTOTAL]]-PROVEEDORES[[#This Row],[descuento antes de IVA]])*VLOOKUP(PROVEEDORES[[#This Row],[PROVEEDOR]],TERCEROS_INFO[#All],3,FALSE)</f>
        <v>0</v>
      </c>
      <c r="N997" s="34"/>
      <c r="O997" s="33">
        <f>41693.54+7817.54</f>
        <v>49511.08</v>
      </c>
      <c r="P9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7" s="33">
        <f>+(PROVEEDORES[[#This Row],[SUBTOTAL]]-PROVEEDORES[[#This Row],[descuento antes de IVA]])*PROVEEDORES[[#This Row],[Rete Fuente %]]</f>
        <v>0</v>
      </c>
      <c r="R997" s="32">
        <f>+PROVEEDORES[[#This Row],[SUBTOTAL]]+PROVEEDORES[[#This Row],[IVA 19%]]-PROVEEDORES[[#This Row],[descuento antes de IVA]]-PROVEEDORES[[#This Row],[Descuento sobre subtotal $]]-PROVEEDORES[[#This Row],[Rete Fuente $]]</f>
        <v>253113.65999999997</v>
      </c>
      <c r="S997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7"/>
      <c r="U997" s="97"/>
      <c r="W997" s="40"/>
      <c r="X997" s="40"/>
      <c r="Y997" s="41"/>
      <c r="Z997" s="36"/>
      <c r="AA997" s="36"/>
      <c r="AD997" s="41"/>
      <c r="AE997" s="42"/>
      <c r="AF997" s="36"/>
      <c r="AG997" s="36"/>
    </row>
    <row r="998" spans="1:33" ht="21.95" hidden="1" customHeight="1" x14ac:dyDescent="0.25">
      <c r="A998" s="155" t="str">
        <f>+IF(PROVEEDORES[[#This Row],[FECHA DE PAGO]]=PROVEEDORES[[#This Row],[FECHA DE FACTURACIÓN]],"DE CONTADO","CRÉDITO")</f>
        <v>CRÉDITO</v>
      </c>
      <c r="B998" s="70" t="b">
        <f>+IF((PROVEEDORES[[#This Row],[FECHA DE PAGO]]-PROVEEDORES[[#This Row],[FECHA DE FACTURACIÓN]])&gt;PROVEEDORES[[#This Row],[PLAZO Días]],"PAGO VENCIDO")</f>
        <v>0</v>
      </c>
      <c r="C998" s="27">
        <f>+VLOOKUP(PROVEEDORES[[#This Row],[PROVEEDOR]],TERCEROS_INFO[#All],2,FALSE)</f>
        <v>18</v>
      </c>
      <c r="D998" s="37">
        <f>+SUMIFS(PROVEEDORES[Total],PROVEEDORES[PROVEEDOR],PROVEEDORES[[#This Row],[PROVEEDOR]],PROVEEDORES[FECHA DE PAGO],"")</f>
        <v>0</v>
      </c>
      <c r="E998" s="37"/>
      <c r="F998" s="108">
        <f>+VLOOKUP(PROVEEDORES[[#This Row],[PROVEEDOR]],TERCEROS_INFO[[PROVEEDOR]:[CORREO]],5,FALSE)</f>
        <v>0</v>
      </c>
      <c r="G998" s="143">
        <v>44484</v>
      </c>
      <c r="H998" s="57" t="s">
        <v>888</v>
      </c>
      <c r="I998" s="30">
        <v>44470</v>
      </c>
      <c r="J998" s="58" t="s">
        <v>1265</v>
      </c>
      <c r="K998" s="32">
        <v>199164</v>
      </c>
      <c r="L998" s="32"/>
      <c r="M998" s="33">
        <f>(PROVEEDORES[[#This Row],[SUBTOTAL]]-PROVEEDORES[[#This Row],[descuento antes de IVA]])*VLOOKUP(PROVEEDORES[[#This Row],[PROVEEDOR]],TERCEROS_INFO[#All],3,FALSE)</f>
        <v>0</v>
      </c>
      <c r="N998" s="34"/>
      <c r="O998" s="33">
        <f>+PROVEEDORES[[#This Row],[Descuento sobre subtotal %]]*(PROVEEDORES[[#This Row],[SUBTOTAL]]-PROVEEDORES[[#This Row],[descuento antes de IVA]])</f>
        <v>0</v>
      </c>
      <c r="P9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8" s="33">
        <f>+(PROVEEDORES[[#This Row],[SUBTOTAL]]-PROVEEDORES[[#This Row],[descuento antes de IVA]])*PROVEEDORES[[#This Row],[Rete Fuente %]]</f>
        <v>0</v>
      </c>
      <c r="R998" s="32">
        <f>+PROVEEDORES[[#This Row],[SUBTOTAL]]+PROVEEDORES[[#This Row],[IVA 19%]]-PROVEEDORES[[#This Row],[descuento antes de IVA]]-PROVEEDORES[[#This Row],[Descuento sobre subtotal $]]-PROVEEDORES[[#This Row],[Rete Fuente $]]</f>
        <v>199164</v>
      </c>
      <c r="S998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8"/>
      <c r="U998" s="97"/>
      <c r="W998" s="40"/>
      <c r="X998" s="40"/>
      <c r="Y998" s="41"/>
      <c r="Z998" s="36"/>
      <c r="AA998" s="36"/>
      <c r="AD998" s="41"/>
      <c r="AE998" s="42"/>
      <c r="AF998" s="36"/>
      <c r="AG998" s="36"/>
    </row>
    <row r="999" spans="1:33" ht="21.95" hidden="1" customHeight="1" x14ac:dyDescent="0.25">
      <c r="A999" s="107" t="str">
        <f>+IF(PROVEEDORES[[#This Row],[FECHA DE PAGO]]=PROVEEDORES[[#This Row],[FECHA DE FACTURACIÓN]],"DE CONTADO","CRÉDITO")</f>
        <v>CRÉDITO</v>
      </c>
      <c r="B999" s="70" t="str">
        <f>+IF((PROVEEDORES[[#This Row],[FECHA DE PAGO]]-PROVEEDORES[[#This Row],[FECHA DE FACTURACIÓN]])&gt;PROVEEDORES[[#This Row],[PLAZO Días]],"PAGO VENCIDO")</f>
        <v>PAGO VENCIDO</v>
      </c>
      <c r="C999" s="27">
        <f>+VLOOKUP(PROVEEDORES[[#This Row],[PROVEEDOR]],TERCEROS_INFO[#All],2,FALSE)</f>
        <v>30</v>
      </c>
      <c r="D999" s="37">
        <f>+SUMIFS(PROVEEDORES[Total],PROVEEDORES[PROVEEDOR],PROVEEDORES[[#This Row],[PROVEEDOR]],PROVEEDORES[FECHA DE PAGO],"")</f>
        <v>0</v>
      </c>
      <c r="E999" s="37"/>
      <c r="F999" s="108" t="str">
        <f>+VLOOKUP(PROVEEDORES[[#This Row],[PROVEEDOR]],TERCEROS_INFO[[PROVEEDOR]:[CORREO]],5,FALSE)</f>
        <v>PSE</v>
      </c>
      <c r="G999" s="143">
        <v>44340</v>
      </c>
      <c r="H999" s="38" t="s">
        <v>636</v>
      </c>
      <c r="I999" s="30">
        <v>44287</v>
      </c>
      <c r="J999" s="58" t="s">
        <v>617</v>
      </c>
      <c r="K999" s="32">
        <v>1230953</v>
      </c>
      <c r="L999" s="32"/>
      <c r="M999" s="33">
        <f>(PROVEEDORES[[#This Row],[SUBTOTAL]]-PROVEEDORES[[#This Row],[descuento antes de IVA]])*VLOOKUP(PROVEEDORES[[#This Row],[PROVEEDOR]],TERCEROS_INFO[#All],3,FALSE)</f>
        <v>0</v>
      </c>
      <c r="N999" s="34"/>
      <c r="O999" s="33">
        <f>+PROVEEDORES[[#This Row],[Descuento sobre subtotal %]]*(PROVEEDORES[[#This Row],[SUBTOTAL]]-PROVEEDORES[[#This Row],[descuento antes de IVA]])</f>
        <v>0</v>
      </c>
      <c r="P9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999" s="33">
        <f>+(PROVEEDORES[[#This Row],[SUBTOTAL]]-PROVEEDORES[[#This Row],[descuento antes de IVA]])*PROVEEDORES[[#This Row],[Rete Fuente %]]</f>
        <v>0</v>
      </c>
      <c r="R999" s="32">
        <f>+PROVEEDORES[[#This Row],[SUBTOTAL]]+PROVEEDORES[[#This Row],[IVA 19%]]-PROVEEDORES[[#This Row],[descuento antes de IVA]]-PROVEEDORES[[#This Row],[Descuento sobre subtotal $]]-PROVEEDORES[[#This Row],[Rete Fuente $]]</f>
        <v>1230953</v>
      </c>
      <c r="S999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9"/>
      <c r="U999" s="97"/>
      <c r="W999" s="40"/>
      <c r="X999" s="40"/>
      <c r="Y999" s="41"/>
      <c r="Z999" s="36"/>
      <c r="AA999" s="36"/>
      <c r="AD999" s="41"/>
      <c r="AE999" s="42"/>
      <c r="AF999" s="36"/>
      <c r="AG999" s="36"/>
    </row>
    <row r="1000" spans="1:33" ht="21.95" hidden="1" customHeight="1" x14ac:dyDescent="0.25">
      <c r="A1000" s="107" t="str">
        <f>+IF(PROVEEDORES[[#This Row],[FECHA DE PAGO]]=PROVEEDORES[[#This Row],[FECHA DE FACTURACIÓN]],"DE CONTADO","CRÉDITO")</f>
        <v>CRÉDITO</v>
      </c>
      <c r="B1000" s="70" t="str">
        <f>+IF((PROVEEDORES[[#This Row],[FECHA DE PAGO]]-PROVEEDORES[[#This Row],[FECHA DE FACTURACIÓN]])&gt;PROVEEDORES[[#This Row],[PLAZO Días]],"PAGO VENCIDO")</f>
        <v>PAGO VENCIDO</v>
      </c>
      <c r="C1000" s="27">
        <f>+VLOOKUP(PROVEEDORES[[#This Row],[PROVEEDOR]],TERCEROS_INFO[#All],2,FALSE)</f>
        <v>30</v>
      </c>
      <c r="D1000" s="37">
        <f>+SUMIFS(PROVEEDORES[Total],PROVEEDORES[PROVEEDOR],PROVEEDORES[[#This Row],[PROVEEDOR]],PROVEEDORES[FECHA DE PAGO],"")</f>
        <v>0</v>
      </c>
      <c r="E1000" s="37"/>
      <c r="F1000" s="108" t="str">
        <f>+VLOOKUP(PROVEEDORES[[#This Row],[PROVEEDOR]],TERCEROS_INFO[[PROVEEDOR]:[CORREO]],5,FALSE)</f>
        <v>PSE</v>
      </c>
      <c r="G1000" s="143">
        <v>44340</v>
      </c>
      <c r="H1000" s="38" t="s">
        <v>636</v>
      </c>
      <c r="I1000" s="30">
        <v>44293</v>
      </c>
      <c r="J1000" s="58" t="s">
        <v>619</v>
      </c>
      <c r="K1000" s="32">
        <v>256261</v>
      </c>
      <c r="L1000" s="32"/>
      <c r="M1000" s="33">
        <f>(PROVEEDORES[[#This Row],[SUBTOTAL]]-PROVEEDORES[[#This Row],[descuento antes de IVA]])*VLOOKUP(PROVEEDORES[[#This Row],[PROVEEDOR]],TERCEROS_INFO[#All],3,FALSE)</f>
        <v>0</v>
      </c>
      <c r="N1000" s="34"/>
      <c r="O1000" s="33">
        <f>+PROVEEDORES[[#This Row],[Descuento sobre subtotal %]]*(PROVEEDORES[[#This Row],[SUBTOTAL]]-PROVEEDORES[[#This Row],[descuento antes de IVA]])</f>
        <v>0</v>
      </c>
      <c r="P10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0" s="33">
        <f>+(PROVEEDORES[[#This Row],[SUBTOTAL]]-PROVEEDORES[[#This Row],[descuento antes de IVA]])*PROVEEDORES[[#This Row],[Rete Fuente %]]</f>
        <v>0</v>
      </c>
      <c r="R1000" s="32">
        <f>+PROVEEDORES[[#This Row],[SUBTOTAL]]+PROVEEDORES[[#This Row],[IVA 19%]]-PROVEEDORES[[#This Row],[descuento antes de IVA]]-PROVEEDORES[[#This Row],[Descuento sobre subtotal $]]-PROVEEDORES[[#This Row],[Rete Fuente $]]</f>
        <v>256261</v>
      </c>
      <c r="S1000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0"/>
      <c r="U1000" s="97"/>
      <c r="W1000" s="40"/>
      <c r="X1000" s="40"/>
      <c r="Y1000" s="41"/>
      <c r="Z1000" s="36"/>
      <c r="AA1000" s="36"/>
      <c r="AD1000" s="41"/>
      <c r="AE1000" s="42"/>
      <c r="AF1000" s="36"/>
      <c r="AG1000" s="36"/>
    </row>
    <row r="1001" spans="1:33" ht="21.95" hidden="1" customHeight="1" x14ac:dyDescent="0.25">
      <c r="A1001" s="107" t="str">
        <f>+IF(PROVEEDORES[[#This Row],[FECHA DE PAGO]]=PROVEEDORES[[#This Row],[FECHA DE FACTURACIÓN]],"DE CONTADO","CRÉDITO")</f>
        <v>CRÉDITO</v>
      </c>
      <c r="B1001" s="70" t="str">
        <f>+IF((PROVEEDORES[[#This Row],[FECHA DE PAGO]]-PROVEEDORES[[#This Row],[FECHA DE FACTURACIÓN]])&gt;PROVEEDORES[[#This Row],[PLAZO Días]],"PAGO VENCIDO")</f>
        <v>PAGO VENCIDO</v>
      </c>
      <c r="C1001" s="27">
        <f>+VLOOKUP(PROVEEDORES[[#This Row],[PROVEEDOR]],TERCEROS_INFO[#All],2,FALSE)</f>
        <v>30</v>
      </c>
      <c r="D1001" s="37">
        <f>+SUMIFS(PROVEEDORES[Total],PROVEEDORES[PROVEEDOR],PROVEEDORES[[#This Row],[PROVEEDOR]],PROVEEDORES[FECHA DE PAGO],"")</f>
        <v>0</v>
      </c>
      <c r="E1001" s="37"/>
      <c r="F1001" s="108" t="str">
        <f>+VLOOKUP(PROVEEDORES[[#This Row],[PROVEEDOR]],TERCEROS_INFO[[PROVEEDOR]:[CORREO]],5,FALSE)</f>
        <v>PSE</v>
      </c>
      <c r="G1001" s="143">
        <v>44340</v>
      </c>
      <c r="H1001" s="38" t="s">
        <v>636</v>
      </c>
      <c r="I1001" s="30">
        <v>44293</v>
      </c>
      <c r="J1001" s="58" t="s">
        <v>618</v>
      </c>
      <c r="K1001" s="32">
        <v>1545030</v>
      </c>
      <c r="L1001" s="32"/>
      <c r="M1001" s="33">
        <f>(PROVEEDORES[[#This Row],[SUBTOTAL]]-PROVEEDORES[[#This Row],[descuento antes de IVA]])*VLOOKUP(PROVEEDORES[[#This Row],[PROVEEDOR]],TERCEROS_INFO[#All],3,FALSE)</f>
        <v>0</v>
      </c>
      <c r="N1001" s="34"/>
      <c r="O1001" s="33">
        <f>+PROVEEDORES[[#This Row],[Descuento sobre subtotal %]]*(PROVEEDORES[[#This Row],[SUBTOTAL]]-PROVEEDORES[[#This Row],[descuento antes de IVA]])</f>
        <v>0</v>
      </c>
      <c r="P10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1" s="33">
        <f>+(PROVEEDORES[[#This Row],[SUBTOTAL]]-PROVEEDORES[[#This Row],[descuento antes de IVA]])*PROVEEDORES[[#This Row],[Rete Fuente %]]</f>
        <v>0</v>
      </c>
      <c r="R1001" s="32">
        <f>+PROVEEDORES[[#This Row],[SUBTOTAL]]+PROVEEDORES[[#This Row],[IVA 19%]]-PROVEEDORES[[#This Row],[descuento antes de IVA]]-PROVEEDORES[[#This Row],[Descuento sobre subtotal $]]-PROVEEDORES[[#This Row],[Rete Fuente $]]</f>
        <v>1545030</v>
      </c>
      <c r="S1001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1"/>
      <c r="U1001" s="97"/>
      <c r="W1001" s="40"/>
      <c r="X1001" s="40"/>
      <c r="Y1001" s="41"/>
      <c r="Z1001" s="36"/>
      <c r="AA1001" s="36"/>
      <c r="AD1001" s="41"/>
      <c r="AE1001" s="42"/>
      <c r="AF1001" s="36"/>
      <c r="AG1001" s="36"/>
    </row>
    <row r="1002" spans="1:33" ht="21.95" hidden="1" customHeight="1" x14ac:dyDescent="0.25">
      <c r="A1002" s="119" t="str">
        <f>+IF(PROVEEDORES[[#This Row],[FECHA DE PAGO]]=PROVEEDORES[[#This Row],[FECHA DE FACTURACIÓN]],"DE CONTADO","CRÉDITO")</f>
        <v>CRÉDITO</v>
      </c>
      <c r="B1002" s="70" t="b">
        <f>+IF((PROVEEDORES[[#This Row],[FECHA DE PAGO]]-PROVEEDORES[[#This Row],[FECHA DE FACTURACIÓN]])&gt;PROVEEDORES[[#This Row],[PLAZO Días]],"PAGO VENCIDO")</f>
        <v>0</v>
      </c>
      <c r="C1002" s="27">
        <f>+VLOOKUP(PROVEEDORES[[#This Row],[PROVEEDOR]],TERCEROS_INFO[#All],2,FALSE)</f>
        <v>30</v>
      </c>
      <c r="D1002" s="37">
        <f>+SUMIFS(PROVEEDORES[Total],PROVEEDORES[PROVEEDOR],PROVEEDORES[[#This Row],[PROVEEDOR]],PROVEEDORES[FECHA DE PAGO],"")</f>
        <v>0</v>
      </c>
      <c r="E1002" s="37"/>
      <c r="F1002" s="108" t="str">
        <f>+VLOOKUP(PROVEEDORES[[#This Row],[PROVEEDOR]],TERCEROS_INFO[[PROVEEDOR]:[CORREO]],5,FALSE)</f>
        <v>PSE</v>
      </c>
      <c r="G1002" s="143">
        <v>44368</v>
      </c>
      <c r="H1002" s="38" t="s">
        <v>636</v>
      </c>
      <c r="I1002" s="30">
        <v>44348</v>
      </c>
      <c r="J1002" s="58" t="s">
        <v>617</v>
      </c>
      <c r="K1002" s="32">
        <v>1235279</v>
      </c>
      <c r="L1002" s="32"/>
      <c r="M1002" s="33">
        <f>(PROVEEDORES[[#This Row],[SUBTOTAL]]-PROVEEDORES[[#This Row],[descuento antes de IVA]])*VLOOKUP(PROVEEDORES[[#This Row],[PROVEEDOR]],TERCEROS_INFO[#All],3,FALSE)</f>
        <v>0</v>
      </c>
      <c r="N1002" s="34"/>
      <c r="O1002" s="33">
        <f>+PROVEEDORES[[#This Row],[Descuento sobre subtotal %]]*(PROVEEDORES[[#This Row],[SUBTOTAL]]-PROVEEDORES[[#This Row],[descuento antes de IVA]])</f>
        <v>0</v>
      </c>
      <c r="P10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2" s="33">
        <f>+(PROVEEDORES[[#This Row],[SUBTOTAL]]-PROVEEDORES[[#This Row],[descuento antes de IVA]])*PROVEEDORES[[#This Row],[Rete Fuente %]]</f>
        <v>0</v>
      </c>
      <c r="R1002" s="32">
        <f>+PROVEEDORES[[#This Row],[SUBTOTAL]]+PROVEEDORES[[#This Row],[IVA 19%]]-PROVEEDORES[[#This Row],[descuento antes de IVA]]-PROVEEDORES[[#This Row],[Descuento sobre subtotal $]]-PROVEEDORES[[#This Row],[Rete Fuente $]]</f>
        <v>1235279</v>
      </c>
      <c r="S1002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2"/>
      <c r="U1002" s="97"/>
      <c r="W1002" s="40"/>
      <c r="X1002" s="40"/>
      <c r="Y1002" s="41"/>
      <c r="Z1002" s="36"/>
      <c r="AA1002" s="36"/>
      <c r="AD1002" s="41"/>
      <c r="AE1002" s="42"/>
      <c r="AF1002" s="36"/>
      <c r="AG1002" s="36"/>
    </row>
    <row r="1003" spans="1:33" ht="21.95" hidden="1" customHeight="1" x14ac:dyDescent="0.25">
      <c r="A1003" s="133" t="str">
        <f>+IF(PROVEEDORES[[#This Row],[FECHA DE PAGO]]=PROVEEDORES[[#This Row],[FECHA DE FACTURACIÓN]],"DE CONTADO","CRÉDITO")</f>
        <v>CRÉDITO</v>
      </c>
      <c r="B1003" s="70" t="str">
        <f>+IF((PROVEEDORES[[#This Row],[FECHA DE PAGO]]-PROVEEDORES[[#This Row],[FECHA DE FACTURACIÓN]])&gt;PROVEEDORES[[#This Row],[PLAZO Días]],"PAGO VENCIDO")</f>
        <v>PAGO VENCIDO</v>
      </c>
      <c r="C1003" s="27">
        <f>+VLOOKUP(PROVEEDORES[[#This Row],[PROVEEDOR]],TERCEROS_INFO[#All],2,FALSE)</f>
        <v>30</v>
      </c>
      <c r="D1003" s="37">
        <f>+SUMIFS(PROVEEDORES[Total],PROVEEDORES[PROVEEDOR],PROVEEDORES[[#This Row],[PROVEEDOR]],PROVEEDORES[FECHA DE PAGO],"")</f>
        <v>0</v>
      </c>
      <c r="E1003" s="37"/>
      <c r="F1003" s="108" t="str">
        <f>+VLOOKUP(PROVEEDORES[[#This Row],[PROVEEDOR]],TERCEROS_INFO[[PROVEEDOR]:[CORREO]],5,FALSE)</f>
        <v>PSE</v>
      </c>
      <c r="G1003" s="143">
        <v>44448</v>
      </c>
      <c r="H1003" s="38" t="s">
        <v>636</v>
      </c>
      <c r="I1003" s="30">
        <v>44378</v>
      </c>
      <c r="J1003" s="58" t="s">
        <v>619</v>
      </c>
      <c r="K1003" s="32">
        <v>256261</v>
      </c>
      <c r="L1003" s="32"/>
      <c r="M1003" s="33">
        <f>(PROVEEDORES[[#This Row],[SUBTOTAL]]-PROVEEDORES[[#This Row],[descuento antes de IVA]])*VLOOKUP(PROVEEDORES[[#This Row],[PROVEEDOR]],TERCEROS_INFO[#All],3,FALSE)</f>
        <v>0</v>
      </c>
      <c r="N1003" s="34"/>
      <c r="O1003" s="33">
        <f>+PROVEEDORES[[#This Row],[Descuento sobre subtotal %]]*(PROVEEDORES[[#This Row],[SUBTOTAL]]-PROVEEDORES[[#This Row],[descuento antes de IVA]])</f>
        <v>0</v>
      </c>
      <c r="P10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3" s="33">
        <f>+(PROVEEDORES[[#This Row],[SUBTOTAL]]-PROVEEDORES[[#This Row],[descuento antes de IVA]])*PROVEEDORES[[#This Row],[Rete Fuente %]]</f>
        <v>0</v>
      </c>
      <c r="R1003" s="32">
        <f>+PROVEEDORES[[#This Row],[SUBTOTAL]]+PROVEEDORES[[#This Row],[IVA 19%]]-PROVEEDORES[[#This Row],[descuento antes de IVA]]-PROVEEDORES[[#This Row],[Descuento sobre subtotal $]]-PROVEEDORES[[#This Row],[Rete Fuente $]]</f>
        <v>256261</v>
      </c>
      <c r="S1003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3"/>
      <c r="U1003" s="97"/>
      <c r="W1003" s="40"/>
      <c r="X1003" s="40"/>
      <c r="Y1003" s="41"/>
      <c r="Z1003" s="36"/>
      <c r="AA1003" s="36"/>
      <c r="AD1003" s="41"/>
      <c r="AE1003" s="42"/>
      <c r="AF1003" s="36"/>
      <c r="AG1003" s="36"/>
    </row>
    <row r="1004" spans="1:33" ht="21.95" hidden="1" customHeight="1" x14ac:dyDescent="0.25">
      <c r="A1004" s="133" t="str">
        <f>+IF(PROVEEDORES[[#This Row],[FECHA DE PAGO]]=PROVEEDORES[[#This Row],[FECHA DE FACTURACIÓN]],"DE CONTADO","CRÉDITO")</f>
        <v>CRÉDITO</v>
      </c>
      <c r="B1004" s="70" t="str">
        <f>+IF((PROVEEDORES[[#This Row],[FECHA DE PAGO]]-PROVEEDORES[[#This Row],[FECHA DE FACTURACIÓN]])&gt;PROVEEDORES[[#This Row],[PLAZO Días]],"PAGO VENCIDO")</f>
        <v>PAGO VENCIDO</v>
      </c>
      <c r="C1004" s="27">
        <f>+VLOOKUP(PROVEEDORES[[#This Row],[PROVEEDOR]],TERCEROS_INFO[#All],2,FALSE)</f>
        <v>30</v>
      </c>
      <c r="D1004" s="37">
        <f>+SUMIFS(PROVEEDORES[Total],PROVEEDORES[PROVEEDOR],PROVEEDORES[[#This Row],[PROVEEDOR]],PROVEEDORES[FECHA DE PAGO],"")</f>
        <v>0</v>
      </c>
      <c r="E1004" s="37"/>
      <c r="F1004" s="108" t="str">
        <f>+VLOOKUP(PROVEEDORES[[#This Row],[PROVEEDOR]],TERCEROS_INFO[[PROVEEDOR]:[CORREO]],5,FALSE)</f>
        <v>PSE</v>
      </c>
      <c r="G1004" s="143">
        <v>44448</v>
      </c>
      <c r="H1004" s="38" t="s">
        <v>636</v>
      </c>
      <c r="I1004" s="30">
        <v>44378</v>
      </c>
      <c r="J1004" s="58" t="s">
        <v>618</v>
      </c>
      <c r="K1004" s="32">
        <v>1545030</v>
      </c>
      <c r="L1004" s="32"/>
      <c r="M1004" s="33">
        <f>(PROVEEDORES[[#This Row],[SUBTOTAL]]-PROVEEDORES[[#This Row],[descuento antes de IVA]])*VLOOKUP(PROVEEDORES[[#This Row],[PROVEEDOR]],TERCEROS_INFO[#All],3,FALSE)</f>
        <v>0</v>
      </c>
      <c r="N1004" s="34"/>
      <c r="O1004" s="33">
        <f>+PROVEEDORES[[#This Row],[Descuento sobre subtotal %]]*(PROVEEDORES[[#This Row],[SUBTOTAL]]-PROVEEDORES[[#This Row],[descuento antes de IVA]])</f>
        <v>0</v>
      </c>
      <c r="P10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4" s="33">
        <f>+(PROVEEDORES[[#This Row],[SUBTOTAL]]-PROVEEDORES[[#This Row],[descuento antes de IVA]])*PROVEEDORES[[#This Row],[Rete Fuente %]]</f>
        <v>0</v>
      </c>
      <c r="R1004" s="32">
        <f>+PROVEEDORES[[#This Row],[SUBTOTAL]]+PROVEEDORES[[#This Row],[IVA 19%]]-PROVEEDORES[[#This Row],[descuento antes de IVA]]-PROVEEDORES[[#This Row],[Descuento sobre subtotal $]]-PROVEEDORES[[#This Row],[Rete Fuente $]]</f>
        <v>1545030</v>
      </c>
      <c r="S1004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4"/>
      <c r="U1004" s="97"/>
      <c r="W1004" s="40"/>
      <c r="X1004" s="40"/>
      <c r="Y1004" s="41"/>
      <c r="Z1004" s="36"/>
      <c r="AA1004" s="36"/>
      <c r="AD1004" s="41"/>
      <c r="AE1004" s="42"/>
      <c r="AF1004" s="36"/>
      <c r="AG1004" s="36"/>
    </row>
    <row r="1005" spans="1:33" ht="21.95" hidden="1" customHeight="1" x14ac:dyDescent="0.25">
      <c r="A1005" s="155" t="str">
        <f>+IF(PROVEEDORES[[#This Row],[FECHA DE PAGO]]=PROVEEDORES[[#This Row],[FECHA DE FACTURACIÓN]],"DE CONTADO","CRÉDITO")</f>
        <v>CRÉDITO</v>
      </c>
      <c r="B1005" s="70" t="str">
        <f>+IF((PROVEEDORES[[#This Row],[FECHA DE PAGO]]-PROVEEDORES[[#This Row],[FECHA DE FACTURACIÓN]])&gt;PROVEEDORES[[#This Row],[PLAZO Días]],"PAGO VENCIDO")</f>
        <v>PAGO VENCIDO</v>
      </c>
      <c r="C1005" s="27">
        <v>70</v>
      </c>
      <c r="D1005" s="37">
        <f>+SUMIFS(PROVEEDORES[Total],PROVEEDORES[PROVEEDOR],PROVEEDORES[[#This Row],[PROVEEDOR]],PROVEEDORES[FECHA DE PAGO],"")</f>
        <v>0</v>
      </c>
      <c r="E1005" s="37"/>
      <c r="F1005" s="108" t="str">
        <f>+VLOOKUP(PROVEEDORES[[#This Row],[PROVEEDOR]],TERCEROS_INFO[[PROVEEDOR]:[CORREO]],5,FALSE)</f>
        <v>PSE</v>
      </c>
      <c r="G1005" s="143">
        <v>44554</v>
      </c>
      <c r="H1005" s="38" t="s">
        <v>636</v>
      </c>
      <c r="I1005" s="30">
        <v>44470</v>
      </c>
      <c r="J1005" s="58" t="s">
        <v>619</v>
      </c>
      <c r="K1005" s="32">
        <v>256261</v>
      </c>
      <c r="L1005" s="32"/>
      <c r="M1005" s="33">
        <f>(PROVEEDORES[[#This Row],[SUBTOTAL]]-PROVEEDORES[[#This Row],[descuento antes de IVA]])*VLOOKUP(PROVEEDORES[[#This Row],[PROVEEDOR]],TERCEROS_INFO[#All],3,FALSE)</f>
        <v>0</v>
      </c>
      <c r="N1005" s="34"/>
      <c r="O1005" s="33">
        <f>+PROVEEDORES[[#This Row],[Descuento sobre subtotal %]]*(PROVEEDORES[[#This Row],[SUBTOTAL]]-PROVEEDORES[[#This Row],[descuento antes de IVA]])</f>
        <v>0</v>
      </c>
      <c r="P10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5" s="33">
        <f>+(PROVEEDORES[[#This Row],[SUBTOTAL]]-PROVEEDORES[[#This Row],[descuento antes de IVA]])*PROVEEDORES[[#This Row],[Rete Fuente %]]</f>
        <v>0</v>
      </c>
      <c r="R1005" s="32">
        <f>+PROVEEDORES[[#This Row],[SUBTOTAL]]+PROVEEDORES[[#This Row],[IVA 19%]]-PROVEEDORES[[#This Row],[descuento antes de IVA]]-PROVEEDORES[[#This Row],[Descuento sobre subtotal $]]-PROVEEDORES[[#This Row],[Rete Fuente $]]</f>
        <v>256261</v>
      </c>
      <c r="S1005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5"/>
      <c r="U1005" s="97"/>
      <c r="W1005" s="40"/>
      <c r="X1005" s="40"/>
      <c r="Y1005" s="41"/>
      <c r="Z1005" s="36"/>
      <c r="AA1005" s="36"/>
      <c r="AD1005" s="41"/>
      <c r="AE1005" s="42"/>
      <c r="AF1005" s="36"/>
      <c r="AG1005" s="36"/>
    </row>
    <row r="1006" spans="1:33" ht="21.95" hidden="1" customHeight="1" x14ac:dyDescent="0.25">
      <c r="A1006" s="155" t="str">
        <f>+IF(PROVEEDORES[[#This Row],[FECHA DE PAGO]]=PROVEEDORES[[#This Row],[FECHA DE FACTURACIÓN]],"DE CONTADO","CRÉDITO")</f>
        <v>CRÉDITO</v>
      </c>
      <c r="B1006" s="70" t="str">
        <f>+IF((PROVEEDORES[[#This Row],[FECHA DE PAGO]]-PROVEEDORES[[#This Row],[FECHA DE FACTURACIÓN]])&gt;PROVEEDORES[[#This Row],[PLAZO Días]],"PAGO VENCIDO")</f>
        <v>PAGO VENCIDO</v>
      </c>
      <c r="C1006" s="27">
        <v>70</v>
      </c>
      <c r="D1006" s="37">
        <f>+SUMIFS(PROVEEDORES[Total],PROVEEDORES[PROVEEDOR],PROVEEDORES[[#This Row],[PROVEEDOR]],PROVEEDORES[FECHA DE PAGO],"")</f>
        <v>0</v>
      </c>
      <c r="E1006" s="37"/>
      <c r="F1006" s="108" t="str">
        <f>+VLOOKUP(PROVEEDORES[[#This Row],[PROVEEDOR]],TERCEROS_INFO[[PROVEEDOR]:[CORREO]],5,FALSE)</f>
        <v>PSE</v>
      </c>
      <c r="G1006" s="143">
        <v>44554</v>
      </c>
      <c r="H1006" s="38" t="s">
        <v>636</v>
      </c>
      <c r="I1006" s="30">
        <v>44470</v>
      </c>
      <c r="J1006" s="58" t="s">
        <v>618</v>
      </c>
      <c r="K1006" s="32">
        <v>1545030</v>
      </c>
      <c r="L1006" s="32"/>
      <c r="M1006" s="33">
        <f>(PROVEEDORES[[#This Row],[SUBTOTAL]]-PROVEEDORES[[#This Row],[descuento antes de IVA]])*VLOOKUP(PROVEEDORES[[#This Row],[PROVEEDOR]],TERCEROS_INFO[#All],3,FALSE)</f>
        <v>0</v>
      </c>
      <c r="N1006" s="34"/>
      <c r="O1006" s="33">
        <f>+PROVEEDORES[[#This Row],[Descuento sobre subtotal %]]*(PROVEEDORES[[#This Row],[SUBTOTAL]]-PROVEEDORES[[#This Row],[descuento antes de IVA]])</f>
        <v>0</v>
      </c>
      <c r="P10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6" s="33">
        <f>+(PROVEEDORES[[#This Row],[SUBTOTAL]]-PROVEEDORES[[#This Row],[descuento antes de IVA]])*PROVEEDORES[[#This Row],[Rete Fuente %]]</f>
        <v>0</v>
      </c>
      <c r="R1006" s="32">
        <f>+PROVEEDORES[[#This Row],[SUBTOTAL]]+PROVEEDORES[[#This Row],[IVA 19%]]-PROVEEDORES[[#This Row],[descuento antes de IVA]]-PROVEEDORES[[#This Row],[Descuento sobre subtotal $]]-PROVEEDORES[[#This Row],[Rete Fuente $]]</f>
        <v>1545030</v>
      </c>
      <c r="S1006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6"/>
      <c r="U1006" s="97"/>
      <c r="W1006" s="40"/>
      <c r="X1006" s="40"/>
      <c r="Y1006" s="41"/>
      <c r="Z1006" s="36"/>
      <c r="AA1006" s="36"/>
      <c r="AD1006" s="41"/>
      <c r="AE1006" s="42"/>
      <c r="AF1006" s="36"/>
      <c r="AG1006" s="36"/>
    </row>
    <row r="1007" spans="1:33" ht="21.95" hidden="1" customHeight="1" x14ac:dyDescent="0.25">
      <c r="A1007" s="107" t="str">
        <f>+IF(PROVEEDORES[[#This Row],[FECHA DE PAGO]]=PROVEEDORES[[#This Row],[FECHA DE FACTURACIÓN]],"DE CONTADO","CRÉDITO")</f>
        <v>CRÉDITO</v>
      </c>
      <c r="B1007" s="70" t="str">
        <f>+IF((PROVEEDORES[[#This Row],[FECHA DE PAGO]]-PROVEEDORES[[#This Row],[FECHA DE FACTURACIÓN]])&gt;PROVEEDORES[[#This Row],[PLAZO Días]],"PAGO VENCIDO")</f>
        <v>PAGO VENCIDO</v>
      </c>
      <c r="C1007" s="27">
        <f>+VLOOKUP(PROVEEDORES[[#This Row],[PROVEEDOR]],TERCEROS_INFO[#All],2,FALSE)</f>
        <v>30</v>
      </c>
      <c r="D1007" s="37">
        <f>+SUMIFS(PROVEEDORES[Total],PROVEEDORES[PROVEEDOR],PROVEEDORES[[#This Row],[PROVEEDOR]],PROVEEDORES[FECHA DE PAGO],"")</f>
        <v>0</v>
      </c>
      <c r="E1007" s="37"/>
      <c r="F1007" s="108" t="str">
        <f>+VLOOKUP(PROVEEDORES[[#This Row],[PROVEEDOR]],TERCEROS_INFO[[PROVEEDOR]:[CORREO]],5,FALSE)</f>
        <v>Info.patex@gmail.com;girlesa.ruiz@servipilas.com;joriescobar64@gmail.com</v>
      </c>
      <c r="G1007" s="143">
        <v>44316</v>
      </c>
      <c r="H1007" s="38" t="s">
        <v>637</v>
      </c>
      <c r="I1007" s="30">
        <v>44284</v>
      </c>
      <c r="J1007" s="58">
        <v>68</v>
      </c>
      <c r="K1007" s="32">
        <v>972802</v>
      </c>
      <c r="L1007" s="32"/>
      <c r="M1007" s="33">
        <f>(PROVEEDORES[[#This Row],[SUBTOTAL]]-PROVEEDORES[[#This Row],[descuento antes de IVA]])*VLOOKUP(PROVEEDORES[[#This Row],[PROVEEDOR]],TERCEROS_INFO[#All],3,FALSE)</f>
        <v>184832.38</v>
      </c>
      <c r="N1007" s="34"/>
      <c r="O1007" s="33">
        <f>+PROVEEDORES[[#This Row],[Descuento sobre subtotal %]]*(PROVEEDORES[[#This Row],[SUBTOTAL]]-PROVEEDORES[[#This Row],[descuento antes de IVA]])</f>
        <v>0</v>
      </c>
      <c r="P10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7" s="33">
        <f>+(PROVEEDORES[[#This Row],[SUBTOTAL]]-PROVEEDORES[[#This Row],[descuento antes de IVA]])*PROVEEDORES[[#This Row],[Rete Fuente %]]</f>
        <v>0</v>
      </c>
      <c r="R1007" s="32">
        <f>+PROVEEDORES[[#This Row],[SUBTOTAL]]+PROVEEDORES[[#This Row],[IVA 19%]]-PROVEEDORES[[#This Row],[descuento antes de IVA]]-PROVEEDORES[[#This Row],[Descuento sobre subtotal $]]-PROVEEDORES[[#This Row],[Rete Fuente $]]</f>
        <v>1157634.3799999999</v>
      </c>
      <c r="S1007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7"/>
      <c r="U1007" s="97"/>
      <c r="W1007" s="40"/>
      <c r="X1007" s="40"/>
      <c r="Y1007" s="41"/>
      <c r="Z1007" s="36"/>
      <c r="AA1007" s="36"/>
      <c r="AD1007" s="41"/>
      <c r="AE1007" s="42"/>
      <c r="AF1007" s="36"/>
      <c r="AG1007" s="36"/>
    </row>
    <row r="1008" spans="1:33" ht="21.95" hidden="1" customHeight="1" x14ac:dyDescent="0.25">
      <c r="A1008" s="107" t="str">
        <f>+IF(PROVEEDORES[[#This Row],[FECHA DE PAGO]]=PROVEEDORES[[#This Row],[FECHA DE FACTURACIÓN]],"DE CONTADO","CRÉDITO")</f>
        <v>DE CONTADO</v>
      </c>
      <c r="B1008" s="70" t="b">
        <f>+IF((PROVEEDORES[[#This Row],[FECHA DE PAGO]]-PROVEEDORES[[#This Row],[FECHA DE FACTURACIÓN]])&gt;PROVEEDORES[[#This Row],[PLAZO Días]],"PAGO VENCIDO")</f>
        <v>0</v>
      </c>
      <c r="C1008" s="27">
        <f>+VLOOKUP(PROVEEDORES[[#This Row],[PROVEEDOR]],TERCEROS_INFO[#All],2,FALSE)</f>
        <v>30</v>
      </c>
      <c r="D1008" s="37">
        <f>+SUMIFS(PROVEEDORES[Total],PROVEEDORES[PROVEEDOR],PROVEEDORES[[#This Row],[PROVEEDOR]],PROVEEDORES[FECHA DE PAGO],"")</f>
        <v>0</v>
      </c>
      <c r="E1008" s="37"/>
      <c r="F1008" s="108" t="str">
        <f>+VLOOKUP(PROVEEDORES[[#This Row],[PROVEEDOR]],TERCEROS_INFO[[PROVEEDOR]:[CORREO]],5,FALSE)</f>
        <v>Info.patex@gmail.com;girlesa.ruiz@servipilas.com;joriescobar64@gmail.com</v>
      </c>
      <c r="G1008" s="143">
        <v>44316</v>
      </c>
      <c r="H1008" s="38" t="s">
        <v>637</v>
      </c>
      <c r="I1008" s="30">
        <v>44316</v>
      </c>
      <c r="J1008" s="58" t="s">
        <v>650</v>
      </c>
      <c r="K1008" s="32">
        <v>-972802</v>
      </c>
      <c r="L1008" s="32"/>
      <c r="M1008" s="33">
        <f>(PROVEEDORES[[#This Row],[SUBTOTAL]]-PROVEEDORES[[#This Row],[descuento antes de IVA]])*VLOOKUP(PROVEEDORES[[#This Row],[PROVEEDOR]],TERCEROS_INFO[#All],3,FALSE)</f>
        <v>-184832.38</v>
      </c>
      <c r="N1008" s="34"/>
      <c r="O1008" s="33">
        <f>+PROVEEDORES[[#This Row],[Descuento sobre subtotal %]]*(PROVEEDORES[[#This Row],[SUBTOTAL]]-PROVEEDORES[[#This Row],[descuento antes de IVA]])</f>
        <v>0</v>
      </c>
      <c r="P10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8" s="33">
        <f>+(PROVEEDORES[[#This Row],[SUBTOTAL]]-PROVEEDORES[[#This Row],[descuento antes de IVA]])*PROVEEDORES[[#This Row],[Rete Fuente %]]</f>
        <v>0</v>
      </c>
      <c r="R1008" s="32">
        <f>+PROVEEDORES[[#This Row],[SUBTOTAL]]+PROVEEDORES[[#This Row],[IVA 19%]]-PROVEEDORES[[#This Row],[descuento antes de IVA]]-PROVEEDORES[[#This Row],[Descuento sobre subtotal $]]-PROVEEDORES[[#This Row],[Rete Fuente $]]</f>
        <v>-1157634.3799999999</v>
      </c>
      <c r="S1008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8"/>
      <c r="U1008" s="97"/>
      <c r="W1008" s="40"/>
      <c r="X1008" s="40"/>
      <c r="Y1008" s="41"/>
      <c r="Z1008" s="36"/>
      <c r="AA1008" s="36"/>
      <c r="AD1008" s="41"/>
      <c r="AE1008" s="42"/>
      <c r="AF1008" s="36"/>
      <c r="AG1008" s="36"/>
    </row>
    <row r="1009" spans="1:33" ht="21.95" hidden="1" customHeight="1" x14ac:dyDescent="0.25">
      <c r="A1009" s="142" t="str">
        <f>+IF(PROVEEDORES[[#This Row],[FECHA DE PAGO]]=PROVEEDORES[[#This Row],[FECHA DE FACTURACIÓN]],"DE CONTADO","CRÉDITO")</f>
        <v>CRÉDITO</v>
      </c>
      <c r="B1009" s="70" t="str">
        <f>+IF((PROVEEDORES[[#This Row],[FECHA DE PAGO]]-PROVEEDORES[[#This Row],[FECHA DE FACTURACIÓN]])&gt;PROVEEDORES[[#This Row],[PLAZO Días]],"PAGO VENCIDO")</f>
        <v>PAGO VENCIDO</v>
      </c>
      <c r="C1009" s="27">
        <f>+VLOOKUP(PROVEEDORES[[#This Row],[PROVEEDOR]],TERCEROS_INFO[#All],2,FALSE)</f>
        <v>30</v>
      </c>
      <c r="D1009" s="37">
        <f>+SUMIFS(PROVEEDORES[Total],PROVEEDORES[PROVEEDOR],PROVEEDORES[[#This Row],[PROVEEDOR]],PROVEEDORES[FECHA DE PAGO],"")</f>
        <v>0</v>
      </c>
      <c r="E1009" s="37" t="s">
        <v>1340</v>
      </c>
      <c r="F1009" s="108" t="str">
        <f>+VLOOKUP(PROVEEDORES[[#This Row],[PROVEEDOR]],TERCEROS_INFO[[PROVEEDOR]:[CORREO]],5,FALSE)</f>
        <v>Info.patex@gmail.com;girlesa.ruiz@servipilas.com;joriescobar64@gmail.com</v>
      </c>
      <c r="G1009" s="143">
        <v>44561</v>
      </c>
      <c r="H1009" s="38" t="s">
        <v>637</v>
      </c>
      <c r="I1009" s="30">
        <v>44431</v>
      </c>
      <c r="J1009" s="58" t="s">
        <v>1223</v>
      </c>
      <c r="K1009" s="32">
        <v>-1300000</v>
      </c>
      <c r="L1009" s="32"/>
      <c r="M1009" s="33">
        <v>0</v>
      </c>
      <c r="N1009" s="34"/>
      <c r="O1009" s="33">
        <f>+PROVEEDORES[[#This Row],[Descuento sobre subtotal %]]*(PROVEEDORES[[#This Row],[SUBTOTAL]]-PROVEEDORES[[#This Row],[descuento antes de IVA]])</f>
        <v>0</v>
      </c>
      <c r="P10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09" s="33">
        <f>+(PROVEEDORES[[#This Row],[SUBTOTAL]]-PROVEEDORES[[#This Row],[descuento antes de IVA]])*PROVEEDORES[[#This Row],[Rete Fuente %]]</f>
        <v>0</v>
      </c>
      <c r="R1009" s="32">
        <v>0</v>
      </c>
      <c r="S1009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9"/>
      <c r="U1009" s="97"/>
      <c r="W1009" s="40"/>
      <c r="X1009" s="40"/>
      <c r="Y1009" s="41"/>
      <c r="Z1009" s="36"/>
      <c r="AA1009" s="36"/>
      <c r="AD1009" s="41"/>
      <c r="AE1009" s="42"/>
      <c r="AF1009" s="36"/>
      <c r="AG1009" s="36"/>
    </row>
    <row r="1010" spans="1:33" ht="21.95" hidden="1" customHeight="1" x14ac:dyDescent="0.25">
      <c r="A1010" s="107" t="str">
        <f>+IF(PROVEEDORES[[#This Row],[FECHA DE PAGO]]=PROVEEDORES[[#This Row],[FECHA DE FACTURACIÓN]],"DE CONTADO","CRÉDITO")</f>
        <v>CRÉDITO</v>
      </c>
      <c r="B1010" s="70" t="b">
        <f>+IF((PROVEEDORES[[#This Row],[FECHA DE PAGO]]-PROVEEDORES[[#This Row],[FECHA DE FACTURACIÓN]])&gt;PROVEEDORES[[#This Row],[PLAZO Días]],"PAGO VENCIDO")</f>
        <v>0</v>
      </c>
      <c r="C1010" s="27">
        <f>+VLOOKUP(PROVEEDORES[[#This Row],[PROVEEDOR]],TERCEROS_INFO[#All],2,FALSE)</f>
        <v>30</v>
      </c>
      <c r="D1010" s="37">
        <f>+SUMIFS(PROVEEDORES[Total],PROVEEDORES[PROVEEDOR],PROVEEDORES[[#This Row],[PROVEEDOR]],PROVEEDORES[FECHA DE PAGO],"")</f>
        <v>2691998.74</v>
      </c>
      <c r="E1010" s="37"/>
      <c r="F1010" s="108" t="str">
        <f>+VLOOKUP(PROVEEDORES[[#This Row],[PROVEEDOR]],TERCEROS_INFO[[PROVEEDOR]:[CORREO]],5,FALSE)</f>
        <v>propertymarketingsas@hotmail.com;girlesa.ruiz@servipilas.com;joriescobar64@gmail.com</v>
      </c>
      <c r="G1010" s="143">
        <v>44250</v>
      </c>
      <c r="H1010" s="38" t="s">
        <v>813</v>
      </c>
      <c r="I1010" s="30">
        <v>44228</v>
      </c>
      <c r="J1010" s="58" t="s">
        <v>1101</v>
      </c>
      <c r="K1010" s="32">
        <v>2789636</v>
      </c>
      <c r="L1010" s="32"/>
      <c r="M1010" s="33">
        <f>(PROVEEDORES[[#This Row],[SUBTOTAL]]-PROVEEDORES[[#This Row],[descuento antes de IVA]])*VLOOKUP(PROVEEDORES[[#This Row],[PROVEEDOR]],TERCEROS_INFO[#All],3,FALSE)</f>
        <v>0</v>
      </c>
      <c r="N1010" s="34"/>
      <c r="O1010" s="33">
        <f>+PROVEEDORES[[#This Row],[Descuento sobre subtotal %]]*(PROVEEDORES[[#This Row],[SUBTOTAL]]-PROVEEDORES[[#This Row],[descuento antes de IVA]])</f>
        <v>0</v>
      </c>
      <c r="P10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10" s="33">
        <f>+(PROVEEDORES[[#This Row],[SUBTOTAL]]-PROVEEDORES[[#This Row],[descuento antes de IVA]])*PROVEEDORES[[#This Row],[Rete Fuente %]]</f>
        <v>97637.260000000009</v>
      </c>
      <c r="R1010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10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0"/>
      <c r="U1010" s="97"/>
      <c r="W1010" s="40"/>
      <c r="X1010" s="40"/>
      <c r="Y1010" s="41"/>
      <c r="Z1010" s="36"/>
      <c r="AA1010" s="36"/>
      <c r="AD1010" s="41"/>
      <c r="AE1010" s="42"/>
      <c r="AF1010" s="36"/>
      <c r="AG1010" s="36"/>
    </row>
    <row r="1011" spans="1:33" ht="21.95" hidden="1" customHeight="1" x14ac:dyDescent="0.25">
      <c r="A1011" s="107" t="str">
        <f>+IF(PROVEEDORES[[#This Row],[FECHA DE PAGO]]=PROVEEDORES[[#This Row],[FECHA DE FACTURACIÓN]],"DE CONTADO","CRÉDITO")</f>
        <v>CRÉDITO</v>
      </c>
      <c r="B1011" s="70" t="b">
        <f>+IF((PROVEEDORES[[#This Row],[FECHA DE PAGO]]-PROVEEDORES[[#This Row],[FECHA DE FACTURACIÓN]])&gt;PROVEEDORES[[#This Row],[PLAZO Días]],"PAGO VENCIDO")</f>
        <v>0</v>
      </c>
      <c r="C1011" s="27">
        <f>+VLOOKUP(PROVEEDORES[[#This Row],[PROVEEDOR]],TERCEROS_INFO[#All],2,FALSE)</f>
        <v>30</v>
      </c>
      <c r="D1011" s="37">
        <f>+SUMIFS(PROVEEDORES[Total],PROVEEDORES[PROVEEDOR],PROVEEDORES[[#This Row],[PROVEEDOR]],PROVEEDORES[FECHA DE PAGO],"")</f>
        <v>2691998.74</v>
      </c>
      <c r="E1011" s="37"/>
      <c r="F1011" s="108" t="str">
        <f>+VLOOKUP(PROVEEDORES[[#This Row],[PROVEEDOR]],TERCEROS_INFO[[PROVEEDOR]:[CORREO]],5,FALSE)</f>
        <v>propertymarketingsas@hotmail.com;girlesa.ruiz@servipilas.com;joriescobar64@gmail.com</v>
      </c>
      <c r="G1011" s="143">
        <v>44284</v>
      </c>
      <c r="H1011" s="38" t="s">
        <v>813</v>
      </c>
      <c r="I1011" s="30">
        <v>44256</v>
      </c>
      <c r="J1011" s="58">
        <v>3831</v>
      </c>
      <c r="K1011" s="32">
        <v>2789636</v>
      </c>
      <c r="L1011" s="32"/>
      <c r="M1011" s="33">
        <f>(PROVEEDORES[[#This Row],[SUBTOTAL]]-PROVEEDORES[[#This Row],[descuento antes de IVA]])*VLOOKUP(PROVEEDORES[[#This Row],[PROVEEDOR]],TERCEROS_INFO[#All],3,FALSE)</f>
        <v>0</v>
      </c>
      <c r="N1011" s="34"/>
      <c r="O1011" s="33">
        <f>+PROVEEDORES[[#This Row],[Descuento sobre subtotal %]]*(PROVEEDORES[[#This Row],[SUBTOTAL]]-PROVEEDORES[[#This Row],[descuento antes de IVA]])</f>
        <v>0</v>
      </c>
      <c r="P10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11" s="33">
        <f>+(PROVEEDORES[[#This Row],[SUBTOTAL]]-PROVEEDORES[[#This Row],[descuento antes de IVA]])*PROVEEDORES[[#This Row],[Rete Fuente %]]</f>
        <v>97637.260000000009</v>
      </c>
      <c r="R1011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11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1"/>
      <c r="U1011" s="97"/>
      <c r="W1011" s="40"/>
      <c r="X1011" s="40"/>
      <c r="Y1011" s="41"/>
      <c r="Z1011" s="36"/>
      <c r="AA1011" s="36"/>
      <c r="AD1011" s="41"/>
      <c r="AE1011" s="42"/>
      <c r="AF1011" s="36"/>
      <c r="AG1011" s="36"/>
    </row>
    <row r="1012" spans="1:33" ht="21.95" hidden="1" customHeight="1" x14ac:dyDescent="0.25">
      <c r="A1012" s="107" t="str">
        <f>+IF(PROVEEDORES[[#This Row],[FECHA DE PAGO]]=PROVEEDORES[[#This Row],[FECHA DE FACTURACIÓN]],"DE CONTADO","CRÉDITO")</f>
        <v>CRÉDITO</v>
      </c>
      <c r="B1012" s="70" t="str">
        <f>+IF((PROVEEDORES[[#This Row],[FECHA DE PAGO]]-PROVEEDORES[[#This Row],[FECHA DE FACTURACIÓN]])&gt;PROVEEDORES[[#This Row],[PLAZO Días]],"PAGO VENCIDO")</f>
        <v>PAGO VENCIDO</v>
      </c>
      <c r="C1012" s="27">
        <f>+VLOOKUP(PROVEEDORES[[#This Row],[PROVEEDOR]],TERCEROS_INFO[#All],2,FALSE)</f>
        <v>30</v>
      </c>
      <c r="D1012" s="37">
        <f>+SUMIFS(PROVEEDORES[Total],PROVEEDORES[PROVEEDOR],PROVEEDORES[[#This Row],[PROVEEDOR]],PROVEEDORES[FECHA DE PAGO],"")</f>
        <v>2691998.74</v>
      </c>
      <c r="E1012" s="37"/>
      <c r="F1012" s="108" t="str">
        <f>+VLOOKUP(PROVEEDORES[[#This Row],[PROVEEDOR]],TERCEROS_INFO[[PROVEEDOR]:[CORREO]],5,FALSE)</f>
        <v>propertymarketingsas@hotmail.com;girlesa.ruiz@servipilas.com;joriescobar64@gmail.com</v>
      </c>
      <c r="G1012" s="143">
        <v>44432</v>
      </c>
      <c r="H1012" s="38" t="s">
        <v>813</v>
      </c>
      <c r="I1012" s="30">
        <v>44287</v>
      </c>
      <c r="J1012" s="58" t="s">
        <v>624</v>
      </c>
      <c r="K1012" s="32">
        <v>2789636</v>
      </c>
      <c r="L1012" s="32"/>
      <c r="M1012" s="33">
        <f>(PROVEEDORES[[#This Row],[SUBTOTAL]]-PROVEEDORES[[#This Row],[descuento antes de IVA]])*VLOOKUP(PROVEEDORES[[#This Row],[PROVEEDOR]],TERCEROS_INFO[#All],3,FALSE)</f>
        <v>0</v>
      </c>
      <c r="N1012" s="34"/>
      <c r="O1012" s="33">
        <f>+PROVEEDORES[[#This Row],[Descuento sobre subtotal %]]*(PROVEEDORES[[#This Row],[SUBTOTAL]]-PROVEEDORES[[#This Row],[descuento antes de IVA]])</f>
        <v>0</v>
      </c>
      <c r="P10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12" s="33">
        <f>+(PROVEEDORES[[#This Row],[SUBTOTAL]]-PROVEEDORES[[#This Row],[descuento antes de IVA]])*PROVEEDORES[[#This Row],[Rete Fuente %]]</f>
        <v>97637.260000000009</v>
      </c>
      <c r="R1012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12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2"/>
      <c r="U1012" s="97"/>
      <c r="W1012" s="40"/>
      <c r="X1012" s="40"/>
      <c r="Y1012" s="41"/>
      <c r="Z1012" s="36"/>
      <c r="AA1012" s="36"/>
      <c r="AD1012" s="41"/>
      <c r="AE1012" s="42"/>
      <c r="AF1012" s="36"/>
      <c r="AG1012" s="36"/>
    </row>
    <row r="1013" spans="1:33" ht="21.95" hidden="1" customHeight="1" x14ac:dyDescent="0.25">
      <c r="A1013" s="111" t="str">
        <f>+IF(PROVEEDORES[[#This Row],[FECHA DE PAGO]]=PROVEEDORES[[#This Row],[FECHA DE FACTURACIÓN]],"DE CONTADO","CRÉDITO")</f>
        <v>CRÉDITO</v>
      </c>
      <c r="B1013" s="70" t="b">
        <f>+IF((PROVEEDORES[[#This Row],[FECHA DE PAGO]]-PROVEEDORES[[#This Row],[FECHA DE FACTURACIÓN]])&gt;PROVEEDORES[[#This Row],[PLAZO Días]],"PAGO VENCIDO")</f>
        <v>0</v>
      </c>
      <c r="C1013" s="27">
        <f>+VLOOKUP(PROVEEDORES[[#This Row],[PROVEEDOR]],TERCEROS_INFO[#All],2,FALSE)</f>
        <v>30</v>
      </c>
      <c r="D1013" s="37">
        <f>+SUMIFS(PROVEEDORES[Total],PROVEEDORES[PROVEEDOR],PROVEEDORES[[#This Row],[PROVEEDOR]],PROVEEDORES[FECHA DE PAGO],"")</f>
        <v>2691998.74</v>
      </c>
      <c r="E1013" s="37"/>
      <c r="F1013" s="117" t="str">
        <f>+VLOOKUP(PROVEEDORES[[#This Row],[PROVEEDOR]],TERCEROS_INFO[[PROVEEDOR]:[CORREO]],5,FALSE)</f>
        <v>propertymarketingsas@hotmail.com;girlesa.ruiz@servipilas.com;joriescobar64@gmail.com</v>
      </c>
      <c r="G1013" s="143">
        <v>44341</v>
      </c>
      <c r="H1013" s="38" t="s">
        <v>813</v>
      </c>
      <c r="I1013" s="30">
        <v>44317</v>
      </c>
      <c r="J1013" s="116" t="s">
        <v>1121</v>
      </c>
      <c r="K1013" s="113">
        <v>2092227</v>
      </c>
      <c r="L1013" s="113"/>
      <c r="M1013" s="114">
        <f>(PROVEEDORES[[#This Row],[SUBTOTAL]]-PROVEEDORES[[#This Row],[descuento antes de IVA]])*VLOOKUP(PROVEEDORES[[#This Row],[PROVEEDOR]],TERCEROS_INFO[#All],3,FALSE)</f>
        <v>0</v>
      </c>
      <c r="N1013" s="115"/>
      <c r="O1013" s="114">
        <f>+PROVEEDORES[[#This Row],[Descuento sobre subtotal %]]*(PROVEEDORES[[#This Row],[SUBTOTAL]]-PROVEEDORES[[#This Row],[descuento antes de IVA]])</f>
        <v>0</v>
      </c>
      <c r="P1013" s="115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13" s="114">
        <f>+(PROVEEDORES[[#This Row],[SUBTOTAL]]-PROVEEDORES[[#This Row],[descuento antes de IVA]])*PROVEEDORES[[#This Row],[Rete Fuente %]]</f>
        <v>73227.945000000007</v>
      </c>
      <c r="R1013" s="113">
        <f>+PROVEEDORES[[#This Row],[SUBTOTAL]]+PROVEEDORES[[#This Row],[IVA 19%]]-PROVEEDORES[[#This Row],[descuento antes de IVA]]-PROVEEDORES[[#This Row],[Descuento sobre subtotal $]]-PROVEEDORES[[#This Row],[Rete Fuente $]]</f>
        <v>2018999.0549999999</v>
      </c>
      <c r="S1013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3"/>
      <c r="U1013" s="97"/>
      <c r="W1013" s="40"/>
      <c r="X1013" s="40"/>
      <c r="Y1013" s="41"/>
      <c r="Z1013" s="36"/>
      <c r="AA1013" s="36"/>
      <c r="AD1013" s="41"/>
      <c r="AE1013" s="42"/>
      <c r="AF1013" s="36"/>
      <c r="AG1013" s="36"/>
    </row>
    <row r="1014" spans="1:33" ht="21.95" hidden="1" customHeight="1" x14ac:dyDescent="0.25">
      <c r="A1014" s="124" t="str">
        <f>+IF(PROVEEDORES[[#This Row],[FECHA DE PAGO]]=PROVEEDORES[[#This Row],[FECHA DE FACTURACIÓN]],"DE CONTADO","CRÉDITO")</f>
        <v>CRÉDITO</v>
      </c>
      <c r="B1014" s="70" t="b">
        <f>+IF((PROVEEDORES[[#This Row],[FECHA DE PAGO]]-PROVEEDORES[[#This Row],[FECHA DE FACTURACIÓN]])&gt;PROVEEDORES[[#This Row],[PLAZO Días]],"PAGO VENCIDO")</f>
        <v>0</v>
      </c>
      <c r="C1014" s="27">
        <f>+VLOOKUP(PROVEEDORES[[#This Row],[PROVEEDOR]],TERCEROS_INFO[#All],2,FALSE)</f>
        <v>30</v>
      </c>
      <c r="D1014" s="37">
        <f>+SUMIFS(PROVEEDORES[Total],PROVEEDORES[PROVEEDOR],PROVEEDORES[[#This Row],[PROVEEDOR]],PROVEEDORES[FECHA DE PAGO],"")</f>
        <v>2691998.74</v>
      </c>
      <c r="E1014" s="37"/>
      <c r="F1014" s="108" t="str">
        <f>+VLOOKUP(PROVEEDORES[[#This Row],[PROVEEDOR]],TERCEROS_INFO[[PROVEEDOR]:[CORREO]],5,FALSE)</f>
        <v>propertymarketingsas@hotmail.com;girlesa.ruiz@servipilas.com;joriescobar64@gmail.com</v>
      </c>
      <c r="G1014" s="143">
        <v>44369</v>
      </c>
      <c r="H1014" s="38" t="s">
        <v>813</v>
      </c>
      <c r="I1014" s="30">
        <v>44348</v>
      </c>
      <c r="J1014" s="58" t="s">
        <v>1147</v>
      </c>
      <c r="K1014" s="32">
        <v>2789636</v>
      </c>
      <c r="L1014" s="32"/>
      <c r="M1014" s="33">
        <f>(PROVEEDORES[[#This Row],[SUBTOTAL]]-PROVEEDORES[[#This Row],[descuento antes de IVA]])*VLOOKUP(PROVEEDORES[[#This Row],[PROVEEDOR]],TERCEROS_INFO[#All],3,FALSE)</f>
        <v>0</v>
      </c>
      <c r="N1014" s="34"/>
      <c r="O1014" s="33">
        <f>+PROVEEDORES[[#This Row],[Descuento sobre subtotal %]]*(PROVEEDORES[[#This Row],[SUBTOTAL]]-PROVEEDORES[[#This Row],[descuento antes de IVA]])</f>
        <v>0</v>
      </c>
      <c r="P10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14" s="33">
        <f>+(PROVEEDORES[[#This Row],[SUBTOTAL]]-PROVEEDORES[[#This Row],[descuento antes de IVA]])*PROVEEDORES[[#This Row],[Rete Fuente %]]</f>
        <v>97637.260000000009</v>
      </c>
      <c r="R1014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14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4"/>
      <c r="U1014" s="97"/>
      <c r="W1014" s="40"/>
      <c r="X1014" s="40"/>
      <c r="Y1014" s="41"/>
      <c r="Z1014" s="36"/>
      <c r="AA1014" s="36"/>
      <c r="AD1014" s="41"/>
      <c r="AE1014" s="42"/>
      <c r="AF1014" s="36"/>
      <c r="AG1014" s="36"/>
    </row>
    <row r="1015" spans="1:33" ht="21.95" hidden="1" customHeight="1" x14ac:dyDescent="0.25">
      <c r="A1015" s="127" t="str">
        <f>+IF(PROVEEDORES[[#This Row],[FECHA DE PAGO]]=PROVEEDORES[[#This Row],[FECHA DE FACTURACIÓN]],"DE CONTADO","CRÉDITO")</f>
        <v>CRÉDITO</v>
      </c>
      <c r="B1015" s="70" t="str">
        <f>+IF((PROVEEDORES[[#This Row],[FECHA DE PAGO]]-PROVEEDORES[[#This Row],[FECHA DE FACTURACIÓN]])&gt;PROVEEDORES[[#This Row],[PLAZO Días]],"PAGO VENCIDO")</f>
        <v>PAGO VENCIDO</v>
      </c>
      <c r="C1015" s="27">
        <v>-1</v>
      </c>
      <c r="D1015" s="37">
        <f>+SUMIFS(PROVEEDORES[Total],PROVEEDORES[PROVEEDOR],PROVEEDORES[[#This Row],[PROVEEDOR]],PROVEEDORES[FECHA DE PAGO],"")</f>
        <v>2691998.74</v>
      </c>
      <c r="E1015" s="37"/>
      <c r="F1015" s="108" t="str">
        <f>+VLOOKUP(PROVEEDORES[[#This Row],[PROVEEDOR]],TERCEROS_INFO[[PROVEEDOR]:[CORREO]],5,FALSE)</f>
        <v>propertymarketingsas@hotmail.com;girlesa.ruiz@servipilas.com;joriescobar64@gmail.com</v>
      </c>
      <c r="G1015" s="143">
        <v>44432</v>
      </c>
      <c r="H1015" s="38" t="s">
        <v>813</v>
      </c>
      <c r="I1015" s="30">
        <v>44369</v>
      </c>
      <c r="J1015" s="58" t="s">
        <v>1169</v>
      </c>
      <c r="K1015" s="32">
        <v>-1000000</v>
      </c>
      <c r="L1015" s="32"/>
      <c r="M1015" s="33">
        <f>(PROVEEDORES[[#This Row],[SUBTOTAL]]-PROVEEDORES[[#This Row],[descuento antes de IVA]])*VLOOKUP(PROVEEDORES[[#This Row],[PROVEEDOR]],TERCEROS_INFO[#All],3,FALSE)</f>
        <v>0</v>
      </c>
      <c r="N1015" s="34"/>
      <c r="O1015" s="33">
        <f>+PROVEEDORES[[#This Row],[Descuento sobre subtotal %]]*(PROVEEDORES[[#This Row],[SUBTOTAL]]-PROVEEDORES[[#This Row],[descuento antes de IVA]])</f>
        <v>0</v>
      </c>
      <c r="P10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15" s="33">
        <f>+(PROVEEDORES[[#This Row],[SUBTOTAL]]-PROVEEDORES[[#This Row],[descuento antes de IVA]])*PROVEEDORES[[#This Row],[Rete Fuente %]]</f>
        <v>0</v>
      </c>
      <c r="R1015" s="32">
        <f>+PROVEEDORES[[#This Row],[SUBTOTAL]]+PROVEEDORES[[#This Row],[IVA 19%]]-PROVEEDORES[[#This Row],[descuento antes de IVA]]-PROVEEDORES[[#This Row],[Descuento sobre subtotal $]]-PROVEEDORES[[#This Row],[Rete Fuente $]]</f>
        <v>-1000000</v>
      </c>
      <c r="S1015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5"/>
      <c r="U1015" s="97"/>
      <c r="W1015" s="40"/>
      <c r="X1015" s="40"/>
      <c r="Y1015" s="41"/>
      <c r="Z1015" s="36"/>
      <c r="AA1015" s="36"/>
      <c r="AD1015" s="41"/>
      <c r="AE1015" s="42"/>
      <c r="AF1015" s="36"/>
      <c r="AG1015" s="36"/>
    </row>
    <row r="1016" spans="1:33" ht="21.95" hidden="1" customHeight="1" x14ac:dyDescent="0.25">
      <c r="A1016" s="132" t="str">
        <f>+IF(PROVEEDORES[[#This Row],[FECHA DE PAGO]]=PROVEEDORES[[#This Row],[FECHA DE FACTURACIÓN]],"DE CONTADO","CRÉDITO")</f>
        <v>CRÉDITO</v>
      </c>
      <c r="B1016" s="70" t="b">
        <f>+IF((PROVEEDORES[[#This Row],[FECHA DE PAGO]]-PROVEEDORES[[#This Row],[FECHA DE FACTURACIÓN]])&gt;PROVEEDORES[[#This Row],[PLAZO Días]],"PAGO VENCIDO")</f>
        <v>0</v>
      </c>
      <c r="C1016" s="27">
        <f>+VLOOKUP(PROVEEDORES[[#This Row],[PROVEEDOR]],TERCEROS_INFO[#All],2,FALSE)</f>
        <v>30</v>
      </c>
      <c r="D1016" s="37">
        <f>+SUMIFS(PROVEEDORES[Total],PROVEEDORES[PROVEEDOR],PROVEEDORES[[#This Row],[PROVEEDOR]],PROVEEDORES[FECHA DE PAGO],"")</f>
        <v>2691998.74</v>
      </c>
      <c r="E1016" s="37"/>
      <c r="F1016" s="108" t="str">
        <f>+VLOOKUP(PROVEEDORES[[#This Row],[PROVEEDOR]],TERCEROS_INFO[[PROVEEDOR]:[CORREO]],5,FALSE)</f>
        <v>propertymarketingsas@hotmail.com;girlesa.ruiz@servipilas.com;joriescobar64@gmail.com</v>
      </c>
      <c r="G1016" s="143">
        <v>44396</v>
      </c>
      <c r="H1016" s="38" t="s">
        <v>813</v>
      </c>
      <c r="I1016" s="30">
        <v>44378</v>
      </c>
      <c r="J1016" s="58" t="s">
        <v>1175</v>
      </c>
      <c r="K1016" s="32">
        <v>2789636</v>
      </c>
      <c r="L1016" s="32"/>
      <c r="M1016" s="33">
        <f>(PROVEEDORES[[#This Row],[SUBTOTAL]]-PROVEEDORES[[#This Row],[descuento antes de IVA]])*VLOOKUP(PROVEEDORES[[#This Row],[PROVEEDOR]],TERCEROS_INFO[#All],3,FALSE)</f>
        <v>0</v>
      </c>
      <c r="N1016" s="34"/>
      <c r="O1016" s="33">
        <f>+PROVEEDORES[[#This Row],[Descuento sobre subtotal %]]*(PROVEEDORES[[#This Row],[SUBTOTAL]]-PROVEEDORES[[#This Row],[descuento antes de IVA]])</f>
        <v>0</v>
      </c>
      <c r="P10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16" s="33">
        <f>+(PROVEEDORES[[#This Row],[SUBTOTAL]]-PROVEEDORES[[#This Row],[descuento antes de IVA]])*PROVEEDORES[[#This Row],[Rete Fuente %]]</f>
        <v>97637.260000000009</v>
      </c>
      <c r="R1016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16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6"/>
      <c r="U1016" s="97"/>
      <c r="W1016" s="40"/>
      <c r="X1016" s="40"/>
      <c r="Y1016" s="41"/>
      <c r="Z1016" s="36"/>
      <c r="AA1016" s="36"/>
      <c r="AD1016" s="41"/>
      <c r="AE1016" s="42"/>
      <c r="AF1016" s="36"/>
      <c r="AG1016" s="36"/>
    </row>
    <row r="1017" spans="1:33" ht="21.95" hidden="1" customHeight="1" x14ac:dyDescent="0.25">
      <c r="A1017" s="133" t="str">
        <f>+IF(PROVEEDORES[[#This Row],[FECHA DE PAGO]]=PROVEEDORES[[#This Row],[FECHA DE FACTURACIÓN]],"DE CONTADO","CRÉDITO")</f>
        <v>CRÉDITO</v>
      </c>
      <c r="B1017" s="70" t="str">
        <f>+IF((PROVEEDORES[[#This Row],[FECHA DE PAGO]]-PROVEEDORES[[#This Row],[FECHA DE FACTURACIÓN]])&gt;PROVEEDORES[[#This Row],[PLAZO Días]],"PAGO VENCIDO")</f>
        <v>PAGO VENCIDO</v>
      </c>
      <c r="C1017" s="27">
        <v>-1</v>
      </c>
      <c r="D1017" s="37">
        <f>+SUMIFS(PROVEEDORES[Total],PROVEEDORES[PROVEEDOR],PROVEEDORES[[#This Row],[PROVEEDOR]],PROVEEDORES[FECHA DE PAGO],"")</f>
        <v>2691998.74</v>
      </c>
      <c r="E1017" s="37"/>
      <c r="F1017" s="108" t="str">
        <f>+VLOOKUP(PROVEEDORES[[#This Row],[PROVEEDOR]],TERCEROS_INFO[[PROVEEDOR]:[CORREO]],5,FALSE)</f>
        <v>propertymarketingsas@hotmail.com;girlesa.ruiz@servipilas.com;joriescobar64@gmail.com</v>
      </c>
      <c r="G1017" s="143">
        <v>44432</v>
      </c>
      <c r="H1017" s="38" t="s">
        <v>813</v>
      </c>
      <c r="I1017" s="30">
        <v>44396</v>
      </c>
      <c r="J1017" s="58" t="s">
        <v>1169</v>
      </c>
      <c r="K1017" s="32">
        <v>-1000000</v>
      </c>
      <c r="L1017" s="32"/>
      <c r="M1017" s="33">
        <f>(PROVEEDORES[[#This Row],[SUBTOTAL]]-PROVEEDORES[[#This Row],[descuento antes de IVA]])*VLOOKUP(PROVEEDORES[[#This Row],[PROVEEDOR]],TERCEROS_INFO[#All],3,FALSE)</f>
        <v>0</v>
      </c>
      <c r="N1017" s="34"/>
      <c r="O1017" s="33">
        <f>+PROVEEDORES[[#This Row],[Descuento sobre subtotal %]]*(PROVEEDORES[[#This Row],[SUBTOTAL]]-PROVEEDORES[[#This Row],[descuento antes de IVA]])</f>
        <v>0</v>
      </c>
      <c r="P10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17" s="33">
        <f>+(PROVEEDORES[[#This Row],[SUBTOTAL]]-PROVEEDORES[[#This Row],[descuento antes de IVA]])*PROVEEDORES[[#This Row],[Rete Fuente %]]</f>
        <v>0</v>
      </c>
      <c r="R1017" s="32">
        <f>+PROVEEDORES[[#This Row],[SUBTOTAL]]+PROVEEDORES[[#This Row],[IVA 19%]]-PROVEEDORES[[#This Row],[descuento antes de IVA]]-PROVEEDORES[[#This Row],[Descuento sobre subtotal $]]-PROVEEDORES[[#This Row],[Rete Fuente $]]</f>
        <v>-1000000</v>
      </c>
      <c r="S1017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7"/>
      <c r="U1017" s="97"/>
      <c r="W1017" s="40"/>
      <c r="X1017" s="40"/>
      <c r="Y1017" s="41"/>
      <c r="Z1017" s="36"/>
      <c r="AA1017" s="36"/>
      <c r="AD1017" s="41"/>
      <c r="AE1017" s="42"/>
      <c r="AF1017" s="36"/>
      <c r="AG1017" s="36"/>
    </row>
    <row r="1018" spans="1:33" ht="21.95" hidden="1" customHeight="1" x14ac:dyDescent="0.25">
      <c r="A1018" s="138" t="str">
        <f>+IF(PROVEEDORES[[#This Row],[FECHA DE PAGO]]=PROVEEDORES[[#This Row],[FECHA DE FACTURACIÓN]],"DE CONTADO","CRÉDITO")</f>
        <v>CRÉDITO</v>
      </c>
      <c r="B1018" s="70" t="b">
        <f>+IF((PROVEEDORES[[#This Row],[FECHA DE PAGO]]-PROVEEDORES[[#This Row],[FECHA DE FACTURACIÓN]])&gt;PROVEEDORES[[#This Row],[PLAZO Días]],"PAGO VENCIDO")</f>
        <v>0</v>
      </c>
      <c r="C1018" s="27">
        <f>+VLOOKUP(PROVEEDORES[[#This Row],[PROVEEDOR]],TERCEROS_INFO[#All],2,FALSE)</f>
        <v>30</v>
      </c>
      <c r="D1018" s="37">
        <f>+SUMIFS(PROVEEDORES[Total],PROVEEDORES[PROVEEDOR],PROVEEDORES[[#This Row],[PROVEEDOR]],PROVEEDORES[FECHA DE PAGO],"")</f>
        <v>2691998.74</v>
      </c>
      <c r="E1018" s="37"/>
      <c r="F1018" s="108" t="str">
        <f>+VLOOKUP(PROVEEDORES[[#This Row],[PROVEEDOR]],TERCEROS_INFO[[PROVEEDOR]:[CORREO]],5,FALSE)</f>
        <v>propertymarketingsas@hotmail.com;girlesa.ruiz@servipilas.com;joriescobar64@gmail.com</v>
      </c>
      <c r="G1018" s="143">
        <v>44432</v>
      </c>
      <c r="H1018" s="38" t="s">
        <v>813</v>
      </c>
      <c r="I1018" s="30">
        <v>44409</v>
      </c>
      <c r="J1018" s="58" t="s">
        <v>1197</v>
      </c>
      <c r="K1018" s="32">
        <v>2789636</v>
      </c>
      <c r="L1018" s="32"/>
      <c r="M1018" s="33">
        <f>(PROVEEDORES[[#This Row],[SUBTOTAL]]-PROVEEDORES[[#This Row],[descuento antes de IVA]])*VLOOKUP(PROVEEDORES[[#This Row],[PROVEEDOR]],TERCEROS_INFO[#All],3,FALSE)</f>
        <v>0</v>
      </c>
      <c r="N1018" s="34"/>
      <c r="O1018" s="33">
        <f>+PROVEEDORES[[#This Row],[Descuento sobre subtotal %]]*(PROVEEDORES[[#This Row],[SUBTOTAL]]-PROVEEDORES[[#This Row],[descuento antes de IVA]])</f>
        <v>0</v>
      </c>
      <c r="P10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18" s="33">
        <f>+(PROVEEDORES[[#This Row],[SUBTOTAL]]-PROVEEDORES[[#This Row],[descuento antes de IVA]])*PROVEEDORES[[#This Row],[Rete Fuente %]]</f>
        <v>97637.260000000009</v>
      </c>
      <c r="R1018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18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8"/>
      <c r="U1018" s="97"/>
      <c r="W1018" s="40"/>
      <c r="X1018" s="40"/>
      <c r="Y1018" s="41"/>
      <c r="Z1018" s="36"/>
      <c r="AA1018" s="36"/>
      <c r="AD1018" s="41"/>
      <c r="AE1018" s="42"/>
      <c r="AF1018" s="36"/>
      <c r="AG1018" s="36"/>
    </row>
    <row r="1019" spans="1:33" ht="21.95" hidden="1" customHeight="1" x14ac:dyDescent="0.25">
      <c r="A1019" s="35" t="str">
        <f>+IF(PROVEEDORES[[#This Row],[FECHA DE PAGO]]=PROVEEDORES[[#This Row],[FECHA DE FACTURACIÓN]],"DE CONTADO","CRÉDITO")</f>
        <v>DE CONTADO</v>
      </c>
      <c r="B1019" s="70" t="str">
        <f>+IF((PROVEEDORES[[#This Row],[FECHA DE PAGO]]-PROVEEDORES[[#This Row],[FECHA DE FACTURACIÓN]])&gt;PROVEEDORES[[#This Row],[PLAZO Días]],"PAGO VENCIDO")</f>
        <v>PAGO VENCIDO</v>
      </c>
      <c r="C1019" s="27">
        <v>-2</v>
      </c>
      <c r="D1019" s="37">
        <f>+SUMIFS(PROVEEDORES[Total],PROVEEDORES[PROVEEDOR],PROVEEDORES[[#This Row],[PROVEEDOR]],PROVEEDORES[FECHA DE PAGO],"")</f>
        <v>2691998.74</v>
      </c>
      <c r="E1019" s="37"/>
      <c r="F1019" s="108" t="str">
        <f>+VLOOKUP(PROVEEDORES[[#This Row],[PROVEEDOR]],TERCEROS_INFO[[PROVEEDOR]:[CORREO]],5,FALSE)</f>
        <v>propertymarketingsas@hotmail.com;girlesa.ruiz@servipilas.com;joriescobar64@gmail.com</v>
      </c>
      <c r="G1019" s="143">
        <v>44432</v>
      </c>
      <c r="H1019" s="38" t="s">
        <v>813</v>
      </c>
      <c r="I1019" s="30">
        <v>44432</v>
      </c>
      <c r="J1019" s="58" t="s">
        <v>1169</v>
      </c>
      <c r="K1019" s="32">
        <v>-691998.74</v>
      </c>
      <c r="L1019" s="32"/>
      <c r="M1019" s="33">
        <f>(PROVEEDORES[[#This Row],[SUBTOTAL]]-PROVEEDORES[[#This Row],[descuento antes de IVA]])*VLOOKUP(PROVEEDORES[[#This Row],[PROVEEDOR]],TERCEROS_INFO[#All],3,FALSE)</f>
        <v>0</v>
      </c>
      <c r="N1019" s="34"/>
      <c r="O1019" s="33">
        <f>+PROVEEDORES[[#This Row],[Descuento sobre subtotal %]]*(PROVEEDORES[[#This Row],[SUBTOTAL]]-PROVEEDORES[[#This Row],[descuento antes de IVA]])</f>
        <v>0</v>
      </c>
      <c r="P10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19" s="33">
        <f>+(PROVEEDORES[[#This Row],[SUBTOTAL]]-PROVEEDORES[[#This Row],[descuento antes de IVA]])*PROVEEDORES[[#This Row],[Rete Fuente %]]</f>
        <v>0</v>
      </c>
      <c r="R1019" s="32">
        <f>+PROVEEDORES[[#This Row],[SUBTOTAL]]+PROVEEDORES[[#This Row],[IVA 19%]]-PROVEEDORES[[#This Row],[descuento antes de IVA]]-PROVEEDORES[[#This Row],[Descuento sobre subtotal $]]-PROVEEDORES[[#This Row],[Rete Fuente $]]</f>
        <v>-691998.74</v>
      </c>
      <c r="S101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9"/>
      <c r="U1019" s="97"/>
      <c r="W1019" s="40"/>
      <c r="X1019" s="40"/>
      <c r="Y1019" s="41"/>
      <c r="Z1019" s="36"/>
      <c r="AA1019" s="36"/>
      <c r="AD1019" s="41"/>
      <c r="AE1019" s="42"/>
      <c r="AF1019" s="36"/>
      <c r="AG1019" s="36"/>
    </row>
    <row r="1020" spans="1:33" ht="21.95" hidden="1" customHeight="1" x14ac:dyDescent="0.25">
      <c r="A1020" s="148" t="str">
        <f>+IF(PROVEEDORES[[#This Row],[FECHA DE PAGO]]=PROVEEDORES[[#This Row],[FECHA DE FACTURACIÓN]],"DE CONTADO","CRÉDITO")</f>
        <v>CRÉDITO</v>
      </c>
      <c r="B1020" s="70" t="b">
        <f>+IF((PROVEEDORES[[#This Row],[FECHA DE PAGO]]-PROVEEDORES[[#This Row],[FECHA DE FACTURACIÓN]])&gt;PROVEEDORES[[#This Row],[PLAZO Días]],"PAGO VENCIDO")</f>
        <v>0</v>
      </c>
      <c r="C1020" s="27">
        <f>+VLOOKUP(PROVEEDORES[[#This Row],[PROVEEDOR]],TERCEROS_INFO[#All],2,FALSE)</f>
        <v>30</v>
      </c>
      <c r="D1020" s="37">
        <f>+SUMIFS(PROVEEDORES[Total],PROVEEDORES[PROVEEDOR],PROVEEDORES[[#This Row],[PROVEEDOR]],PROVEEDORES[FECHA DE PAGO],"")</f>
        <v>2691998.74</v>
      </c>
      <c r="E1020" s="37"/>
      <c r="F1020" s="108" t="str">
        <f>+VLOOKUP(PROVEEDORES[[#This Row],[PROVEEDOR]],TERCEROS_INFO[[PROVEEDOR]:[CORREO]],5,FALSE)</f>
        <v>propertymarketingsas@hotmail.com;girlesa.ruiz@servipilas.com;joriescobar64@gmail.com</v>
      </c>
      <c r="G1020" s="143">
        <v>44461</v>
      </c>
      <c r="H1020" s="38" t="s">
        <v>813</v>
      </c>
      <c r="I1020" s="30">
        <v>44440</v>
      </c>
      <c r="J1020" s="58" t="s">
        <v>1234</v>
      </c>
      <c r="K1020" s="32">
        <v>2789636</v>
      </c>
      <c r="L1020" s="32"/>
      <c r="M1020" s="33">
        <f>(PROVEEDORES[[#This Row],[SUBTOTAL]]-PROVEEDORES[[#This Row],[descuento antes de IVA]])*VLOOKUP(PROVEEDORES[[#This Row],[PROVEEDOR]],TERCEROS_INFO[#All],3,FALSE)</f>
        <v>0</v>
      </c>
      <c r="N1020" s="34"/>
      <c r="O1020" s="33">
        <f>+PROVEEDORES[[#This Row],[Descuento sobre subtotal %]]*(PROVEEDORES[[#This Row],[SUBTOTAL]]-PROVEEDORES[[#This Row],[descuento antes de IVA]])</f>
        <v>0</v>
      </c>
      <c r="P10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20" s="33">
        <f>+(PROVEEDORES[[#This Row],[SUBTOTAL]]-PROVEEDORES[[#This Row],[descuento antes de IVA]])*PROVEEDORES[[#This Row],[Rete Fuente %]]</f>
        <v>97637.260000000009</v>
      </c>
      <c r="R1020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20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0"/>
      <c r="U1020" s="97"/>
      <c r="W1020" s="40"/>
      <c r="X1020" s="40"/>
      <c r="Y1020" s="41"/>
      <c r="Z1020" s="36"/>
      <c r="AA1020" s="36"/>
      <c r="AD1020" s="41"/>
      <c r="AE1020" s="42"/>
      <c r="AF1020" s="36"/>
      <c r="AG1020" s="36"/>
    </row>
    <row r="1021" spans="1:33" ht="21.95" hidden="1" customHeight="1" x14ac:dyDescent="0.25">
      <c r="A1021" s="154" t="str">
        <f>+IF(PROVEEDORES[[#This Row],[FECHA DE PAGO]]=PROVEEDORES[[#This Row],[FECHA DE FACTURACIÓN]],"DE CONTADO","CRÉDITO")</f>
        <v>CRÉDITO</v>
      </c>
      <c r="B1021" s="70" t="b">
        <f>+IF((PROVEEDORES[[#This Row],[FECHA DE PAGO]]-PROVEEDORES[[#This Row],[FECHA DE FACTURACIÓN]])&gt;PROVEEDORES[[#This Row],[PLAZO Días]],"PAGO VENCIDO")</f>
        <v>0</v>
      </c>
      <c r="C1021" s="27">
        <f>+VLOOKUP(PROVEEDORES[[#This Row],[PROVEEDOR]],TERCEROS_INFO[#All],2,FALSE)</f>
        <v>30</v>
      </c>
      <c r="D1021" s="37">
        <f>+SUMIFS(PROVEEDORES[Total],PROVEEDORES[PROVEEDOR],PROVEEDORES[[#This Row],[PROVEEDOR]],PROVEEDORES[FECHA DE PAGO],"")</f>
        <v>2691998.74</v>
      </c>
      <c r="E1021" s="37"/>
      <c r="F1021" s="108" t="str">
        <f>+VLOOKUP(PROVEEDORES[[#This Row],[PROVEEDOR]],TERCEROS_INFO[[PROVEEDOR]:[CORREO]],5,FALSE)</f>
        <v>propertymarketingsas@hotmail.com;girlesa.ruiz@servipilas.com;joriescobar64@gmail.com</v>
      </c>
      <c r="G1021" s="143">
        <v>44496</v>
      </c>
      <c r="H1021" s="38" t="s">
        <v>813</v>
      </c>
      <c r="I1021" s="30">
        <v>44470</v>
      </c>
      <c r="J1021" s="58" t="s">
        <v>1266</v>
      </c>
      <c r="K1021" s="32">
        <v>2789636</v>
      </c>
      <c r="L1021" s="32"/>
      <c r="M1021" s="33">
        <f>(PROVEEDORES[[#This Row],[SUBTOTAL]]-PROVEEDORES[[#This Row],[descuento antes de IVA]])*VLOOKUP(PROVEEDORES[[#This Row],[PROVEEDOR]],TERCEROS_INFO[#All],3,FALSE)</f>
        <v>0</v>
      </c>
      <c r="N1021" s="34"/>
      <c r="O1021" s="33">
        <f>+PROVEEDORES[[#This Row],[Descuento sobre subtotal %]]*(PROVEEDORES[[#This Row],[SUBTOTAL]]-PROVEEDORES[[#This Row],[descuento antes de IVA]])</f>
        <v>0</v>
      </c>
      <c r="P10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21" s="33">
        <f>+(PROVEEDORES[[#This Row],[SUBTOTAL]]-PROVEEDORES[[#This Row],[descuento antes de IVA]])*PROVEEDORES[[#This Row],[Rete Fuente %]]</f>
        <v>97637.260000000009</v>
      </c>
      <c r="R1021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21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1"/>
      <c r="U1021" s="97"/>
      <c r="W1021" s="40"/>
      <c r="X1021" s="40"/>
      <c r="Y1021" s="41"/>
      <c r="Z1021" s="36"/>
      <c r="AA1021" s="36"/>
      <c r="AD1021" s="41"/>
      <c r="AE1021" s="42"/>
      <c r="AF1021" s="36"/>
      <c r="AG1021" s="36"/>
    </row>
    <row r="1022" spans="1:33" ht="21.95" hidden="1" customHeight="1" x14ac:dyDescent="0.25">
      <c r="A1022" s="35" t="str">
        <f>+IF(PROVEEDORES[[#This Row],[FECHA DE PAGO]]=PROVEEDORES[[#This Row],[FECHA DE FACTURACIÓN]],"DE CONTADO","CRÉDITO")</f>
        <v>CRÉDITO</v>
      </c>
      <c r="B1022" s="70" t="b">
        <f>+IF((PROVEEDORES[[#This Row],[FECHA DE PAGO]]-PROVEEDORES[[#This Row],[FECHA DE FACTURACIÓN]])&gt;PROVEEDORES[[#This Row],[PLAZO Días]],"PAGO VENCIDO")</f>
        <v>0</v>
      </c>
      <c r="C1022" s="27">
        <f>+VLOOKUP(PROVEEDORES[[#This Row],[PROVEEDOR]],TERCEROS_INFO[#All],2,FALSE)</f>
        <v>30</v>
      </c>
      <c r="D1022" s="37">
        <f>+SUMIFS(PROVEEDORES[Total],PROVEEDORES[PROVEEDOR],PROVEEDORES[[#This Row],[PROVEEDOR]],PROVEEDORES[FECHA DE PAGO],"")</f>
        <v>2691998.74</v>
      </c>
      <c r="E1022" s="37"/>
      <c r="F1022" s="108" t="str">
        <f>+VLOOKUP(PROVEEDORES[[#This Row],[PROVEEDOR]],TERCEROS_INFO[[PROVEEDOR]:[CORREO]],5,FALSE)</f>
        <v>propertymarketingsas@hotmail.com;girlesa.ruiz@servipilas.com;joriescobar64@gmail.com</v>
      </c>
      <c r="G1022" s="143">
        <v>44527</v>
      </c>
      <c r="H1022" s="38" t="s">
        <v>813</v>
      </c>
      <c r="I1022" s="30">
        <v>44501</v>
      </c>
      <c r="J1022" s="58" t="s">
        <v>943</v>
      </c>
      <c r="K1022" s="32">
        <v>2789636</v>
      </c>
      <c r="L1022" s="32"/>
      <c r="M1022" s="33">
        <f>(PROVEEDORES[[#This Row],[SUBTOTAL]]-PROVEEDORES[[#This Row],[descuento antes de IVA]])*VLOOKUP(PROVEEDORES[[#This Row],[PROVEEDOR]],TERCEROS_INFO[#All],3,FALSE)</f>
        <v>0</v>
      </c>
      <c r="N1022" s="34"/>
      <c r="O1022" s="33">
        <f>+PROVEEDORES[[#This Row],[Descuento sobre subtotal %]]*(PROVEEDORES[[#This Row],[SUBTOTAL]]-PROVEEDORES[[#This Row],[descuento antes de IVA]])</f>
        <v>0</v>
      </c>
      <c r="P10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22" s="33">
        <f>+(PROVEEDORES[[#This Row],[SUBTOTAL]]-PROVEEDORES[[#This Row],[descuento antes de IVA]])*PROVEEDORES[[#This Row],[Rete Fuente %]]</f>
        <v>97637.260000000009</v>
      </c>
      <c r="R1022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2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2"/>
      <c r="U1022" s="97"/>
      <c r="W1022" s="40"/>
      <c r="X1022" s="40"/>
      <c r="Y1022" s="41"/>
      <c r="Z1022" s="36"/>
      <c r="AA1022" s="36"/>
      <c r="AD1022" s="41"/>
      <c r="AE1022" s="42"/>
      <c r="AF1022" s="36"/>
      <c r="AG1022" s="36"/>
    </row>
    <row r="1023" spans="1:33" ht="21.95" hidden="1" customHeight="1" x14ac:dyDescent="0.25">
      <c r="A1023" s="35" t="str">
        <f>+IF(PROVEEDORES[[#This Row],[FECHA DE PAGO]]=PROVEEDORES[[#This Row],[FECHA DE FACTURACIÓN]],"DE CONTADO","CRÉDITO")</f>
        <v>CRÉDITO</v>
      </c>
      <c r="B1023" s="70" t="b">
        <f>+IF((PROVEEDORES[[#This Row],[FECHA DE PAGO]]-PROVEEDORES[[#This Row],[FECHA DE FACTURACIÓN]])&gt;PROVEEDORES[[#This Row],[PLAZO Días]],"PAGO VENCIDO")</f>
        <v>0</v>
      </c>
      <c r="C1023" s="27">
        <f>+VLOOKUP(PROVEEDORES[[#This Row],[PROVEEDOR]],TERCEROS_INFO[#All],2,FALSE)</f>
        <v>30</v>
      </c>
      <c r="D1023" s="37">
        <f>+SUMIFS(PROVEEDORES[Total],PROVEEDORES[PROVEEDOR],PROVEEDORES[[#This Row],[PROVEEDOR]],PROVEEDORES[FECHA DE PAGO],"")</f>
        <v>2691998.74</v>
      </c>
      <c r="E1023" s="37"/>
      <c r="F1023" s="108" t="str">
        <f>+VLOOKUP(PROVEEDORES[[#This Row],[PROVEEDOR]],TERCEROS_INFO[[PROVEEDOR]:[CORREO]],5,FALSE)</f>
        <v>propertymarketingsas@hotmail.com;girlesa.ruiz@servipilas.com;joriescobar64@gmail.com</v>
      </c>
      <c r="G1023" s="143">
        <v>44554</v>
      </c>
      <c r="H1023" s="38" t="s">
        <v>813</v>
      </c>
      <c r="I1023" s="30">
        <v>44531</v>
      </c>
      <c r="J1023" s="58" t="s">
        <v>1004</v>
      </c>
      <c r="K1023" s="32">
        <v>2789636</v>
      </c>
      <c r="L1023" s="32"/>
      <c r="M1023" s="33">
        <f>(PROVEEDORES[[#This Row],[SUBTOTAL]]-PROVEEDORES[[#This Row],[descuento antes de IVA]])*VLOOKUP(PROVEEDORES[[#This Row],[PROVEEDOR]],TERCEROS_INFO[#All],3,FALSE)</f>
        <v>0</v>
      </c>
      <c r="N1023" s="34"/>
      <c r="O1023" s="33">
        <f>+PROVEEDORES[[#This Row],[Descuento sobre subtotal %]]*(PROVEEDORES[[#This Row],[SUBTOTAL]]-PROVEEDORES[[#This Row],[descuento antes de IVA]])</f>
        <v>0</v>
      </c>
      <c r="P10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23" s="33">
        <f>+(PROVEEDORES[[#This Row],[SUBTOTAL]]-PROVEEDORES[[#This Row],[descuento antes de IVA]])*PROVEEDORES[[#This Row],[Rete Fuente %]]</f>
        <v>97637.260000000009</v>
      </c>
      <c r="R1023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02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3"/>
      <c r="U1023" s="97"/>
      <c r="W1023" s="40"/>
      <c r="X1023" s="40"/>
      <c r="Y1023" s="41"/>
      <c r="Z1023" s="36"/>
      <c r="AA1023" s="36"/>
      <c r="AD1023" s="41"/>
      <c r="AE1023" s="42"/>
      <c r="AF1023" s="36"/>
      <c r="AG1023" s="36"/>
    </row>
    <row r="1024" spans="1:33" ht="21.95" hidden="1" customHeight="1" x14ac:dyDescent="0.25">
      <c r="A1024" s="111" t="str">
        <f>+IF(PROVEEDORES[[#This Row],[FECHA DE PAGO]]=PROVEEDORES[[#This Row],[FECHA DE FACTURACIÓN]],"DE CONTADO","CRÉDITO")</f>
        <v>CRÉDITO</v>
      </c>
      <c r="B1024" s="70" t="b">
        <f>+IF((PROVEEDORES[[#This Row],[FECHA DE PAGO]]-PROVEEDORES[[#This Row],[FECHA DE FACTURACIÓN]])&gt;PROVEEDORES[[#This Row],[PLAZO Días]],"PAGO VENCIDO")</f>
        <v>0</v>
      </c>
      <c r="C1024" s="27">
        <f>+VLOOKUP(PROVEEDORES[[#This Row],[PROVEEDOR]],TERCEROS_INFO[#All],2,FALSE)</f>
        <v>30</v>
      </c>
      <c r="D1024" s="37">
        <f>+SUMIFS(PROVEEDORES[Total],PROVEEDORES[PROVEEDOR],PROVEEDORES[[#This Row],[PROVEEDOR]],PROVEEDORES[FECHA DE PAGO],"")</f>
        <v>0</v>
      </c>
      <c r="E1024" s="37"/>
      <c r="F1024" s="108" t="str">
        <f>+VLOOKUP(PROVEEDORES[[#This Row],[PROVEEDOR]],TERCEROS_INFO[[PROVEEDOR]:[CORREO]],5,FALSE)</f>
        <v xml:space="preserve">asistente@remarcalimitada.com;girlesa.ruiz@servipilas.com;joriescobar64@gmail.com
</v>
      </c>
      <c r="G1024" s="143">
        <v>44348</v>
      </c>
      <c r="H1024" s="57" t="s">
        <v>682</v>
      </c>
      <c r="I1024" s="30">
        <v>44336</v>
      </c>
      <c r="J1024" s="58" t="s">
        <v>1137</v>
      </c>
      <c r="K1024" s="32">
        <v>1500000</v>
      </c>
      <c r="L1024" s="32"/>
      <c r="M1024" s="33">
        <f>(PROVEEDORES[[#This Row],[SUBTOTAL]]-PROVEEDORES[[#This Row],[descuento antes de IVA]])*VLOOKUP(PROVEEDORES[[#This Row],[PROVEEDOR]],TERCEROS_INFO[#All],3,FALSE)</f>
        <v>285000</v>
      </c>
      <c r="N1024" s="34"/>
      <c r="O1024" s="33">
        <f>+PROVEEDORES[[#This Row],[Descuento sobre subtotal %]]*(PROVEEDORES[[#This Row],[SUBTOTAL]]-PROVEEDORES[[#This Row],[descuento antes de IVA]])</f>
        <v>0</v>
      </c>
      <c r="P1024" s="34">
        <v>0.11</v>
      </c>
      <c r="Q1024" s="33">
        <f>+(PROVEEDORES[[#This Row],[SUBTOTAL]]-PROVEEDORES[[#This Row],[descuento antes de IVA]])*PROVEEDORES[[#This Row],[Rete Fuente %]]</f>
        <v>165000</v>
      </c>
      <c r="R1024" s="32">
        <f>+PROVEEDORES[[#This Row],[SUBTOTAL]]+PROVEEDORES[[#This Row],[IVA 19%]]-PROVEEDORES[[#This Row],[descuento antes de IVA]]-PROVEEDORES[[#This Row],[Descuento sobre subtotal $]]-PROVEEDORES[[#This Row],[Rete Fuente $]]</f>
        <v>1620000</v>
      </c>
      <c r="S1024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4"/>
      <c r="U1024" s="97"/>
      <c r="W1024" s="40"/>
      <c r="X1024" s="40"/>
      <c r="Y1024" s="41"/>
      <c r="Z1024" s="36"/>
      <c r="AA1024" s="36"/>
      <c r="AD1024" s="41"/>
      <c r="AE1024" s="42"/>
      <c r="AF1024" s="36"/>
      <c r="AG1024" s="36"/>
    </row>
    <row r="1025" spans="1:33" ht="21.95" hidden="1" customHeight="1" x14ac:dyDescent="0.25">
      <c r="A1025" s="107" t="str">
        <f>+IF(PROVEEDORES[[#This Row],[FECHA DE PAGO]]=PROVEEDORES[[#This Row],[FECHA DE FACTURACIÓN]],"DE CONTADO","CRÉDITO")</f>
        <v>CRÉDITO</v>
      </c>
      <c r="B1025" s="70" t="b">
        <f>+IF((PROVEEDORES[[#This Row],[FECHA DE PAGO]]-PROVEEDORES[[#This Row],[FECHA DE FACTURACIÓN]])&gt;PROVEEDORES[[#This Row],[PLAZO Días]],"PAGO VENCIDO")</f>
        <v>0</v>
      </c>
      <c r="C1025" s="27">
        <f>+VLOOKUP(PROVEEDORES[[#This Row],[PROVEEDOR]],TERCEROS_INFO[#All],2,FALSE)</f>
        <v>30</v>
      </c>
      <c r="D1025" s="37">
        <f>+SUMIFS(PROVEEDORES[Total],PROVEEDORES[PROVEEDOR],PROVEEDORES[[#This Row],[PROVEEDOR]],PROVEEDORES[FECHA DE PAGO],"")</f>
        <v>800264</v>
      </c>
      <c r="E1025" s="37"/>
      <c r="F1025" s="108" t="str">
        <f>+VLOOKUP(PROVEEDORES[[#This Row],[PROVEEDOR]],TERCEROS_INFO[[PROVEEDOR]:[CORREO]],5,FALSE)</f>
        <v>PSE</v>
      </c>
      <c r="G1025" s="143">
        <v>44340</v>
      </c>
      <c r="H1025" s="38" t="s">
        <v>653</v>
      </c>
      <c r="I1025" s="30">
        <v>44317</v>
      </c>
      <c r="J1025" s="58" t="s">
        <v>654</v>
      </c>
      <c r="K1025" s="32">
        <v>727051</v>
      </c>
      <c r="L1025" s="32"/>
      <c r="M1025" s="33">
        <f>(PROVEEDORES[[#This Row],[SUBTOTAL]]-PROVEEDORES[[#This Row],[descuento antes de IVA]])*VLOOKUP(PROVEEDORES[[#This Row],[PROVEEDOR]],TERCEROS_INFO[#All],3,FALSE)</f>
        <v>0</v>
      </c>
      <c r="N1025" s="34"/>
      <c r="O1025" s="33">
        <f>+PROVEEDORES[[#This Row],[Descuento sobre subtotal %]]*(PROVEEDORES[[#This Row],[SUBTOTAL]]-PROVEEDORES[[#This Row],[descuento antes de IVA]])</f>
        <v>0</v>
      </c>
      <c r="P10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25" s="33">
        <f>+(PROVEEDORES[[#This Row],[SUBTOTAL]]-PROVEEDORES[[#This Row],[descuento antes de IVA]])*PROVEEDORES[[#This Row],[Rete Fuente %]]</f>
        <v>0</v>
      </c>
      <c r="R1025" s="32">
        <f>+PROVEEDORES[[#This Row],[SUBTOTAL]]+PROVEEDORES[[#This Row],[IVA 19%]]-PROVEEDORES[[#This Row],[descuento antes de IVA]]-PROVEEDORES[[#This Row],[Descuento sobre subtotal $]]-PROVEEDORES[[#This Row],[Rete Fuente $]]</f>
        <v>727051</v>
      </c>
      <c r="S1025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5"/>
      <c r="U1025" s="97"/>
      <c r="W1025" s="40"/>
      <c r="X1025" s="40"/>
      <c r="Y1025" s="41"/>
      <c r="Z1025" s="36"/>
      <c r="AA1025" s="36"/>
      <c r="AD1025" s="41"/>
      <c r="AE1025" s="42"/>
      <c r="AF1025" s="36"/>
      <c r="AG1025" s="36"/>
    </row>
    <row r="1026" spans="1:33" ht="21.95" hidden="1" customHeight="1" x14ac:dyDescent="0.25">
      <c r="A1026" s="107" t="str">
        <f>+IF(PROVEEDORES[[#This Row],[FECHA DE PAGO]]=PROVEEDORES[[#This Row],[FECHA DE FACTURACIÓN]],"DE CONTADO","CRÉDITO")</f>
        <v>CRÉDITO</v>
      </c>
      <c r="B1026" s="70" t="b">
        <f>+IF((PROVEEDORES[[#This Row],[FECHA DE PAGO]]-PROVEEDORES[[#This Row],[FECHA DE FACTURACIÓN]])&gt;PROVEEDORES[[#This Row],[PLAZO Días]],"PAGO VENCIDO")</f>
        <v>0</v>
      </c>
      <c r="C1026" s="27">
        <f>+VLOOKUP(PROVEEDORES[[#This Row],[PROVEEDOR]],TERCEROS_INFO[#All],2,FALSE)</f>
        <v>30</v>
      </c>
      <c r="D1026" s="37">
        <f>+SUMIFS(PROVEEDORES[Total],PROVEEDORES[PROVEEDOR],PROVEEDORES[[#This Row],[PROVEEDOR]],PROVEEDORES[FECHA DE PAGO],"")</f>
        <v>800264</v>
      </c>
      <c r="E1026" s="37"/>
      <c r="F1026" s="108" t="str">
        <f>+VLOOKUP(PROVEEDORES[[#This Row],[PROVEEDOR]],TERCEROS_INFO[[PROVEEDOR]:[CORREO]],5,FALSE)</f>
        <v>PSE</v>
      </c>
      <c r="G1026" s="143">
        <v>44340</v>
      </c>
      <c r="H1026" s="38" t="s">
        <v>653</v>
      </c>
      <c r="I1026" s="30">
        <v>44317</v>
      </c>
      <c r="J1026" s="58" t="s">
        <v>655</v>
      </c>
      <c r="K1026" s="32">
        <v>743959</v>
      </c>
      <c r="L1026" s="32"/>
      <c r="M1026" s="33">
        <f>(PROVEEDORES[[#This Row],[SUBTOTAL]]-PROVEEDORES[[#This Row],[descuento antes de IVA]])*VLOOKUP(PROVEEDORES[[#This Row],[PROVEEDOR]],TERCEROS_INFO[#All],3,FALSE)</f>
        <v>0</v>
      </c>
      <c r="N1026" s="34"/>
      <c r="O1026" s="33">
        <f>+PROVEEDORES[[#This Row],[Descuento sobre subtotal %]]*(PROVEEDORES[[#This Row],[SUBTOTAL]]-PROVEEDORES[[#This Row],[descuento antes de IVA]])</f>
        <v>0</v>
      </c>
      <c r="P10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26" s="33">
        <f>+(PROVEEDORES[[#This Row],[SUBTOTAL]]-PROVEEDORES[[#This Row],[descuento antes de IVA]])*PROVEEDORES[[#This Row],[Rete Fuente %]]</f>
        <v>0</v>
      </c>
      <c r="R1026" s="32">
        <f>+PROVEEDORES[[#This Row],[SUBTOTAL]]+PROVEEDORES[[#This Row],[IVA 19%]]-PROVEEDORES[[#This Row],[descuento antes de IVA]]-PROVEEDORES[[#This Row],[Descuento sobre subtotal $]]-PROVEEDORES[[#This Row],[Rete Fuente $]]</f>
        <v>743959</v>
      </c>
      <c r="S1026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6"/>
      <c r="U1026" s="97"/>
      <c r="W1026" s="40"/>
      <c r="X1026" s="40"/>
      <c r="Y1026" s="41"/>
      <c r="Z1026" s="36"/>
      <c r="AA1026" s="36"/>
      <c r="AD1026" s="41"/>
      <c r="AE1026" s="42"/>
      <c r="AF1026" s="36"/>
      <c r="AG1026" s="36"/>
    </row>
    <row r="1027" spans="1:33" ht="21.95" hidden="1" customHeight="1" x14ac:dyDescent="0.25">
      <c r="A1027" s="119" t="str">
        <f>+IF(PROVEEDORES[[#This Row],[FECHA DE PAGO]]=PROVEEDORES[[#This Row],[FECHA DE FACTURACIÓN]],"DE CONTADO","CRÉDITO")</f>
        <v>CRÉDITO</v>
      </c>
      <c r="B1027" s="70" t="b">
        <f>+IF((PROVEEDORES[[#This Row],[FECHA DE PAGO]]-PROVEEDORES[[#This Row],[FECHA DE FACTURACIÓN]])&gt;PROVEEDORES[[#This Row],[PLAZO Días]],"PAGO VENCIDO")</f>
        <v>0</v>
      </c>
      <c r="C1027" s="27">
        <f>+VLOOKUP(PROVEEDORES[[#This Row],[PROVEEDOR]],TERCEROS_INFO[#All],2,FALSE)</f>
        <v>30</v>
      </c>
      <c r="D1027" s="37">
        <f>+SUMIFS(PROVEEDORES[Total],PROVEEDORES[PROVEEDOR],PROVEEDORES[[#This Row],[PROVEEDOR]],PROVEEDORES[FECHA DE PAGO],"")</f>
        <v>800264</v>
      </c>
      <c r="E1027" s="37"/>
      <c r="F1027" s="108" t="str">
        <f>+VLOOKUP(PROVEEDORES[[#This Row],[PROVEEDOR]],TERCEROS_INFO[[PROVEEDOR]:[CORREO]],5,FALSE)</f>
        <v>PSE</v>
      </c>
      <c r="G1027" s="143">
        <v>44368</v>
      </c>
      <c r="H1027" s="38" t="s">
        <v>653</v>
      </c>
      <c r="I1027" s="30">
        <v>44348</v>
      </c>
      <c r="J1027" s="58" t="s">
        <v>654</v>
      </c>
      <c r="K1027" s="32">
        <v>727051</v>
      </c>
      <c r="L1027" s="32"/>
      <c r="M1027" s="33">
        <f>(PROVEEDORES[[#This Row],[SUBTOTAL]]-PROVEEDORES[[#This Row],[descuento antes de IVA]])*VLOOKUP(PROVEEDORES[[#This Row],[PROVEEDOR]],TERCEROS_INFO[#All],3,FALSE)</f>
        <v>0</v>
      </c>
      <c r="N1027" s="34"/>
      <c r="O1027" s="33">
        <f>+PROVEEDORES[[#This Row],[Descuento sobre subtotal %]]*(PROVEEDORES[[#This Row],[SUBTOTAL]]-PROVEEDORES[[#This Row],[descuento antes de IVA]])</f>
        <v>0</v>
      </c>
      <c r="P10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27" s="33">
        <f>+(PROVEEDORES[[#This Row],[SUBTOTAL]]-PROVEEDORES[[#This Row],[descuento antes de IVA]])*PROVEEDORES[[#This Row],[Rete Fuente %]]</f>
        <v>0</v>
      </c>
      <c r="R1027" s="32">
        <f>+PROVEEDORES[[#This Row],[SUBTOTAL]]+PROVEEDORES[[#This Row],[IVA 19%]]-PROVEEDORES[[#This Row],[descuento antes de IVA]]-PROVEEDORES[[#This Row],[Descuento sobre subtotal $]]-PROVEEDORES[[#This Row],[Rete Fuente $]]</f>
        <v>727051</v>
      </c>
      <c r="S1027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7"/>
      <c r="U1027" s="97"/>
      <c r="W1027" s="40"/>
      <c r="X1027" s="40"/>
      <c r="Y1027" s="41"/>
      <c r="Z1027" s="36"/>
      <c r="AA1027" s="36"/>
      <c r="AD1027" s="41"/>
      <c r="AE1027" s="42"/>
      <c r="AF1027" s="36"/>
      <c r="AG1027" s="36"/>
    </row>
    <row r="1028" spans="1:33" ht="21.95" hidden="1" customHeight="1" x14ac:dyDescent="0.25">
      <c r="A1028" s="119" t="str">
        <f>+IF(PROVEEDORES[[#This Row],[FECHA DE PAGO]]=PROVEEDORES[[#This Row],[FECHA DE FACTURACIÓN]],"DE CONTADO","CRÉDITO")</f>
        <v>CRÉDITO</v>
      </c>
      <c r="B1028" s="70" t="b">
        <f>+IF((PROVEEDORES[[#This Row],[FECHA DE PAGO]]-PROVEEDORES[[#This Row],[FECHA DE FACTURACIÓN]])&gt;PROVEEDORES[[#This Row],[PLAZO Días]],"PAGO VENCIDO")</f>
        <v>0</v>
      </c>
      <c r="C1028" s="27">
        <f>+VLOOKUP(PROVEEDORES[[#This Row],[PROVEEDOR]],TERCEROS_INFO[#All],2,FALSE)</f>
        <v>30</v>
      </c>
      <c r="D1028" s="37">
        <f>+SUMIFS(PROVEEDORES[Total],PROVEEDORES[PROVEEDOR],PROVEEDORES[[#This Row],[PROVEEDOR]],PROVEEDORES[FECHA DE PAGO],"")</f>
        <v>800264</v>
      </c>
      <c r="E1028" s="37"/>
      <c r="F1028" s="108" t="str">
        <f>+VLOOKUP(PROVEEDORES[[#This Row],[PROVEEDOR]],TERCEROS_INFO[[PROVEEDOR]:[CORREO]],5,FALSE)</f>
        <v>PSE</v>
      </c>
      <c r="G1028" s="143">
        <v>44368</v>
      </c>
      <c r="H1028" s="38" t="s">
        <v>653</v>
      </c>
      <c r="I1028" s="30">
        <v>44348</v>
      </c>
      <c r="J1028" s="58" t="s">
        <v>655</v>
      </c>
      <c r="K1028" s="32">
        <v>743959</v>
      </c>
      <c r="L1028" s="32"/>
      <c r="M1028" s="33">
        <f>(PROVEEDORES[[#This Row],[SUBTOTAL]]-PROVEEDORES[[#This Row],[descuento antes de IVA]])*VLOOKUP(PROVEEDORES[[#This Row],[PROVEEDOR]],TERCEROS_INFO[#All],3,FALSE)</f>
        <v>0</v>
      </c>
      <c r="N1028" s="34"/>
      <c r="O1028" s="33">
        <f>+PROVEEDORES[[#This Row],[Descuento sobre subtotal %]]*(PROVEEDORES[[#This Row],[SUBTOTAL]]-PROVEEDORES[[#This Row],[descuento antes de IVA]])</f>
        <v>0</v>
      </c>
      <c r="P10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28" s="33">
        <f>+(PROVEEDORES[[#This Row],[SUBTOTAL]]-PROVEEDORES[[#This Row],[descuento antes de IVA]])*PROVEEDORES[[#This Row],[Rete Fuente %]]</f>
        <v>0</v>
      </c>
      <c r="R1028" s="32">
        <f>+PROVEEDORES[[#This Row],[SUBTOTAL]]+PROVEEDORES[[#This Row],[IVA 19%]]-PROVEEDORES[[#This Row],[descuento antes de IVA]]-PROVEEDORES[[#This Row],[Descuento sobre subtotal $]]-PROVEEDORES[[#This Row],[Rete Fuente $]]</f>
        <v>743959</v>
      </c>
      <c r="S1028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8"/>
      <c r="U1028" s="97"/>
      <c r="W1028" s="40"/>
      <c r="X1028" s="40"/>
      <c r="Y1028" s="41"/>
      <c r="Z1028" s="36"/>
      <c r="AA1028" s="36"/>
      <c r="AD1028" s="41"/>
      <c r="AE1028" s="42"/>
      <c r="AF1028" s="36"/>
      <c r="AG1028" s="36"/>
    </row>
    <row r="1029" spans="1:33" ht="21.95" hidden="1" customHeight="1" x14ac:dyDescent="0.25">
      <c r="A1029" s="129" t="str">
        <f>+IF(PROVEEDORES[[#This Row],[FECHA DE PAGO]]=PROVEEDORES[[#This Row],[FECHA DE FACTURACIÓN]],"DE CONTADO","CRÉDITO")</f>
        <v>CRÉDITO</v>
      </c>
      <c r="B1029" s="70" t="b">
        <f>+IF((PROVEEDORES[[#This Row],[FECHA DE PAGO]]-PROVEEDORES[[#This Row],[FECHA DE FACTURACIÓN]])&gt;PROVEEDORES[[#This Row],[PLAZO Días]],"PAGO VENCIDO")</f>
        <v>0</v>
      </c>
      <c r="C1029" s="27">
        <f>+VLOOKUP(PROVEEDORES[[#This Row],[PROVEEDOR]],TERCEROS_INFO[#All],2,FALSE)</f>
        <v>30</v>
      </c>
      <c r="D1029" s="37">
        <f>+SUMIFS(PROVEEDORES[Total],PROVEEDORES[PROVEEDOR],PROVEEDORES[[#This Row],[PROVEEDOR]],PROVEEDORES[FECHA DE PAGO],"")</f>
        <v>800264</v>
      </c>
      <c r="E1029" s="37"/>
      <c r="F1029" s="108" t="str">
        <f>+VLOOKUP(PROVEEDORES[[#This Row],[PROVEEDOR]],TERCEROS_INFO[[PROVEEDOR]:[CORREO]],5,FALSE)</f>
        <v>PSE</v>
      </c>
      <c r="G1029" s="143">
        <v>44396</v>
      </c>
      <c r="H1029" s="38" t="s">
        <v>653</v>
      </c>
      <c r="I1029" s="30">
        <v>44378</v>
      </c>
      <c r="J1029" s="58" t="s">
        <v>654</v>
      </c>
      <c r="K1029" s="32">
        <v>727051</v>
      </c>
      <c r="L1029" s="32"/>
      <c r="M1029" s="33">
        <f>(PROVEEDORES[[#This Row],[SUBTOTAL]]-PROVEEDORES[[#This Row],[descuento antes de IVA]])*VLOOKUP(PROVEEDORES[[#This Row],[PROVEEDOR]],TERCEROS_INFO[#All],3,FALSE)</f>
        <v>0</v>
      </c>
      <c r="N1029" s="34"/>
      <c r="O1029" s="33">
        <f>+PROVEEDORES[[#This Row],[Descuento sobre subtotal %]]*(PROVEEDORES[[#This Row],[SUBTOTAL]]-PROVEEDORES[[#This Row],[descuento antes de IVA]])</f>
        <v>0</v>
      </c>
      <c r="P10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29" s="33">
        <f>+(PROVEEDORES[[#This Row],[SUBTOTAL]]-PROVEEDORES[[#This Row],[descuento antes de IVA]])*PROVEEDORES[[#This Row],[Rete Fuente %]]</f>
        <v>0</v>
      </c>
      <c r="R1029" s="32">
        <f>+PROVEEDORES[[#This Row],[SUBTOTAL]]+PROVEEDORES[[#This Row],[IVA 19%]]-PROVEEDORES[[#This Row],[descuento antes de IVA]]-PROVEEDORES[[#This Row],[Descuento sobre subtotal $]]-PROVEEDORES[[#This Row],[Rete Fuente $]]</f>
        <v>727051</v>
      </c>
      <c r="S1029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9"/>
      <c r="U1029" s="97"/>
      <c r="W1029" s="40"/>
      <c r="X1029" s="40"/>
      <c r="Y1029" s="41"/>
      <c r="Z1029" s="36"/>
      <c r="AA1029" s="36"/>
      <c r="AD1029" s="41"/>
      <c r="AE1029" s="42"/>
      <c r="AF1029" s="36"/>
      <c r="AG1029" s="36"/>
    </row>
    <row r="1030" spans="1:33" ht="21.95" hidden="1" customHeight="1" x14ac:dyDescent="0.25">
      <c r="A1030" s="129" t="str">
        <f>+IF(PROVEEDORES[[#This Row],[FECHA DE PAGO]]=PROVEEDORES[[#This Row],[FECHA DE FACTURACIÓN]],"DE CONTADO","CRÉDITO")</f>
        <v>CRÉDITO</v>
      </c>
      <c r="B1030" s="70" t="b">
        <f>+IF((PROVEEDORES[[#This Row],[FECHA DE PAGO]]-PROVEEDORES[[#This Row],[FECHA DE FACTURACIÓN]])&gt;PROVEEDORES[[#This Row],[PLAZO Días]],"PAGO VENCIDO")</f>
        <v>0</v>
      </c>
      <c r="C1030" s="27">
        <f>+VLOOKUP(PROVEEDORES[[#This Row],[PROVEEDOR]],TERCEROS_INFO[#All],2,FALSE)</f>
        <v>30</v>
      </c>
      <c r="D1030" s="37">
        <f>+SUMIFS(PROVEEDORES[Total],PROVEEDORES[PROVEEDOR],PROVEEDORES[[#This Row],[PROVEEDOR]],PROVEEDORES[FECHA DE PAGO],"")</f>
        <v>800264</v>
      </c>
      <c r="E1030" s="37"/>
      <c r="F1030" s="108" t="str">
        <f>+VLOOKUP(PROVEEDORES[[#This Row],[PROVEEDOR]],TERCEROS_INFO[[PROVEEDOR]:[CORREO]],5,FALSE)</f>
        <v>PSE</v>
      </c>
      <c r="G1030" s="143">
        <v>44396</v>
      </c>
      <c r="H1030" s="38" t="s">
        <v>653</v>
      </c>
      <c r="I1030" s="30">
        <v>44378</v>
      </c>
      <c r="J1030" s="58" t="s">
        <v>655</v>
      </c>
      <c r="K1030" s="32">
        <v>743959</v>
      </c>
      <c r="L1030" s="32"/>
      <c r="M1030" s="33">
        <f>(PROVEEDORES[[#This Row],[SUBTOTAL]]-PROVEEDORES[[#This Row],[descuento antes de IVA]])*VLOOKUP(PROVEEDORES[[#This Row],[PROVEEDOR]],TERCEROS_INFO[#All],3,FALSE)</f>
        <v>0</v>
      </c>
      <c r="N1030" s="34"/>
      <c r="O1030" s="33">
        <f>+PROVEEDORES[[#This Row],[Descuento sobre subtotal %]]*(PROVEEDORES[[#This Row],[SUBTOTAL]]-PROVEEDORES[[#This Row],[descuento antes de IVA]])</f>
        <v>0</v>
      </c>
      <c r="P10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0" s="33">
        <f>+(PROVEEDORES[[#This Row],[SUBTOTAL]]-PROVEEDORES[[#This Row],[descuento antes de IVA]])*PROVEEDORES[[#This Row],[Rete Fuente %]]</f>
        <v>0</v>
      </c>
      <c r="R1030" s="32">
        <f>+PROVEEDORES[[#This Row],[SUBTOTAL]]+PROVEEDORES[[#This Row],[IVA 19%]]-PROVEEDORES[[#This Row],[descuento antes de IVA]]-PROVEEDORES[[#This Row],[Descuento sobre subtotal $]]-PROVEEDORES[[#This Row],[Rete Fuente $]]</f>
        <v>743959</v>
      </c>
      <c r="S1030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0"/>
      <c r="U1030" s="97"/>
      <c r="W1030" s="40"/>
      <c r="X1030" s="40"/>
      <c r="Y1030" s="41"/>
      <c r="Z1030" s="36"/>
      <c r="AA1030" s="36"/>
      <c r="AD1030" s="41"/>
      <c r="AE1030" s="42"/>
      <c r="AF1030" s="36"/>
      <c r="AG1030" s="36"/>
    </row>
    <row r="1031" spans="1:33" ht="21.95" hidden="1" customHeight="1" x14ac:dyDescent="0.25">
      <c r="A1031" s="138" t="str">
        <f>+IF(PROVEEDORES[[#This Row],[FECHA DE PAGO]]=PROVEEDORES[[#This Row],[FECHA DE FACTURACIÓN]],"DE CONTADO","CRÉDITO")</f>
        <v>CRÉDITO</v>
      </c>
      <c r="B1031" s="70" t="b">
        <f>+IF((PROVEEDORES[[#This Row],[FECHA DE PAGO]]-PROVEEDORES[[#This Row],[FECHA DE FACTURACIÓN]])&gt;PROVEEDORES[[#This Row],[PLAZO Días]],"PAGO VENCIDO")</f>
        <v>0</v>
      </c>
      <c r="C1031" s="27">
        <f>+VLOOKUP(PROVEEDORES[[#This Row],[PROVEEDOR]],TERCEROS_INFO[#All],2,FALSE)</f>
        <v>30</v>
      </c>
      <c r="D1031" s="37">
        <f>+SUMIFS(PROVEEDORES[Total],PROVEEDORES[PROVEEDOR],PROVEEDORES[[#This Row],[PROVEEDOR]],PROVEEDORES[FECHA DE PAGO],"")</f>
        <v>800264</v>
      </c>
      <c r="E1031" s="37"/>
      <c r="F1031" s="108" t="str">
        <f>+VLOOKUP(PROVEEDORES[[#This Row],[PROVEEDOR]],TERCEROS_INFO[[PROVEEDOR]:[CORREO]],5,FALSE)</f>
        <v>PSE</v>
      </c>
      <c r="G1031" s="143">
        <v>44425</v>
      </c>
      <c r="H1031" s="38" t="s">
        <v>653</v>
      </c>
      <c r="I1031" s="30">
        <v>44409</v>
      </c>
      <c r="J1031" s="58" t="s">
        <v>654</v>
      </c>
      <c r="K1031" s="32">
        <v>727051</v>
      </c>
      <c r="L1031" s="32"/>
      <c r="M1031" s="33">
        <f>(PROVEEDORES[[#This Row],[SUBTOTAL]]-PROVEEDORES[[#This Row],[descuento antes de IVA]])*VLOOKUP(PROVEEDORES[[#This Row],[PROVEEDOR]],TERCEROS_INFO[#All],3,FALSE)</f>
        <v>0</v>
      </c>
      <c r="N1031" s="34"/>
      <c r="O1031" s="33">
        <f>+PROVEEDORES[[#This Row],[Descuento sobre subtotal %]]*(PROVEEDORES[[#This Row],[SUBTOTAL]]-PROVEEDORES[[#This Row],[descuento antes de IVA]])</f>
        <v>0</v>
      </c>
      <c r="P10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1" s="33">
        <f>+(PROVEEDORES[[#This Row],[SUBTOTAL]]-PROVEEDORES[[#This Row],[descuento antes de IVA]])*PROVEEDORES[[#This Row],[Rete Fuente %]]</f>
        <v>0</v>
      </c>
      <c r="R1031" s="32">
        <f>+PROVEEDORES[[#This Row],[SUBTOTAL]]+PROVEEDORES[[#This Row],[IVA 19%]]-PROVEEDORES[[#This Row],[descuento antes de IVA]]-PROVEEDORES[[#This Row],[Descuento sobre subtotal $]]-PROVEEDORES[[#This Row],[Rete Fuente $]]</f>
        <v>727051</v>
      </c>
      <c r="S1031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1"/>
      <c r="U1031" s="97"/>
      <c r="W1031" s="40"/>
      <c r="X1031" s="40"/>
      <c r="Y1031" s="41"/>
      <c r="Z1031" s="36"/>
      <c r="AA1031" s="36"/>
      <c r="AD1031" s="41"/>
      <c r="AE1031" s="42"/>
      <c r="AF1031" s="36"/>
      <c r="AG1031" s="36"/>
    </row>
    <row r="1032" spans="1:33" ht="21.95" hidden="1" customHeight="1" x14ac:dyDescent="0.25">
      <c r="A1032" s="138" t="str">
        <f>+IF(PROVEEDORES[[#This Row],[FECHA DE PAGO]]=PROVEEDORES[[#This Row],[FECHA DE FACTURACIÓN]],"DE CONTADO","CRÉDITO")</f>
        <v>CRÉDITO</v>
      </c>
      <c r="B1032" s="70" t="b">
        <f>+IF((PROVEEDORES[[#This Row],[FECHA DE PAGO]]-PROVEEDORES[[#This Row],[FECHA DE FACTURACIÓN]])&gt;PROVEEDORES[[#This Row],[PLAZO Días]],"PAGO VENCIDO")</f>
        <v>0</v>
      </c>
      <c r="C1032" s="27">
        <f>+VLOOKUP(PROVEEDORES[[#This Row],[PROVEEDOR]],TERCEROS_INFO[#All],2,FALSE)</f>
        <v>30</v>
      </c>
      <c r="D1032" s="37">
        <f>+SUMIFS(PROVEEDORES[Total],PROVEEDORES[PROVEEDOR],PROVEEDORES[[#This Row],[PROVEEDOR]],PROVEEDORES[FECHA DE PAGO],"")</f>
        <v>800264</v>
      </c>
      <c r="E1032" s="37"/>
      <c r="F1032" s="108" t="str">
        <f>+VLOOKUP(PROVEEDORES[[#This Row],[PROVEEDOR]],TERCEROS_INFO[[PROVEEDOR]:[CORREO]],5,FALSE)</f>
        <v>PSE</v>
      </c>
      <c r="G1032" s="143">
        <v>44425</v>
      </c>
      <c r="H1032" s="38" t="s">
        <v>653</v>
      </c>
      <c r="I1032" s="30">
        <v>44409</v>
      </c>
      <c r="J1032" s="58" t="s">
        <v>655</v>
      </c>
      <c r="K1032" s="32">
        <v>743959</v>
      </c>
      <c r="L1032" s="32"/>
      <c r="M1032" s="33">
        <f>(PROVEEDORES[[#This Row],[SUBTOTAL]]-PROVEEDORES[[#This Row],[descuento antes de IVA]])*VLOOKUP(PROVEEDORES[[#This Row],[PROVEEDOR]],TERCEROS_INFO[#All],3,FALSE)</f>
        <v>0</v>
      </c>
      <c r="N1032" s="34"/>
      <c r="O1032" s="33">
        <f>+PROVEEDORES[[#This Row],[Descuento sobre subtotal %]]*(PROVEEDORES[[#This Row],[SUBTOTAL]]-PROVEEDORES[[#This Row],[descuento antes de IVA]])</f>
        <v>0</v>
      </c>
      <c r="P10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2" s="33">
        <f>+(PROVEEDORES[[#This Row],[SUBTOTAL]]-PROVEEDORES[[#This Row],[descuento antes de IVA]])*PROVEEDORES[[#This Row],[Rete Fuente %]]</f>
        <v>0</v>
      </c>
      <c r="R1032" s="32">
        <f>+PROVEEDORES[[#This Row],[SUBTOTAL]]+PROVEEDORES[[#This Row],[IVA 19%]]-PROVEEDORES[[#This Row],[descuento antes de IVA]]-PROVEEDORES[[#This Row],[Descuento sobre subtotal $]]-PROVEEDORES[[#This Row],[Rete Fuente $]]</f>
        <v>743959</v>
      </c>
      <c r="S1032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2"/>
      <c r="U1032" s="97"/>
      <c r="W1032" s="40"/>
      <c r="X1032" s="40"/>
      <c r="Y1032" s="41"/>
      <c r="Z1032" s="36"/>
      <c r="AA1032" s="36"/>
      <c r="AD1032" s="41"/>
      <c r="AE1032" s="42"/>
      <c r="AF1032" s="36"/>
      <c r="AG1032" s="36"/>
    </row>
    <row r="1033" spans="1:33" ht="21.95" hidden="1" customHeight="1" x14ac:dyDescent="0.25">
      <c r="A1033" s="144" t="str">
        <f>+IF(PROVEEDORES[[#This Row],[FECHA DE PAGO]]=PROVEEDORES[[#This Row],[FECHA DE FACTURACIÓN]],"DE CONTADO","CRÉDITO")</f>
        <v>CRÉDITO</v>
      </c>
      <c r="B1033" s="70" t="b">
        <f>+IF((PROVEEDORES[[#This Row],[FECHA DE PAGO]]-PROVEEDORES[[#This Row],[FECHA DE FACTURACIÓN]])&gt;PROVEEDORES[[#This Row],[PLAZO Días]],"PAGO VENCIDO")</f>
        <v>0</v>
      </c>
      <c r="C1033" s="27">
        <f>+VLOOKUP(PROVEEDORES[[#This Row],[PROVEEDOR]],TERCEROS_INFO[#All],2,FALSE)</f>
        <v>30</v>
      </c>
      <c r="D1033" s="37">
        <f>+SUMIFS(PROVEEDORES[Total],PROVEEDORES[PROVEEDOR],PROVEEDORES[[#This Row],[PROVEEDOR]],PROVEEDORES[FECHA DE PAGO],"")</f>
        <v>800264</v>
      </c>
      <c r="E1033" s="37"/>
      <c r="F1033" s="108" t="str">
        <f>+VLOOKUP(PROVEEDORES[[#This Row],[PROVEEDOR]],TERCEROS_INFO[[PROVEEDOR]:[CORREO]],5,FALSE)</f>
        <v>PSE</v>
      </c>
      <c r="G1033" s="143">
        <v>44456</v>
      </c>
      <c r="H1033" s="38" t="s">
        <v>653</v>
      </c>
      <c r="I1033" s="30">
        <v>44440</v>
      </c>
      <c r="J1033" s="58" t="s">
        <v>654</v>
      </c>
      <c r="K1033" s="32">
        <v>727051</v>
      </c>
      <c r="L1033" s="32"/>
      <c r="M1033" s="33">
        <f>(PROVEEDORES[[#This Row],[SUBTOTAL]]-PROVEEDORES[[#This Row],[descuento antes de IVA]])*VLOOKUP(PROVEEDORES[[#This Row],[PROVEEDOR]],TERCEROS_INFO[#All],3,FALSE)</f>
        <v>0</v>
      </c>
      <c r="N1033" s="34"/>
      <c r="O1033" s="33">
        <f>+PROVEEDORES[[#This Row],[Descuento sobre subtotal %]]*(PROVEEDORES[[#This Row],[SUBTOTAL]]-PROVEEDORES[[#This Row],[descuento antes de IVA]])</f>
        <v>0</v>
      </c>
      <c r="P10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3" s="33">
        <f>+(PROVEEDORES[[#This Row],[SUBTOTAL]]-PROVEEDORES[[#This Row],[descuento antes de IVA]])*PROVEEDORES[[#This Row],[Rete Fuente %]]</f>
        <v>0</v>
      </c>
      <c r="R1033" s="32">
        <f>+PROVEEDORES[[#This Row],[SUBTOTAL]]+PROVEEDORES[[#This Row],[IVA 19%]]-PROVEEDORES[[#This Row],[descuento antes de IVA]]-PROVEEDORES[[#This Row],[Descuento sobre subtotal $]]-PROVEEDORES[[#This Row],[Rete Fuente $]]</f>
        <v>727051</v>
      </c>
      <c r="S1033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3"/>
      <c r="U1033" s="97"/>
      <c r="W1033" s="40"/>
      <c r="X1033" s="40"/>
      <c r="Y1033" s="41"/>
      <c r="Z1033" s="36"/>
      <c r="AA1033" s="36"/>
      <c r="AD1033" s="41"/>
      <c r="AE1033" s="42"/>
      <c r="AF1033" s="36"/>
      <c r="AG1033" s="36"/>
    </row>
    <row r="1034" spans="1:33" ht="21.95" hidden="1" customHeight="1" x14ac:dyDescent="0.25">
      <c r="A1034" s="144" t="str">
        <f>+IF(PROVEEDORES[[#This Row],[FECHA DE PAGO]]=PROVEEDORES[[#This Row],[FECHA DE FACTURACIÓN]],"DE CONTADO","CRÉDITO")</f>
        <v>CRÉDITO</v>
      </c>
      <c r="B1034" s="70" t="b">
        <f>+IF((PROVEEDORES[[#This Row],[FECHA DE PAGO]]-PROVEEDORES[[#This Row],[FECHA DE FACTURACIÓN]])&gt;PROVEEDORES[[#This Row],[PLAZO Días]],"PAGO VENCIDO")</f>
        <v>0</v>
      </c>
      <c r="C1034" s="27">
        <f>+VLOOKUP(PROVEEDORES[[#This Row],[PROVEEDOR]],TERCEROS_INFO[#All],2,FALSE)</f>
        <v>30</v>
      </c>
      <c r="D1034" s="37">
        <f>+SUMIFS(PROVEEDORES[Total],PROVEEDORES[PROVEEDOR],PROVEEDORES[[#This Row],[PROVEEDOR]],PROVEEDORES[FECHA DE PAGO],"")</f>
        <v>800264</v>
      </c>
      <c r="E1034" s="37"/>
      <c r="F1034" s="108" t="str">
        <f>+VLOOKUP(PROVEEDORES[[#This Row],[PROVEEDOR]],TERCEROS_INFO[[PROVEEDOR]:[CORREO]],5,FALSE)</f>
        <v>PSE</v>
      </c>
      <c r="G1034" s="143">
        <v>44456</v>
      </c>
      <c r="H1034" s="38" t="s">
        <v>653</v>
      </c>
      <c r="I1034" s="30">
        <v>44440</v>
      </c>
      <c r="J1034" s="58" t="s">
        <v>655</v>
      </c>
      <c r="K1034" s="32">
        <v>743959</v>
      </c>
      <c r="L1034" s="32"/>
      <c r="M1034" s="33">
        <f>(PROVEEDORES[[#This Row],[SUBTOTAL]]-PROVEEDORES[[#This Row],[descuento antes de IVA]])*VLOOKUP(PROVEEDORES[[#This Row],[PROVEEDOR]],TERCEROS_INFO[#All],3,FALSE)</f>
        <v>0</v>
      </c>
      <c r="N1034" s="34"/>
      <c r="O1034" s="33">
        <f>+PROVEEDORES[[#This Row],[Descuento sobre subtotal %]]*(PROVEEDORES[[#This Row],[SUBTOTAL]]-PROVEEDORES[[#This Row],[descuento antes de IVA]])</f>
        <v>0</v>
      </c>
      <c r="P10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4" s="33">
        <f>+(PROVEEDORES[[#This Row],[SUBTOTAL]]-PROVEEDORES[[#This Row],[descuento antes de IVA]])*PROVEEDORES[[#This Row],[Rete Fuente %]]</f>
        <v>0</v>
      </c>
      <c r="R1034" s="32">
        <f>+PROVEEDORES[[#This Row],[SUBTOTAL]]+PROVEEDORES[[#This Row],[IVA 19%]]-PROVEEDORES[[#This Row],[descuento antes de IVA]]-PROVEEDORES[[#This Row],[Descuento sobre subtotal $]]-PROVEEDORES[[#This Row],[Rete Fuente $]]</f>
        <v>743959</v>
      </c>
      <c r="S1034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4"/>
      <c r="U1034" s="97"/>
      <c r="W1034" s="40"/>
      <c r="X1034" s="40"/>
      <c r="Y1034" s="41"/>
      <c r="Z1034" s="36"/>
      <c r="AA1034" s="36"/>
      <c r="AD1034" s="41"/>
      <c r="AE1034" s="42"/>
      <c r="AF1034" s="36"/>
      <c r="AG1034" s="36"/>
    </row>
    <row r="1035" spans="1:33" ht="21.95" hidden="1" customHeight="1" x14ac:dyDescent="0.25">
      <c r="A1035" s="154" t="str">
        <f>+IF(PROVEEDORES[[#This Row],[FECHA DE PAGO]]=PROVEEDORES[[#This Row],[FECHA DE FACTURACIÓN]],"DE CONTADO","CRÉDITO")</f>
        <v>CRÉDITO</v>
      </c>
      <c r="B1035" s="70" t="b">
        <f>+IF((PROVEEDORES[[#This Row],[FECHA DE PAGO]]-PROVEEDORES[[#This Row],[FECHA DE FACTURACIÓN]])&gt;PROVEEDORES[[#This Row],[PLAZO Días]],"PAGO VENCIDO")</f>
        <v>0</v>
      </c>
      <c r="C1035" s="27">
        <f>+VLOOKUP(PROVEEDORES[[#This Row],[PROVEEDOR]],TERCEROS_INFO[#All],2,FALSE)</f>
        <v>30</v>
      </c>
      <c r="D1035" s="37">
        <f>+SUMIFS(PROVEEDORES[Total],PROVEEDORES[PROVEEDOR],PROVEEDORES[[#This Row],[PROVEEDOR]],PROVEEDORES[FECHA DE PAGO],"")</f>
        <v>800264</v>
      </c>
      <c r="E1035" s="37"/>
      <c r="F1035" s="108" t="str">
        <f>+VLOOKUP(PROVEEDORES[[#This Row],[PROVEEDOR]],TERCEROS_INFO[[PROVEEDOR]:[CORREO]],5,FALSE)</f>
        <v>PSE</v>
      </c>
      <c r="G1035" s="143">
        <v>44484</v>
      </c>
      <c r="H1035" s="38" t="s">
        <v>653</v>
      </c>
      <c r="I1035" s="30">
        <v>44470</v>
      </c>
      <c r="J1035" s="58" t="s">
        <v>655</v>
      </c>
      <c r="K1035" s="32">
        <v>743959</v>
      </c>
      <c r="L1035" s="32"/>
      <c r="M1035" s="33">
        <f>(PROVEEDORES[[#This Row],[SUBTOTAL]]-PROVEEDORES[[#This Row],[descuento antes de IVA]])*VLOOKUP(PROVEEDORES[[#This Row],[PROVEEDOR]],TERCEROS_INFO[#All],3,FALSE)</f>
        <v>0</v>
      </c>
      <c r="N1035" s="34"/>
      <c r="O1035" s="33">
        <f>+PROVEEDORES[[#This Row],[Descuento sobre subtotal %]]*(PROVEEDORES[[#This Row],[SUBTOTAL]]-PROVEEDORES[[#This Row],[descuento antes de IVA]])</f>
        <v>0</v>
      </c>
      <c r="P10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5" s="33">
        <f>+(PROVEEDORES[[#This Row],[SUBTOTAL]]-PROVEEDORES[[#This Row],[descuento antes de IVA]])*PROVEEDORES[[#This Row],[Rete Fuente %]]</f>
        <v>0</v>
      </c>
      <c r="R1035" s="32">
        <f>+PROVEEDORES[[#This Row],[SUBTOTAL]]+PROVEEDORES[[#This Row],[IVA 19%]]-PROVEEDORES[[#This Row],[descuento antes de IVA]]-PROVEEDORES[[#This Row],[Descuento sobre subtotal $]]-PROVEEDORES[[#This Row],[Rete Fuente $]]</f>
        <v>743959</v>
      </c>
      <c r="S1035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5"/>
      <c r="U1035" s="97"/>
      <c r="W1035" s="40"/>
      <c r="X1035" s="40"/>
      <c r="Y1035" s="41"/>
      <c r="Z1035" s="36"/>
      <c r="AA1035" s="36"/>
      <c r="AD1035" s="41"/>
      <c r="AE1035" s="42"/>
      <c r="AF1035" s="36"/>
      <c r="AG1035" s="36"/>
    </row>
    <row r="1036" spans="1:33" ht="21.95" hidden="1" customHeight="1" x14ac:dyDescent="0.25">
      <c r="A1036" s="154" t="str">
        <f>+IF(PROVEEDORES[[#This Row],[FECHA DE PAGO]]=PROVEEDORES[[#This Row],[FECHA DE FACTURACIÓN]],"DE CONTADO","CRÉDITO")</f>
        <v>CRÉDITO</v>
      </c>
      <c r="B1036" s="70" t="b">
        <f>+IF((PROVEEDORES[[#This Row],[FECHA DE PAGO]]-PROVEEDORES[[#This Row],[FECHA DE FACTURACIÓN]])&gt;PROVEEDORES[[#This Row],[PLAZO Días]],"PAGO VENCIDO")</f>
        <v>0</v>
      </c>
      <c r="C1036" s="27">
        <f>+VLOOKUP(PROVEEDORES[[#This Row],[PROVEEDOR]],TERCEROS_INFO[#All],2,FALSE)</f>
        <v>30</v>
      </c>
      <c r="D1036" s="37">
        <f>+SUMIFS(PROVEEDORES[Total],PROVEEDORES[PROVEEDOR],PROVEEDORES[[#This Row],[PROVEEDOR]],PROVEEDORES[FECHA DE PAGO],"")</f>
        <v>800264</v>
      </c>
      <c r="E1036" s="37"/>
      <c r="F1036" s="108" t="str">
        <f>+VLOOKUP(PROVEEDORES[[#This Row],[PROVEEDOR]],TERCEROS_INFO[[PROVEEDOR]:[CORREO]],5,FALSE)</f>
        <v>PSE</v>
      </c>
      <c r="G1036" s="143">
        <v>44484</v>
      </c>
      <c r="H1036" s="38" t="s">
        <v>653</v>
      </c>
      <c r="I1036" s="30">
        <v>44470</v>
      </c>
      <c r="J1036" s="58" t="s">
        <v>654</v>
      </c>
      <c r="K1036" s="32">
        <v>727051</v>
      </c>
      <c r="L1036" s="32"/>
      <c r="M1036" s="33">
        <f>(PROVEEDORES[[#This Row],[SUBTOTAL]]-PROVEEDORES[[#This Row],[descuento antes de IVA]])*VLOOKUP(PROVEEDORES[[#This Row],[PROVEEDOR]],TERCEROS_INFO[#All],3,FALSE)</f>
        <v>0</v>
      </c>
      <c r="N1036" s="34"/>
      <c r="O1036" s="33">
        <f>+PROVEEDORES[[#This Row],[Descuento sobre subtotal %]]*(PROVEEDORES[[#This Row],[SUBTOTAL]]-PROVEEDORES[[#This Row],[descuento antes de IVA]])</f>
        <v>0</v>
      </c>
      <c r="P10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6" s="33">
        <f>+(PROVEEDORES[[#This Row],[SUBTOTAL]]-PROVEEDORES[[#This Row],[descuento antes de IVA]])*PROVEEDORES[[#This Row],[Rete Fuente %]]</f>
        <v>0</v>
      </c>
      <c r="R1036" s="32">
        <f>+PROVEEDORES[[#This Row],[SUBTOTAL]]+PROVEEDORES[[#This Row],[IVA 19%]]-PROVEEDORES[[#This Row],[descuento antes de IVA]]-PROVEEDORES[[#This Row],[Descuento sobre subtotal $]]-PROVEEDORES[[#This Row],[Rete Fuente $]]</f>
        <v>727051</v>
      </c>
      <c r="S1036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6"/>
      <c r="U1036" s="97"/>
      <c r="W1036" s="40"/>
      <c r="X1036" s="40"/>
      <c r="Y1036" s="41"/>
      <c r="Z1036" s="36"/>
      <c r="AA1036" s="36"/>
      <c r="AD1036" s="41"/>
      <c r="AE1036" s="42"/>
      <c r="AF1036" s="36"/>
      <c r="AG1036" s="36"/>
    </row>
    <row r="1037" spans="1:33" ht="21.95" hidden="1" customHeight="1" x14ac:dyDescent="0.25">
      <c r="A1037" s="162" t="str">
        <f>+IF(PROVEEDORES[[#This Row],[FECHA DE PAGO]]=PROVEEDORES[[#This Row],[FECHA DE FACTURACIÓN]],"DE CONTADO","CRÉDITO")</f>
        <v>CRÉDITO</v>
      </c>
      <c r="B1037" s="70" t="b">
        <f>+IF((PROVEEDORES[[#This Row],[FECHA DE PAGO]]-PROVEEDORES[[#This Row],[FECHA DE FACTURACIÓN]])&gt;PROVEEDORES[[#This Row],[PLAZO Días]],"PAGO VENCIDO")</f>
        <v>0</v>
      </c>
      <c r="C1037" s="27">
        <f>+VLOOKUP(PROVEEDORES[[#This Row],[PROVEEDOR]],TERCEROS_INFO[#All],2,FALSE)</f>
        <v>30</v>
      </c>
      <c r="D1037" s="37">
        <f>+SUMIFS(PROVEEDORES[Total],PROVEEDORES[PROVEEDOR],PROVEEDORES[[#This Row],[PROVEEDOR]],PROVEEDORES[FECHA DE PAGO],"")</f>
        <v>800264</v>
      </c>
      <c r="E1037" s="37"/>
      <c r="F1037" s="108" t="str">
        <f>+VLOOKUP(PROVEEDORES[[#This Row],[PROVEEDOR]],TERCEROS_INFO[[PROVEEDOR]:[CORREO]],5,FALSE)</f>
        <v>PSE</v>
      </c>
      <c r="G1037" s="143">
        <v>44516</v>
      </c>
      <c r="H1037" s="38" t="s">
        <v>653</v>
      </c>
      <c r="I1037" s="30">
        <v>44501</v>
      </c>
      <c r="J1037" s="58" t="s">
        <v>655</v>
      </c>
      <c r="K1037" s="32">
        <v>743959</v>
      </c>
      <c r="L1037" s="32"/>
      <c r="M1037" s="33">
        <f>(PROVEEDORES[[#This Row],[SUBTOTAL]]-PROVEEDORES[[#This Row],[descuento antes de IVA]])*VLOOKUP(PROVEEDORES[[#This Row],[PROVEEDOR]],TERCEROS_INFO[#All],3,FALSE)</f>
        <v>0</v>
      </c>
      <c r="N1037" s="34"/>
      <c r="O1037" s="33">
        <f>+PROVEEDORES[[#This Row],[Descuento sobre subtotal %]]*(PROVEEDORES[[#This Row],[SUBTOTAL]]-PROVEEDORES[[#This Row],[descuento antes de IVA]])</f>
        <v>0</v>
      </c>
      <c r="P10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7" s="33">
        <f>+(PROVEEDORES[[#This Row],[SUBTOTAL]]-PROVEEDORES[[#This Row],[descuento antes de IVA]])*PROVEEDORES[[#This Row],[Rete Fuente %]]</f>
        <v>0</v>
      </c>
      <c r="R1037" s="32">
        <f>+PROVEEDORES[[#This Row],[SUBTOTAL]]+PROVEEDORES[[#This Row],[IVA 19%]]-PROVEEDORES[[#This Row],[descuento antes de IVA]]-PROVEEDORES[[#This Row],[Descuento sobre subtotal $]]-PROVEEDORES[[#This Row],[Rete Fuente $]]</f>
        <v>743959</v>
      </c>
      <c r="S1037" s="16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7"/>
      <c r="U1037" s="97"/>
      <c r="W1037" s="40"/>
      <c r="X1037" s="40"/>
      <c r="Y1037" s="41"/>
      <c r="Z1037" s="36"/>
      <c r="AA1037" s="36"/>
      <c r="AD1037" s="41"/>
      <c r="AE1037" s="42"/>
      <c r="AF1037" s="36"/>
      <c r="AG1037" s="36"/>
    </row>
    <row r="1038" spans="1:33" ht="21.95" hidden="1" customHeight="1" x14ac:dyDescent="0.25">
      <c r="A1038" s="162" t="str">
        <f>+IF(PROVEEDORES[[#This Row],[FECHA DE PAGO]]=PROVEEDORES[[#This Row],[FECHA DE FACTURACIÓN]],"DE CONTADO","CRÉDITO")</f>
        <v>CRÉDITO</v>
      </c>
      <c r="B1038" s="70" t="b">
        <f>+IF((PROVEEDORES[[#This Row],[FECHA DE PAGO]]-PROVEEDORES[[#This Row],[FECHA DE FACTURACIÓN]])&gt;PROVEEDORES[[#This Row],[PLAZO Días]],"PAGO VENCIDO")</f>
        <v>0</v>
      </c>
      <c r="C1038" s="27">
        <f>+VLOOKUP(PROVEEDORES[[#This Row],[PROVEEDOR]],TERCEROS_INFO[#All],2,FALSE)</f>
        <v>30</v>
      </c>
      <c r="D1038" s="37">
        <f>+SUMIFS(PROVEEDORES[Total],PROVEEDORES[PROVEEDOR],PROVEEDORES[[#This Row],[PROVEEDOR]],PROVEEDORES[FECHA DE PAGO],"")</f>
        <v>800264</v>
      </c>
      <c r="E1038" s="37"/>
      <c r="F1038" s="108" t="str">
        <f>+VLOOKUP(PROVEEDORES[[#This Row],[PROVEEDOR]],TERCEROS_INFO[[PROVEEDOR]:[CORREO]],5,FALSE)</f>
        <v>PSE</v>
      </c>
      <c r="G1038" s="143">
        <v>44516</v>
      </c>
      <c r="H1038" s="38" t="s">
        <v>653</v>
      </c>
      <c r="I1038" s="30">
        <v>44501</v>
      </c>
      <c r="J1038" s="58" t="s">
        <v>654</v>
      </c>
      <c r="K1038" s="32">
        <v>727051</v>
      </c>
      <c r="L1038" s="32"/>
      <c r="M1038" s="33">
        <f>(PROVEEDORES[[#This Row],[SUBTOTAL]]-PROVEEDORES[[#This Row],[descuento antes de IVA]])*VLOOKUP(PROVEEDORES[[#This Row],[PROVEEDOR]],TERCEROS_INFO[#All],3,FALSE)</f>
        <v>0</v>
      </c>
      <c r="N1038" s="34"/>
      <c r="O1038" s="33">
        <f>+PROVEEDORES[[#This Row],[Descuento sobre subtotal %]]*(PROVEEDORES[[#This Row],[SUBTOTAL]]-PROVEEDORES[[#This Row],[descuento antes de IVA]])</f>
        <v>0</v>
      </c>
      <c r="P10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8" s="33">
        <f>+(PROVEEDORES[[#This Row],[SUBTOTAL]]-PROVEEDORES[[#This Row],[descuento antes de IVA]])*PROVEEDORES[[#This Row],[Rete Fuente %]]</f>
        <v>0</v>
      </c>
      <c r="R1038" s="32">
        <f>+PROVEEDORES[[#This Row],[SUBTOTAL]]+PROVEEDORES[[#This Row],[IVA 19%]]-PROVEEDORES[[#This Row],[descuento antes de IVA]]-PROVEEDORES[[#This Row],[Descuento sobre subtotal $]]-PROVEEDORES[[#This Row],[Rete Fuente $]]</f>
        <v>727051</v>
      </c>
      <c r="S1038" s="16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8"/>
      <c r="U1038" s="97"/>
      <c r="W1038" s="40"/>
      <c r="X1038" s="40"/>
      <c r="Y1038" s="41"/>
      <c r="Z1038" s="36"/>
      <c r="AA1038" s="36"/>
      <c r="AD1038" s="41"/>
      <c r="AE1038" s="42"/>
      <c r="AF1038" s="36"/>
      <c r="AG1038" s="36"/>
    </row>
    <row r="1039" spans="1:33" ht="21.95" hidden="1" customHeight="1" x14ac:dyDescent="0.25">
      <c r="A1039" s="35" t="str">
        <f>+IF(PROVEEDORES[[#This Row],[FECHA DE PAGO]]=PROVEEDORES[[#This Row],[FECHA DE FACTURACIÓN]],"DE CONTADO","CRÉDITO")</f>
        <v>CRÉDITO</v>
      </c>
      <c r="B1039" s="70" t="b">
        <f>+IF((PROVEEDORES[[#This Row],[FECHA DE PAGO]]-PROVEEDORES[[#This Row],[FECHA DE FACTURACIÓN]])&gt;PROVEEDORES[[#This Row],[PLAZO Días]],"PAGO VENCIDO")</f>
        <v>0</v>
      </c>
      <c r="C1039" s="27">
        <f>+VLOOKUP(PROVEEDORES[[#This Row],[PROVEEDOR]],TERCEROS_INFO[#All],2,FALSE)</f>
        <v>30</v>
      </c>
      <c r="D1039" s="37">
        <f>+SUMIFS(PROVEEDORES[Total],PROVEEDORES[PROVEEDOR],PROVEEDORES[[#This Row],[PROVEEDOR]],PROVEEDORES[FECHA DE PAGO],"")</f>
        <v>800264</v>
      </c>
      <c r="E1039" s="37"/>
      <c r="F1039" s="108" t="str">
        <f>+VLOOKUP(PROVEEDORES[[#This Row],[PROVEEDOR]],TERCEROS_INFO[[PROVEEDOR]:[CORREO]],5,FALSE)</f>
        <v>PSE</v>
      </c>
      <c r="G1039" s="143">
        <v>44543</v>
      </c>
      <c r="H1039" s="38" t="s">
        <v>653</v>
      </c>
      <c r="I1039" s="30">
        <v>44531</v>
      </c>
      <c r="J1039" s="58" t="s">
        <v>655</v>
      </c>
      <c r="K1039" s="32">
        <v>743959</v>
      </c>
      <c r="L1039" s="32"/>
      <c r="M1039" s="33">
        <f>(PROVEEDORES[[#This Row],[SUBTOTAL]]-PROVEEDORES[[#This Row],[descuento antes de IVA]])*VLOOKUP(PROVEEDORES[[#This Row],[PROVEEDOR]],TERCEROS_INFO[#All],3,FALSE)</f>
        <v>0</v>
      </c>
      <c r="N1039" s="34"/>
      <c r="O1039" s="33">
        <f>+PROVEEDORES[[#This Row],[Descuento sobre subtotal %]]*(PROVEEDORES[[#This Row],[SUBTOTAL]]-PROVEEDORES[[#This Row],[descuento antes de IVA]])</f>
        <v>0</v>
      </c>
      <c r="P10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39" s="33">
        <f>+(PROVEEDORES[[#This Row],[SUBTOTAL]]-PROVEEDORES[[#This Row],[descuento antes de IVA]])*PROVEEDORES[[#This Row],[Rete Fuente %]]</f>
        <v>0</v>
      </c>
      <c r="R1039" s="32">
        <f>+PROVEEDORES[[#This Row],[SUBTOTAL]]+PROVEEDORES[[#This Row],[IVA 19%]]-PROVEEDORES[[#This Row],[descuento antes de IVA]]-PROVEEDORES[[#This Row],[Descuento sobre subtotal $]]-PROVEEDORES[[#This Row],[Rete Fuente $]]</f>
        <v>743959</v>
      </c>
      <c r="S103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9"/>
      <c r="U1039" s="97"/>
      <c r="W1039" s="40"/>
      <c r="X1039" s="40"/>
      <c r="Y1039" s="41"/>
      <c r="Z1039" s="36"/>
      <c r="AA1039" s="36"/>
      <c r="AD1039" s="41"/>
      <c r="AE1039" s="42"/>
      <c r="AF1039" s="36"/>
      <c r="AG1039" s="36"/>
    </row>
    <row r="1040" spans="1:33" ht="21.95" hidden="1" customHeight="1" x14ac:dyDescent="0.25">
      <c r="A1040" s="35" t="str">
        <f>+IF(PROVEEDORES[[#This Row],[FECHA DE PAGO]]=PROVEEDORES[[#This Row],[FECHA DE FACTURACIÓN]],"DE CONTADO","CRÉDITO")</f>
        <v>CRÉDITO</v>
      </c>
      <c r="B1040" s="70" t="b">
        <f>+IF((PROVEEDORES[[#This Row],[FECHA DE PAGO]]-PROVEEDORES[[#This Row],[FECHA DE FACTURACIÓN]])&gt;PROVEEDORES[[#This Row],[PLAZO Días]],"PAGO VENCIDO")</f>
        <v>0</v>
      </c>
      <c r="C1040" s="27">
        <f>+VLOOKUP(PROVEEDORES[[#This Row],[PROVEEDOR]],TERCEROS_INFO[#All],2,FALSE)</f>
        <v>30</v>
      </c>
      <c r="D1040" s="37">
        <f>+SUMIFS(PROVEEDORES[Total],PROVEEDORES[PROVEEDOR],PROVEEDORES[[#This Row],[PROVEEDOR]],PROVEEDORES[FECHA DE PAGO],"")</f>
        <v>800264</v>
      </c>
      <c r="E1040" s="37"/>
      <c r="F1040" s="108" t="str">
        <f>+VLOOKUP(PROVEEDORES[[#This Row],[PROVEEDOR]],TERCEROS_INFO[[PROVEEDOR]:[CORREO]],5,FALSE)</f>
        <v>PSE</v>
      </c>
      <c r="G1040" s="143">
        <v>44543</v>
      </c>
      <c r="H1040" s="38" t="s">
        <v>653</v>
      </c>
      <c r="I1040" s="30">
        <v>44531</v>
      </c>
      <c r="J1040" s="58" t="s">
        <v>654</v>
      </c>
      <c r="K1040" s="32">
        <v>727051</v>
      </c>
      <c r="L1040" s="32"/>
      <c r="M1040" s="33">
        <f>(PROVEEDORES[[#This Row],[SUBTOTAL]]-PROVEEDORES[[#This Row],[descuento antes de IVA]])*VLOOKUP(PROVEEDORES[[#This Row],[PROVEEDOR]],TERCEROS_INFO[#All],3,FALSE)</f>
        <v>0</v>
      </c>
      <c r="N1040" s="34"/>
      <c r="O1040" s="33">
        <f>+PROVEEDORES[[#This Row],[Descuento sobre subtotal %]]*(PROVEEDORES[[#This Row],[SUBTOTAL]]-PROVEEDORES[[#This Row],[descuento antes de IVA]])</f>
        <v>0</v>
      </c>
      <c r="P10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40" s="33">
        <f>+(PROVEEDORES[[#This Row],[SUBTOTAL]]-PROVEEDORES[[#This Row],[descuento antes de IVA]])*PROVEEDORES[[#This Row],[Rete Fuente %]]</f>
        <v>0</v>
      </c>
      <c r="R1040" s="32">
        <f>+PROVEEDORES[[#This Row],[SUBTOTAL]]+PROVEEDORES[[#This Row],[IVA 19%]]-PROVEEDORES[[#This Row],[descuento antes de IVA]]-PROVEEDORES[[#This Row],[Descuento sobre subtotal $]]-PROVEEDORES[[#This Row],[Rete Fuente $]]</f>
        <v>727051</v>
      </c>
      <c r="S104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40"/>
      <c r="U1040" s="97"/>
      <c r="W1040" s="40"/>
      <c r="X1040" s="40"/>
      <c r="Y1040" s="41"/>
      <c r="Z1040" s="36"/>
      <c r="AA1040" s="36"/>
      <c r="AD1040" s="41"/>
      <c r="AE1040" s="42"/>
      <c r="AF1040" s="36"/>
      <c r="AG1040" s="36"/>
    </row>
    <row r="1041" spans="1:33" ht="21.95" hidden="1" customHeight="1" x14ac:dyDescent="0.25">
      <c r="A1041" s="35" t="str">
        <f>+IF(PROVEEDORES[[#This Row],[FECHA DE PAGO]]=PROVEEDORES[[#This Row],[FECHA DE FACTURACIÓN]],"DE CONTADO","CRÉDITO")</f>
        <v>CRÉDITO</v>
      </c>
      <c r="B1041" s="70" t="b">
        <f>+IF((PROVEEDORES[[#This Row],[FECHA DE PAGO]]-PROVEEDORES[[#This Row],[FECHA DE FACTURACIÓN]])&gt;PROVEEDORES[[#This Row],[PLAZO Días]],"PAGO VENCIDO")</f>
        <v>0</v>
      </c>
      <c r="C1041" s="27">
        <f>+VLOOKUP(PROVEEDORES[[#This Row],[PROVEEDOR]],TERCEROS_INFO[#All],2,FALSE)</f>
        <v>30</v>
      </c>
      <c r="D1041" s="37">
        <f>+SUMIFS(PROVEEDORES[Total],PROVEEDORES[PROVEEDOR],PROVEEDORES[[#This Row],[PROVEEDOR]],PROVEEDORES[FECHA DE PAGO],"")</f>
        <v>800264</v>
      </c>
      <c r="E1041" s="37"/>
      <c r="F1041" s="108" t="str">
        <f>+VLOOKUP(PROVEEDORES[[#This Row],[PROVEEDOR]],TERCEROS_INFO[[PROVEEDOR]:[CORREO]],5,FALSE)</f>
        <v>PSE</v>
      </c>
      <c r="H1041" s="38" t="s">
        <v>653</v>
      </c>
      <c r="I1041" s="30">
        <v>44562</v>
      </c>
      <c r="J1041" s="58">
        <v>12657</v>
      </c>
      <c r="K1041" s="32">
        <v>800264</v>
      </c>
      <c r="L1041" s="32"/>
      <c r="M1041" s="33">
        <f>(PROVEEDORES[[#This Row],[SUBTOTAL]]-PROVEEDORES[[#This Row],[descuento antes de IVA]])*VLOOKUP(PROVEEDORES[[#This Row],[PROVEEDOR]],TERCEROS_INFO[#All],3,FALSE)</f>
        <v>0</v>
      </c>
      <c r="N1041" s="34"/>
      <c r="O1041" s="33">
        <f>+PROVEEDORES[[#This Row],[Descuento sobre subtotal %]]*(PROVEEDORES[[#This Row],[SUBTOTAL]]-PROVEEDORES[[#This Row],[descuento antes de IVA]])</f>
        <v>0</v>
      </c>
      <c r="P10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41" s="33">
        <f>+(PROVEEDORES[[#This Row],[SUBTOTAL]]-PROVEEDORES[[#This Row],[descuento antes de IVA]])*PROVEEDORES[[#This Row],[Rete Fuente %]]</f>
        <v>0</v>
      </c>
      <c r="R1041" s="32">
        <f>+PROVEEDORES[[#This Row],[SUBTOTAL]]+PROVEEDORES[[#This Row],[IVA 19%]]-PROVEEDORES[[#This Row],[descuento antes de IVA]]-PROVEEDORES[[#This Row],[Descuento sobre subtotal $]]-PROVEEDORES[[#This Row],[Rete Fuente $]]</f>
        <v>800264</v>
      </c>
      <c r="S1041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1041"/>
      <c r="U1041" s="97"/>
      <c r="W1041" s="40"/>
      <c r="X1041" s="40"/>
      <c r="Y1041" s="41"/>
      <c r="Z1041" s="36"/>
      <c r="AA1041" s="36"/>
      <c r="AD1041" s="41"/>
      <c r="AE1041" s="42"/>
      <c r="AF1041" s="36"/>
      <c r="AG1041" s="36"/>
    </row>
    <row r="1042" spans="1:33" ht="21.95" hidden="1" customHeight="1" x14ac:dyDescent="0.25">
      <c r="A1042" s="107" t="str">
        <f>+IF(PROVEEDORES[[#This Row],[FECHA DE PAGO]]=PROVEEDORES[[#This Row],[FECHA DE FACTURACIÓN]],"DE CONTADO","CRÉDITO")</f>
        <v>CRÉDITO</v>
      </c>
      <c r="B1042" s="70" t="b">
        <f>+IF((PROVEEDORES[[#This Row],[FECHA DE PAGO]]-PROVEEDORES[[#This Row],[FECHA DE FACTURACIÓN]])&gt;PROVEEDORES[[#This Row],[PLAZO Días]],"PAGO VENCIDO")</f>
        <v>0</v>
      </c>
      <c r="C1042" s="27">
        <f>+VLOOKUP(PROVEEDORES[[#This Row],[PROVEEDOR]],TERCEROS_INFO[#All],2,FALSE)</f>
        <v>30</v>
      </c>
      <c r="D1042" s="37">
        <f>+SUMIFS(PROVEEDORES[Total],PROVEEDORES[PROVEEDOR],PROVEEDORES[[#This Row],[PROVEEDOR]],PROVEEDORES[FECHA DE PAGO],"")</f>
        <v>3799835.145</v>
      </c>
      <c r="E1042" s="37"/>
      <c r="F1042" s="108" t="str">
        <f>+VLOOKUP(PROVEEDORES[[#This Row],[PROVEEDOR]],TERCEROS_INFO[[PROVEEDOR]:[CORREO]],5,FALSE)</f>
        <v>girlesa.ruiz@servipilas.com;joriescobar64@gmail.com</v>
      </c>
      <c r="G1042" s="143">
        <v>44264</v>
      </c>
      <c r="H1042" s="38" t="s">
        <v>638</v>
      </c>
      <c r="I1042" s="30">
        <v>44249</v>
      </c>
      <c r="J1042" s="58" t="s">
        <v>510</v>
      </c>
      <c r="K1042" s="32">
        <v>3023387</v>
      </c>
      <c r="L1042" s="32"/>
      <c r="M1042" s="33">
        <f>(PROVEEDORES[[#This Row],[SUBTOTAL]]-PROVEEDORES[[#This Row],[descuento antes de IVA]])*VLOOKUP(PROVEEDORES[[#This Row],[PROVEEDOR]],TERCEROS_INFO[#All],3,FALSE)</f>
        <v>0</v>
      </c>
      <c r="N1042" s="34"/>
      <c r="O1042" s="33">
        <f>+PROVEEDORES[[#This Row],[Descuento sobre subtotal %]]*(PROVEEDORES[[#This Row],[SUBTOTAL]]-PROVEEDORES[[#This Row],[descuento antes de IVA]])</f>
        <v>0</v>
      </c>
      <c r="P10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42" s="33">
        <f>+(PROVEEDORES[[#This Row],[SUBTOTAL]]-PROVEEDORES[[#This Row],[descuento antes de IVA]])*PROVEEDORES[[#This Row],[Rete Fuente %]]</f>
        <v>105818.54500000001</v>
      </c>
      <c r="R1042" s="32">
        <f>+PROVEEDORES[[#This Row],[SUBTOTAL]]+PROVEEDORES[[#This Row],[IVA 19%]]-PROVEEDORES[[#This Row],[descuento antes de IVA]]-PROVEEDORES[[#This Row],[Descuento sobre subtotal $]]-PROVEEDORES[[#This Row],[Rete Fuente $]]</f>
        <v>2917568.4550000001</v>
      </c>
      <c r="S1042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42"/>
      <c r="U1042" s="97"/>
      <c r="W1042" s="40"/>
      <c r="X1042" s="40"/>
      <c r="Y1042" s="41"/>
      <c r="Z1042" s="36"/>
      <c r="AA1042" s="36"/>
      <c r="AD1042" s="41"/>
      <c r="AE1042" s="42"/>
      <c r="AF1042" s="36"/>
      <c r="AG1042" s="36"/>
    </row>
    <row r="1043" spans="1:33" ht="21.95" hidden="1" customHeight="1" x14ac:dyDescent="0.25">
      <c r="A1043" s="107" t="str">
        <f>+IF(PROVEEDORES[[#This Row],[FECHA DE PAGO]]=PROVEEDORES[[#This Row],[FECHA DE FACTURACIÓN]],"DE CONTADO","CRÉDITO")</f>
        <v>CRÉDITO</v>
      </c>
      <c r="B1043" s="70" t="b">
        <f>+IF((PROVEEDORES[[#This Row],[FECHA DE PAGO]]-PROVEEDORES[[#This Row],[FECHA DE FACTURACIÓN]])&gt;PROVEEDORES[[#This Row],[PLAZO Días]],"PAGO VENCIDO")</f>
        <v>0</v>
      </c>
      <c r="C1043" s="27">
        <f>+VLOOKUP(PROVEEDORES[[#This Row],[PROVEEDOR]],TERCEROS_INFO[#All],2,FALSE)</f>
        <v>30</v>
      </c>
      <c r="D1043" s="37">
        <f>+SUMIFS(PROVEEDORES[Total],PROVEEDORES[PROVEEDOR],PROVEEDORES[[#This Row],[PROVEEDOR]],PROVEEDORES[FECHA DE PAGO],"")</f>
        <v>3799835.145</v>
      </c>
      <c r="E1043" s="37"/>
      <c r="F1043" s="108" t="str">
        <f>+VLOOKUP(PROVEEDORES[[#This Row],[PROVEEDOR]],TERCEROS_INFO[[PROVEEDOR]:[CORREO]],5,FALSE)</f>
        <v>girlesa.ruiz@servipilas.com;joriescobar64@gmail.com</v>
      </c>
      <c r="G1043" s="143">
        <v>44284</v>
      </c>
      <c r="H1043" s="38" t="s">
        <v>638</v>
      </c>
      <c r="I1043" s="30">
        <v>44256</v>
      </c>
      <c r="J1043" s="58" t="s">
        <v>519</v>
      </c>
      <c r="K1043" s="32">
        <v>3023387</v>
      </c>
      <c r="L1043" s="32"/>
      <c r="M1043" s="33">
        <f>(PROVEEDORES[[#This Row],[SUBTOTAL]]-PROVEEDORES[[#This Row],[descuento antes de IVA]])*VLOOKUP(PROVEEDORES[[#This Row],[PROVEEDOR]],TERCEROS_INFO[#All],3,FALSE)</f>
        <v>0</v>
      </c>
      <c r="N1043" s="34"/>
      <c r="O1043" s="33">
        <f>+PROVEEDORES[[#This Row],[Descuento sobre subtotal %]]*(PROVEEDORES[[#This Row],[SUBTOTAL]]-PROVEEDORES[[#This Row],[descuento antes de IVA]])</f>
        <v>0</v>
      </c>
      <c r="P10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43" s="33">
        <f>+(PROVEEDORES[[#This Row],[SUBTOTAL]]-PROVEEDORES[[#This Row],[descuento antes de IVA]])*PROVEEDORES[[#This Row],[Rete Fuente %]]</f>
        <v>105818.54500000001</v>
      </c>
      <c r="R1043" s="32">
        <f>+PROVEEDORES[[#This Row],[SUBTOTAL]]+PROVEEDORES[[#This Row],[IVA 19%]]-PROVEEDORES[[#This Row],[descuento antes de IVA]]-PROVEEDORES[[#This Row],[Descuento sobre subtotal $]]-PROVEEDORES[[#This Row],[Rete Fuente $]]</f>
        <v>2917568.4550000001</v>
      </c>
      <c r="S1043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43"/>
      <c r="U1043" s="97"/>
      <c r="W1043" s="40"/>
      <c r="X1043" s="40"/>
      <c r="Y1043" s="41"/>
      <c r="Z1043" s="36"/>
      <c r="AA1043" s="36"/>
      <c r="AD1043" s="41"/>
      <c r="AE1043" s="42"/>
      <c r="AF1043" s="36"/>
      <c r="AG1043" s="36"/>
    </row>
    <row r="1044" spans="1:33" ht="21.95" hidden="1" customHeight="1" x14ac:dyDescent="0.25">
      <c r="A1044" s="107" t="str">
        <f>+IF(PROVEEDORES[[#This Row],[FECHA DE PAGO]]=PROVEEDORES[[#This Row],[FECHA DE FACTURACIÓN]],"DE CONTADO","CRÉDITO")</f>
        <v>CRÉDITO</v>
      </c>
      <c r="B1044" s="70" t="str">
        <f>+IF((PROVEEDORES[[#This Row],[FECHA DE PAGO]]-PROVEEDORES[[#This Row],[FECHA DE FACTURACIÓN]])&gt;PROVEEDORES[[#This Row],[PLAZO Días]],"PAGO VENCIDO")</f>
        <v>PAGO VENCIDO</v>
      </c>
      <c r="C1044" s="27">
        <f>+VLOOKUP(PROVEEDORES[[#This Row],[PROVEEDOR]],TERCEROS_INFO[#All],2,FALSE)</f>
        <v>30</v>
      </c>
      <c r="D1044" s="37">
        <f>+SUMIFS(PROVEEDORES[Total],PROVEEDORES[PROVEEDOR],PROVEEDORES[[#This Row],[PROVEEDOR]],PROVEEDORES[FECHA DE PAGO],"")</f>
        <v>3799835.145</v>
      </c>
      <c r="E1044" s="37"/>
      <c r="F1044" s="108" t="str">
        <f>+VLOOKUP(PROVEEDORES[[#This Row],[PROVEEDOR]],TERCEROS_INFO[[PROVEEDOR]:[CORREO]],5,FALSE)</f>
        <v>girlesa.ruiz@servipilas.com;joriescobar64@gmail.com</v>
      </c>
      <c r="G1044" s="143">
        <v>44341</v>
      </c>
      <c r="H1044" s="38" t="s">
        <v>638</v>
      </c>
      <c r="I1044" s="30">
        <v>44287</v>
      </c>
      <c r="J1044" s="58" t="s">
        <v>602</v>
      </c>
      <c r="K1044" s="32">
        <v>2492240</v>
      </c>
      <c r="L1044" s="32"/>
      <c r="M1044" s="33">
        <f>(PROVEEDORES[[#This Row],[SUBTOTAL]]-PROVEEDORES[[#This Row],[descuento antes de IVA]])*VLOOKUP(PROVEEDORES[[#This Row],[PROVEEDOR]],TERCEROS_INFO[#All],3,FALSE)</f>
        <v>0</v>
      </c>
      <c r="N1044" s="34"/>
      <c r="O1044" s="33">
        <f>+PROVEEDORES[[#This Row],[Descuento sobre subtotal %]]*(PROVEEDORES[[#This Row],[SUBTOTAL]]-PROVEEDORES[[#This Row],[descuento antes de IVA]])</f>
        <v>0</v>
      </c>
      <c r="P10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44" s="33">
        <f>+(PROVEEDORES[[#This Row],[SUBTOTAL]]-PROVEEDORES[[#This Row],[descuento antes de IVA]])*PROVEEDORES[[#This Row],[Rete Fuente %]]</f>
        <v>87228.400000000009</v>
      </c>
      <c r="R1044" s="32">
        <f>+PROVEEDORES[[#This Row],[SUBTOTAL]]+PROVEEDORES[[#This Row],[IVA 19%]]-PROVEEDORES[[#This Row],[descuento antes de IVA]]-PROVEEDORES[[#This Row],[Descuento sobre subtotal $]]-PROVEEDORES[[#This Row],[Rete Fuente $]]</f>
        <v>2405011.6</v>
      </c>
      <c r="S1044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44"/>
      <c r="U1044" s="97"/>
      <c r="W1044" s="40"/>
      <c r="X1044" s="40"/>
      <c r="Y1044" s="41"/>
      <c r="Z1044" s="36"/>
      <c r="AA1044" s="36"/>
      <c r="AD1044" s="41"/>
      <c r="AE1044" s="42"/>
      <c r="AF1044" s="36"/>
      <c r="AG1044" s="36"/>
    </row>
    <row r="1045" spans="1:33" ht="21.95" hidden="1" customHeight="1" x14ac:dyDescent="0.25">
      <c r="A1045" s="109" t="str">
        <f>+IF(PROVEEDORES[[#This Row],[FECHA DE PAGO]]=PROVEEDORES[[#This Row],[FECHA DE FACTURACIÓN]],"DE CONTADO","CRÉDITO")</f>
        <v>CRÉDITO</v>
      </c>
      <c r="B1045" s="70" t="b">
        <f>+IF((PROVEEDORES[[#This Row],[FECHA DE PAGO]]-PROVEEDORES[[#This Row],[FECHA DE FACTURACIÓN]])&gt;PROVEEDORES[[#This Row],[PLAZO Días]],"PAGO VENCIDO")</f>
        <v>0</v>
      </c>
      <c r="C1045" s="27">
        <f>+VLOOKUP(PROVEEDORES[[#This Row],[PROVEEDOR]],TERCEROS_INFO[#All],2,FALSE)</f>
        <v>30</v>
      </c>
      <c r="D1045" s="37">
        <f>+SUMIFS(PROVEEDORES[Total],PROVEEDORES[PROVEEDOR],PROVEEDORES[[#This Row],[PROVEEDOR]],PROVEEDORES[FECHA DE PAGO],"")</f>
        <v>3799835.145</v>
      </c>
      <c r="E1045" s="37"/>
      <c r="F1045" s="108" t="str">
        <f>+VLOOKUP(PROVEEDORES[[#This Row],[PROVEEDOR]],TERCEROS_INFO[[PROVEEDOR]:[CORREO]],5,FALSE)</f>
        <v>girlesa.ruiz@servipilas.com;joriescobar64@gmail.com</v>
      </c>
      <c r="G1045" s="143">
        <v>44341</v>
      </c>
      <c r="H1045" s="57" t="s">
        <v>638</v>
      </c>
      <c r="I1045" s="30">
        <v>44317</v>
      </c>
      <c r="J1045" s="58" t="s">
        <v>1350</v>
      </c>
      <c r="K1045" s="32">
        <v>2226666</v>
      </c>
      <c r="L1045" s="32"/>
      <c r="M1045" s="33">
        <f>(PROVEEDORES[[#This Row],[SUBTOTAL]]-PROVEEDORES[[#This Row],[descuento antes de IVA]])*VLOOKUP(PROVEEDORES[[#This Row],[PROVEEDOR]],TERCEROS_INFO[#All],3,FALSE)</f>
        <v>0</v>
      </c>
      <c r="N1045" s="34"/>
      <c r="O1045" s="33">
        <f>+PROVEEDORES[[#This Row],[Descuento sobre subtotal %]]*(PROVEEDORES[[#This Row],[SUBTOTAL]]-PROVEEDORES[[#This Row],[descuento antes de IVA]])</f>
        <v>0</v>
      </c>
      <c r="P10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45" s="33">
        <f>+(PROVEEDORES[[#This Row],[SUBTOTAL]]-PROVEEDORES[[#This Row],[descuento antes de IVA]])*PROVEEDORES[[#This Row],[Rete Fuente %]]</f>
        <v>77933.310000000012</v>
      </c>
      <c r="R1045" s="32">
        <f>+PROVEEDORES[[#This Row],[SUBTOTAL]]+PROVEEDORES[[#This Row],[IVA 19%]]-PROVEEDORES[[#This Row],[descuento antes de IVA]]-PROVEEDORES[[#This Row],[Descuento sobre subtotal $]]-PROVEEDORES[[#This Row],[Rete Fuente $]]</f>
        <v>2148732.69</v>
      </c>
      <c r="S1045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45"/>
      <c r="U1045" s="97"/>
      <c r="W1045" s="40"/>
      <c r="X1045" s="40"/>
      <c r="Y1045" s="41"/>
      <c r="Z1045" s="36"/>
      <c r="AA1045" s="36"/>
      <c r="AD1045" s="41"/>
      <c r="AE1045" s="42"/>
      <c r="AF1045" s="36"/>
      <c r="AG1045" s="36"/>
    </row>
    <row r="1046" spans="1:33" ht="21.95" hidden="1" customHeight="1" x14ac:dyDescent="0.25">
      <c r="A1046" s="118" t="str">
        <f>+IF(PROVEEDORES[[#This Row],[FECHA DE PAGO]]=PROVEEDORES[[#This Row],[FECHA DE FACTURACIÓN]],"DE CONTADO","CRÉDITO")</f>
        <v>CRÉDITO</v>
      </c>
      <c r="B1046" s="70" t="b">
        <f>+IF((PROVEEDORES[[#This Row],[FECHA DE PAGO]]-PROVEEDORES[[#This Row],[FECHA DE FACTURACIÓN]])&gt;PROVEEDORES[[#This Row],[PLAZO Días]],"PAGO VENCIDO")</f>
        <v>0</v>
      </c>
      <c r="C1046" s="27">
        <f>+VLOOKUP(PROVEEDORES[[#This Row],[PROVEEDOR]],TERCEROS_INFO[#All],2,FALSE)</f>
        <v>30</v>
      </c>
      <c r="D1046" s="37">
        <f>+SUMIFS(PROVEEDORES[Total],PROVEEDORES[PROVEEDOR],PROVEEDORES[[#This Row],[PROVEEDOR]],PROVEEDORES[FECHA DE PAGO],"")</f>
        <v>3799835.145</v>
      </c>
      <c r="E1046" s="37"/>
      <c r="F1046" s="108" t="str">
        <f>+VLOOKUP(PROVEEDORES[[#This Row],[PROVEEDOR]],TERCEROS_INFO[[PROVEEDOR]:[CORREO]],5,FALSE)</f>
        <v>girlesa.ruiz@servipilas.com;joriescobar64@gmail.com</v>
      </c>
      <c r="G1046" s="143">
        <v>44341</v>
      </c>
      <c r="H1046" s="57" t="s">
        <v>638</v>
      </c>
      <c r="I1046" s="30">
        <v>44340</v>
      </c>
      <c r="J1046" s="58" t="s">
        <v>1351</v>
      </c>
      <c r="K1046" s="32">
        <v>-36000</v>
      </c>
      <c r="L1046" s="32"/>
      <c r="M1046" s="33">
        <f>(PROVEEDORES[[#This Row],[SUBTOTAL]]-PROVEEDORES[[#This Row],[descuento antes de IVA]])*VLOOKUP(PROVEEDORES[[#This Row],[PROVEEDOR]],TERCEROS_INFO[#All],3,FALSE)</f>
        <v>0</v>
      </c>
      <c r="N1046" s="34"/>
      <c r="O1046" s="33">
        <f>+PROVEEDORES[[#This Row],[Descuento sobre subtotal %]]*(PROVEEDORES[[#This Row],[SUBTOTAL]]-PROVEEDORES[[#This Row],[descuento antes de IVA]])</f>
        <v>0</v>
      </c>
      <c r="P10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46" s="33">
        <f>+(PROVEEDORES[[#This Row],[SUBTOTAL]]-PROVEEDORES[[#This Row],[descuento antes de IVA]])*PROVEEDORES[[#This Row],[Rete Fuente %]]</f>
        <v>0</v>
      </c>
      <c r="R1046" s="32">
        <f>+PROVEEDORES[[#This Row],[SUBTOTAL]]+PROVEEDORES[[#This Row],[IVA 19%]]-PROVEEDORES[[#This Row],[descuento antes de IVA]]-PROVEEDORES[[#This Row],[Descuento sobre subtotal $]]-PROVEEDORES[[#This Row],[Rete Fuente $]]</f>
        <v>-36000</v>
      </c>
      <c r="S1046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7" spans="1:33" ht="21.95" hidden="1" customHeight="1" x14ac:dyDescent="0.25">
      <c r="A1047" s="119" t="str">
        <f>+IF(PROVEEDORES[[#This Row],[FECHA DE PAGO]]=PROVEEDORES[[#This Row],[FECHA DE FACTURACIÓN]],"DE CONTADO","CRÉDITO")</f>
        <v>CRÉDITO</v>
      </c>
      <c r="B1047" s="70" t="b">
        <f>+IF((PROVEEDORES[[#This Row],[FECHA DE PAGO]]-PROVEEDORES[[#This Row],[FECHA DE FACTURACIÓN]])&gt;PROVEEDORES[[#This Row],[PLAZO Días]],"PAGO VENCIDO")</f>
        <v>0</v>
      </c>
      <c r="C1047" s="27">
        <f>+VLOOKUP(PROVEEDORES[[#This Row],[PROVEEDOR]],TERCEROS_INFO[#All],2,FALSE)</f>
        <v>30</v>
      </c>
      <c r="D1047" s="37">
        <f>+SUMIFS(PROVEEDORES[Total],PROVEEDORES[PROVEEDOR],PROVEEDORES[[#This Row],[PROVEEDOR]],PROVEEDORES[FECHA DE PAGO],"")</f>
        <v>3799835.145</v>
      </c>
      <c r="E1047" s="37"/>
      <c r="F1047" s="108" t="str">
        <f>+VLOOKUP(PROVEEDORES[[#This Row],[PROVEEDOR]],TERCEROS_INFO[[PROVEEDOR]:[CORREO]],5,FALSE)</f>
        <v>girlesa.ruiz@servipilas.com;joriescobar64@gmail.com</v>
      </c>
      <c r="G1047" s="143">
        <v>44369</v>
      </c>
      <c r="H1047" s="57" t="s">
        <v>638</v>
      </c>
      <c r="I1047" s="30">
        <v>44348</v>
      </c>
      <c r="J1047" s="58" t="s">
        <v>1352</v>
      </c>
      <c r="K1047" s="32">
        <v>3023387</v>
      </c>
      <c r="L1047" s="32"/>
      <c r="M1047" s="33">
        <f>(PROVEEDORES[[#This Row],[SUBTOTAL]]-PROVEEDORES[[#This Row],[descuento antes de IVA]])*VLOOKUP(PROVEEDORES[[#This Row],[PROVEEDOR]],TERCEROS_INFO[#All],3,FALSE)</f>
        <v>0</v>
      </c>
      <c r="N1047" s="34"/>
      <c r="O1047" s="33">
        <f>+PROVEEDORES[[#This Row],[Descuento sobre subtotal %]]*(PROVEEDORES[[#This Row],[SUBTOTAL]]-PROVEEDORES[[#This Row],[descuento antes de IVA]])</f>
        <v>0</v>
      </c>
      <c r="P10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47" s="33">
        <f>+(PROVEEDORES[[#This Row],[SUBTOTAL]]-PROVEEDORES[[#This Row],[descuento antes de IVA]])*PROVEEDORES[[#This Row],[Rete Fuente %]]</f>
        <v>105818.54500000001</v>
      </c>
      <c r="R1047" s="32">
        <f>+PROVEEDORES[[#This Row],[SUBTOTAL]]+PROVEEDORES[[#This Row],[IVA 19%]]-PROVEEDORES[[#This Row],[descuento antes de IVA]]-PROVEEDORES[[#This Row],[Descuento sobre subtotal $]]-PROVEEDORES[[#This Row],[Rete Fuente $]]</f>
        <v>2917568.4550000001</v>
      </c>
      <c r="S1047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8" spans="1:33" ht="21.95" hidden="1" customHeight="1" x14ac:dyDescent="0.25">
      <c r="A1048" s="129" t="str">
        <f>+IF(PROVEEDORES[[#This Row],[FECHA DE PAGO]]=PROVEEDORES[[#This Row],[FECHA DE FACTURACIÓN]],"DE CONTADO","CRÉDITO")</f>
        <v>CRÉDITO</v>
      </c>
      <c r="B1048" s="70" t="b">
        <f>+IF((PROVEEDORES[[#This Row],[FECHA DE PAGO]]-PROVEEDORES[[#This Row],[FECHA DE FACTURACIÓN]])&gt;PROVEEDORES[[#This Row],[PLAZO Días]],"PAGO VENCIDO")</f>
        <v>0</v>
      </c>
      <c r="C1048" s="27">
        <f>+VLOOKUP(PROVEEDORES[[#This Row],[PROVEEDOR]],TERCEROS_INFO[#All],2,FALSE)</f>
        <v>30</v>
      </c>
      <c r="D1048" s="37">
        <f>+SUMIFS(PROVEEDORES[Total],PROVEEDORES[PROVEEDOR],PROVEEDORES[[#This Row],[PROVEEDOR]],PROVEEDORES[FECHA DE PAGO],"")</f>
        <v>3799835.145</v>
      </c>
      <c r="E1048" s="37"/>
      <c r="F1048" s="108" t="str">
        <f>+VLOOKUP(PROVEEDORES[[#This Row],[PROVEEDOR]],TERCEROS_INFO[[PROVEEDOR]:[CORREO]],5,FALSE)</f>
        <v>girlesa.ruiz@servipilas.com;joriescobar64@gmail.com</v>
      </c>
      <c r="G1048" s="143">
        <v>44396</v>
      </c>
      <c r="H1048" s="57" t="s">
        <v>638</v>
      </c>
      <c r="I1048" s="30">
        <v>44372</v>
      </c>
      <c r="J1048" s="58" t="s">
        <v>1353</v>
      </c>
      <c r="K1048" s="32">
        <v>-36766</v>
      </c>
      <c r="L1048" s="32"/>
      <c r="M1048" s="33">
        <f>(PROVEEDORES[[#This Row],[SUBTOTAL]]-PROVEEDORES[[#This Row],[descuento antes de IVA]])*VLOOKUP(PROVEEDORES[[#This Row],[PROVEEDOR]],TERCEROS_INFO[#All],3,FALSE)</f>
        <v>0</v>
      </c>
      <c r="N1048" s="34"/>
      <c r="O1048" s="33">
        <f>+PROVEEDORES[[#This Row],[Descuento sobre subtotal %]]*(PROVEEDORES[[#This Row],[SUBTOTAL]]-PROVEEDORES[[#This Row],[descuento antes de IVA]])</f>
        <v>0</v>
      </c>
      <c r="P10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48" s="33">
        <f>+(PROVEEDORES[[#This Row],[SUBTOTAL]]-PROVEEDORES[[#This Row],[descuento antes de IVA]])*PROVEEDORES[[#This Row],[Rete Fuente %]]</f>
        <v>0</v>
      </c>
      <c r="R1048" s="32">
        <f>+PROVEEDORES[[#This Row],[SUBTOTAL]]+PROVEEDORES[[#This Row],[IVA 19%]]-PROVEEDORES[[#This Row],[descuento antes de IVA]]-PROVEEDORES[[#This Row],[Descuento sobre subtotal $]]-PROVEEDORES[[#This Row],[Rete Fuente $]]</f>
        <v>-36766</v>
      </c>
      <c r="S1048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9" spans="1:33" ht="21.95" hidden="1" customHeight="1" x14ac:dyDescent="0.25">
      <c r="A1049" s="129" t="str">
        <f>+IF(PROVEEDORES[[#This Row],[FECHA DE PAGO]]=PROVEEDORES[[#This Row],[FECHA DE FACTURACIÓN]],"DE CONTADO","CRÉDITO")</f>
        <v>CRÉDITO</v>
      </c>
      <c r="B1049" s="70" t="b">
        <f>+IF((PROVEEDORES[[#This Row],[FECHA DE PAGO]]-PROVEEDORES[[#This Row],[FECHA DE FACTURACIÓN]])&gt;PROVEEDORES[[#This Row],[PLAZO Días]],"PAGO VENCIDO")</f>
        <v>0</v>
      </c>
      <c r="C1049" s="27">
        <f>+VLOOKUP(PROVEEDORES[[#This Row],[PROVEEDOR]],TERCEROS_INFO[#All],2,FALSE)</f>
        <v>30</v>
      </c>
      <c r="D1049" s="37">
        <f>+SUMIFS(PROVEEDORES[Total],PROVEEDORES[PROVEEDOR],PROVEEDORES[[#This Row],[PROVEEDOR]],PROVEEDORES[FECHA DE PAGO],"")</f>
        <v>3799835.145</v>
      </c>
      <c r="E1049" s="37"/>
      <c r="F1049" s="108" t="str">
        <f>+VLOOKUP(PROVEEDORES[[#This Row],[PROVEEDOR]],TERCEROS_INFO[[PROVEEDOR]:[CORREO]],5,FALSE)</f>
        <v>girlesa.ruiz@servipilas.com;joriescobar64@gmail.com</v>
      </c>
      <c r="G1049" s="143">
        <v>44396</v>
      </c>
      <c r="H1049" s="57" t="s">
        <v>638</v>
      </c>
      <c r="I1049" s="30">
        <v>44378</v>
      </c>
      <c r="J1049" s="58" t="s">
        <v>1354</v>
      </c>
      <c r="K1049" s="32">
        <v>3023387</v>
      </c>
      <c r="L1049" s="32"/>
      <c r="M1049" s="33">
        <f>(PROVEEDORES[[#This Row],[SUBTOTAL]]-PROVEEDORES[[#This Row],[descuento antes de IVA]])*VLOOKUP(PROVEEDORES[[#This Row],[PROVEEDOR]],TERCEROS_INFO[#All],3,FALSE)</f>
        <v>0</v>
      </c>
      <c r="N1049" s="34"/>
      <c r="O1049" s="33">
        <f>+PROVEEDORES[[#This Row],[Descuento sobre subtotal %]]*(PROVEEDORES[[#This Row],[SUBTOTAL]]-PROVEEDORES[[#This Row],[descuento antes de IVA]])</f>
        <v>0</v>
      </c>
      <c r="P10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49" s="33">
        <f>+(PROVEEDORES[[#This Row],[SUBTOTAL]]-PROVEEDORES[[#This Row],[descuento antes de IVA]])*PROVEEDORES[[#This Row],[Rete Fuente %]]</f>
        <v>105818.54500000001</v>
      </c>
      <c r="R1049" s="32">
        <f>+PROVEEDORES[[#This Row],[SUBTOTAL]]+PROVEEDORES[[#This Row],[IVA 19%]]-PROVEEDORES[[#This Row],[descuento antes de IVA]]-PROVEEDORES[[#This Row],[Descuento sobre subtotal $]]-PROVEEDORES[[#This Row],[Rete Fuente $]]</f>
        <v>2917568.4550000001</v>
      </c>
      <c r="S1049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0" spans="1:33" ht="21.95" hidden="1" customHeight="1" x14ac:dyDescent="0.25">
      <c r="A1050" s="138" t="str">
        <f>+IF(PROVEEDORES[[#This Row],[FECHA DE PAGO]]=PROVEEDORES[[#This Row],[FECHA DE FACTURACIÓN]],"DE CONTADO","CRÉDITO")</f>
        <v>CRÉDITO</v>
      </c>
      <c r="B1050" s="70" t="b">
        <f>+IF((PROVEEDORES[[#This Row],[FECHA DE PAGO]]-PROVEEDORES[[#This Row],[FECHA DE FACTURACIÓN]])&gt;PROVEEDORES[[#This Row],[PLAZO Días]],"PAGO VENCIDO")</f>
        <v>0</v>
      </c>
      <c r="C1050" s="27">
        <f>+VLOOKUP(PROVEEDORES[[#This Row],[PROVEEDOR]],TERCEROS_INFO[#All],2,FALSE)</f>
        <v>30</v>
      </c>
      <c r="D1050" s="37">
        <f>+SUMIFS(PROVEEDORES[Total],PROVEEDORES[PROVEEDOR],PROVEEDORES[[#This Row],[PROVEEDOR]],PROVEEDORES[FECHA DE PAGO],"")</f>
        <v>3799835.145</v>
      </c>
      <c r="E1050" s="37"/>
      <c r="F1050" s="108" t="str">
        <f>+VLOOKUP(PROVEEDORES[[#This Row],[PROVEEDOR]],TERCEROS_INFO[[PROVEEDOR]:[CORREO]],5,FALSE)</f>
        <v>girlesa.ruiz@servipilas.com;joriescobar64@gmail.com</v>
      </c>
      <c r="G1050" s="143">
        <v>44432</v>
      </c>
      <c r="H1050" s="57" t="s">
        <v>638</v>
      </c>
      <c r="I1050" s="30">
        <v>44409</v>
      </c>
      <c r="J1050" s="58" t="s">
        <v>1355</v>
      </c>
      <c r="K1050" s="32">
        <v>3023387</v>
      </c>
      <c r="L1050" s="32"/>
      <c r="M1050" s="33">
        <f>(PROVEEDORES[[#This Row],[SUBTOTAL]]-PROVEEDORES[[#This Row],[descuento antes de IVA]])*VLOOKUP(PROVEEDORES[[#This Row],[PROVEEDOR]],TERCEROS_INFO[#All],3,FALSE)</f>
        <v>0</v>
      </c>
      <c r="N1050" s="34"/>
      <c r="O1050" s="33">
        <f>+PROVEEDORES[[#This Row],[Descuento sobre subtotal %]]*(PROVEEDORES[[#This Row],[SUBTOTAL]]-PROVEEDORES[[#This Row],[descuento antes de IVA]])</f>
        <v>0</v>
      </c>
      <c r="P10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50" s="33">
        <f>+(PROVEEDORES[[#This Row],[SUBTOTAL]]-PROVEEDORES[[#This Row],[descuento antes de IVA]])*PROVEEDORES[[#This Row],[Rete Fuente %]]</f>
        <v>105818.54500000001</v>
      </c>
      <c r="R1050" s="32">
        <f>+PROVEEDORES[[#This Row],[SUBTOTAL]]+PROVEEDORES[[#This Row],[IVA 19%]]-PROVEEDORES[[#This Row],[descuento antes de IVA]]-PROVEEDORES[[#This Row],[Descuento sobre subtotal $]]-PROVEEDORES[[#This Row],[Rete Fuente $]]</f>
        <v>2917568.4550000001</v>
      </c>
      <c r="S1050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1" spans="1:33" ht="21.95" hidden="1" customHeight="1" x14ac:dyDescent="0.25">
      <c r="A1051" s="147" t="str">
        <f>+IF(PROVEEDORES[[#This Row],[FECHA DE PAGO]]=PROVEEDORES[[#This Row],[FECHA DE FACTURACIÓN]],"DE CONTADO","CRÉDITO")</f>
        <v>CRÉDITO</v>
      </c>
      <c r="B1051" s="70" t="b">
        <f>+IF((PROVEEDORES[[#This Row],[FECHA DE PAGO]]-PROVEEDORES[[#This Row],[FECHA DE FACTURACIÓN]])&gt;PROVEEDORES[[#This Row],[PLAZO Días]],"PAGO VENCIDO")</f>
        <v>0</v>
      </c>
      <c r="C1051" s="27">
        <f>+VLOOKUP(PROVEEDORES[[#This Row],[PROVEEDOR]],TERCEROS_INFO[#All],2,FALSE)</f>
        <v>30</v>
      </c>
      <c r="D1051" s="37">
        <f>+SUMIFS(PROVEEDORES[Total],PROVEEDORES[PROVEEDOR],PROVEEDORES[[#This Row],[PROVEEDOR]],PROVEEDORES[FECHA DE PAGO],"")</f>
        <v>3799835.145</v>
      </c>
      <c r="E1051" s="37"/>
      <c r="F1051" s="108" t="str">
        <f>+VLOOKUP(PROVEEDORES[[#This Row],[PROVEEDOR]],TERCEROS_INFO[[PROVEEDOR]:[CORREO]],5,FALSE)</f>
        <v>girlesa.ruiz@servipilas.com;joriescobar64@gmail.com</v>
      </c>
      <c r="G1051" s="143">
        <v>44461</v>
      </c>
      <c r="H1051" s="57" t="s">
        <v>638</v>
      </c>
      <c r="I1051" s="30">
        <v>44440</v>
      </c>
      <c r="J1051" s="58" t="s">
        <v>1356</v>
      </c>
      <c r="K1051" s="32">
        <v>3023387</v>
      </c>
      <c r="L1051" s="32"/>
      <c r="M1051" s="33">
        <f>(PROVEEDORES[[#This Row],[SUBTOTAL]]-PROVEEDORES[[#This Row],[descuento antes de IVA]])*VLOOKUP(PROVEEDORES[[#This Row],[PROVEEDOR]],TERCEROS_INFO[#All],3,FALSE)</f>
        <v>0</v>
      </c>
      <c r="N1051" s="34"/>
      <c r="O1051" s="33">
        <f>+PROVEEDORES[[#This Row],[Descuento sobre subtotal %]]*(PROVEEDORES[[#This Row],[SUBTOTAL]]-PROVEEDORES[[#This Row],[descuento antes de IVA]])</f>
        <v>0</v>
      </c>
      <c r="P10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51" s="33">
        <f>+(PROVEEDORES[[#This Row],[SUBTOTAL]]-PROVEEDORES[[#This Row],[descuento antes de IVA]])*PROVEEDORES[[#This Row],[Rete Fuente %]]</f>
        <v>105818.54500000001</v>
      </c>
      <c r="R1051" s="32">
        <f>+PROVEEDORES[[#This Row],[SUBTOTAL]]+PROVEEDORES[[#This Row],[IVA 19%]]-PROVEEDORES[[#This Row],[descuento antes de IVA]]-PROVEEDORES[[#This Row],[Descuento sobre subtotal $]]-PROVEEDORES[[#This Row],[Rete Fuente $]]</f>
        <v>2917568.4550000001</v>
      </c>
      <c r="S1051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2" spans="1:33" ht="21.95" hidden="1" customHeight="1" x14ac:dyDescent="0.25">
      <c r="A1052" s="155" t="str">
        <f>+IF(PROVEEDORES[[#This Row],[FECHA DE PAGO]]=PROVEEDORES[[#This Row],[FECHA DE FACTURACIÓN]],"DE CONTADO","CRÉDITO")</f>
        <v>CRÉDITO</v>
      </c>
      <c r="B1052" s="70" t="b">
        <f>+IF((PROVEEDORES[[#This Row],[FECHA DE PAGO]]-PROVEEDORES[[#This Row],[FECHA DE FACTURACIÓN]])&gt;PROVEEDORES[[#This Row],[PLAZO Días]],"PAGO VENCIDO")</f>
        <v>0</v>
      </c>
      <c r="C1052" s="27">
        <f>+VLOOKUP(PROVEEDORES[[#This Row],[PROVEEDOR]],TERCEROS_INFO[#All],2,FALSE)</f>
        <v>30</v>
      </c>
      <c r="D1052" s="37">
        <f>+SUMIFS(PROVEEDORES[Total],PROVEEDORES[PROVEEDOR],PROVEEDORES[[#This Row],[PROVEEDOR]],PROVEEDORES[FECHA DE PAGO],"")</f>
        <v>3799835.145</v>
      </c>
      <c r="E1052" s="37"/>
      <c r="F1052" s="108" t="str">
        <f>+VLOOKUP(PROVEEDORES[[#This Row],[PROVEEDOR]],TERCEROS_INFO[[PROVEEDOR]:[CORREO]],5,FALSE)</f>
        <v>girlesa.ruiz@servipilas.com;joriescobar64@gmail.com</v>
      </c>
      <c r="G1052" s="143">
        <v>44496</v>
      </c>
      <c r="H1052" s="57" t="s">
        <v>638</v>
      </c>
      <c r="I1052" s="30">
        <v>44470</v>
      </c>
      <c r="J1052" s="58" t="s">
        <v>1357</v>
      </c>
      <c r="K1052" s="32">
        <v>3124305</v>
      </c>
      <c r="L1052" s="32"/>
      <c r="M1052" s="33">
        <f>(PROVEEDORES[[#This Row],[SUBTOTAL]]-PROVEEDORES[[#This Row],[descuento antes de IVA]])*VLOOKUP(PROVEEDORES[[#This Row],[PROVEEDOR]],TERCEROS_INFO[#All],3,FALSE)</f>
        <v>0</v>
      </c>
      <c r="N1052" s="34"/>
      <c r="O1052" s="33">
        <f>+PROVEEDORES[[#This Row],[Descuento sobre subtotal %]]*(PROVEEDORES[[#This Row],[SUBTOTAL]]-PROVEEDORES[[#This Row],[descuento antes de IVA]])</f>
        <v>0</v>
      </c>
      <c r="P10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52" s="33">
        <f>+(PROVEEDORES[[#This Row],[SUBTOTAL]]-PROVEEDORES[[#This Row],[descuento antes de IVA]])*PROVEEDORES[[#This Row],[Rete Fuente %]]</f>
        <v>109350.67500000002</v>
      </c>
      <c r="R1052" s="32">
        <f>+PROVEEDORES[[#This Row],[SUBTOTAL]]+PROVEEDORES[[#This Row],[IVA 19%]]-PROVEEDORES[[#This Row],[descuento antes de IVA]]-PROVEEDORES[[#This Row],[Descuento sobre subtotal $]]-PROVEEDORES[[#This Row],[Rete Fuente $]]</f>
        <v>3014954.3250000002</v>
      </c>
      <c r="S1052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3" spans="1:33" ht="21.95" hidden="1" customHeight="1" x14ac:dyDescent="0.25">
      <c r="A1053" s="159" t="str">
        <f>+IF(PROVEEDORES[[#This Row],[FECHA DE PAGO]]=PROVEEDORES[[#This Row],[FECHA DE FACTURACIÓN]],"DE CONTADO","CRÉDITO")</f>
        <v>CRÉDITO</v>
      </c>
      <c r="B1053" s="70" t="b">
        <f>+IF((PROVEEDORES[[#This Row],[FECHA DE PAGO]]-PROVEEDORES[[#This Row],[FECHA DE FACTURACIÓN]])&gt;PROVEEDORES[[#This Row],[PLAZO Días]],"PAGO VENCIDO")</f>
        <v>0</v>
      </c>
      <c r="C1053" s="27">
        <f>+VLOOKUP(PROVEEDORES[[#This Row],[PROVEEDOR]],TERCEROS_INFO[#All],2,FALSE)</f>
        <v>30</v>
      </c>
      <c r="D1053" s="37">
        <f>+SUMIFS(PROVEEDORES[Total],PROVEEDORES[PROVEEDOR],PROVEEDORES[[#This Row],[PROVEEDOR]],PROVEEDORES[FECHA DE PAGO],"")</f>
        <v>3799835.145</v>
      </c>
      <c r="E1053" s="37"/>
      <c r="F1053" s="108" t="str">
        <f>+VLOOKUP(PROVEEDORES[[#This Row],[PROVEEDOR]],TERCEROS_INFO[[PROVEEDOR]:[CORREO]],5,FALSE)</f>
        <v>girlesa.ruiz@servipilas.com;joriescobar64@gmail.com</v>
      </c>
      <c r="G1053" s="143">
        <v>44496</v>
      </c>
      <c r="H1053" s="57" t="s">
        <v>638</v>
      </c>
      <c r="I1053" s="30">
        <v>44480</v>
      </c>
      <c r="J1053" s="58" t="s">
        <v>1358</v>
      </c>
      <c r="K1053" s="32">
        <v>756882</v>
      </c>
      <c r="L1053" s="32"/>
      <c r="M1053" s="33">
        <f>(PROVEEDORES[[#This Row],[SUBTOTAL]]-PROVEEDORES[[#This Row],[descuento antes de IVA]])*VLOOKUP(PROVEEDORES[[#This Row],[PROVEEDOR]],TERCEROS_INFO[#All],3,FALSE)</f>
        <v>0</v>
      </c>
      <c r="N1053" s="34"/>
      <c r="O1053" s="33">
        <f>+PROVEEDORES[[#This Row],[Descuento sobre subtotal %]]*(PROVEEDORES[[#This Row],[SUBTOTAL]]-PROVEEDORES[[#This Row],[descuento antes de IVA]])</f>
        <v>0</v>
      </c>
      <c r="P1053" s="34">
        <v>3.5000000000000003E-2</v>
      </c>
      <c r="Q1053" s="33">
        <f>+(PROVEEDORES[[#This Row],[SUBTOTAL]]-PROVEEDORES[[#This Row],[descuento antes de IVA]])*PROVEEDORES[[#This Row],[Rete Fuente %]]</f>
        <v>26490.870000000003</v>
      </c>
      <c r="R1053" s="32">
        <f>+PROVEEDORES[[#This Row],[SUBTOTAL]]+PROVEEDORES[[#This Row],[IVA 19%]]-PROVEEDORES[[#This Row],[descuento antes de IVA]]-PROVEEDORES[[#This Row],[Descuento sobre subtotal $]]-PROVEEDORES[[#This Row],[Rete Fuente $]]</f>
        <v>730391.13</v>
      </c>
      <c r="S1053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4" spans="1:33" ht="21.95" hidden="1" customHeight="1" x14ac:dyDescent="0.25">
      <c r="A1054" s="162" t="str">
        <f>+IF(PROVEEDORES[[#This Row],[FECHA DE PAGO]]=PROVEEDORES[[#This Row],[FECHA DE FACTURACIÓN]],"DE CONTADO","CRÉDITO")</f>
        <v>CRÉDITO</v>
      </c>
      <c r="B1054" s="70" t="b">
        <f>+IF((PROVEEDORES[[#This Row],[FECHA DE PAGO]]-PROVEEDORES[[#This Row],[FECHA DE FACTURACIÓN]])&gt;PROVEEDORES[[#This Row],[PLAZO Días]],"PAGO VENCIDO")</f>
        <v>0</v>
      </c>
      <c r="C1054" s="27">
        <f>+VLOOKUP(PROVEEDORES[[#This Row],[PROVEEDOR]],TERCEROS_INFO[#All],2,FALSE)</f>
        <v>30</v>
      </c>
      <c r="D1054" s="37">
        <f>+SUMIFS(PROVEEDORES[Total],PROVEEDORES[PROVEEDOR],PROVEEDORES[[#This Row],[PROVEEDOR]],PROVEEDORES[FECHA DE PAGO],"")</f>
        <v>3799835.145</v>
      </c>
      <c r="E1054" s="37"/>
      <c r="F1054" s="108" t="str">
        <f>+VLOOKUP(PROVEEDORES[[#This Row],[PROVEEDOR]],TERCEROS_INFO[[PROVEEDOR]:[CORREO]],5,FALSE)</f>
        <v>girlesa.ruiz@servipilas.com;joriescobar64@gmail.com</v>
      </c>
      <c r="G1054" s="143">
        <v>44527</v>
      </c>
      <c r="H1054" s="57" t="s">
        <v>638</v>
      </c>
      <c r="I1054" s="30">
        <v>44501</v>
      </c>
      <c r="J1054" s="58" t="s">
        <v>1359</v>
      </c>
      <c r="K1054" s="32">
        <v>3124305</v>
      </c>
      <c r="L1054" s="32"/>
      <c r="M1054" s="33">
        <f>(PROVEEDORES[[#This Row],[SUBTOTAL]]-PROVEEDORES[[#This Row],[descuento antes de IVA]])*VLOOKUP(PROVEEDORES[[#This Row],[PROVEEDOR]],TERCEROS_INFO[#All],3,FALSE)</f>
        <v>0</v>
      </c>
      <c r="N1054" s="34"/>
      <c r="O1054" s="33">
        <f>+PROVEEDORES[[#This Row],[Descuento sobre subtotal %]]*(PROVEEDORES[[#This Row],[SUBTOTAL]]-PROVEEDORES[[#This Row],[descuento antes de IVA]])</f>
        <v>0</v>
      </c>
      <c r="P10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54" s="33">
        <f>+(PROVEEDORES[[#This Row],[SUBTOTAL]]-PROVEEDORES[[#This Row],[descuento antes de IVA]])*PROVEEDORES[[#This Row],[Rete Fuente %]]</f>
        <v>109350.67500000002</v>
      </c>
      <c r="R1054" s="32">
        <f>+PROVEEDORES[[#This Row],[SUBTOTAL]]+PROVEEDORES[[#This Row],[IVA 19%]]-PROVEEDORES[[#This Row],[descuento antes de IVA]]-PROVEEDORES[[#This Row],[Descuento sobre subtotal $]]-PROVEEDORES[[#This Row],[Rete Fuente $]]</f>
        <v>3014954.3250000002</v>
      </c>
      <c r="S1054" s="16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5" spans="1:33" ht="21.95" hidden="1" customHeight="1" x14ac:dyDescent="0.25">
      <c r="A1055" s="35" t="str">
        <f>+IF(PROVEEDORES[[#This Row],[FECHA DE PAGO]]=PROVEEDORES[[#This Row],[FECHA DE FACTURACIÓN]],"DE CONTADO","CRÉDITO")</f>
        <v>CRÉDITO</v>
      </c>
      <c r="B1055" s="70" t="b">
        <f>+IF((PROVEEDORES[[#This Row],[FECHA DE PAGO]]-PROVEEDORES[[#This Row],[FECHA DE FACTURACIÓN]])&gt;PROVEEDORES[[#This Row],[PLAZO Días]],"PAGO VENCIDO")</f>
        <v>0</v>
      </c>
      <c r="C1055" s="27">
        <f>+VLOOKUP(PROVEEDORES[[#This Row],[PROVEEDOR]],TERCEROS_INFO[#All],2,FALSE)</f>
        <v>30</v>
      </c>
      <c r="D1055" s="37">
        <f>+SUMIFS(PROVEEDORES[Total],PROVEEDORES[PROVEEDOR],PROVEEDORES[[#This Row],[PROVEEDOR]],PROVEEDORES[FECHA DE PAGO],"")</f>
        <v>3799835.145</v>
      </c>
      <c r="E1055" s="37"/>
      <c r="F1055" s="108" t="str">
        <f>+VLOOKUP(PROVEEDORES[[#This Row],[PROVEEDOR]],TERCEROS_INFO[[PROVEEDOR]:[CORREO]],5,FALSE)</f>
        <v>girlesa.ruiz@servipilas.com;joriescobar64@gmail.com</v>
      </c>
      <c r="G1055" s="143">
        <v>44554</v>
      </c>
      <c r="H1055" s="57" t="s">
        <v>638</v>
      </c>
      <c r="I1055" s="30">
        <v>44531</v>
      </c>
      <c r="J1055" s="58" t="s">
        <v>1360</v>
      </c>
      <c r="K1055" s="32">
        <v>3937653</v>
      </c>
      <c r="L1055" s="32"/>
      <c r="M1055" s="33">
        <f>(PROVEEDORES[[#This Row],[SUBTOTAL]]-PROVEEDORES[[#This Row],[descuento antes de IVA]])*VLOOKUP(PROVEEDORES[[#This Row],[PROVEEDOR]],TERCEROS_INFO[#All],3,FALSE)</f>
        <v>0</v>
      </c>
      <c r="N1055" s="34"/>
      <c r="O1055" s="33">
        <f>+PROVEEDORES[[#This Row],[Descuento sobre subtotal %]]*(PROVEEDORES[[#This Row],[SUBTOTAL]]-PROVEEDORES[[#This Row],[descuento antes de IVA]])</f>
        <v>0</v>
      </c>
      <c r="P10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55" s="33">
        <f>+(PROVEEDORES[[#This Row],[SUBTOTAL]]-PROVEEDORES[[#This Row],[descuento antes de IVA]])*PROVEEDORES[[#This Row],[Rete Fuente %]]</f>
        <v>137817.85500000001</v>
      </c>
      <c r="R1055" s="32">
        <f>+PROVEEDORES[[#This Row],[SUBTOTAL]]+PROVEEDORES[[#This Row],[IVA 19%]]-PROVEEDORES[[#This Row],[descuento antes de IVA]]-PROVEEDORES[[#This Row],[Descuento sobre subtotal $]]-PROVEEDORES[[#This Row],[Rete Fuente $]]</f>
        <v>3799835.145</v>
      </c>
      <c r="S105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6" spans="1:33" ht="21.95" hidden="1" customHeight="1" x14ac:dyDescent="0.25">
      <c r="A1056" s="175" t="str">
        <f>+IF(PROVEEDORES[[#This Row],[FECHA DE PAGO]]=PROVEEDORES[[#This Row],[FECHA DE FACTURACIÓN]],"DE CONTADO","CRÉDITO")</f>
        <v>CRÉDITO</v>
      </c>
      <c r="B1056" s="70" t="b">
        <f>+IF((PROVEEDORES[[#This Row],[FECHA DE PAGO]]-PROVEEDORES[[#This Row],[FECHA DE FACTURACIÓN]])&gt;PROVEEDORES[[#This Row],[PLAZO Días]],"PAGO VENCIDO")</f>
        <v>0</v>
      </c>
      <c r="C1056" s="27">
        <f>+VLOOKUP(PROVEEDORES[[#This Row],[PROVEEDOR]],TERCEROS_INFO[#All],2,FALSE)</f>
        <v>30</v>
      </c>
      <c r="D1056" s="37">
        <f>+SUMIFS(PROVEEDORES[Total],PROVEEDORES[PROVEEDOR],PROVEEDORES[[#This Row],[PROVEEDOR]],PROVEEDORES[FECHA DE PAGO],"")</f>
        <v>3799835.145</v>
      </c>
      <c r="E1056" s="37"/>
      <c r="F1056" s="108" t="str">
        <f>+VLOOKUP(PROVEEDORES[[#This Row],[PROVEEDOR]],TERCEROS_INFO[[PROVEEDOR]:[CORREO]],5,FALSE)</f>
        <v>girlesa.ruiz@servipilas.com;joriescobar64@gmail.com</v>
      </c>
      <c r="H1056" s="57" t="s">
        <v>638</v>
      </c>
      <c r="I1056" s="30">
        <v>44562</v>
      </c>
      <c r="J1056" s="58" t="s">
        <v>1349</v>
      </c>
      <c r="K1056" s="32">
        <v>3937653</v>
      </c>
      <c r="L1056" s="32"/>
      <c r="M1056" s="33">
        <f>(PROVEEDORES[[#This Row],[SUBTOTAL]]-PROVEEDORES[[#This Row],[descuento antes de IVA]])*VLOOKUP(PROVEEDORES[[#This Row],[PROVEEDOR]],TERCEROS_INFO[#All],3,FALSE)</f>
        <v>0</v>
      </c>
      <c r="N1056" s="34"/>
      <c r="O1056" s="33">
        <f>+PROVEEDORES[[#This Row],[Descuento sobre subtotal %]]*(PROVEEDORES[[#This Row],[SUBTOTAL]]-PROVEEDORES[[#This Row],[descuento antes de IVA]])</f>
        <v>0</v>
      </c>
      <c r="P10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56" s="33">
        <f>+(PROVEEDORES[[#This Row],[SUBTOTAL]]-PROVEEDORES[[#This Row],[descuento antes de IVA]])*PROVEEDORES[[#This Row],[Rete Fuente %]]</f>
        <v>137817.85500000001</v>
      </c>
      <c r="R1056" s="32">
        <f>+PROVEEDORES[[#This Row],[SUBTOTAL]]+PROVEEDORES[[#This Row],[IVA 19%]]-PROVEEDORES[[#This Row],[descuento antes de IVA]]-PROVEEDORES[[#This Row],[Descuento sobre subtotal $]]-PROVEEDORES[[#This Row],[Rete Fuente $]]</f>
        <v>3799835.145</v>
      </c>
      <c r="S1056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057" spans="1:19" ht="21.95" hidden="1" customHeight="1" x14ac:dyDescent="0.25">
      <c r="A1057" s="107" t="str">
        <f>+IF(PROVEEDORES[[#This Row],[FECHA DE PAGO]]=PROVEEDORES[[#This Row],[FECHA DE FACTURACIÓN]],"DE CONTADO","CRÉDITO")</f>
        <v>CRÉDITO</v>
      </c>
      <c r="B1057" s="70" t="b">
        <f>+IF((PROVEEDORES[[#This Row],[FECHA DE PAGO]]-PROVEEDORES[[#This Row],[FECHA DE FACTURACIÓN]])&gt;PROVEEDORES[[#This Row],[PLAZO Días]],"PAGO VENCIDO")</f>
        <v>0</v>
      </c>
      <c r="C1057" s="27">
        <f>+VLOOKUP(PROVEEDORES[[#This Row],[PROVEEDOR]],TERCEROS_INFO[#All],2,FALSE)</f>
        <v>30</v>
      </c>
      <c r="D1057" s="37">
        <f>+SUMIFS(PROVEEDORES[Total],PROVEEDORES[PROVEEDOR],PROVEEDORES[[#This Row],[PROVEEDOR]],PROVEEDORES[FECHA DE PAGO],"")</f>
        <v>247888.41</v>
      </c>
      <c r="E1057" s="37"/>
      <c r="F1057" s="108" t="str">
        <f>+VLOOKUP(PROVEEDORES[[#This Row],[PROVEEDOR]],TERCEROS_INFO[[PROVEEDOR]:[CORREO]],5,FALSE)</f>
        <v>administracion@sapian.com.co;girlesa.ruiz@servipilas.com;joriescobar64@gmail.com</v>
      </c>
      <c r="G1057" s="143">
        <v>44250</v>
      </c>
      <c r="H1057" s="38" t="s">
        <v>646</v>
      </c>
      <c r="I1057" s="30">
        <v>44228</v>
      </c>
      <c r="J1057" s="58">
        <v>1350</v>
      </c>
      <c r="K1057" s="32">
        <v>203897</v>
      </c>
      <c r="L1057" s="32"/>
      <c r="M1057" s="33">
        <f>(PROVEEDORES[[#This Row],[SUBTOTAL]]-PROVEEDORES[[#This Row],[descuento antes de IVA]])*VLOOKUP(PROVEEDORES[[#This Row],[PROVEEDOR]],TERCEROS_INFO[#All],3,FALSE)</f>
        <v>38740.43</v>
      </c>
      <c r="N1057" s="34"/>
      <c r="O1057" s="33">
        <f>+PROVEEDORES[[#This Row],[Descuento sobre subtotal %]]*(PROVEEDORES[[#This Row],[SUBTOTAL]]-PROVEEDORES[[#This Row],[descuento antes de IVA]])</f>
        <v>0</v>
      </c>
      <c r="P1057" s="34">
        <v>3.5000000000000003E-2</v>
      </c>
      <c r="Q1057" s="33">
        <f>+(PROVEEDORES[[#This Row],[SUBTOTAL]]-PROVEEDORES[[#This Row],[descuento antes de IVA]])*PROVEEDORES[[#This Row],[Rete Fuente %]]</f>
        <v>7136.3950000000004</v>
      </c>
      <c r="R1057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57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8" spans="1:19" ht="21.95" hidden="1" customHeight="1" x14ac:dyDescent="0.25">
      <c r="A1058" s="107" t="str">
        <f>+IF(PROVEEDORES[[#This Row],[FECHA DE PAGO]]=PROVEEDORES[[#This Row],[FECHA DE FACTURACIÓN]],"DE CONTADO","CRÉDITO")</f>
        <v>CRÉDITO</v>
      </c>
      <c r="B1058" s="70" t="b">
        <f>+IF((PROVEEDORES[[#This Row],[FECHA DE PAGO]]-PROVEEDORES[[#This Row],[FECHA DE FACTURACIÓN]])&gt;PROVEEDORES[[#This Row],[PLAZO Días]],"PAGO VENCIDO")</f>
        <v>0</v>
      </c>
      <c r="C1058" s="27">
        <f>+VLOOKUP(PROVEEDORES[[#This Row],[PROVEEDOR]],TERCEROS_INFO[#All],2,FALSE)</f>
        <v>30</v>
      </c>
      <c r="D1058" s="37">
        <f>+SUMIFS(PROVEEDORES[Total],PROVEEDORES[PROVEEDOR],PROVEEDORES[[#This Row],[PROVEEDOR]],PROVEEDORES[FECHA DE PAGO],"")</f>
        <v>247888.41</v>
      </c>
      <c r="E1058" s="37"/>
      <c r="F1058" s="108" t="str">
        <f>+VLOOKUP(PROVEEDORES[[#This Row],[PROVEEDOR]],TERCEROS_INFO[[PROVEEDOR]:[CORREO]],5,FALSE)</f>
        <v>administracion@sapian.com.co;girlesa.ruiz@servipilas.com;joriescobar64@gmail.com</v>
      </c>
      <c r="G1058" s="143">
        <v>44284</v>
      </c>
      <c r="H1058" s="38" t="s">
        <v>646</v>
      </c>
      <c r="I1058" s="30">
        <v>44256</v>
      </c>
      <c r="J1058" s="58">
        <v>1554</v>
      </c>
      <c r="K1058" s="32">
        <v>203897</v>
      </c>
      <c r="L1058" s="32"/>
      <c r="M1058" s="33">
        <f>(PROVEEDORES[[#This Row],[SUBTOTAL]]-PROVEEDORES[[#This Row],[descuento antes de IVA]])*VLOOKUP(PROVEEDORES[[#This Row],[PROVEEDOR]],TERCEROS_INFO[#All],3,FALSE)</f>
        <v>38740.43</v>
      </c>
      <c r="N1058" s="34"/>
      <c r="O1058" s="33">
        <f>+PROVEEDORES[[#This Row],[Descuento sobre subtotal %]]*(PROVEEDORES[[#This Row],[SUBTOTAL]]-PROVEEDORES[[#This Row],[descuento antes de IVA]])</f>
        <v>0</v>
      </c>
      <c r="P1058" s="34">
        <v>3.5000000000000003E-2</v>
      </c>
      <c r="Q1058" s="33">
        <v>7136.4</v>
      </c>
      <c r="R1058" s="32">
        <f>+PROVEEDORES[[#This Row],[SUBTOTAL]]+PROVEEDORES[[#This Row],[IVA 19%]]-PROVEEDORES[[#This Row],[descuento antes de IVA]]-PROVEEDORES[[#This Row],[Descuento sobre subtotal $]]-PROVEEDORES[[#This Row],[Rete Fuente $]]</f>
        <v>235501.03</v>
      </c>
      <c r="S1058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9" spans="1:19" ht="21.95" hidden="1" customHeight="1" x14ac:dyDescent="0.25">
      <c r="A1059" s="107" t="str">
        <f>+IF(PROVEEDORES[[#This Row],[FECHA DE PAGO]]=PROVEEDORES[[#This Row],[FECHA DE FACTURACIÓN]],"DE CONTADO","CRÉDITO")</f>
        <v>CRÉDITO</v>
      </c>
      <c r="B1059" s="70" t="str">
        <f>+IF((PROVEEDORES[[#This Row],[FECHA DE PAGO]]-PROVEEDORES[[#This Row],[FECHA DE FACTURACIÓN]])&gt;PROVEEDORES[[#This Row],[PLAZO Días]],"PAGO VENCIDO")</f>
        <v>PAGO VENCIDO</v>
      </c>
      <c r="C1059" s="27">
        <f>+VLOOKUP(PROVEEDORES[[#This Row],[PROVEEDOR]],TERCEROS_INFO[#All],2,FALSE)</f>
        <v>30</v>
      </c>
      <c r="D1059" s="37">
        <f>+SUMIFS(PROVEEDORES[Total],PROVEEDORES[PROVEEDOR],PROVEEDORES[[#This Row],[PROVEEDOR]],PROVEEDORES[FECHA DE PAGO],"")</f>
        <v>247888.41</v>
      </c>
      <c r="E1059" s="37"/>
      <c r="F1059" s="108" t="str">
        <f>+VLOOKUP(PROVEEDORES[[#This Row],[PROVEEDOR]],TERCEROS_INFO[[PROVEEDOR]:[CORREO]],5,FALSE)</f>
        <v>administracion@sapian.com.co;girlesa.ruiz@servipilas.com;joriescobar64@gmail.com</v>
      </c>
      <c r="G1059" s="143">
        <v>44341</v>
      </c>
      <c r="H1059" s="38" t="s">
        <v>646</v>
      </c>
      <c r="I1059" s="30">
        <v>44284</v>
      </c>
      <c r="J1059" s="58" t="s">
        <v>395</v>
      </c>
      <c r="K1059" s="32">
        <v>-5996.9747899159665</v>
      </c>
      <c r="L1059" s="32"/>
      <c r="M1059" s="33">
        <f>(PROVEEDORES[[#This Row],[SUBTOTAL]]-PROVEEDORES[[#This Row],[descuento antes de IVA]])*VLOOKUP(PROVEEDORES[[#This Row],[PROVEEDOR]],TERCEROS_INFO[#All],3,FALSE)</f>
        <v>-1139.4252100840336</v>
      </c>
      <c r="N1059" s="34"/>
      <c r="O1059" s="33">
        <f>+PROVEEDORES[[#This Row],[Descuento sobre subtotal %]]*(PROVEEDORES[[#This Row],[SUBTOTAL]]-PROVEEDORES[[#This Row],[descuento antes de IVA]])</f>
        <v>0</v>
      </c>
      <c r="P10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59" s="33">
        <f>+(PROVEEDORES[[#This Row],[SUBTOTAL]]-PROVEEDORES[[#This Row],[descuento antes de IVA]])*PROVEEDORES[[#This Row],[Rete Fuente %]]</f>
        <v>0</v>
      </c>
      <c r="R1059" s="32">
        <f>+PROVEEDORES[[#This Row],[SUBTOTAL]]+PROVEEDORES[[#This Row],[IVA 19%]]-PROVEEDORES[[#This Row],[descuento antes de IVA]]-PROVEEDORES[[#This Row],[Descuento sobre subtotal $]]-PROVEEDORES[[#This Row],[Rete Fuente $]]</f>
        <v>-7136.4</v>
      </c>
      <c r="S1059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0" spans="1:19" ht="21.95" hidden="1" customHeight="1" x14ac:dyDescent="0.25">
      <c r="A1060" s="107" t="str">
        <f>+IF(PROVEEDORES[[#This Row],[FECHA DE PAGO]]=PROVEEDORES[[#This Row],[FECHA DE FACTURACIÓN]],"DE CONTADO","CRÉDITO")</f>
        <v>CRÉDITO</v>
      </c>
      <c r="B1060" s="70" t="b">
        <f>+IF((PROVEEDORES[[#This Row],[FECHA DE PAGO]]-PROVEEDORES[[#This Row],[FECHA DE FACTURACIÓN]])&gt;PROVEEDORES[[#This Row],[PLAZO Días]],"PAGO VENCIDO")</f>
        <v>0</v>
      </c>
      <c r="C1060" s="27">
        <f>+VLOOKUP(PROVEEDORES[[#This Row],[PROVEEDOR]],TERCEROS_INFO[#All],2,FALSE)</f>
        <v>30</v>
      </c>
      <c r="D1060" s="37">
        <f>+SUMIFS(PROVEEDORES[Total],PROVEEDORES[PROVEEDOR],PROVEEDORES[[#This Row],[PROVEEDOR]],PROVEEDORES[FECHA DE PAGO],"")</f>
        <v>247888.41</v>
      </c>
      <c r="E1060" s="37"/>
      <c r="F1060" s="108" t="str">
        <f>+VLOOKUP(PROVEEDORES[[#This Row],[PROVEEDOR]],TERCEROS_INFO[[PROVEEDOR]:[CORREO]],5,FALSE)</f>
        <v>administracion@sapian.com.co;girlesa.ruiz@servipilas.com;joriescobar64@gmail.com</v>
      </c>
      <c r="G1060" s="143">
        <v>44314</v>
      </c>
      <c r="H1060" s="38" t="s">
        <v>646</v>
      </c>
      <c r="I1060" s="30">
        <v>44287</v>
      </c>
      <c r="J1060" s="58">
        <v>1764</v>
      </c>
      <c r="K1060" s="32">
        <v>203897</v>
      </c>
      <c r="L1060" s="32"/>
      <c r="M1060" s="33">
        <f>(PROVEEDORES[[#This Row],[SUBTOTAL]]-PROVEEDORES[[#This Row],[descuento antes de IVA]])*VLOOKUP(PROVEEDORES[[#This Row],[PROVEEDOR]],TERCEROS_INFO[#All],3,FALSE)</f>
        <v>38740.43</v>
      </c>
      <c r="N1060" s="34"/>
      <c r="O1060" s="33">
        <f>+PROVEEDORES[[#This Row],[Descuento sobre subtotal %]]*(PROVEEDORES[[#This Row],[SUBTOTAL]]-PROVEEDORES[[#This Row],[descuento antes de IVA]])</f>
        <v>0</v>
      </c>
      <c r="P1060" s="34">
        <v>3.5000000000000003E-2</v>
      </c>
      <c r="Q1060" s="33">
        <f>+(PROVEEDORES[[#This Row],[SUBTOTAL]]-PROVEEDORES[[#This Row],[descuento antes de IVA]])*PROVEEDORES[[#This Row],[Rete Fuente %]]</f>
        <v>7136.3950000000004</v>
      </c>
      <c r="R1060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0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1" spans="1:19" ht="21.95" hidden="1" customHeight="1" x14ac:dyDescent="0.25">
      <c r="A1061" s="107" t="str">
        <f>+IF(PROVEEDORES[[#This Row],[FECHA DE PAGO]]=PROVEEDORES[[#This Row],[FECHA DE FACTURACIÓN]],"DE CONTADO","CRÉDITO")</f>
        <v>CRÉDITO</v>
      </c>
      <c r="B1061" s="70" t="b">
        <f>+IF((PROVEEDORES[[#This Row],[FECHA DE PAGO]]-PROVEEDORES[[#This Row],[FECHA DE FACTURACIÓN]])&gt;PROVEEDORES[[#This Row],[PLAZO Días]],"PAGO VENCIDO")</f>
        <v>0</v>
      </c>
      <c r="C1061" s="27">
        <f>+VLOOKUP(PROVEEDORES[[#This Row],[PROVEEDOR]],TERCEROS_INFO[#All],2,FALSE)</f>
        <v>30</v>
      </c>
      <c r="D1061" s="37">
        <f>+SUMIFS(PROVEEDORES[Total],PROVEEDORES[PROVEEDOR],PROVEEDORES[[#This Row],[PROVEEDOR]],PROVEEDORES[FECHA DE PAGO],"")</f>
        <v>247888.41</v>
      </c>
      <c r="E1061" s="37"/>
      <c r="F1061" s="108" t="str">
        <f>+VLOOKUP(PROVEEDORES[[#This Row],[PROVEEDOR]],TERCEROS_INFO[[PROVEEDOR]:[CORREO]],5,FALSE)</f>
        <v>administracion@sapian.com.co;girlesa.ruiz@servipilas.com;joriescobar64@gmail.com</v>
      </c>
      <c r="G1061" s="143">
        <v>44314</v>
      </c>
      <c r="H1061" s="38" t="s">
        <v>646</v>
      </c>
      <c r="I1061" s="30">
        <v>44287</v>
      </c>
      <c r="J1061" s="58" t="s">
        <v>598</v>
      </c>
      <c r="K1061" s="32">
        <v>203897</v>
      </c>
      <c r="L1061" s="32"/>
      <c r="M1061" s="33">
        <f>(PROVEEDORES[[#This Row],[SUBTOTAL]]-PROVEEDORES[[#This Row],[descuento antes de IVA]])*VLOOKUP(PROVEEDORES[[#This Row],[PROVEEDOR]],TERCEROS_INFO[#All],3,FALSE)</f>
        <v>38740.43</v>
      </c>
      <c r="N1061" s="34"/>
      <c r="O1061" s="33">
        <f>+PROVEEDORES[[#This Row],[Descuento sobre subtotal %]]*(PROVEEDORES[[#This Row],[SUBTOTAL]]-PROVEEDORES[[#This Row],[descuento antes de IVA]])</f>
        <v>0</v>
      </c>
      <c r="P1061" s="34">
        <v>3.5000000000000003E-2</v>
      </c>
      <c r="Q1061" s="33">
        <f>+(PROVEEDORES[[#This Row],[SUBTOTAL]]-PROVEEDORES[[#This Row],[descuento antes de IVA]])*PROVEEDORES[[#This Row],[Rete Fuente %]]</f>
        <v>7136.3950000000004</v>
      </c>
      <c r="R1061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1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2" spans="1:19" ht="21.95" hidden="1" customHeight="1" x14ac:dyDescent="0.25">
      <c r="A1062" s="107" t="str">
        <f>+IF(PROVEEDORES[[#This Row],[FECHA DE PAGO]]=PROVEEDORES[[#This Row],[FECHA DE FACTURACIÓN]],"DE CONTADO","CRÉDITO")</f>
        <v>CRÉDITO</v>
      </c>
      <c r="B1062" s="70" t="b">
        <f>+IF((PROVEEDORES[[#This Row],[FECHA DE PAGO]]-PROVEEDORES[[#This Row],[FECHA DE FACTURACIÓN]])&gt;PROVEEDORES[[#This Row],[PLAZO Días]],"PAGO VENCIDO")</f>
        <v>0</v>
      </c>
      <c r="C1062" s="27">
        <f>+VLOOKUP(PROVEEDORES[[#This Row],[PROVEEDOR]],TERCEROS_INFO[#All],2,FALSE)</f>
        <v>30</v>
      </c>
      <c r="D1062" s="37">
        <f>+SUMIFS(PROVEEDORES[Total],PROVEEDORES[PROVEEDOR],PROVEEDORES[[#This Row],[PROVEEDOR]],PROVEEDORES[FECHA DE PAGO],"")</f>
        <v>247888.41</v>
      </c>
      <c r="E1062" s="37"/>
      <c r="F1062" s="108" t="str">
        <f>+VLOOKUP(PROVEEDORES[[#This Row],[PROVEEDOR]],TERCEROS_INFO[[PROVEEDOR]:[CORREO]],5,FALSE)</f>
        <v>administracion@sapian.com.co;girlesa.ruiz@servipilas.com;joriescobar64@gmail.com</v>
      </c>
      <c r="G1062" s="143">
        <v>44341</v>
      </c>
      <c r="H1062" s="38" t="s">
        <v>646</v>
      </c>
      <c r="I1062" s="30">
        <v>44317</v>
      </c>
      <c r="J1062" s="58">
        <v>1976</v>
      </c>
      <c r="K1062" s="32">
        <v>203897</v>
      </c>
      <c r="L1062" s="32"/>
      <c r="M1062" s="33">
        <f>(PROVEEDORES[[#This Row],[SUBTOTAL]]-PROVEEDORES[[#This Row],[descuento antes de IVA]])*VLOOKUP(PROVEEDORES[[#This Row],[PROVEEDOR]],TERCEROS_INFO[#All],3,FALSE)</f>
        <v>38740.43</v>
      </c>
      <c r="N1062" s="34"/>
      <c r="O1062" s="33">
        <f>+PROVEEDORES[[#This Row],[Descuento sobre subtotal %]]*(PROVEEDORES[[#This Row],[SUBTOTAL]]-PROVEEDORES[[#This Row],[descuento antes de IVA]])</f>
        <v>0</v>
      </c>
      <c r="P1062" s="34">
        <v>3.5000000000000003E-2</v>
      </c>
      <c r="Q1062" s="33">
        <f>+(PROVEEDORES[[#This Row],[SUBTOTAL]]-PROVEEDORES[[#This Row],[descuento antes de IVA]])*PROVEEDORES[[#This Row],[Rete Fuente %]]</f>
        <v>7136.3950000000004</v>
      </c>
      <c r="R1062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2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3" spans="1:19" ht="21.95" hidden="1" customHeight="1" x14ac:dyDescent="0.25">
      <c r="A1063" s="35" t="str">
        <f>+IF(PROVEEDORES[[#This Row],[FECHA DE PAGO]]=PROVEEDORES[[#This Row],[FECHA DE FACTURACIÓN]],"DE CONTADO","CRÉDITO")</f>
        <v>CRÉDITO</v>
      </c>
      <c r="B1063" s="70" t="b">
        <f>+IF((PROVEEDORES[[#This Row],[FECHA DE PAGO]]-PROVEEDORES[[#This Row],[FECHA DE FACTURACIÓN]])&gt;PROVEEDORES[[#This Row],[PLAZO Días]],"PAGO VENCIDO")</f>
        <v>0</v>
      </c>
      <c r="C1063" s="27">
        <f>+VLOOKUP(PROVEEDORES[[#This Row],[PROVEEDOR]],TERCEROS_INFO[#All],2,FALSE)</f>
        <v>30</v>
      </c>
      <c r="D1063" s="37">
        <f>+SUMIFS(PROVEEDORES[Total],PROVEEDORES[PROVEEDOR],PROVEEDORES[[#This Row],[PROVEEDOR]],PROVEEDORES[FECHA DE PAGO],"")</f>
        <v>247888.41</v>
      </c>
      <c r="E1063" s="37"/>
      <c r="F1063" s="108" t="str">
        <f>+VLOOKUP(PROVEEDORES[[#This Row],[PROVEEDOR]],TERCEROS_INFO[[PROVEEDOR]:[CORREO]],5,FALSE)</f>
        <v>administracion@sapian.com.co;girlesa.ruiz@servipilas.com;joriescobar64@gmail.com</v>
      </c>
      <c r="G1063" s="143">
        <v>44370</v>
      </c>
      <c r="H1063" s="38" t="s">
        <v>646</v>
      </c>
      <c r="I1063" s="30">
        <v>44366</v>
      </c>
      <c r="J1063" s="58" t="s">
        <v>687</v>
      </c>
      <c r="K1063" s="32">
        <v>203897</v>
      </c>
      <c r="L1063" s="32"/>
      <c r="M1063" s="33">
        <f>(PROVEEDORES[[#This Row],[SUBTOTAL]]-PROVEEDORES[[#This Row],[descuento antes de IVA]])*VLOOKUP(PROVEEDORES[[#This Row],[PROVEEDOR]],TERCEROS_INFO[#All],3,FALSE)</f>
        <v>38740.43</v>
      </c>
      <c r="N1063" s="34"/>
      <c r="O1063" s="33">
        <f>+PROVEEDORES[[#This Row],[Descuento sobre subtotal %]]*(PROVEEDORES[[#This Row],[SUBTOTAL]]-PROVEEDORES[[#This Row],[descuento antes de IVA]])</f>
        <v>0</v>
      </c>
      <c r="P1063" s="34">
        <v>3.5000000000000003E-2</v>
      </c>
      <c r="Q1063" s="33">
        <f>+(PROVEEDORES[[#This Row],[SUBTOTAL]]-PROVEEDORES[[#This Row],[descuento antes de IVA]])*PROVEEDORES[[#This Row],[Rete Fuente %]]</f>
        <v>7136.3950000000004</v>
      </c>
      <c r="R1063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4" spans="1:19" ht="21.95" hidden="1" customHeight="1" x14ac:dyDescent="0.25">
      <c r="A1064" s="129" t="str">
        <f>+IF(PROVEEDORES[[#This Row],[FECHA DE PAGO]]=PROVEEDORES[[#This Row],[FECHA DE FACTURACIÓN]],"DE CONTADO","CRÉDITO")</f>
        <v>CRÉDITO</v>
      </c>
      <c r="B1064" s="70" t="b">
        <f>+IF((PROVEEDORES[[#This Row],[FECHA DE PAGO]]-PROVEEDORES[[#This Row],[FECHA DE FACTURACIÓN]])&gt;PROVEEDORES[[#This Row],[PLAZO Días]],"PAGO VENCIDO")</f>
        <v>0</v>
      </c>
      <c r="C1064" s="27">
        <f>+VLOOKUP(PROVEEDORES[[#This Row],[PROVEEDOR]],TERCEROS_INFO[#All],2,FALSE)</f>
        <v>30</v>
      </c>
      <c r="D1064" s="37">
        <f>+SUMIFS(PROVEEDORES[Total],PROVEEDORES[PROVEEDOR],PROVEEDORES[[#This Row],[PROVEEDOR]],PROVEEDORES[FECHA DE PAGO],"")</f>
        <v>247888.41</v>
      </c>
      <c r="E1064" s="37"/>
      <c r="F1064" s="108" t="str">
        <f>+VLOOKUP(PROVEEDORES[[#This Row],[PROVEEDOR]],TERCEROS_INFO[[PROVEEDOR]:[CORREO]],5,FALSE)</f>
        <v>administracion@sapian.com.co;girlesa.ruiz@servipilas.com;joriescobar64@gmail.com</v>
      </c>
      <c r="G1064" s="143">
        <v>44396</v>
      </c>
      <c r="H1064" s="38" t="s">
        <v>646</v>
      </c>
      <c r="I1064" s="30">
        <v>44378</v>
      </c>
      <c r="J1064" s="58" t="s">
        <v>743</v>
      </c>
      <c r="K1064" s="32">
        <v>203897</v>
      </c>
      <c r="L1064" s="32"/>
      <c r="M1064" s="33">
        <f>(PROVEEDORES[[#This Row],[SUBTOTAL]]-PROVEEDORES[[#This Row],[descuento antes de IVA]])*VLOOKUP(PROVEEDORES[[#This Row],[PROVEEDOR]],TERCEROS_INFO[#All],3,FALSE)</f>
        <v>38740.43</v>
      </c>
      <c r="N1064" s="34"/>
      <c r="O1064" s="33">
        <f>+PROVEEDORES[[#This Row],[Descuento sobre subtotal %]]*(PROVEEDORES[[#This Row],[SUBTOTAL]]-PROVEEDORES[[#This Row],[descuento antes de IVA]])</f>
        <v>0</v>
      </c>
      <c r="P1064" s="34">
        <v>3.5000000000000003E-2</v>
      </c>
      <c r="Q1064" s="33">
        <f>+(PROVEEDORES[[#This Row],[SUBTOTAL]]-PROVEEDORES[[#This Row],[descuento antes de IVA]])*PROVEEDORES[[#This Row],[Rete Fuente %]]</f>
        <v>7136.3950000000004</v>
      </c>
      <c r="R1064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4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5" spans="1:19" ht="21.95" hidden="1" customHeight="1" x14ac:dyDescent="0.25">
      <c r="A1065" s="138" t="str">
        <f>+IF(PROVEEDORES[[#This Row],[FECHA DE PAGO]]=PROVEEDORES[[#This Row],[FECHA DE FACTURACIÓN]],"DE CONTADO","CRÉDITO")</f>
        <v>CRÉDITO</v>
      </c>
      <c r="B1065" s="70" t="b">
        <f>+IF((PROVEEDORES[[#This Row],[FECHA DE PAGO]]-PROVEEDORES[[#This Row],[FECHA DE FACTURACIÓN]])&gt;PROVEEDORES[[#This Row],[PLAZO Días]],"PAGO VENCIDO")</f>
        <v>0</v>
      </c>
      <c r="C1065" s="27">
        <f>+VLOOKUP(PROVEEDORES[[#This Row],[PROVEEDOR]],TERCEROS_INFO[#All],2,FALSE)</f>
        <v>30</v>
      </c>
      <c r="D1065" s="37">
        <f>+SUMIFS(PROVEEDORES[Total],PROVEEDORES[PROVEEDOR],PROVEEDORES[[#This Row],[PROVEEDOR]],PROVEEDORES[FECHA DE PAGO],"")</f>
        <v>247888.41</v>
      </c>
      <c r="E1065" s="37"/>
      <c r="F1065" s="108" t="str">
        <f>+VLOOKUP(PROVEEDORES[[#This Row],[PROVEEDOR]],TERCEROS_INFO[[PROVEEDOR]:[CORREO]],5,FALSE)</f>
        <v>administracion@sapian.com.co;girlesa.ruiz@servipilas.com;joriescobar64@gmail.com</v>
      </c>
      <c r="G1065" s="143">
        <v>44432</v>
      </c>
      <c r="H1065" s="38" t="s">
        <v>646</v>
      </c>
      <c r="I1065" s="30">
        <v>44409</v>
      </c>
      <c r="J1065" s="58" t="s">
        <v>775</v>
      </c>
      <c r="K1065" s="32">
        <v>203897</v>
      </c>
      <c r="L1065" s="32"/>
      <c r="M1065" s="33">
        <f>(PROVEEDORES[[#This Row],[SUBTOTAL]]-PROVEEDORES[[#This Row],[descuento antes de IVA]])*VLOOKUP(PROVEEDORES[[#This Row],[PROVEEDOR]],TERCEROS_INFO[#All],3,FALSE)</f>
        <v>38740.43</v>
      </c>
      <c r="N1065" s="34"/>
      <c r="O1065" s="33">
        <f>+PROVEEDORES[[#This Row],[Descuento sobre subtotal %]]*(PROVEEDORES[[#This Row],[SUBTOTAL]]-PROVEEDORES[[#This Row],[descuento antes de IVA]])</f>
        <v>0</v>
      </c>
      <c r="P1065" s="34">
        <v>3.5000000000000003E-2</v>
      </c>
      <c r="Q1065" s="33">
        <f>+(PROVEEDORES[[#This Row],[SUBTOTAL]]-PROVEEDORES[[#This Row],[descuento antes de IVA]])*PROVEEDORES[[#This Row],[Rete Fuente %]]</f>
        <v>7136.3950000000004</v>
      </c>
      <c r="R1065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5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6" spans="1:19" ht="21.95" hidden="1" customHeight="1" x14ac:dyDescent="0.25">
      <c r="A1066" s="144" t="str">
        <f>+IF(PROVEEDORES[[#This Row],[FECHA DE PAGO]]=PROVEEDORES[[#This Row],[FECHA DE FACTURACIÓN]],"DE CONTADO","CRÉDITO")</f>
        <v>CRÉDITO</v>
      </c>
      <c r="B1066" s="70" t="b">
        <f>+IF((PROVEEDORES[[#This Row],[FECHA DE PAGO]]-PROVEEDORES[[#This Row],[FECHA DE FACTURACIÓN]])&gt;PROVEEDORES[[#This Row],[PLAZO Días]],"PAGO VENCIDO")</f>
        <v>0</v>
      </c>
      <c r="C1066" s="27">
        <f>+VLOOKUP(PROVEEDORES[[#This Row],[PROVEEDOR]],TERCEROS_INFO[#All],2,FALSE)</f>
        <v>30</v>
      </c>
      <c r="D1066" s="37">
        <f>+SUMIFS(PROVEEDORES[Total],PROVEEDORES[PROVEEDOR],PROVEEDORES[[#This Row],[PROVEEDOR]],PROVEEDORES[FECHA DE PAGO],"")</f>
        <v>247888.41</v>
      </c>
      <c r="E1066" s="37"/>
      <c r="F1066" s="108" t="str">
        <f>+VLOOKUP(PROVEEDORES[[#This Row],[PROVEEDOR]],TERCEROS_INFO[[PROVEEDOR]:[CORREO]],5,FALSE)</f>
        <v>administracion@sapian.com.co;girlesa.ruiz@servipilas.com;joriescobar64@gmail.com</v>
      </c>
      <c r="G1066" s="143">
        <v>44461</v>
      </c>
      <c r="H1066" s="38" t="s">
        <v>646</v>
      </c>
      <c r="I1066" s="30">
        <v>44440</v>
      </c>
      <c r="J1066" s="58" t="s">
        <v>842</v>
      </c>
      <c r="K1066" s="32">
        <v>203897</v>
      </c>
      <c r="L1066" s="32"/>
      <c r="M1066" s="33">
        <f>(PROVEEDORES[[#This Row],[SUBTOTAL]]-PROVEEDORES[[#This Row],[descuento antes de IVA]])*VLOOKUP(PROVEEDORES[[#This Row],[PROVEEDOR]],TERCEROS_INFO[#All],3,FALSE)</f>
        <v>38740.43</v>
      </c>
      <c r="N1066" s="34"/>
      <c r="O1066" s="33">
        <f>+PROVEEDORES[[#This Row],[Descuento sobre subtotal %]]*(PROVEEDORES[[#This Row],[SUBTOTAL]]-PROVEEDORES[[#This Row],[descuento antes de IVA]])</f>
        <v>0</v>
      </c>
      <c r="P1066" s="34">
        <v>3.5000000000000003E-2</v>
      </c>
      <c r="Q1066" s="33">
        <f>+(PROVEEDORES[[#This Row],[SUBTOTAL]]-PROVEEDORES[[#This Row],[descuento antes de IVA]])*PROVEEDORES[[#This Row],[Rete Fuente %]]</f>
        <v>7136.3950000000004</v>
      </c>
      <c r="R1066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6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7" spans="1:19" ht="21.95" hidden="1" customHeight="1" x14ac:dyDescent="0.25">
      <c r="A1067" s="157" t="str">
        <f>+IF(PROVEEDORES[[#This Row],[FECHA DE PAGO]]=PROVEEDORES[[#This Row],[FECHA DE FACTURACIÓN]],"DE CONTADO","CRÉDITO")</f>
        <v>CRÉDITO</v>
      </c>
      <c r="B1067" s="70" t="b">
        <f>+IF((PROVEEDORES[[#This Row],[FECHA DE PAGO]]-PROVEEDORES[[#This Row],[FECHA DE FACTURACIÓN]])&gt;PROVEEDORES[[#This Row],[PLAZO Días]],"PAGO VENCIDO")</f>
        <v>0</v>
      </c>
      <c r="C1067" s="27">
        <f>+VLOOKUP(PROVEEDORES[[#This Row],[PROVEEDOR]],TERCEROS_INFO[#All],2,FALSE)</f>
        <v>30</v>
      </c>
      <c r="D1067" s="37">
        <f>+SUMIFS(PROVEEDORES[Total],PROVEEDORES[PROVEEDOR],PROVEEDORES[[#This Row],[PROVEEDOR]],PROVEEDORES[FECHA DE PAGO],"")</f>
        <v>247888.41</v>
      </c>
      <c r="E1067" s="37"/>
      <c r="F1067" s="108" t="str">
        <f>+VLOOKUP(PROVEEDORES[[#This Row],[PROVEEDOR]],TERCEROS_INFO[[PROVEEDOR]:[CORREO]],5,FALSE)</f>
        <v>administracion@sapian.com.co;girlesa.ruiz@servipilas.com;joriescobar64@gmail.com</v>
      </c>
      <c r="G1067" s="143">
        <v>44496</v>
      </c>
      <c r="H1067" s="38" t="s">
        <v>646</v>
      </c>
      <c r="I1067" s="30">
        <v>44470</v>
      </c>
      <c r="J1067" s="58" t="s">
        <v>906</v>
      </c>
      <c r="K1067" s="32">
        <v>203897</v>
      </c>
      <c r="L1067" s="32"/>
      <c r="M1067" s="33">
        <f>(PROVEEDORES[[#This Row],[SUBTOTAL]]-PROVEEDORES[[#This Row],[descuento antes de IVA]])*VLOOKUP(PROVEEDORES[[#This Row],[PROVEEDOR]],TERCEROS_INFO[#All],3,FALSE)</f>
        <v>38740.43</v>
      </c>
      <c r="N1067" s="34"/>
      <c r="O1067" s="33">
        <f>+PROVEEDORES[[#This Row],[Descuento sobre subtotal %]]*(PROVEEDORES[[#This Row],[SUBTOTAL]]-PROVEEDORES[[#This Row],[descuento antes de IVA]])</f>
        <v>0</v>
      </c>
      <c r="P1067" s="34">
        <v>3.5000000000000003E-2</v>
      </c>
      <c r="Q1067" s="33">
        <f>+(PROVEEDORES[[#This Row],[SUBTOTAL]]-PROVEEDORES[[#This Row],[descuento antes de IVA]])*PROVEEDORES[[#This Row],[Rete Fuente %]]</f>
        <v>7136.3950000000004</v>
      </c>
      <c r="R1067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7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8" spans="1:19" ht="21.95" hidden="1" customHeight="1" x14ac:dyDescent="0.25">
      <c r="A1068" s="161" t="str">
        <f>+IF(PROVEEDORES[[#This Row],[FECHA DE PAGO]]=PROVEEDORES[[#This Row],[FECHA DE FACTURACIÓN]],"DE CONTADO","CRÉDITO")</f>
        <v>CRÉDITO</v>
      </c>
      <c r="B1068" s="70" t="b">
        <f>+IF((PROVEEDORES[[#This Row],[FECHA DE PAGO]]-PROVEEDORES[[#This Row],[FECHA DE FACTURACIÓN]])&gt;PROVEEDORES[[#This Row],[PLAZO Días]],"PAGO VENCIDO")</f>
        <v>0</v>
      </c>
      <c r="C1068" s="27">
        <f>+VLOOKUP(PROVEEDORES[[#This Row],[PROVEEDOR]],TERCEROS_INFO[#All],2,FALSE)</f>
        <v>30</v>
      </c>
      <c r="D1068" s="37">
        <f>+SUMIFS(PROVEEDORES[Total],PROVEEDORES[PROVEEDOR],PROVEEDORES[[#This Row],[PROVEEDOR]],PROVEEDORES[FECHA DE PAGO],"")</f>
        <v>247888.41</v>
      </c>
      <c r="E1068" s="37"/>
      <c r="F1068" s="108" t="str">
        <f>+VLOOKUP(PROVEEDORES[[#This Row],[PROVEEDOR]],TERCEROS_INFO[[PROVEEDOR]:[CORREO]],5,FALSE)</f>
        <v>administracion@sapian.com.co;girlesa.ruiz@servipilas.com;joriescobar64@gmail.com</v>
      </c>
      <c r="G1068" s="143">
        <v>44527</v>
      </c>
      <c r="H1068" s="38" t="s">
        <v>646</v>
      </c>
      <c r="I1068" s="30">
        <v>44501</v>
      </c>
      <c r="J1068" s="58" t="s">
        <v>933</v>
      </c>
      <c r="K1068" s="32">
        <v>203897</v>
      </c>
      <c r="L1068" s="32"/>
      <c r="M1068" s="33">
        <f>(PROVEEDORES[[#This Row],[SUBTOTAL]]-PROVEEDORES[[#This Row],[descuento antes de IVA]])*VLOOKUP(PROVEEDORES[[#This Row],[PROVEEDOR]],TERCEROS_INFO[#All],3,FALSE)</f>
        <v>38740.43</v>
      </c>
      <c r="N1068" s="34"/>
      <c r="O1068" s="33">
        <f>+PROVEEDORES[[#This Row],[Descuento sobre subtotal %]]*(PROVEEDORES[[#This Row],[SUBTOTAL]]-PROVEEDORES[[#This Row],[descuento antes de IVA]])</f>
        <v>0</v>
      </c>
      <c r="P1068" s="34">
        <v>3.5000000000000003E-2</v>
      </c>
      <c r="Q1068" s="33">
        <f>+(PROVEEDORES[[#This Row],[SUBTOTAL]]-PROVEEDORES[[#This Row],[descuento antes de IVA]])*PROVEEDORES[[#This Row],[Rete Fuente %]]</f>
        <v>7136.3950000000004</v>
      </c>
      <c r="R1068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8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9" spans="1:19" ht="21.95" hidden="1" customHeight="1" x14ac:dyDescent="0.25">
      <c r="A1069" s="169" t="str">
        <f>+IF(PROVEEDORES[[#This Row],[FECHA DE PAGO]]=PROVEEDORES[[#This Row],[FECHA DE FACTURACIÓN]],"DE CONTADO","CRÉDITO")</f>
        <v>CRÉDITO</v>
      </c>
      <c r="B1069" s="70" t="b">
        <f>+IF((PROVEEDORES[[#This Row],[FECHA DE PAGO]]-PROVEEDORES[[#This Row],[FECHA DE FACTURACIÓN]])&gt;PROVEEDORES[[#This Row],[PLAZO Días]],"PAGO VENCIDO")</f>
        <v>0</v>
      </c>
      <c r="C1069" s="27">
        <f>+VLOOKUP(PROVEEDORES[[#This Row],[PROVEEDOR]],TERCEROS_INFO[#All],2,FALSE)</f>
        <v>30</v>
      </c>
      <c r="D1069" s="37">
        <f>+SUMIFS(PROVEEDORES[Total],PROVEEDORES[PROVEEDOR],PROVEEDORES[[#This Row],[PROVEEDOR]],PROVEEDORES[FECHA DE PAGO],"")</f>
        <v>247888.41</v>
      </c>
      <c r="E1069" s="37"/>
      <c r="F1069" s="108" t="str">
        <f>+VLOOKUP(PROVEEDORES[[#This Row],[PROVEEDOR]],TERCEROS_INFO[[PROVEEDOR]:[CORREO]],5,FALSE)</f>
        <v>administracion@sapian.com.co;girlesa.ruiz@servipilas.com;joriescobar64@gmail.com</v>
      </c>
      <c r="G1069" s="143">
        <v>44554</v>
      </c>
      <c r="H1069" s="38" t="s">
        <v>646</v>
      </c>
      <c r="I1069" s="30">
        <v>44557</v>
      </c>
      <c r="J1069" s="58" t="s">
        <v>993</v>
      </c>
      <c r="K1069" s="32">
        <v>203897</v>
      </c>
      <c r="L1069" s="32"/>
      <c r="M1069" s="33">
        <f>(PROVEEDORES[[#This Row],[SUBTOTAL]]-PROVEEDORES[[#This Row],[descuento antes de IVA]])*VLOOKUP(PROVEEDORES[[#This Row],[PROVEEDOR]],TERCEROS_INFO[#All],3,FALSE)</f>
        <v>38740.43</v>
      </c>
      <c r="N1069" s="34"/>
      <c r="O1069" s="33">
        <f>+PROVEEDORES[[#This Row],[Descuento sobre subtotal %]]*(PROVEEDORES[[#This Row],[SUBTOTAL]]-PROVEEDORES[[#This Row],[descuento antes de IVA]])</f>
        <v>0</v>
      </c>
      <c r="P1069" s="34">
        <v>3.5000000000000003E-2</v>
      </c>
      <c r="Q1069" s="33">
        <f>+(PROVEEDORES[[#This Row],[SUBTOTAL]]-PROVEEDORES[[#This Row],[descuento antes de IVA]])*PROVEEDORES[[#This Row],[Rete Fuente %]]</f>
        <v>7136.3950000000004</v>
      </c>
      <c r="R1069" s="32">
        <f>+PROVEEDORES[[#This Row],[SUBTOTAL]]+PROVEEDORES[[#This Row],[IVA 19%]]-PROVEEDORES[[#This Row],[descuento antes de IVA]]-PROVEEDORES[[#This Row],[Descuento sobre subtotal $]]-PROVEEDORES[[#This Row],[Rete Fuente $]]</f>
        <v>235501.035</v>
      </c>
      <c r="S1069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0" spans="1:19" ht="21.95" hidden="1" customHeight="1" x14ac:dyDescent="0.25">
      <c r="A1070" s="175" t="str">
        <f>+IF(PROVEEDORES[[#This Row],[FECHA DE PAGO]]=PROVEEDORES[[#This Row],[FECHA DE FACTURACIÓN]],"DE CONTADO","CRÉDITO")</f>
        <v>CRÉDITO</v>
      </c>
      <c r="B1070" s="70" t="b">
        <f>+IF((PROVEEDORES[[#This Row],[FECHA DE PAGO]]-PROVEEDORES[[#This Row],[FECHA DE FACTURACIÓN]])&gt;PROVEEDORES[[#This Row],[PLAZO Días]],"PAGO VENCIDO")</f>
        <v>0</v>
      </c>
      <c r="C1070" s="27">
        <f>+VLOOKUP(PROVEEDORES[[#This Row],[PROVEEDOR]],TERCEROS_INFO[#All],2,FALSE)</f>
        <v>30</v>
      </c>
      <c r="D1070" s="37">
        <f>+SUMIFS(PROVEEDORES[Total],PROVEEDORES[PROVEEDOR],PROVEEDORES[[#This Row],[PROVEEDOR]],PROVEEDORES[FECHA DE PAGO],"")</f>
        <v>247888.41</v>
      </c>
      <c r="E1070" s="37"/>
      <c r="F1070" s="108" t="str">
        <f>+VLOOKUP(PROVEEDORES[[#This Row],[PROVEEDOR]],TERCEROS_INFO[[PROVEEDOR]:[CORREO]],5,FALSE)</f>
        <v>administracion@sapian.com.co;girlesa.ruiz@servipilas.com;joriescobar64@gmail.com</v>
      </c>
      <c r="H1070" s="38" t="s">
        <v>646</v>
      </c>
      <c r="I1070" s="30">
        <v>44562</v>
      </c>
      <c r="J1070" s="58" t="s">
        <v>1344</v>
      </c>
      <c r="K1070" s="32">
        <v>214622</v>
      </c>
      <c r="L1070" s="32"/>
      <c r="M1070" s="33">
        <f>(PROVEEDORES[[#This Row],[SUBTOTAL]]-PROVEEDORES[[#This Row],[descuento antes de IVA]])*VLOOKUP(PROVEEDORES[[#This Row],[PROVEEDOR]],TERCEROS_INFO[#All],3,FALSE)</f>
        <v>40778.18</v>
      </c>
      <c r="N1070" s="34"/>
      <c r="O1070" s="33">
        <f>+PROVEEDORES[[#This Row],[Descuento sobre subtotal %]]*(PROVEEDORES[[#This Row],[SUBTOTAL]]-PROVEEDORES[[#This Row],[descuento antes de IVA]])</f>
        <v>0</v>
      </c>
      <c r="P1070" s="34">
        <v>3.5000000000000003E-2</v>
      </c>
      <c r="Q1070" s="33">
        <f>+(PROVEEDORES[[#This Row],[SUBTOTAL]]-PROVEEDORES[[#This Row],[descuento antes de IVA]])*PROVEEDORES[[#This Row],[Rete Fuente %]]</f>
        <v>7511.77</v>
      </c>
      <c r="R1070" s="32">
        <f>+PROVEEDORES[[#This Row],[SUBTOTAL]]+PROVEEDORES[[#This Row],[IVA 19%]]-PROVEEDORES[[#This Row],[descuento antes de IVA]]-PROVEEDORES[[#This Row],[Descuento sobre subtotal $]]-PROVEEDORES[[#This Row],[Rete Fuente $]]</f>
        <v>247888.41</v>
      </c>
      <c r="S1070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071" spans="1:19" ht="21.95" hidden="1" customHeight="1" x14ac:dyDescent="0.25">
      <c r="A1071" s="39" t="str">
        <f>+IF(PROVEEDORES[[#This Row],[FECHA DE PAGO]]=PROVEEDORES[[#This Row],[FECHA DE FACTURACIÓN]],"DE CONTADO","CRÉDITO")</f>
        <v>CRÉDITO</v>
      </c>
      <c r="B1071" s="67" t="b">
        <f>+IF((PROVEEDORES[[#This Row],[FECHA DE PAGO]]-PROVEEDORES[[#This Row],[FECHA DE FACTURACIÓN]])&gt;PROVEEDORES[[#This Row],[PLAZO Días]],"PAGO VENCIDO")</f>
        <v>0</v>
      </c>
      <c r="C1071" s="27">
        <f>+VLOOKUP(PROVEEDORES[[#This Row],[PROVEEDOR]],TERCEROS_INFO[#All],2,FALSE)</f>
        <v>30</v>
      </c>
      <c r="D1071" s="37">
        <f>+SUMIFS(PROVEEDORES[Total],PROVEEDORES[PROVEEDOR],PROVEEDORES[[#This Row],[PROVEEDOR]],PROVEEDORES[FECHA DE PAGO],"")</f>
        <v>0</v>
      </c>
      <c r="E1071" s="37"/>
      <c r="F1071" s="108" t="str">
        <f>+VLOOKUP(PROVEEDORES[[#This Row],[PROVEEDOR]],TERCEROS_INFO[[PROVEEDOR]:[CORREO]],5,FALSE)</f>
        <v>senalizacionyavisos@gmail.com;girlesa.ruiz@servipilas.com;joriescobar64@gmail.com</v>
      </c>
      <c r="G1071" s="143">
        <v>44133</v>
      </c>
      <c r="H1071" s="38" t="s">
        <v>640</v>
      </c>
      <c r="I1071" s="30">
        <v>44132</v>
      </c>
      <c r="J1071" s="58">
        <v>330</v>
      </c>
      <c r="K1071" s="32">
        <v>310000</v>
      </c>
      <c r="L1071" s="32"/>
      <c r="M1071" s="33">
        <f>(PROVEEDORES[[#This Row],[SUBTOTAL]]-PROVEEDORES[[#This Row],[descuento antes de IVA]])*VLOOKUP(PROVEEDORES[[#This Row],[PROVEEDOR]],TERCEROS_INFO[#All],3,FALSE)</f>
        <v>58900</v>
      </c>
      <c r="N1071" s="34"/>
      <c r="O1071" s="33">
        <f>+PROVEEDORES[[#This Row],[Descuento sobre subtotal %]]*(PROVEEDORES[[#This Row],[SUBTOTAL]]-PROVEEDORES[[#This Row],[descuento antes de IVA]])</f>
        <v>0</v>
      </c>
      <c r="P10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71" s="33">
        <f>+(PROVEEDORES[[#This Row],[SUBTOTAL]]-PROVEEDORES[[#This Row],[descuento antes de IVA]])*PROVEEDORES[[#This Row],[Rete Fuente %]]</f>
        <v>0</v>
      </c>
      <c r="R1071" s="32">
        <f>+PROVEEDORES[[#This Row],[SUBTOTAL]]+PROVEEDORES[[#This Row],[IVA 19%]]-PROVEEDORES[[#This Row],[descuento antes de IVA]]-PROVEEDORES[[#This Row],[Descuento sobre subtotal $]]-PROVEEDORES[[#This Row],[Rete Fuente $]]</f>
        <v>368900</v>
      </c>
      <c r="S107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2" spans="1:19" ht="21.95" hidden="1" customHeight="1" x14ac:dyDescent="0.25">
      <c r="A1072" s="39" t="str">
        <f>+IF(PROVEEDORES[[#This Row],[FECHA DE PAGO]]=PROVEEDORES[[#This Row],[FECHA DE FACTURACIÓN]],"DE CONTADO","CRÉDITO")</f>
        <v>CRÉDITO</v>
      </c>
      <c r="B1072" s="67" t="b">
        <f>+IF((PROVEEDORES[[#This Row],[FECHA DE PAGO]]-PROVEEDORES[[#This Row],[FECHA DE FACTURACIÓN]])&gt;PROVEEDORES[[#This Row],[PLAZO Días]],"PAGO VENCIDO")</f>
        <v>0</v>
      </c>
      <c r="C1072" s="27">
        <f>+VLOOKUP(PROVEEDORES[[#This Row],[PROVEEDOR]],TERCEROS_INFO[#All],2,FALSE)</f>
        <v>30</v>
      </c>
      <c r="D1072" s="37">
        <f>+SUMIFS(PROVEEDORES[Total],PROVEEDORES[PROVEEDOR],PROVEEDORES[[#This Row],[PROVEEDOR]],PROVEEDORES[FECHA DE PAGO],"")</f>
        <v>0</v>
      </c>
      <c r="E1072" s="37"/>
      <c r="F1072" s="108" t="str">
        <f>+VLOOKUP(PROVEEDORES[[#This Row],[PROVEEDOR]],TERCEROS_INFO[[PROVEEDOR]:[CORREO]],5,FALSE)</f>
        <v>senalizacionyavisos@gmail.com;girlesa.ruiz@servipilas.com;joriescobar64@gmail.com</v>
      </c>
      <c r="G1072" s="143">
        <v>44195</v>
      </c>
      <c r="H1072" s="38" t="s">
        <v>640</v>
      </c>
      <c r="I1072" s="30">
        <v>44194</v>
      </c>
      <c r="J1072" s="58">
        <v>402</v>
      </c>
      <c r="K1072" s="32">
        <v>405000</v>
      </c>
      <c r="L1072" s="32"/>
      <c r="M1072" s="33">
        <f>(PROVEEDORES[[#This Row],[SUBTOTAL]]-PROVEEDORES[[#This Row],[descuento antes de IVA]])*VLOOKUP(PROVEEDORES[[#This Row],[PROVEEDOR]],TERCEROS_INFO[#All],3,FALSE)</f>
        <v>76950</v>
      </c>
      <c r="N1072" s="34"/>
      <c r="O1072" s="33">
        <f>+PROVEEDORES[[#This Row],[Descuento sobre subtotal %]]*(PROVEEDORES[[#This Row],[SUBTOTAL]]-PROVEEDORES[[#This Row],[descuento antes de IVA]])</f>
        <v>0</v>
      </c>
      <c r="P10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72" s="33">
        <f>+(PROVEEDORES[[#This Row],[SUBTOTAL]]-PROVEEDORES[[#This Row],[descuento antes de IVA]])*PROVEEDORES[[#This Row],[Rete Fuente %]]</f>
        <v>0</v>
      </c>
      <c r="R1072" s="32">
        <f>+PROVEEDORES[[#This Row],[SUBTOTAL]]+PROVEEDORES[[#This Row],[IVA 19%]]-PROVEEDORES[[#This Row],[descuento antes de IVA]]-PROVEEDORES[[#This Row],[Descuento sobre subtotal $]]-PROVEEDORES[[#This Row],[Rete Fuente $]]</f>
        <v>481950</v>
      </c>
      <c r="S107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3" spans="1:19" ht="21.95" hidden="1" customHeight="1" x14ac:dyDescent="0.25">
      <c r="A1073" s="107" t="str">
        <f>+IF(PROVEEDORES[[#This Row],[FECHA DE PAGO]]=PROVEEDORES[[#This Row],[FECHA DE FACTURACIÓN]],"DE CONTADO","CRÉDITO")</f>
        <v>CRÉDITO</v>
      </c>
      <c r="B1073" s="70" t="b">
        <f>+IF((PROVEEDORES[[#This Row],[FECHA DE PAGO]]-PROVEEDORES[[#This Row],[FECHA DE FACTURACIÓN]])&gt;PROVEEDORES[[#This Row],[PLAZO Días]],"PAGO VENCIDO")</f>
        <v>0</v>
      </c>
      <c r="C1073" s="27">
        <f>+VLOOKUP(PROVEEDORES[[#This Row],[PROVEEDOR]],TERCEROS_INFO[#All],2,FALSE)</f>
        <v>30</v>
      </c>
      <c r="D1073" s="37">
        <f>+SUMIFS(PROVEEDORES[Total],PROVEEDORES[PROVEEDOR],PROVEEDORES[[#This Row],[PROVEEDOR]],PROVEEDORES[FECHA DE PAGO],"")</f>
        <v>0</v>
      </c>
      <c r="E1073" s="37"/>
      <c r="F1073" s="108" t="str">
        <f>+VLOOKUP(PROVEEDORES[[#This Row],[PROVEEDOR]],TERCEROS_INFO[[PROVEEDOR]:[CORREO]],5,FALSE)</f>
        <v>senalizacionyavisos@gmail.com;girlesa.ruiz@servipilas.com;joriescobar64@gmail.com</v>
      </c>
      <c r="G1073" s="143">
        <v>44198</v>
      </c>
      <c r="H1073" s="38" t="s">
        <v>640</v>
      </c>
      <c r="I1073" s="30">
        <v>44197</v>
      </c>
      <c r="J1073" s="58">
        <v>422</v>
      </c>
      <c r="K1073" s="32">
        <v>54000</v>
      </c>
      <c r="L1073" s="32"/>
      <c r="M1073" s="33">
        <f>(PROVEEDORES[[#This Row],[SUBTOTAL]]-PROVEEDORES[[#This Row],[descuento antes de IVA]])*VLOOKUP(PROVEEDORES[[#This Row],[PROVEEDOR]],TERCEROS_INFO[#All],3,FALSE)</f>
        <v>10260</v>
      </c>
      <c r="N1073" s="34"/>
      <c r="O1073" s="33">
        <f>+PROVEEDORES[[#This Row],[Descuento sobre subtotal %]]*(PROVEEDORES[[#This Row],[SUBTOTAL]]-PROVEEDORES[[#This Row],[descuento antes de IVA]])</f>
        <v>0</v>
      </c>
      <c r="P10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73" s="33">
        <f>+(PROVEEDORES[[#This Row],[SUBTOTAL]]-PROVEEDORES[[#This Row],[descuento antes de IVA]])*PROVEEDORES[[#This Row],[Rete Fuente %]]</f>
        <v>0</v>
      </c>
      <c r="R1073" s="32">
        <f>+PROVEEDORES[[#This Row],[SUBTOTAL]]+PROVEEDORES[[#This Row],[IVA 19%]]-PROVEEDORES[[#This Row],[descuento antes de IVA]]-PROVEEDORES[[#This Row],[Descuento sobre subtotal $]]-PROVEEDORES[[#This Row],[Rete Fuente $]]</f>
        <v>64260</v>
      </c>
      <c r="S1073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4" spans="1:19" ht="21.95" hidden="1" customHeight="1" x14ac:dyDescent="0.25">
      <c r="A1074" s="119" t="str">
        <f>+IF(PROVEEDORES[[#This Row],[FECHA DE PAGO]]=PROVEEDORES[[#This Row],[FECHA DE FACTURACIÓN]],"DE CONTADO","CRÉDITO")</f>
        <v>CRÉDITO</v>
      </c>
      <c r="B1074" s="70" t="b">
        <f>+IF((PROVEEDORES[[#This Row],[FECHA DE PAGO]]-PROVEEDORES[[#This Row],[FECHA DE FACTURACIÓN]])&gt;PROVEEDORES[[#This Row],[PLAZO Días]],"PAGO VENCIDO")</f>
        <v>0</v>
      </c>
      <c r="C1074" s="27">
        <f>+VLOOKUP(PROVEEDORES[[#This Row],[PROVEEDOR]],TERCEROS_INFO[#All],2,FALSE)</f>
        <v>30</v>
      </c>
      <c r="D1074" s="37">
        <f>+SUMIFS(PROVEEDORES[Total],PROVEEDORES[PROVEEDOR],PROVEEDORES[[#This Row],[PROVEEDOR]],PROVEEDORES[FECHA DE PAGO],"")</f>
        <v>0</v>
      </c>
      <c r="E1074" s="37"/>
      <c r="F1074" s="108" t="str">
        <f>+VLOOKUP(PROVEEDORES[[#This Row],[PROVEEDOR]],TERCEROS_INFO[[PROVEEDOR]:[CORREO]],5,FALSE)</f>
        <v>senalizacionyavisos@gmail.com;girlesa.ruiz@servipilas.com;joriescobar64@gmail.com</v>
      </c>
      <c r="G1074" s="143">
        <v>44351</v>
      </c>
      <c r="H1074" s="38" t="s">
        <v>640</v>
      </c>
      <c r="I1074" s="30">
        <v>44347</v>
      </c>
      <c r="J1074" s="58">
        <v>559</v>
      </c>
      <c r="K1074" s="32">
        <v>250000</v>
      </c>
      <c r="L1074" s="32"/>
      <c r="M1074" s="33">
        <f>(PROVEEDORES[[#This Row],[SUBTOTAL]]-PROVEEDORES[[#This Row],[descuento antes de IVA]])*VLOOKUP(PROVEEDORES[[#This Row],[PROVEEDOR]],TERCEROS_INFO[#All],3,FALSE)</f>
        <v>47500</v>
      </c>
      <c r="N1074" s="34"/>
      <c r="O1074" s="33">
        <f>+PROVEEDORES[[#This Row],[Descuento sobre subtotal %]]*(PROVEEDORES[[#This Row],[SUBTOTAL]]-PROVEEDORES[[#This Row],[descuento antes de IVA]])</f>
        <v>0</v>
      </c>
      <c r="P10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74" s="33">
        <f>+(PROVEEDORES[[#This Row],[SUBTOTAL]]-PROVEEDORES[[#This Row],[descuento antes de IVA]])*PROVEEDORES[[#This Row],[Rete Fuente %]]</f>
        <v>0</v>
      </c>
      <c r="R1074" s="32">
        <f>+PROVEEDORES[[#This Row],[SUBTOTAL]]+PROVEEDORES[[#This Row],[IVA 19%]]-PROVEEDORES[[#This Row],[descuento antes de IVA]]-PROVEEDORES[[#This Row],[Descuento sobre subtotal $]]-PROVEEDORES[[#This Row],[Rete Fuente $]]</f>
        <v>297500</v>
      </c>
      <c r="S1074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5" spans="1:19" ht="21.95" hidden="1" customHeight="1" x14ac:dyDescent="0.25">
      <c r="A1075" s="147" t="str">
        <f>+IF(PROVEEDORES[[#This Row],[FECHA DE PAGO]]=PROVEEDORES[[#This Row],[FECHA DE FACTURACIÓN]],"DE CONTADO","CRÉDITO")</f>
        <v>CRÉDITO</v>
      </c>
      <c r="B1075" s="70" t="b">
        <f>+IF((PROVEEDORES[[#This Row],[FECHA DE PAGO]]-PROVEEDORES[[#This Row],[FECHA DE FACTURACIÓN]])&gt;PROVEEDORES[[#This Row],[PLAZO Días]],"PAGO VENCIDO")</f>
        <v>0</v>
      </c>
      <c r="C1075" s="27">
        <f>+VLOOKUP(PROVEEDORES[[#This Row],[PROVEEDOR]],TERCEROS_INFO[#All],2,FALSE)</f>
        <v>30</v>
      </c>
      <c r="D1075" s="37">
        <f>+SUMIFS(PROVEEDORES[Total],PROVEEDORES[PROVEEDOR],PROVEEDORES[[#This Row],[PROVEEDOR]],PROVEEDORES[FECHA DE PAGO],"")</f>
        <v>0</v>
      </c>
      <c r="E1075" s="37"/>
      <c r="F1075" s="108" t="str">
        <f>+VLOOKUP(PROVEEDORES[[#This Row],[PROVEEDOR]],TERCEROS_INFO[[PROVEEDOR]:[CORREO]],5,FALSE)</f>
        <v>senalizacionyavisos@gmail.com;girlesa.ruiz@servipilas.com;joriescobar64@gmail.com</v>
      </c>
      <c r="G1075" s="143">
        <v>44449</v>
      </c>
      <c r="H1075" s="38" t="s">
        <v>640</v>
      </c>
      <c r="I1075" s="30">
        <v>44442</v>
      </c>
      <c r="J1075" s="58">
        <v>642</v>
      </c>
      <c r="K1075" s="32">
        <v>190000</v>
      </c>
      <c r="L1075" s="32"/>
      <c r="M1075" s="33">
        <f>(PROVEEDORES[[#This Row],[SUBTOTAL]]-PROVEEDORES[[#This Row],[descuento antes de IVA]])*VLOOKUP(PROVEEDORES[[#This Row],[PROVEEDOR]],TERCEROS_INFO[#All],3,FALSE)</f>
        <v>36100</v>
      </c>
      <c r="N1075" s="34"/>
      <c r="O1075" s="33">
        <f>+PROVEEDORES[[#This Row],[Descuento sobre subtotal %]]*(PROVEEDORES[[#This Row],[SUBTOTAL]]-PROVEEDORES[[#This Row],[descuento antes de IVA]])</f>
        <v>0</v>
      </c>
      <c r="P10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75" s="33">
        <f>+(PROVEEDORES[[#This Row],[SUBTOTAL]]-PROVEEDORES[[#This Row],[descuento antes de IVA]])*PROVEEDORES[[#This Row],[Rete Fuente %]]</f>
        <v>0</v>
      </c>
      <c r="R1075" s="32">
        <f>+PROVEEDORES[[#This Row],[SUBTOTAL]]+PROVEEDORES[[#This Row],[IVA 19%]]-PROVEEDORES[[#This Row],[descuento antes de IVA]]-PROVEEDORES[[#This Row],[Descuento sobre subtotal $]]-PROVEEDORES[[#This Row],[Rete Fuente $]]</f>
        <v>226100</v>
      </c>
      <c r="S1075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6" spans="1:19" ht="21.95" hidden="1" customHeight="1" x14ac:dyDescent="0.25">
      <c r="A1076" s="35" t="str">
        <f>+IF(PROVEEDORES[[#This Row],[FECHA DE PAGO]]=PROVEEDORES[[#This Row],[FECHA DE FACTURACIÓN]],"DE CONTADO","CRÉDITO")</f>
        <v>CRÉDITO</v>
      </c>
      <c r="B1076" s="70" t="b">
        <f>+IF((PROVEEDORES[[#This Row],[FECHA DE PAGO]]-PROVEEDORES[[#This Row],[FECHA DE FACTURACIÓN]])&gt;PROVEEDORES[[#This Row],[PLAZO Días]],"PAGO VENCIDO")</f>
        <v>0</v>
      </c>
      <c r="C1076" s="27">
        <f>+VLOOKUP(PROVEEDORES[[#This Row],[PROVEEDOR]],TERCEROS_INFO[#All],2,FALSE)</f>
        <v>30</v>
      </c>
      <c r="D1076" s="37">
        <f>+SUMIFS(PROVEEDORES[Total],PROVEEDORES[PROVEEDOR],PROVEEDORES[[#This Row],[PROVEEDOR]],PROVEEDORES[FECHA DE PAGO],"")</f>
        <v>0</v>
      </c>
      <c r="E1076" s="37"/>
      <c r="F1076" s="108" t="str">
        <f>+VLOOKUP(PROVEEDORES[[#This Row],[PROVEEDOR]],TERCEROS_INFO[[PROVEEDOR]:[CORREO]],5,FALSE)</f>
        <v>senalizacionyavisos@gmail.com;girlesa.ruiz@servipilas.com;joriescobar64@gmail.com</v>
      </c>
      <c r="G1076" s="143">
        <v>44550</v>
      </c>
      <c r="H1076" s="38" t="s">
        <v>640</v>
      </c>
      <c r="I1076" s="30">
        <v>44544</v>
      </c>
      <c r="J1076" s="58">
        <v>765</v>
      </c>
      <c r="K1076" s="32">
        <v>500000</v>
      </c>
      <c r="L1076" s="32"/>
      <c r="M1076" s="33">
        <f>(PROVEEDORES[[#This Row],[SUBTOTAL]]-PROVEEDORES[[#This Row],[descuento antes de IVA]])*VLOOKUP(PROVEEDORES[[#This Row],[PROVEEDOR]],TERCEROS_INFO[#All],3,FALSE)</f>
        <v>95000</v>
      </c>
      <c r="N1076" s="34"/>
      <c r="O1076" s="33">
        <f>+PROVEEDORES[[#This Row],[Descuento sobre subtotal %]]*(PROVEEDORES[[#This Row],[SUBTOTAL]]-PROVEEDORES[[#This Row],[descuento antes de IVA]])</f>
        <v>0</v>
      </c>
      <c r="P10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76" s="33">
        <f>+(PROVEEDORES[[#This Row],[SUBTOTAL]]-PROVEEDORES[[#This Row],[descuento antes de IVA]])*PROVEEDORES[[#This Row],[Rete Fuente %]]</f>
        <v>0</v>
      </c>
      <c r="R1076" s="32">
        <f>+PROVEEDORES[[#This Row],[SUBTOTAL]]+PROVEEDORES[[#This Row],[IVA 19%]]-PROVEEDORES[[#This Row],[descuento antes de IVA]]-PROVEEDORES[[#This Row],[Descuento sobre subtotal $]]-PROVEEDORES[[#This Row],[Rete Fuente $]]</f>
        <v>595000</v>
      </c>
      <c r="S107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7" spans="1:19" ht="21.95" hidden="1" customHeight="1" x14ac:dyDescent="0.25">
      <c r="A1077" s="39" t="str">
        <f>+IF(PROVEEDORES[[#This Row],[FECHA DE PAGO]]=PROVEEDORES[[#This Row],[FECHA DE FACTURACIÓN]],"DE CONTADO","CRÉDITO")</f>
        <v>CRÉDITO</v>
      </c>
      <c r="B1077" s="67" t="b">
        <f>+IF((PROVEEDORES[[#This Row],[FECHA DE PAGO]]-PROVEEDORES[[#This Row],[FECHA DE FACTURACIÓN]])&gt;PROVEEDORES[[#This Row],[PLAZO Días]],"PAGO VENCIDO")</f>
        <v>0</v>
      </c>
      <c r="C1077" s="27">
        <f>+VLOOKUP(PROVEEDORES[[#This Row],[PROVEEDOR]],TERCEROS_INFO[#All],2,FALSE)</f>
        <v>30</v>
      </c>
      <c r="D1077" s="37">
        <f>+SUMIFS(PROVEEDORES[Total],PROVEEDORES[PROVEEDOR],PROVEEDORES[[#This Row],[PROVEEDOR]],PROVEEDORES[FECHA DE PAGO],"")</f>
        <v>0</v>
      </c>
      <c r="E1077" s="37" t="s">
        <v>370</v>
      </c>
      <c r="F1077" s="108" t="str">
        <f>+VLOOKUP(PROVEEDORES[[#This Row],[PROVEEDOR]],TERCEROS_INFO[[PROVEEDOR]:[CORREO]],5,FALSE)</f>
        <v>PSE</v>
      </c>
      <c r="G1077" s="143">
        <v>43992</v>
      </c>
      <c r="H1077" s="38" t="s">
        <v>675</v>
      </c>
      <c r="I1077" s="30">
        <v>43990</v>
      </c>
      <c r="J1077" s="58" t="s">
        <v>74</v>
      </c>
      <c r="K1077" s="32">
        <v>4069915.9663865548</v>
      </c>
      <c r="L1077" s="32"/>
      <c r="M1077" s="33">
        <f>(PROVEEDORES[[#This Row],[SUBTOTAL]]-PROVEEDORES[[#This Row],[descuento antes de IVA]])*VLOOKUP(PROVEEDORES[[#This Row],[PROVEEDOR]],TERCEROS_INFO[#All],3,FALSE)</f>
        <v>773284.03361344547</v>
      </c>
      <c r="N1077" s="34">
        <v>0.11899999999999999</v>
      </c>
      <c r="O1077" s="33">
        <f>+PROVEEDORES[[#This Row],[Descuento sobre subtotal %]]*(PROVEEDORES[[#This Row],[SUBTOTAL]]-PROVEEDORES[[#This Row],[descuento antes de IVA]])</f>
        <v>484320</v>
      </c>
      <c r="P10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077" s="33">
        <f>+(PROVEEDORES[[#This Row],[SUBTOTAL]]-PROVEEDORES[[#This Row],[descuento antes de IVA]])*PROVEEDORES[[#This Row],[Rete Fuente %]]</f>
        <v>142447.05882352943</v>
      </c>
      <c r="R1077" s="32">
        <f>+PROVEEDORES[[#This Row],[SUBTOTAL]]+PROVEEDORES[[#This Row],[IVA 19%]]-PROVEEDORES[[#This Row],[descuento antes de IVA]]-PROVEEDORES[[#This Row],[Descuento sobre subtotal $]]-PROVEEDORES[[#This Row],[Rete Fuente $]]</f>
        <v>4216432.9411764704</v>
      </c>
      <c r="S107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8" spans="1:19" ht="21.95" hidden="1" customHeight="1" x14ac:dyDescent="0.25">
      <c r="A1078" s="39" t="str">
        <f>+IF(PROVEEDORES[[#This Row],[FECHA DE PAGO]]=PROVEEDORES[[#This Row],[FECHA DE FACTURACIÓN]],"DE CONTADO","CRÉDITO")</f>
        <v>DE CONTADO</v>
      </c>
      <c r="B1078" s="67" t="b">
        <f>+IF((PROVEEDORES[[#This Row],[FECHA DE PAGO]]-PROVEEDORES[[#This Row],[FECHA DE FACTURACIÓN]])&gt;PROVEEDORES[[#This Row],[PLAZO Días]],"PAGO VENCIDO")</f>
        <v>0</v>
      </c>
      <c r="C1078" s="27">
        <f>+VLOOKUP(PROVEEDORES[[#This Row],[PROVEEDOR]],TERCEROS_INFO[#All],2,FALSE)</f>
        <v>30</v>
      </c>
      <c r="D1078" s="37">
        <f>+SUMIFS(PROVEEDORES[Total],PROVEEDORES[PROVEEDOR],PROVEEDORES[[#This Row],[PROVEEDOR]],PROVEEDORES[FECHA DE PAGO],"")</f>
        <v>0</v>
      </c>
      <c r="E1078" s="37" t="s">
        <v>371</v>
      </c>
      <c r="F1078" s="108" t="str">
        <f>+VLOOKUP(PROVEEDORES[[#This Row],[PROVEEDOR]],TERCEROS_INFO[[PROVEEDOR]:[CORREO]],5,FALSE)</f>
        <v>PSE</v>
      </c>
      <c r="G1078" s="143">
        <v>44024</v>
      </c>
      <c r="H1078" s="38" t="s">
        <v>675</v>
      </c>
      <c r="I1078" s="30">
        <v>44024</v>
      </c>
      <c r="J1078" s="58" t="s">
        <v>91</v>
      </c>
      <c r="K1078" s="32">
        <v>424285.71428571432</v>
      </c>
      <c r="L1078" s="32"/>
      <c r="M1078" s="33">
        <f>(PROVEEDORES[[#This Row],[SUBTOTAL]]-PROVEEDORES[[#This Row],[descuento antes de IVA]])*VLOOKUP(PROVEEDORES[[#This Row],[PROVEEDOR]],TERCEROS_INFO[#All],3,FALSE)</f>
        <v>80614.285714285725</v>
      </c>
      <c r="N1078" s="34"/>
      <c r="O1078" s="33">
        <f>+PROVEEDORES[[#This Row],[Descuento sobre subtotal %]]*(PROVEEDORES[[#This Row],[SUBTOTAL]]-PROVEEDORES[[#This Row],[descuento antes de IVA]])</f>
        <v>0</v>
      </c>
      <c r="P10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78" s="33">
        <f>+(PROVEEDORES[[#This Row],[SUBTOTAL]]-PROVEEDORES[[#This Row],[descuento antes de IVA]])*PROVEEDORES[[#This Row],[Rete Fuente %]]</f>
        <v>0</v>
      </c>
      <c r="R1078" s="32">
        <f>+PROVEEDORES[[#This Row],[SUBTOTAL]]+PROVEEDORES[[#This Row],[IVA 19%]]-PROVEEDORES[[#This Row],[descuento antes de IVA]]-PROVEEDORES[[#This Row],[Descuento sobre subtotal $]]-PROVEEDORES[[#This Row],[Rete Fuente $]]</f>
        <v>504900.00000000006</v>
      </c>
      <c r="S107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9" spans="1:19" ht="21.95" hidden="1" customHeight="1" x14ac:dyDescent="0.25">
      <c r="A1079" s="39" t="str">
        <f>+IF(PROVEEDORES[[#This Row],[FECHA DE PAGO]]=PROVEEDORES[[#This Row],[FECHA DE FACTURACIÓN]],"DE CONTADO","CRÉDITO")</f>
        <v>DE CONTADO</v>
      </c>
      <c r="B1079" s="67" t="b">
        <f>+IF((PROVEEDORES[[#This Row],[FECHA DE PAGO]]-PROVEEDORES[[#This Row],[FECHA DE FACTURACIÓN]])&gt;PROVEEDORES[[#This Row],[PLAZO Días]],"PAGO VENCIDO")</f>
        <v>0</v>
      </c>
      <c r="C1079" s="27">
        <f>+VLOOKUP(PROVEEDORES[[#This Row],[PROVEEDOR]],TERCEROS_INFO[#All],2,FALSE)</f>
        <v>30</v>
      </c>
      <c r="D1079" s="37">
        <f>+SUMIFS(PROVEEDORES[Total],PROVEEDORES[PROVEEDOR],PROVEEDORES[[#This Row],[PROVEEDOR]],PROVEEDORES[FECHA DE PAGO],"")</f>
        <v>0</v>
      </c>
      <c r="E1079" s="37"/>
      <c r="F1079" s="108" t="str">
        <f>+VLOOKUP(PROVEEDORES[[#This Row],[PROVEEDOR]],TERCEROS_INFO[[PROVEEDOR]:[CORREO]],5,FALSE)</f>
        <v>PSE</v>
      </c>
      <c r="G1079" s="143">
        <v>44158</v>
      </c>
      <c r="H1079" s="38" t="s">
        <v>675</v>
      </c>
      <c r="I1079" s="30">
        <v>44158</v>
      </c>
      <c r="J1079" s="58" t="s">
        <v>1090</v>
      </c>
      <c r="K1079" s="32">
        <v>158823.5294117647</v>
      </c>
      <c r="L1079" s="32"/>
      <c r="M1079" s="33">
        <f>(PROVEEDORES[[#This Row],[SUBTOTAL]]-PROVEEDORES[[#This Row],[descuento antes de IVA]])*VLOOKUP(PROVEEDORES[[#This Row],[PROVEEDOR]],TERCEROS_INFO[#All],3,FALSE)</f>
        <v>30176.470588235294</v>
      </c>
      <c r="N1079" s="34"/>
      <c r="O1079" s="33">
        <f>+PROVEEDORES[[#This Row],[Descuento sobre subtotal %]]*(PROVEEDORES[[#This Row],[SUBTOTAL]]-PROVEEDORES[[#This Row],[descuento antes de IVA]])</f>
        <v>0</v>
      </c>
      <c r="P10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79" s="33">
        <f>+(PROVEEDORES[[#This Row],[SUBTOTAL]]-PROVEEDORES[[#This Row],[descuento antes de IVA]])*PROVEEDORES[[#This Row],[Rete Fuente %]]</f>
        <v>0</v>
      </c>
      <c r="R1079" s="32">
        <f>+PROVEEDORES[[#This Row],[SUBTOTAL]]+PROVEEDORES[[#This Row],[IVA 19%]]-PROVEEDORES[[#This Row],[descuento antes de IVA]]-PROVEEDORES[[#This Row],[Descuento sobre subtotal $]]-PROVEEDORES[[#This Row],[Rete Fuente $]]</f>
        <v>189000</v>
      </c>
      <c r="S107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0" spans="1:19" ht="21.95" hidden="1" customHeight="1" x14ac:dyDescent="0.25">
      <c r="A1080" s="111" t="str">
        <f>+IF(PROVEEDORES[[#This Row],[FECHA DE PAGO]]=PROVEEDORES[[#This Row],[FECHA DE FACTURACIÓN]],"DE CONTADO","CRÉDITO")</f>
        <v>CRÉDITO</v>
      </c>
      <c r="B1080" s="70" t="b">
        <f>+IF((PROVEEDORES[[#This Row],[FECHA DE PAGO]]-PROVEEDORES[[#This Row],[FECHA DE FACTURACIÓN]])&gt;PROVEEDORES[[#This Row],[PLAZO Días]],"PAGO VENCIDO")</f>
        <v>0</v>
      </c>
      <c r="C1080" s="27">
        <f>+VLOOKUP(PROVEEDORES[[#This Row],[PROVEEDOR]],TERCEROS_INFO[#All],2,FALSE)</f>
        <v>30</v>
      </c>
      <c r="D1080" s="37">
        <f>+SUMIFS(PROVEEDORES[Total],PROVEEDORES[PROVEEDOR],PROVEEDORES[[#This Row],[PROVEEDOR]],PROVEEDORES[FECHA DE PAGO],"")</f>
        <v>0</v>
      </c>
      <c r="E1080" s="37"/>
      <c r="F1080" s="108" t="str">
        <f>+VLOOKUP(PROVEEDORES[[#This Row],[PROVEEDOR]],TERCEROS_INFO[[PROVEEDOR]:[CORREO]],5,FALSE)</f>
        <v>PSE</v>
      </c>
      <c r="G1080" s="143">
        <v>44334</v>
      </c>
      <c r="H1080" s="38" t="s">
        <v>675</v>
      </c>
      <c r="I1080" s="30">
        <v>44317</v>
      </c>
      <c r="J1080" s="58" t="s">
        <v>1122</v>
      </c>
      <c r="K1080" s="32">
        <v>2643860</v>
      </c>
      <c r="L1080" s="32"/>
      <c r="M1080" s="33">
        <v>0</v>
      </c>
      <c r="N1080" s="34"/>
      <c r="O1080" s="33">
        <f>+PROVEEDORES[[#This Row],[Descuento sobre subtotal %]]*(PROVEEDORES[[#This Row],[SUBTOTAL]]-PROVEEDORES[[#This Row],[descuento antes de IVA]])</f>
        <v>0</v>
      </c>
      <c r="P1080" s="34">
        <v>0</v>
      </c>
      <c r="Q1080" s="33">
        <f>+(PROVEEDORES[[#This Row],[SUBTOTAL]]-PROVEEDORES[[#This Row],[descuento antes de IVA]])*PROVEEDORES[[#This Row],[Rete Fuente %]]</f>
        <v>0</v>
      </c>
      <c r="R1080" s="32">
        <f>+PROVEEDORES[[#This Row],[SUBTOTAL]]+PROVEEDORES[[#This Row],[IVA 19%]]-PROVEEDORES[[#This Row],[descuento antes de IVA]]-PROVEEDORES[[#This Row],[Descuento sobre subtotal $]]-PROVEEDORES[[#This Row],[Rete Fuente $]]</f>
        <v>2643860</v>
      </c>
      <c r="S1080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1" spans="1:19" ht="21.95" hidden="1" customHeight="1" x14ac:dyDescent="0.25">
      <c r="A1081" s="157" t="str">
        <f>+IF(PROVEEDORES[[#This Row],[FECHA DE PAGO]]=PROVEEDORES[[#This Row],[FECHA DE FACTURACIÓN]],"DE CONTADO","CRÉDITO")</f>
        <v>CRÉDITO</v>
      </c>
      <c r="B1081" s="70" t="b">
        <f>+IF((PROVEEDORES[[#This Row],[FECHA DE PAGO]]-PROVEEDORES[[#This Row],[FECHA DE FACTURACIÓN]])&gt;PROVEEDORES[[#This Row],[PLAZO Días]],"PAGO VENCIDO")</f>
        <v>0</v>
      </c>
      <c r="C1081" s="27">
        <f>+VLOOKUP(PROVEEDORES[[#This Row],[PROVEEDOR]],TERCEROS_INFO[#All],2,FALSE)</f>
        <v>30</v>
      </c>
      <c r="D1081" s="37">
        <f>+SUMIFS(PROVEEDORES[Total],PROVEEDORES[PROVEEDOR],PROVEEDORES[[#This Row],[PROVEEDOR]],PROVEEDORES[FECHA DE PAGO],"")</f>
        <v>0</v>
      </c>
      <c r="E1081" s="37"/>
      <c r="F1081" s="108" t="str">
        <f>+VLOOKUP(PROVEEDORES[[#This Row],[PROVEEDOR]],TERCEROS_INFO[[PROVEEDOR]:[CORREO]],5,FALSE)</f>
        <v>PSE</v>
      </c>
      <c r="G1081" s="143">
        <v>44484</v>
      </c>
      <c r="H1081" s="38" t="s">
        <v>675</v>
      </c>
      <c r="I1081" s="30">
        <v>44483</v>
      </c>
      <c r="J1081" s="58" t="s">
        <v>955</v>
      </c>
      <c r="K1081" s="32">
        <v>524986</v>
      </c>
      <c r="L1081" s="32"/>
      <c r="M1081" s="33">
        <v>0</v>
      </c>
      <c r="N1081" s="34"/>
      <c r="O1081" s="33">
        <f>+PROVEEDORES[[#This Row],[Descuento sobre subtotal %]]*(PROVEEDORES[[#This Row],[SUBTOTAL]]-PROVEEDORES[[#This Row],[descuento antes de IVA]])</f>
        <v>0</v>
      </c>
      <c r="P10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1" s="33">
        <f>+(PROVEEDORES[[#This Row],[SUBTOTAL]]-PROVEEDORES[[#This Row],[descuento antes de IVA]])*PROVEEDORES[[#This Row],[Rete Fuente %]]</f>
        <v>0</v>
      </c>
      <c r="R1081" s="32">
        <f>+PROVEEDORES[[#This Row],[SUBTOTAL]]+PROVEEDORES[[#This Row],[IVA 19%]]-PROVEEDORES[[#This Row],[descuento antes de IVA]]-PROVEEDORES[[#This Row],[Descuento sobre subtotal $]]-PROVEEDORES[[#This Row],[Rete Fuente $]]</f>
        <v>524986</v>
      </c>
      <c r="S1081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2" spans="1:19" ht="21.95" hidden="1" customHeight="1" x14ac:dyDescent="0.25">
      <c r="A1082" s="107" t="str">
        <f>+IF(PROVEEDORES[[#This Row],[FECHA DE PAGO]]=PROVEEDORES[[#This Row],[FECHA DE FACTURACIÓN]],"DE CONTADO","CRÉDITO")</f>
        <v>CRÉDITO</v>
      </c>
      <c r="B1082" s="70" t="b">
        <f>+IF((PROVEEDORES[[#This Row],[FECHA DE PAGO]]-PROVEEDORES[[#This Row],[FECHA DE FACTURACIÓN]])&gt;PROVEEDORES[[#This Row],[PLAZO Días]],"PAGO VENCIDO")</f>
        <v>0</v>
      </c>
      <c r="C1082" s="27">
        <v>50</v>
      </c>
      <c r="D1082" s="37">
        <f>+SUMIFS(PROVEEDORES[Total],PROVEEDORES[PROVEEDOR],PROVEEDORES[[#This Row],[PROVEEDOR]],PROVEEDORES[FECHA DE PAGO],"")</f>
        <v>313385</v>
      </c>
      <c r="E1082" s="37"/>
      <c r="F1082" s="108">
        <f>+VLOOKUP(PROVEEDORES[[#This Row],[PROVEEDOR]],TERCEROS_INFO[[PROVEEDOR]:[CORREO]],5,FALSE)</f>
        <v>0</v>
      </c>
      <c r="G1082" s="143">
        <v>44358</v>
      </c>
      <c r="H1082" s="38" t="s">
        <v>628</v>
      </c>
      <c r="I1082" s="30">
        <v>44317</v>
      </c>
      <c r="J1082" s="58" t="s">
        <v>629</v>
      </c>
      <c r="K1082" s="32">
        <v>1392986</v>
      </c>
      <c r="L1082" s="32"/>
      <c r="M1082" s="33">
        <f>(PROVEEDORES[[#This Row],[SUBTOTAL]]-PROVEEDORES[[#This Row],[descuento antes de IVA]])*VLOOKUP(PROVEEDORES[[#This Row],[PROVEEDOR]],TERCEROS_INFO[#All],3,FALSE)</f>
        <v>0</v>
      </c>
      <c r="N1082" s="34"/>
      <c r="O1082" s="33">
        <f>+PROVEEDORES[[#This Row],[Descuento sobre subtotal %]]*(PROVEEDORES[[#This Row],[SUBTOTAL]]-PROVEEDORES[[#This Row],[descuento antes de IVA]])</f>
        <v>0</v>
      </c>
      <c r="P10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2" s="33">
        <f>+(PROVEEDORES[[#This Row],[SUBTOTAL]]-PROVEEDORES[[#This Row],[descuento antes de IVA]])*PROVEEDORES[[#This Row],[Rete Fuente %]]</f>
        <v>0</v>
      </c>
      <c r="R1082" s="32">
        <f>+PROVEEDORES[[#This Row],[SUBTOTAL]]+PROVEEDORES[[#This Row],[IVA 19%]]-PROVEEDORES[[#This Row],[descuento antes de IVA]]-PROVEEDORES[[#This Row],[Descuento sobre subtotal $]]-PROVEEDORES[[#This Row],[Rete Fuente $]]</f>
        <v>1392986</v>
      </c>
      <c r="S1082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3" spans="1:19" ht="21.95" hidden="1" customHeight="1" x14ac:dyDescent="0.25">
      <c r="A1083" s="107" t="str">
        <f>+IF(PROVEEDORES[[#This Row],[FECHA DE PAGO]]=PROVEEDORES[[#This Row],[FECHA DE FACTURACIÓN]],"DE CONTADO","CRÉDITO")</f>
        <v>CRÉDITO</v>
      </c>
      <c r="B1083" s="70" t="b">
        <f>+IF((PROVEEDORES[[#This Row],[FECHA DE PAGO]]-PROVEEDORES[[#This Row],[FECHA DE FACTURACIÓN]])&gt;PROVEEDORES[[#This Row],[PLAZO Días]],"PAGO VENCIDO")</f>
        <v>0</v>
      </c>
      <c r="C1083" s="27">
        <f>+VLOOKUP(PROVEEDORES[[#This Row],[PROVEEDOR]],TERCEROS_INFO[#All],2,FALSE)</f>
        <v>13</v>
      </c>
      <c r="D1083" s="37">
        <f>+SUMIFS(PROVEEDORES[Total],PROVEEDORES[PROVEEDOR],PROVEEDORES[[#This Row],[PROVEEDOR]],PROVEEDORES[FECHA DE PAGO],"")</f>
        <v>313385</v>
      </c>
      <c r="E1083" s="37"/>
      <c r="F1083" s="108">
        <f>+VLOOKUP(PROVEEDORES[[#This Row],[PROVEEDOR]],TERCEROS_INFO[[PROVEEDOR]:[CORREO]],5,FALSE)</f>
        <v>0</v>
      </c>
      <c r="G1083" s="143">
        <v>44340</v>
      </c>
      <c r="H1083" s="38" t="s">
        <v>628</v>
      </c>
      <c r="I1083" s="30">
        <v>44331</v>
      </c>
      <c r="J1083" s="58" t="s">
        <v>630</v>
      </c>
      <c r="K1083" s="32">
        <v>313385</v>
      </c>
      <c r="L1083" s="32"/>
      <c r="M1083" s="33">
        <f>(PROVEEDORES[[#This Row],[SUBTOTAL]]-PROVEEDORES[[#This Row],[descuento antes de IVA]])*VLOOKUP(PROVEEDORES[[#This Row],[PROVEEDOR]],TERCEROS_INFO[#All],3,FALSE)</f>
        <v>0</v>
      </c>
      <c r="N1083" s="34"/>
      <c r="O1083" s="33">
        <f>+PROVEEDORES[[#This Row],[Descuento sobre subtotal %]]*(PROVEEDORES[[#This Row],[SUBTOTAL]]-PROVEEDORES[[#This Row],[descuento antes de IVA]])</f>
        <v>0</v>
      </c>
      <c r="P10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3" s="33">
        <f>+(PROVEEDORES[[#This Row],[SUBTOTAL]]-PROVEEDORES[[#This Row],[descuento antes de IVA]])*PROVEEDORES[[#This Row],[Rete Fuente %]]</f>
        <v>0</v>
      </c>
      <c r="R1083" s="32">
        <f>+PROVEEDORES[[#This Row],[SUBTOTAL]]+PROVEEDORES[[#This Row],[IVA 19%]]-PROVEEDORES[[#This Row],[descuento antes de IVA]]-PROVEEDORES[[#This Row],[Descuento sobre subtotal $]]-PROVEEDORES[[#This Row],[Rete Fuente $]]</f>
        <v>313385</v>
      </c>
      <c r="S1083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4" spans="1:19" ht="21.95" hidden="1" customHeight="1" x14ac:dyDescent="0.25">
      <c r="A1084" s="35" t="str">
        <f>+IF(PROVEEDORES[[#This Row],[FECHA DE PAGO]]=PROVEEDORES[[#This Row],[FECHA DE FACTURACIÓN]],"DE CONTADO","CRÉDITO")</f>
        <v>CRÉDITO</v>
      </c>
      <c r="B1084" s="70" t="b">
        <f>+IF((PROVEEDORES[[#This Row],[FECHA DE PAGO]]-PROVEEDORES[[#This Row],[FECHA DE FACTURACIÓN]])&gt;PROVEEDORES[[#This Row],[PLAZO Días]],"PAGO VENCIDO")</f>
        <v>0</v>
      </c>
      <c r="C1084" s="27">
        <f>+VLOOKUP(PROVEEDORES[[#This Row],[PROVEEDOR]],TERCEROS_INFO[#All],2,FALSE)</f>
        <v>13</v>
      </c>
      <c r="D1084" s="37">
        <f>+SUMIFS(PROVEEDORES[Total],PROVEEDORES[PROVEEDOR],PROVEEDORES[[#This Row],[PROVEEDOR]],PROVEEDORES[FECHA DE PAGO],"")</f>
        <v>313385</v>
      </c>
      <c r="E1084" s="37"/>
      <c r="F1084" s="108">
        <f>+VLOOKUP(PROVEEDORES[[#This Row],[PROVEEDOR]],TERCEROS_INFO[[PROVEEDOR]:[CORREO]],5,FALSE)</f>
        <v>0</v>
      </c>
      <c r="G1084" s="143">
        <v>44365</v>
      </c>
      <c r="H1084" s="38" t="s">
        <v>628</v>
      </c>
      <c r="I1084" s="30">
        <v>44366</v>
      </c>
      <c r="J1084" s="58" t="s">
        <v>630</v>
      </c>
      <c r="K1084" s="122">
        <v>313385</v>
      </c>
      <c r="L1084" s="32"/>
      <c r="M1084" s="33">
        <f>(PROVEEDORES[[#This Row],[SUBTOTAL]]-PROVEEDORES[[#This Row],[descuento antes de IVA]])*VLOOKUP(PROVEEDORES[[#This Row],[PROVEEDOR]],TERCEROS_INFO[#All],3,FALSE)</f>
        <v>0</v>
      </c>
      <c r="N1084" s="34"/>
      <c r="O1084" s="33">
        <f>+PROVEEDORES[[#This Row],[Descuento sobre subtotal %]]*(PROVEEDORES[[#This Row],[SUBTOTAL]]-PROVEEDORES[[#This Row],[descuento antes de IVA]])</f>
        <v>0</v>
      </c>
      <c r="P10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4" s="33">
        <f>+(PROVEEDORES[[#This Row],[SUBTOTAL]]-PROVEEDORES[[#This Row],[descuento antes de IVA]])*PROVEEDORES[[#This Row],[Rete Fuente %]]</f>
        <v>0</v>
      </c>
      <c r="R1084" s="32">
        <f>+PROVEEDORES[[#This Row],[SUBTOTAL]]+PROVEEDORES[[#This Row],[IVA 19%]]-PROVEEDORES[[#This Row],[descuento antes de IVA]]-PROVEEDORES[[#This Row],[Descuento sobre subtotal $]]-PROVEEDORES[[#This Row],[Rete Fuente $]]</f>
        <v>313385</v>
      </c>
      <c r="S108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5" spans="1:19" ht="21.95" hidden="1" customHeight="1" x14ac:dyDescent="0.25">
      <c r="A1085" s="119" t="str">
        <f>+IF(PROVEEDORES[[#This Row],[FECHA DE PAGO]]=PROVEEDORES[[#This Row],[FECHA DE FACTURACIÓN]],"DE CONTADO","CRÉDITO")</f>
        <v>CRÉDITO</v>
      </c>
      <c r="B1085" s="70" t="b">
        <f>+IF((PROVEEDORES[[#This Row],[FECHA DE PAGO]]-PROVEEDORES[[#This Row],[FECHA DE FACTURACIÓN]])&gt;PROVEEDORES[[#This Row],[PLAZO Días]],"PAGO VENCIDO")</f>
        <v>0</v>
      </c>
      <c r="C1085" s="27">
        <f>+VLOOKUP(PROVEEDORES[[#This Row],[PROVEEDOR]],TERCEROS_INFO[#All],2,FALSE)</f>
        <v>13</v>
      </c>
      <c r="D1085" s="37">
        <f>+SUMIFS(PROVEEDORES[Total],PROVEEDORES[PROVEEDOR],PROVEEDORES[[#This Row],[PROVEEDOR]],PROVEEDORES[FECHA DE PAGO],"")</f>
        <v>313385</v>
      </c>
      <c r="E1085" s="37"/>
      <c r="F1085" s="108">
        <f>+VLOOKUP(PROVEEDORES[[#This Row],[PROVEEDOR]],TERCEROS_INFO[[PROVEEDOR]:[CORREO]],5,FALSE)</f>
        <v>0</v>
      </c>
      <c r="G1085" s="143">
        <v>44363</v>
      </c>
      <c r="H1085" s="38" t="s">
        <v>628</v>
      </c>
      <c r="I1085" s="30">
        <v>44366</v>
      </c>
      <c r="J1085" s="58" t="s">
        <v>1164</v>
      </c>
      <c r="K1085" s="32">
        <v>5450060</v>
      </c>
      <c r="L1085" s="32"/>
      <c r="M1085" s="33">
        <f>(PROVEEDORES[[#This Row],[SUBTOTAL]]-PROVEEDORES[[#This Row],[descuento antes de IVA]])*VLOOKUP(PROVEEDORES[[#This Row],[PROVEEDOR]],TERCEROS_INFO[#All],3,FALSE)</f>
        <v>0</v>
      </c>
      <c r="N1085" s="34"/>
      <c r="O1085" s="33">
        <f>+PROVEEDORES[[#This Row],[Descuento sobre subtotal %]]*(PROVEEDORES[[#This Row],[SUBTOTAL]]-PROVEEDORES[[#This Row],[descuento antes de IVA]])</f>
        <v>0</v>
      </c>
      <c r="P10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5" s="33">
        <f>+(PROVEEDORES[[#This Row],[SUBTOTAL]]-PROVEEDORES[[#This Row],[descuento antes de IVA]])*PROVEEDORES[[#This Row],[Rete Fuente %]]</f>
        <v>0</v>
      </c>
      <c r="R1085" s="32">
        <f>+PROVEEDORES[[#This Row],[SUBTOTAL]]+PROVEEDORES[[#This Row],[IVA 19%]]-PROVEEDORES[[#This Row],[descuento antes de IVA]]-PROVEEDORES[[#This Row],[Descuento sobre subtotal $]]-PROVEEDORES[[#This Row],[Rete Fuente $]]</f>
        <v>5450060</v>
      </c>
      <c r="S1085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6" spans="1:19" ht="21.95" hidden="1" customHeight="1" x14ac:dyDescent="0.25">
      <c r="A1086" s="129" t="str">
        <f>+IF(PROVEEDORES[[#This Row],[FECHA DE PAGO]]=PROVEEDORES[[#This Row],[FECHA DE FACTURACIÓN]],"DE CONTADO","CRÉDITO")</f>
        <v>CRÉDITO</v>
      </c>
      <c r="B1086" s="70" t="b">
        <f>+IF((PROVEEDORES[[#This Row],[FECHA DE PAGO]]-PROVEEDORES[[#This Row],[FECHA DE FACTURACIÓN]])&gt;PROVEEDORES[[#This Row],[PLAZO Días]],"PAGO VENCIDO")</f>
        <v>0</v>
      </c>
      <c r="C1086" s="27">
        <f>+VLOOKUP(PROVEEDORES[[#This Row],[PROVEEDOR]],TERCEROS_INFO[#All],2,FALSE)</f>
        <v>13</v>
      </c>
      <c r="D1086" s="37">
        <f>+SUMIFS(PROVEEDORES[Total],PROVEEDORES[PROVEEDOR],PROVEEDORES[[#This Row],[PROVEEDOR]],PROVEEDORES[FECHA DE PAGO],"")</f>
        <v>313385</v>
      </c>
      <c r="E1086" s="37"/>
      <c r="F1086" s="108">
        <f>+VLOOKUP(PROVEEDORES[[#This Row],[PROVEEDOR]],TERCEROS_INFO[[PROVEEDOR]:[CORREO]],5,FALSE)</f>
        <v>0</v>
      </c>
      <c r="G1086" s="143">
        <v>44391</v>
      </c>
      <c r="H1086" s="38" t="s">
        <v>628</v>
      </c>
      <c r="I1086" s="30">
        <v>44378</v>
      </c>
      <c r="J1086" s="58" t="s">
        <v>630</v>
      </c>
      <c r="K1086" s="32">
        <v>313385</v>
      </c>
      <c r="L1086" s="32"/>
      <c r="M1086" s="33">
        <f>(PROVEEDORES[[#This Row],[SUBTOTAL]]-PROVEEDORES[[#This Row],[descuento antes de IVA]])*VLOOKUP(PROVEEDORES[[#This Row],[PROVEEDOR]],TERCEROS_INFO[#All],3,FALSE)</f>
        <v>0</v>
      </c>
      <c r="N1086" s="34"/>
      <c r="O1086" s="33">
        <f>+PROVEEDORES[[#This Row],[Descuento sobre subtotal %]]*(PROVEEDORES[[#This Row],[SUBTOTAL]]-PROVEEDORES[[#This Row],[descuento antes de IVA]])</f>
        <v>0</v>
      </c>
      <c r="P10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6" s="33">
        <f>+(PROVEEDORES[[#This Row],[SUBTOTAL]]-PROVEEDORES[[#This Row],[descuento antes de IVA]])*PROVEEDORES[[#This Row],[Rete Fuente %]]</f>
        <v>0</v>
      </c>
      <c r="R1086" s="32">
        <f>+PROVEEDORES[[#This Row],[SUBTOTAL]]+PROVEEDORES[[#This Row],[IVA 19%]]-PROVEEDORES[[#This Row],[descuento antes de IVA]]-PROVEEDORES[[#This Row],[Descuento sobre subtotal $]]-PROVEEDORES[[#This Row],[Rete Fuente $]]</f>
        <v>313385</v>
      </c>
      <c r="S1086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7" spans="1:19" ht="21.95" hidden="1" customHeight="1" x14ac:dyDescent="0.25">
      <c r="A1087" s="135" t="str">
        <f>+IF(PROVEEDORES[[#This Row],[FECHA DE PAGO]]=PROVEEDORES[[#This Row],[FECHA DE FACTURACIÓN]],"DE CONTADO","CRÉDITO")</f>
        <v>CRÉDITO</v>
      </c>
      <c r="B1087" s="70" t="str">
        <f>+IF((PROVEEDORES[[#This Row],[FECHA DE PAGO]]-PROVEEDORES[[#This Row],[FECHA DE FACTURACIÓN]])&gt;PROVEEDORES[[#This Row],[PLAZO Días]],"PAGO VENCIDO")</f>
        <v>PAGO VENCIDO</v>
      </c>
      <c r="C1087" s="27">
        <f>+VLOOKUP(PROVEEDORES[[#This Row],[PROVEEDOR]],TERCEROS_INFO[#All],2,FALSE)</f>
        <v>13</v>
      </c>
      <c r="D1087" s="37">
        <f>+SUMIFS(PROVEEDORES[Total],PROVEEDORES[PROVEEDOR],PROVEEDORES[[#This Row],[PROVEEDOR]],PROVEEDORES[FECHA DE PAGO],"")</f>
        <v>313385</v>
      </c>
      <c r="E1087" s="37"/>
      <c r="F1087" s="108">
        <f>+VLOOKUP(PROVEEDORES[[#This Row],[PROVEEDOR]],TERCEROS_INFO[[PROVEEDOR]:[CORREO]],5,FALSE)</f>
        <v>0</v>
      </c>
      <c r="G1087" s="143">
        <v>44425</v>
      </c>
      <c r="H1087" s="38" t="s">
        <v>628</v>
      </c>
      <c r="I1087" s="30">
        <v>44409</v>
      </c>
      <c r="J1087" s="58" t="s">
        <v>630</v>
      </c>
      <c r="K1087" s="32">
        <v>313385</v>
      </c>
      <c r="L1087" s="32"/>
      <c r="M1087" s="33">
        <f>(PROVEEDORES[[#This Row],[SUBTOTAL]]-PROVEEDORES[[#This Row],[descuento antes de IVA]])*VLOOKUP(PROVEEDORES[[#This Row],[PROVEEDOR]],TERCEROS_INFO[#All],3,FALSE)</f>
        <v>0</v>
      </c>
      <c r="N1087" s="34"/>
      <c r="O1087" s="33">
        <f>+PROVEEDORES[[#This Row],[Descuento sobre subtotal %]]*(PROVEEDORES[[#This Row],[SUBTOTAL]]-PROVEEDORES[[#This Row],[descuento antes de IVA]])</f>
        <v>0</v>
      </c>
      <c r="P10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7" s="33">
        <f>+(PROVEEDORES[[#This Row],[SUBTOTAL]]-PROVEEDORES[[#This Row],[descuento antes de IVA]])*PROVEEDORES[[#This Row],[Rete Fuente %]]</f>
        <v>0</v>
      </c>
      <c r="R1087" s="32">
        <f>+PROVEEDORES[[#This Row],[SUBTOTAL]]+PROVEEDORES[[#This Row],[IVA 19%]]-PROVEEDORES[[#This Row],[descuento antes de IVA]]-PROVEEDORES[[#This Row],[Descuento sobre subtotal $]]-PROVEEDORES[[#This Row],[Rete Fuente $]]</f>
        <v>313385</v>
      </c>
      <c r="S1087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8" spans="1:19" ht="21.95" hidden="1" customHeight="1" x14ac:dyDescent="0.25">
      <c r="A1088" s="147" t="str">
        <f>+IF(PROVEEDORES[[#This Row],[FECHA DE PAGO]]=PROVEEDORES[[#This Row],[FECHA DE FACTURACIÓN]],"DE CONTADO","CRÉDITO")</f>
        <v>CRÉDITO</v>
      </c>
      <c r="B1088" s="70" t="str">
        <f>+IF((PROVEEDORES[[#This Row],[FECHA DE PAGO]]-PROVEEDORES[[#This Row],[FECHA DE FACTURACIÓN]])&gt;PROVEEDORES[[#This Row],[PLAZO Días]],"PAGO VENCIDO")</f>
        <v>PAGO VENCIDO</v>
      </c>
      <c r="C1088" s="27">
        <f>+VLOOKUP(PROVEEDORES[[#This Row],[PROVEEDOR]],TERCEROS_INFO[#All],2,FALSE)</f>
        <v>13</v>
      </c>
      <c r="D1088" s="37">
        <f>+SUMIFS(PROVEEDORES[Total],PROVEEDORES[PROVEEDOR],PROVEEDORES[[#This Row],[PROVEEDOR]],PROVEEDORES[FECHA DE PAGO],"")</f>
        <v>313385</v>
      </c>
      <c r="E1088" s="37"/>
      <c r="F1088" s="108">
        <f>+VLOOKUP(PROVEEDORES[[#This Row],[PROVEEDOR]],TERCEROS_INFO[[PROVEEDOR]:[CORREO]],5,FALSE)</f>
        <v>0</v>
      </c>
      <c r="G1088" s="143">
        <v>44456</v>
      </c>
      <c r="H1088" s="38" t="s">
        <v>628</v>
      </c>
      <c r="I1088" s="30">
        <v>44440</v>
      </c>
      <c r="J1088" s="58" t="s">
        <v>630</v>
      </c>
      <c r="K1088" s="32">
        <v>313385</v>
      </c>
      <c r="L1088" s="32"/>
      <c r="M1088" s="33">
        <f>(PROVEEDORES[[#This Row],[SUBTOTAL]]-PROVEEDORES[[#This Row],[descuento antes de IVA]])*VLOOKUP(PROVEEDORES[[#This Row],[PROVEEDOR]],TERCEROS_INFO[#All],3,FALSE)</f>
        <v>0</v>
      </c>
      <c r="N1088" s="34"/>
      <c r="O1088" s="33">
        <f>+PROVEEDORES[[#This Row],[Descuento sobre subtotal %]]*(PROVEEDORES[[#This Row],[SUBTOTAL]]-PROVEEDORES[[#This Row],[descuento antes de IVA]])</f>
        <v>0</v>
      </c>
      <c r="P10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8" s="33">
        <f>+(PROVEEDORES[[#This Row],[SUBTOTAL]]-PROVEEDORES[[#This Row],[descuento antes de IVA]])*PROVEEDORES[[#This Row],[Rete Fuente %]]</f>
        <v>0</v>
      </c>
      <c r="R1088" s="32">
        <f>+PROVEEDORES[[#This Row],[SUBTOTAL]]+PROVEEDORES[[#This Row],[IVA 19%]]-PROVEEDORES[[#This Row],[descuento antes de IVA]]-PROVEEDORES[[#This Row],[Descuento sobre subtotal $]]-PROVEEDORES[[#This Row],[Rete Fuente $]]</f>
        <v>313385</v>
      </c>
      <c r="S1088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9" spans="1:19" ht="21.95" hidden="1" customHeight="1" x14ac:dyDescent="0.25">
      <c r="A1089" s="154" t="str">
        <f>+IF(PROVEEDORES[[#This Row],[FECHA DE PAGO]]=PROVEEDORES[[#This Row],[FECHA DE FACTURACIÓN]],"DE CONTADO","CRÉDITO")</f>
        <v>CRÉDITO</v>
      </c>
      <c r="B1089" s="70" t="b">
        <f>+IF((PROVEEDORES[[#This Row],[FECHA DE PAGO]]-PROVEEDORES[[#This Row],[FECHA DE FACTURACIÓN]])&gt;PROVEEDORES[[#This Row],[PLAZO Días]],"PAGO VENCIDO")</f>
        <v>0</v>
      </c>
      <c r="C1089" s="27">
        <f>+VLOOKUP(PROVEEDORES[[#This Row],[PROVEEDOR]],TERCEROS_INFO[#All],2,FALSE)</f>
        <v>13</v>
      </c>
      <c r="D1089" s="37">
        <f>+SUMIFS(PROVEEDORES[Total],PROVEEDORES[PROVEEDOR],PROVEEDORES[[#This Row],[PROVEEDOR]],PROVEEDORES[FECHA DE PAGO],"")</f>
        <v>313385</v>
      </c>
      <c r="E1089" s="37"/>
      <c r="F1089" s="108">
        <f>+VLOOKUP(PROVEEDORES[[#This Row],[PROVEEDOR]],TERCEROS_INFO[[PROVEEDOR]:[CORREO]],5,FALSE)</f>
        <v>0</v>
      </c>
      <c r="G1089" s="143">
        <v>44483</v>
      </c>
      <c r="H1089" s="38" t="s">
        <v>628</v>
      </c>
      <c r="I1089" s="30">
        <v>44470</v>
      </c>
      <c r="J1089" s="58" t="s">
        <v>630</v>
      </c>
      <c r="K1089" s="32">
        <v>313385</v>
      </c>
      <c r="L1089" s="32"/>
      <c r="M1089" s="33">
        <f>(PROVEEDORES[[#This Row],[SUBTOTAL]]-PROVEEDORES[[#This Row],[descuento antes de IVA]])*VLOOKUP(PROVEEDORES[[#This Row],[PROVEEDOR]],TERCEROS_INFO[#All],3,FALSE)</f>
        <v>0</v>
      </c>
      <c r="N1089" s="34"/>
      <c r="O1089" s="33">
        <f>+PROVEEDORES[[#This Row],[Descuento sobre subtotal %]]*(PROVEEDORES[[#This Row],[SUBTOTAL]]-PROVEEDORES[[#This Row],[descuento antes de IVA]])</f>
        <v>0</v>
      </c>
      <c r="P10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89" s="33">
        <f>+(PROVEEDORES[[#This Row],[SUBTOTAL]]-PROVEEDORES[[#This Row],[descuento antes de IVA]])*PROVEEDORES[[#This Row],[Rete Fuente %]]</f>
        <v>0</v>
      </c>
      <c r="R1089" s="32">
        <f>+PROVEEDORES[[#This Row],[SUBTOTAL]]+PROVEEDORES[[#This Row],[IVA 19%]]-PROVEEDORES[[#This Row],[descuento antes de IVA]]-PROVEEDORES[[#This Row],[Descuento sobre subtotal $]]-PROVEEDORES[[#This Row],[Rete Fuente $]]</f>
        <v>313385</v>
      </c>
      <c r="S1089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0" spans="1:19" ht="21.95" hidden="1" customHeight="1" x14ac:dyDescent="0.25">
      <c r="A1090" s="162" t="str">
        <f>+IF(PROVEEDORES[[#This Row],[FECHA DE PAGO]]=PROVEEDORES[[#This Row],[FECHA DE FACTURACIÓN]],"DE CONTADO","CRÉDITO")</f>
        <v>CRÉDITO</v>
      </c>
      <c r="B1090" s="70" t="str">
        <f>+IF((PROVEEDORES[[#This Row],[FECHA DE PAGO]]-PROVEEDORES[[#This Row],[FECHA DE FACTURACIÓN]])&gt;PROVEEDORES[[#This Row],[PLAZO Días]],"PAGO VENCIDO")</f>
        <v>PAGO VENCIDO</v>
      </c>
      <c r="C1090" s="27">
        <f>+VLOOKUP(PROVEEDORES[[#This Row],[PROVEEDOR]],TERCEROS_INFO[#All],2,FALSE)</f>
        <v>13</v>
      </c>
      <c r="D1090" s="37">
        <f>+SUMIFS(PROVEEDORES[Total],PROVEEDORES[PROVEEDOR],PROVEEDORES[[#This Row],[PROVEEDOR]],PROVEEDORES[FECHA DE PAGO],"")</f>
        <v>313385</v>
      </c>
      <c r="E1090" s="37"/>
      <c r="F1090" s="108">
        <f>+VLOOKUP(PROVEEDORES[[#This Row],[PROVEEDOR]],TERCEROS_INFO[[PROVEEDOR]:[CORREO]],5,FALSE)</f>
        <v>0</v>
      </c>
      <c r="G1090" s="143">
        <v>44516</v>
      </c>
      <c r="H1090" s="38" t="s">
        <v>628</v>
      </c>
      <c r="I1090" s="30">
        <v>44501</v>
      </c>
      <c r="J1090" s="58" t="s">
        <v>630</v>
      </c>
      <c r="K1090" s="32">
        <v>313385</v>
      </c>
      <c r="L1090" s="32"/>
      <c r="M1090" s="33">
        <f>(PROVEEDORES[[#This Row],[SUBTOTAL]]-PROVEEDORES[[#This Row],[descuento antes de IVA]])*VLOOKUP(PROVEEDORES[[#This Row],[PROVEEDOR]],TERCEROS_INFO[#All],3,FALSE)</f>
        <v>0</v>
      </c>
      <c r="N1090" s="34"/>
      <c r="O1090" s="33">
        <f>+PROVEEDORES[[#This Row],[Descuento sobre subtotal %]]*(PROVEEDORES[[#This Row],[SUBTOTAL]]-PROVEEDORES[[#This Row],[descuento antes de IVA]])</f>
        <v>0</v>
      </c>
      <c r="P10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0" s="33">
        <f>+(PROVEEDORES[[#This Row],[SUBTOTAL]]-PROVEEDORES[[#This Row],[descuento antes de IVA]])*PROVEEDORES[[#This Row],[Rete Fuente %]]</f>
        <v>0</v>
      </c>
      <c r="R1090" s="32">
        <f>+PROVEEDORES[[#This Row],[SUBTOTAL]]+PROVEEDORES[[#This Row],[IVA 19%]]-PROVEEDORES[[#This Row],[descuento antes de IVA]]-PROVEEDORES[[#This Row],[Descuento sobre subtotal $]]-PROVEEDORES[[#This Row],[Rete Fuente $]]</f>
        <v>313385</v>
      </c>
      <c r="S1090" s="16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1" spans="1:19" ht="21.95" hidden="1" customHeight="1" x14ac:dyDescent="0.25">
      <c r="A1091" s="164" t="str">
        <f>+IF(PROVEEDORES[[#This Row],[FECHA DE PAGO]]=PROVEEDORES[[#This Row],[FECHA DE FACTURACIÓN]],"DE CONTADO","CRÉDITO")</f>
        <v>CRÉDITO</v>
      </c>
      <c r="B1091" s="70" t="str">
        <f>+IF((PROVEEDORES[[#This Row],[FECHA DE PAGO]]-PROVEEDORES[[#This Row],[FECHA DE FACTURACIÓN]])&gt;PROVEEDORES[[#This Row],[PLAZO Días]],"PAGO VENCIDO")</f>
        <v>PAGO VENCIDO</v>
      </c>
      <c r="C1091" s="27">
        <f>+VLOOKUP(PROVEEDORES[[#This Row],[PROVEEDOR]],TERCEROS_INFO[#All],2,FALSE)</f>
        <v>13</v>
      </c>
      <c r="D1091" s="37">
        <f>+SUMIFS(PROVEEDORES[Total],PROVEEDORES[PROVEEDOR],PROVEEDORES[[#This Row],[PROVEEDOR]],PROVEEDORES[FECHA DE PAGO],"")</f>
        <v>313385</v>
      </c>
      <c r="E1091" s="37"/>
      <c r="F1091" s="108">
        <f>+VLOOKUP(PROVEEDORES[[#This Row],[PROVEEDOR]],TERCEROS_INFO[[PROVEEDOR]:[CORREO]],5,FALSE)</f>
        <v>0</v>
      </c>
      <c r="G1091" s="143">
        <v>44516</v>
      </c>
      <c r="H1091" s="38" t="s">
        <v>628</v>
      </c>
      <c r="I1091" s="30">
        <v>44501</v>
      </c>
      <c r="J1091" s="58" t="s">
        <v>1347</v>
      </c>
      <c r="K1091" s="32">
        <v>268209</v>
      </c>
      <c r="L1091" s="32"/>
      <c r="M1091" s="33">
        <f>(PROVEEDORES[[#This Row],[SUBTOTAL]]-PROVEEDORES[[#This Row],[descuento antes de IVA]])*VLOOKUP(PROVEEDORES[[#This Row],[PROVEEDOR]],TERCEROS_INFO[#All],3,FALSE)</f>
        <v>0</v>
      </c>
      <c r="N1091" s="34"/>
      <c r="O1091" s="33">
        <f>+PROVEEDORES[[#This Row],[Descuento sobre subtotal %]]*(PROVEEDORES[[#This Row],[SUBTOTAL]]-PROVEEDORES[[#This Row],[descuento antes de IVA]])</f>
        <v>0</v>
      </c>
      <c r="P10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1" s="33">
        <f>+(PROVEEDORES[[#This Row],[SUBTOTAL]]-PROVEEDORES[[#This Row],[descuento antes de IVA]])*PROVEEDORES[[#This Row],[Rete Fuente %]]</f>
        <v>0</v>
      </c>
      <c r="R1091" s="32">
        <f>+PROVEEDORES[[#This Row],[SUBTOTAL]]+PROVEEDORES[[#This Row],[IVA 19%]]-PROVEEDORES[[#This Row],[descuento antes de IVA]]-PROVEEDORES[[#This Row],[Descuento sobre subtotal $]]-PROVEEDORES[[#This Row],[Rete Fuente $]]</f>
        <v>268209</v>
      </c>
      <c r="S1091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2" spans="1:19" ht="21.95" hidden="1" customHeight="1" x14ac:dyDescent="0.25">
      <c r="A1092" s="167" t="str">
        <f>+IF(PROVEEDORES[[#This Row],[FECHA DE PAGO]]=PROVEEDORES[[#This Row],[FECHA DE FACTURACIÓN]],"DE CONTADO","CRÉDITO")</f>
        <v>CRÉDITO</v>
      </c>
      <c r="B1092" s="70" t="b">
        <f>+IF((PROVEEDORES[[#This Row],[FECHA DE PAGO]]-PROVEEDORES[[#This Row],[FECHA DE FACTURACIÓN]])&gt;PROVEEDORES[[#This Row],[PLAZO Días]],"PAGO VENCIDO")</f>
        <v>0</v>
      </c>
      <c r="C1092" s="27">
        <f>+VLOOKUP(PROVEEDORES[[#This Row],[PROVEEDOR]],TERCEROS_INFO[#All],2,FALSE)</f>
        <v>13</v>
      </c>
      <c r="D1092" s="37">
        <f>+SUMIFS(PROVEEDORES[Total],PROVEEDORES[PROVEEDOR],PROVEEDORES[[#This Row],[PROVEEDOR]],PROVEEDORES[FECHA DE PAGO],"")</f>
        <v>313385</v>
      </c>
      <c r="E1092" s="37"/>
      <c r="F1092" s="108">
        <f>+VLOOKUP(PROVEEDORES[[#This Row],[PROVEEDOR]],TERCEROS_INFO[[PROVEEDOR]:[CORREO]],5,FALSE)</f>
        <v>0</v>
      </c>
      <c r="G1092" s="143">
        <v>44543</v>
      </c>
      <c r="H1092" s="38" t="s">
        <v>628</v>
      </c>
      <c r="I1092" s="30">
        <v>44531</v>
      </c>
      <c r="J1092" s="58" t="s">
        <v>630</v>
      </c>
      <c r="K1092" s="32">
        <v>293847</v>
      </c>
      <c r="L1092" s="32"/>
      <c r="M1092" s="33">
        <f>(PROVEEDORES[[#This Row],[SUBTOTAL]]-PROVEEDORES[[#This Row],[descuento antes de IVA]])*VLOOKUP(PROVEEDORES[[#This Row],[PROVEEDOR]],TERCEROS_INFO[#All],3,FALSE)</f>
        <v>0</v>
      </c>
      <c r="N1092" s="34"/>
      <c r="O1092" s="33">
        <f>+PROVEEDORES[[#This Row],[Descuento sobre subtotal %]]*(PROVEEDORES[[#This Row],[SUBTOTAL]]-PROVEEDORES[[#This Row],[descuento antes de IVA]])</f>
        <v>0</v>
      </c>
      <c r="P10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2" s="33">
        <f>+(PROVEEDORES[[#This Row],[SUBTOTAL]]-PROVEEDORES[[#This Row],[descuento antes de IVA]])*PROVEEDORES[[#This Row],[Rete Fuente %]]</f>
        <v>0</v>
      </c>
      <c r="R1092" s="32">
        <f>+PROVEEDORES[[#This Row],[SUBTOTAL]]+PROVEEDORES[[#This Row],[IVA 19%]]-PROVEEDORES[[#This Row],[descuento antes de IVA]]-PROVEEDORES[[#This Row],[Descuento sobre subtotal $]]-PROVEEDORES[[#This Row],[Rete Fuente $]]</f>
        <v>293847</v>
      </c>
      <c r="S1092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3" spans="1:19" ht="21.95" hidden="1" customHeight="1" x14ac:dyDescent="0.25">
      <c r="A1093" s="35" t="str">
        <f>+IF(PROVEEDORES[[#This Row],[FECHA DE PAGO]]=PROVEEDORES[[#This Row],[FECHA DE FACTURACIÓN]],"DE CONTADO","CRÉDITO")</f>
        <v>CRÉDITO</v>
      </c>
      <c r="B1093" s="70" t="str">
        <f>+IF((PROVEEDORES[[#This Row],[FECHA DE PAGO]]-PROVEEDORES[[#This Row],[FECHA DE FACTURACIÓN]])&gt;PROVEEDORES[[#This Row],[PLAZO Días]],"PAGO VENCIDO")</f>
        <v>PAGO VENCIDO</v>
      </c>
      <c r="C1093" s="27">
        <f>+VLOOKUP(PROVEEDORES[[#This Row],[PROVEEDOR]],TERCEROS_INFO[#All],2,FALSE)</f>
        <v>13</v>
      </c>
      <c r="D1093" s="37">
        <f>+SUMIFS(PROVEEDORES[Total],PROVEEDORES[PROVEEDOR],PROVEEDORES[[#This Row],[PROVEEDOR]],PROVEEDORES[FECHA DE PAGO],"")</f>
        <v>313385</v>
      </c>
      <c r="E1093" s="37"/>
      <c r="F1093" s="108">
        <f>+VLOOKUP(PROVEEDORES[[#This Row],[PROVEEDOR]],TERCEROS_INFO[[PROVEEDOR]:[CORREO]],5,FALSE)</f>
        <v>0</v>
      </c>
      <c r="G1093" s="143">
        <v>44550</v>
      </c>
      <c r="H1093" s="38" t="s">
        <v>628</v>
      </c>
      <c r="I1093" s="30">
        <v>44531</v>
      </c>
      <c r="J1093" s="58" t="s">
        <v>1348</v>
      </c>
      <c r="K1093" s="32">
        <v>5450061</v>
      </c>
      <c r="L1093" s="32"/>
      <c r="M1093" s="33">
        <f>(PROVEEDORES[[#This Row],[SUBTOTAL]]-PROVEEDORES[[#This Row],[descuento antes de IVA]])*VLOOKUP(PROVEEDORES[[#This Row],[PROVEEDOR]],TERCEROS_INFO[#All],3,FALSE)</f>
        <v>0</v>
      </c>
      <c r="N1093" s="34"/>
      <c r="O1093" s="33">
        <f>+PROVEEDORES[[#This Row],[Descuento sobre subtotal %]]*(PROVEEDORES[[#This Row],[SUBTOTAL]]-PROVEEDORES[[#This Row],[descuento antes de IVA]])</f>
        <v>0</v>
      </c>
      <c r="P10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3" s="33">
        <f>+(PROVEEDORES[[#This Row],[SUBTOTAL]]-PROVEEDORES[[#This Row],[descuento antes de IVA]])*PROVEEDORES[[#This Row],[Rete Fuente %]]</f>
        <v>0</v>
      </c>
      <c r="R1093" s="32">
        <f>+PROVEEDORES[[#This Row],[SUBTOTAL]]+PROVEEDORES[[#This Row],[IVA 19%]]-PROVEEDORES[[#This Row],[descuento antes de IVA]]-PROVEEDORES[[#This Row],[Descuento sobre subtotal $]]-PROVEEDORES[[#This Row],[Rete Fuente $]]</f>
        <v>5450061</v>
      </c>
      <c r="S109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4" spans="1:19" ht="21.95" hidden="1" customHeight="1" x14ac:dyDescent="0.25">
      <c r="A1094" s="175" t="str">
        <f>+IF(PROVEEDORES[[#This Row],[FECHA DE PAGO]]=PROVEEDORES[[#This Row],[FECHA DE FACTURACIÓN]],"DE CONTADO","CRÉDITO")</f>
        <v>CRÉDITO</v>
      </c>
      <c r="B1094" s="70" t="b">
        <f>+IF((PROVEEDORES[[#This Row],[FECHA DE PAGO]]-PROVEEDORES[[#This Row],[FECHA DE FACTURACIÓN]])&gt;PROVEEDORES[[#This Row],[PLAZO Días]],"PAGO VENCIDO")</f>
        <v>0</v>
      </c>
      <c r="C1094" s="27">
        <f>+VLOOKUP(PROVEEDORES[[#This Row],[PROVEEDOR]],TERCEROS_INFO[#All],2,FALSE)</f>
        <v>13</v>
      </c>
      <c r="D1094" s="37">
        <f>+SUMIFS(PROVEEDORES[Total],PROVEEDORES[PROVEEDOR],PROVEEDORES[[#This Row],[PROVEEDOR]],PROVEEDORES[FECHA DE PAGO],"")</f>
        <v>313385</v>
      </c>
      <c r="E1094" s="37"/>
      <c r="F1094" s="108">
        <f>+VLOOKUP(PROVEEDORES[[#This Row],[PROVEEDOR]],TERCEROS_INFO[[PROVEEDOR]:[CORREO]],5,FALSE)</f>
        <v>0</v>
      </c>
      <c r="H1094" s="38" t="s">
        <v>628</v>
      </c>
      <c r="I1094" s="30">
        <v>44562</v>
      </c>
      <c r="J1094" s="58" t="s">
        <v>630</v>
      </c>
      <c r="K1094" s="32">
        <v>313385</v>
      </c>
      <c r="L1094" s="32"/>
      <c r="M1094" s="33">
        <f>(PROVEEDORES[[#This Row],[SUBTOTAL]]-PROVEEDORES[[#This Row],[descuento antes de IVA]])*VLOOKUP(PROVEEDORES[[#This Row],[PROVEEDOR]],TERCEROS_INFO[#All],3,FALSE)</f>
        <v>0</v>
      </c>
      <c r="N1094" s="34"/>
      <c r="O1094" s="33">
        <f>+PROVEEDORES[[#This Row],[Descuento sobre subtotal %]]*(PROVEEDORES[[#This Row],[SUBTOTAL]]-PROVEEDORES[[#This Row],[descuento antes de IVA]])</f>
        <v>0</v>
      </c>
      <c r="P10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4" s="33">
        <f>+(PROVEEDORES[[#This Row],[SUBTOTAL]]-PROVEEDORES[[#This Row],[descuento antes de IVA]])*PROVEEDORES[[#This Row],[Rete Fuente %]]</f>
        <v>0</v>
      </c>
      <c r="R1094" s="32">
        <f>+PROVEEDORES[[#This Row],[SUBTOTAL]]+PROVEEDORES[[#This Row],[IVA 19%]]-PROVEEDORES[[#This Row],[descuento antes de IVA]]-PROVEEDORES[[#This Row],[Descuento sobre subtotal $]]-PROVEEDORES[[#This Row],[Rete Fuente $]]</f>
        <v>313385</v>
      </c>
      <c r="S1094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095" spans="1:19" ht="21.95" hidden="1" customHeight="1" x14ac:dyDescent="0.25">
      <c r="A1095" s="107" t="str">
        <f>+IF(PROVEEDORES[[#This Row],[FECHA DE PAGO]]=PROVEEDORES[[#This Row],[FECHA DE FACTURACIÓN]],"DE CONTADO","CRÉDITO")</f>
        <v>CRÉDITO</v>
      </c>
      <c r="B1095" s="70" t="b">
        <f>+IF((PROVEEDORES[[#This Row],[FECHA DE PAGO]]-PROVEEDORES[[#This Row],[FECHA DE FACTURACIÓN]])&gt;PROVEEDORES[[#This Row],[PLAZO Días]],"PAGO VENCIDO")</f>
        <v>0</v>
      </c>
      <c r="C1095" s="27">
        <f>+VLOOKUP(PROVEEDORES[[#This Row],[PROVEEDOR]],TERCEROS_INFO[#All],2,FALSE)</f>
        <v>30</v>
      </c>
      <c r="D1095" s="37">
        <f>+SUMIFS(PROVEEDORES[Total],PROVEEDORES[PROVEEDOR],PROVEEDORES[[#This Row],[PROVEEDOR]],PROVEEDORES[FECHA DE PAGO],"")</f>
        <v>0</v>
      </c>
      <c r="E1095" s="37"/>
      <c r="F1095" s="108" t="str">
        <f>+VLOOKUP(PROVEEDORES[[#This Row],[PROVEEDOR]],TERCEROS_INFO[[PROVEEDOR]:[CORREO]],5,FALSE)</f>
        <v>PSE</v>
      </c>
      <c r="G1095" s="143">
        <v>44225</v>
      </c>
      <c r="H1095" s="38" t="s">
        <v>641</v>
      </c>
      <c r="I1095" s="30">
        <v>44197</v>
      </c>
      <c r="J1095" s="58"/>
      <c r="K1095" s="32">
        <v>340400</v>
      </c>
      <c r="L1095" s="32"/>
      <c r="M1095" s="33">
        <f>(PROVEEDORES[[#This Row],[SUBTOTAL]]-PROVEEDORES[[#This Row],[descuento antes de IVA]])*VLOOKUP(PROVEEDORES[[#This Row],[PROVEEDOR]],TERCEROS_INFO[#All],3,FALSE)</f>
        <v>0</v>
      </c>
      <c r="N1095" s="34"/>
      <c r="O1095" s="33">
        <f>+PROVEEDORES[[#This Row],[Descuento sobre subtotal %]]*(PROVEEDORES[[#This Row],[SUBTOTAL]]-PROVEEDORES[[#This Row],[descuento antes de IVA]])</f>
        <v>0</v>
      </c>
      <c r="P10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5" s="33">
        <f>+(PROVEEDORES[[#This Row],[SUBTOTAL]]-PROVEEDORES[[#This Row],[descuento antes de IVA]])*PROVEEDORES[[#This Row],[Rete Fuente %]]</f>
        <v>0</v>
      </c>
      <c r="R1095" s="32">
        <f>+PROVEEDORES[[#This Row],[SUBTOTAL]]+PROVEEDORES[[#This Row],[IVA 19%]]-PROVEEDORES[[#This Row],[descuento antes de IVA]]-PROVEEDORES[[#This Row],[Descuento sobre subtotal $]]-PROVEEDORES[[#This Row],[Rete Fuente $]]</f>
        <v>340400</v>
      </c>
      <c r="S1095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6" spans="1:19" ht="21.95" hidden="1" customHeight="1" x14ac:dyDescent="0.25">
      <c r="A1096" s="111" t="str">
        <f>+IF(PROVEEDORES[[#This Row],[FECHA DE PAGO]]=PROVEEDORES[[#This Row],[FECHA DE FACTURACIÓN]],"DE CONTADO","CRÉDITO")</f>
        <v>CRÉDITO</v>
      </c>
      <c r="B1096" s="70" t="b">
        <f>+IF((PROVEEDORES[[#This Row],[FECHA DE PAGO]]-PROVEEDORES[[#This Row],[FECHA DE FACTURACIÓN]])&gt;PROVEEDORES[[#This Row],[PLAZO Días]],"PAGO VENCIDO")</f>
        <v>0</v>
      </c>
      <c r="C1096" s="27">
        <f>+VLOOKUP(PROVEEDORES[[#This Row],[PROVEEDOR]],TERCEROS_INFO[#All],2,FALSE)</f>
        <v>20</v>
      </c>
      <c r="D1096" s="37">
        <f>+SUMIFS(PROVEEDORES[Total],PROVEEDORES[PROVEEDOR],PROVEEDORES[[#This Row],[PROVEEDOR]],PROVEEDORES[FECHA DE PAGO],"")</f>
        <v>944086</v>
      </c>
      <c r="E1096" s="37"/>
      <c r="F1096" s="108" t="str">
        <f>+VLOOKUP(PROVEEDORES[[#This Row],[PROVEEDOR]],TERCEROS_INFO[[PROVEEDOR]:[CORREO]],5,FALSE)</f>
        <v>pse</v>
      </c>
      <c r="G1096" s="143">
        <v>44334</v>
      </c>
      <c r="H1096" s="57" t="s">
        <v>677</v>
      </c>
      <c r="I1096" s="30">
        <v>44317</v>
      </c>
      <c r="J1096" s="58"/>
      <c r="K1096" s="32">
        <v>765395</v>
      </c>
      <c r="L1096" s="32"/>
      <c r="M1096" s="33">
        <f>(PROVEEDORES[[#This Row],[SUBTOTAL]]-PROVEEDORES[[#This Row],[descuento antes de IVA]])*VLOOKUP(PROVEEDORES[[#This Row],[PROVEEDOR]],TERCEROS_INFO[#All],3,FALSE)</f>
        <v>0</v>
      </c>
      <c r="N1096" s="34"/>
      <c r="O1096" s="33">
        <f>+PROVEEDORES[[#This Row],[Descuento sobre subtotal %]]*(PROVEEDORES[[#This Row],[SUBTOTAL]]-PROVEEDORES[[#This Row],[descuento antes de IVA]])</f>
        <v>0</v>
      </c>
      <c r="P10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6" s="33">
        <f>+(PROVEEDORES[[#This Row],[SUBTOTAL]]-PROVEEDORES[[#This Row],[descuento antes de IVA]])*PROVEEDORES[[#This Row],[Rete Fuente %]]</f>
        <v>0</v>
      </c>
      <c r="R1096" s="32">
        <f>+PROVEEDORES[[#This Row],[SUBTOTAL]]+PROVEEDORES[[#This Row],[IVA 19%]]-PROVEEDORES[[#This Row],[descuento antes de IVA]]-PROVEEDORES[[#This Row],[Descuento sobre subtotal $]]-PROVEEDORES[[#This Row],[Rete Fuente $]]</f>
        <v>765395</v>
      </c>
      <c r="S1096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7" spans="1:19" ht="21.95" hidden="1" customHeight="1" x14ac:dyDescent="0.25">
      <c r="A1097" s="119" t="str">
        <f>+IF(PROVEEDORES[[#This Row],[FECHA DE PAGO]]=PROVEEDORES[[#This Row],[FECHA DE FACTURACIÓN]],"DE CONTADO","CRÉDITO")</f>
        <v>CRÉDITO</v>
      </c>
      <c r="B1097" s="70" t="b">
        <f>+IF((PROVEEDORES[[#This Row],[FECHA DE PAGO]]-PROVEEDORES[[#This Row],[FECHA DE FACTURACIÓN]])&gt;PROVEEDORES[[#This Row],[PLAZO Días]],"PAGO VENCIDO")</f>
        <v>0</v>
      </c>
      <c r="C1097" s="27">
        <f>+VLOOKUP(PROVEEDORES[[#This Row],[PROVEEDOR]],TERCEROS_INFO[#All],2,FALSE)</f>
        <v>20</v>
      </c>
      <c r="D1097" s="37">
        <f>+SUMIFS(PROVEEDORES[Total],PROVEEDORES[PROVEEDOR],PROVEEDORES[[#This Row],[PROVEEDOR]],PROVEEDORES[FECHA DE PAGO],"")</f>
        <v>944086</v>
      </c>
      <c r="E1097" s="37"/>
      <c r="F1097" s="108" t="str">
        <f>+VLOOKUP(PROVEEDORES[[#This Row],[PROVEEDOR]],TERCEROS_INFO[[PROVEEDOR]:[CORREO]],5,FALSE)</f>
        <v>pse</v>
      </c>
      <c r="G1097" s="143">
        <v>44365</v>
      </c>
      <c r="H1097" s="57" t="s">
        <v>677</v>
      </c>
      <c r="I1097" s="30">
        <v>44348</v>
      </c>
      <c r="J1097" s="58"/>
      <c r="K1097" s="32">
        <f>428062+244444+105000+69321+25171</f>
        <v>871998</v>
      </c>
      <c r="L1097" s="32"/>
      <c r="M1097" s="33">
        <f>(PROVEEDORES[[#This Row],[SUBTOTAL]]-PROVEEDORES[[#This Row],[descuento antes de IVA]])*VLOOKUP(PROVEEDORES[[#This Row],[PROVEEDOR]],TERCEROS_INFO[#All],3,FALSE)</f>
        <v>0</v>
      </c>
      <c r="N1097" s="34"/>
      <c r="O1097" s="33">
        <f>+PROVEEDORES[[#This Row],[Descuento sobre subtotal %]]*(PROVEEDORES[[#This Row],[SUBTOTAL]]-PROVEEDORES[[#This Row],[descuento antes de IVA]])</f>
        <v>0</v>
      </c>
      <c r="P10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7" s="33">
        <f>+(PROVEEDORES[[#This Row],[SUBTOTAL]]-PROVEEDORES[[#This Row],[descuento antes de IVA]])*PROVEEDORES[[#This Row],[Rete Fuente %]]</f>
        <v>0</v>
      </c>
      <c r="R1097" s="32">
        <f>+PROVEEDORES[[#This Row],[SUBTOTAL]]+PROVEEDORES[[#This Row],[IVA 19%]]-PROVEEDORES[[#This Row],[descuento antes de IVA]]-PROVEEDORES[[#This Row],[Descuento sobre subtotal $]]-PROVEEDORES[[#This Row],[Rete Fuente $]]</f>
        <v>871998</v>
      </c>
      <c r="S1097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8" spans="1:19" ht="21.95" hidden="1" customHeight="1" x14ac:dyDescent="0.25">
      <c r="A1098" s="129" t="str">
        <f>+IF(PROVEEDORES[[#This Row],[FECHA DE PAGO]]=PROVEEDORES[[#This Row],[FECHA DE FACTURACIÓN]],"DE CONTADO","CRÉDITO")</f>
        <v>CRÉDITO</v>
      </c>
      <c r="B1098" s="70" t="b">
        <f>+IF((PROVEEDORES[[#This Row],[FECHA DE PAGO]]-PROVEEDORES[[#This Row],[FECHA DE FACTURACIÓN]])&gt;PROVEEDORES[[#This Row],[PLAZO Días]],"PAGO VENCIDO")</f>
        <v>0</v>
      </c>
      <c r="C1098" s="27">
        <f>+VLOOKUP(PROVEEDORES[[#This Row],[PROVEEDOR]],TERCEROS_INFO[#All],2,FALSE)</f>
        <v>20</v>
      </c>
      <c r="D1098" s="37">
        <f>+SUMIFS(PROVEEDORES[Total],PROVEEDORES[PROVEEDOR],PROVEEDORES[[#This Row],[PROVEEDOR]],PROVEEDORES[FECHA DE PAGO],"")</f>
        <v>944086</v>
      </c>
      <c r="E1098" s="37"/>
      <c r="F1098" s="108" t="str">
        <f>+VLOOKUP(PROVEEDORES[[#This Row],[PROVEEDOR]],TERCEROS_INFO[[PROVEEDOR]:[CORREO]],5,FALSE)</f>
        <v>pse</v>
      </c>
      <c r="G1098" s="143">
        <v>44391</v>
      </c>
      <c r="H1098" s="57" t="s">
        <v>677</v>
      </c>
      <c r="I1098" s="30">
        <v>44378</v>
      </c>
      <c r="J1098" s="58"/>
      <c r="K1098" s="32">
        <f>25227+429088+245327+105363+69670</f>
        <v>874675</v>
      </c>
      <c r="L1098" s="32"/>
      <c r="M1098" s="33">
        <f>(PROVEEDORES[[#This Row],[SUBTOTAL]]-PROVEEDORES[[#This Row],[descuento antes de IVA]])*VLOOKUP(PROVEEDORES[[#This Row],[PROVEEDOR]],TERCEROS_INFO[#All],3,FALSE)</f>
        <v>0</v>
      </c>
      <c r="N1098" s="34"/>
      <c r="O1098" s="33">
        <f>+PROVEEDORES[[#This Row],[Descuento sobre subtotal %]]*(PROVEEDORES[[#This Row],[SUBTOTAL]]-PROVEEDORES[[#This Row],[descuento antes de IVA]])</f>
        <v>0</v>
      </c>
      <c r="P10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8" s="33">
        <f>+(PROVEEDORES[[#This Row],[SUBTOTAL]]-PROVEEDORES[[#This Row],[descuento antes de IVA]])*PROVEEDORES[[#This Row],[Rete Fuente %]]</f>
        <v>0</v>
      </c>
      <c r="R1098" s="32">
        <f>+PROVEEDORES[[#This Row],[SUBTOTAL]]+PROVEEDORES[[#This Row],[IVA 19%]]-PROVEEDORES[[#This Row],[descuento antes de IVA]]-PROVEEDORES[[#This Row],[Descuento sobre subtotal $]]-PROVEEDORES[[#This Row],[Rete Fuente $]]</f>
        <v>874675</v>
      </c>
      <c r="S1098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9" spans="1:19" ht="21.95" hidden="1" customHeight="1" x14ac:dyDescent="0.25">
      <c r="A1099" s="138" t="str">
        <f>+IF(PROVEEDORES[[#This Row],[FECHA DE PAGO]]=PROVEEDORES[[#This Row],[FECHA DE FACTURACIÓN]],"DE CONTADO","CRÉDITO")</f>
        <v>CRÉDITO</v>
      </c>
      <c r="B1099" s="70" t="b">
        <f>+IF((PROVEEDORES[[#This Row],[FECHA DE PAGO]]-PROVEEDORES[[#This Row],[FECHA DE FACTURACIÓN]])&gt;PROVEEDORES[[#This Row],[PLAZO Días]],"PAGO VENCIDO")</f>
        <v>0</v>
      </c>
      <c r="C1099" s="27">
        <f>+VLOOKUP(PROVEEDORES[[#This Row],[PROVEEDOR]],TERCEROS_INFO[#All],2,FALSE)</f>
        <v>20</v>
      </c>
      <c r="D1099" s="37">
        <f>+SUMIFS(PROVEEDORES[Total],PROVEEDORES[PROVEEDOR],PROVEEDORES[[#This Row],[PROVEEDOR]],PROVEEDORES[FECHA DE PAGO],"")</f>
        <v>944086</v>
      </c>
      <c r="E1099" s="37"/>
      <c r="F1099" s="108" t="str">
        <f>+VLOOKUP(PROVEEDORES[[#This Row],[PROVEEDOR]],TERCEROS_INFO[[PROVEEDOR]:[CORREO]],5,FALSE)</f>
        <v>pse</v>
      </c>
      <c r="G1099" s="143">
        <v>44425</v>
      </c>
      <c r="H1099" s="57" t="s">
        <v>677</v>
      </c>
      <c r="I1099" s="30">
        <v>44409</v>
      </c>
      <c r="J1099" s="58"/>
      <c r="K1099" s="32">
        <f>428062+69321+238539+105000+25171</f>
        <v>866093</v>
      </c>
      <c r="L1099" s="32"/>
      <c r="M1099" s="33">
        <f>(PROVEEDORES[[#This Row],[SUBTOTAL]]-PROVEEDORES[[#This Row],[descuento antes de IVA]])*VLOOKUP(PROVEEDORES[[#This Row],[PROVEEDOR]],TERCEROS_INFO[#All],3,FALSE)</f>
        <v>0</v>
      </c>
      <c r="N1099" s="34"/>
      <c r="O1099" s="33">
        <f>+PROVEEDORES[[#This Row],[Descuento sobre subtotal %]]*(PROVEEDORES[[#This Row],[SUBTOTAL]]-PROVEEDORES[[#This Row],[descuento antes de IVA]])</f>
        <v>0</v>
      </c>
      <c r="P10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099" s="33">
        <f>+(PROVEEDORES[[#This Row],[SUBTOTAL]]-PROVEEDORES[[#This Row],[descuento antes de IVA]])*PROVEEDORES[[#This Row],[Rete Fuente %]]</f>
        <v>0</v>
      </c>
      <c r="R1099" s="32">
        <f>+PROVEEDORES[[#This Row],[SUBTOTAL]]+PROVEEDORES[[#This Row],[IVA 19%]]-PROVEEDORES[[#This Row],[descuento antes de IVA]]-PROVEEDORES[[#This Row],[Descuento sobre subtotal $]]-PROVEEDORES[[#This Row],[Rete Fuente $]]</f>
        <v>866093</v>
      </c>
      <c r="S1099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0" spans="1:19" ht="21.95" hidden="1" customHeight="1" x14ac:dyDescent="0.25">
      <c r="A1100" s="148" t="str">
        <f>+IF(PROVEEDORES[[#This Row],[FECHA DE PAGO]]=PROVEEDORES[[#This Row],[FECHA DE FACTURACIÓN]],"DE CONTADO","CRÉDITO")</f>
        <v>CRÉDITO</v>
      </c>
      <c r="B1100" s="70" t="b">
        <f>+IF((PROVEEDORES[[#This Row],[FECHA DE PAGO]]-PROVEEDORES[[#This Row],[FECHA DE FACTURACIÓN]])&gt;PROVEEDORES[[#This Row],[PLAZO Días]],"PAGO VENCIDO")</f>
        <v>0</v>
      </c>
      <c r="C1100" s="27">
        <f>+VLOOKUP(PROVEEDORES[[#This Row],[PROVEEDOR]],TERCEROS_INFO[#All],2,FALSE)</f>
        <v>20</v>
      </c>
      <c r="D1100" s="37">
        <f>+SUMIFS(PROVEEDORES[Total],PROVEEDORES[PROVEEDOR],PROVEEDORES[[#This Row],[PROVEEDOR]],PROVEEDORES[FECHA DE PAGO],"")</f>
        <v>944086</v>
      </c>
      <c r="E1100" s="37"/>
      <c r="F1100" s="108" t="str">
        <f>+VLOOKUP(PROVEEDORES[[#This Row],[PROVEEDOR]],TERCEROS_INFO[[PROVEEDOR]:[CORREO]],5,FALSE)</f>
        <v>pse</v>
      </c>
      <c r="G1100" s="143">
        <v>44456</v>
      </c>
      <c r="H1100" s="57" t="s">
        <v>677</v>
      </c>
      <c r="I1100" s="30">
        <v>44440</v>
      </c>
      <c r="J1100" s="58"/>
      <c r="K1100" s="32">
        <f>105000+69321+25171+428062+244440</f>
        <v>871994</v>
      </c>
      <c r="L1100" s="32"/>
      <c r="M1100" s="33">
        <f>(PROVEEDORES[[#This Row],[SUBTOTAL]]-PROVEEDORES[[#This Row],[descuento antes de IVA]])*VLOOKUP(PROVEEDORES[[#This Row],[PROVEEDOR]],TERCEROS_INFO[#All],3,FALSE)</f>
        <v>0</v>
      </c>
      <c r="N1100" s="34"/>
      <c r="O1100" s="33">
        <f>+PROVEEDORES[[#This Row],[Descuento sobre subtotal %]]*(PROVEEDORES[[#This Row],[SUBTOTAL]]-PROVEEDORES[[#This Row],[descuento antes de IVA]])</f>
        <v>0</v>
      </c>
      <c r="P11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0" s="33">
        <f>+(PROVEEDORES[[#This Row],[SUBTOTAL]]-PROVEEDORES[[#This Row],[descuento antes de IVA]])*PROVEEDORES[[#This Row],[Rete Fuente %]]</f>
        <v>0</v>
      </c>
      <c r="R1100" s="32">
        <f>+PROVEEDORES[[#This Row],[SUBTOTAL]]+PROVEEDORES[[#This Row],[IVA 19%]]-PROVEEDORES[[#This Row],[descuento antes de IVA]]-PROVEEDORES[[#This Row],[Descuento sobre subtotal $]]-PROVEEDORES[[#This Row],[Rete Fuente $]]</f>
        <v>871994</v>
      </c>
      <c r="S1100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1" spans="1:19" ht="21.95" hidden="1" customHeight="1" x14ac:dyDescent="0.25">
      <c r="A1101" s="155" t="str">
        <f>+IF(PROVEEDORES[[#This Row],[FECHA DE PAGO]]=PROVEEDORES[[#This Row],[FECHA DE FACTURACIÓN]],"DE CONTADO","CRÉDITO")</f>
        <v>CRÉDITO</v>
      </c>
      <c r="B1101" s="70" t="b">
        <f>+IF((PROVEEDORES[[#This Row],[FECHA DE PAGO]]-PROVEEDORES[[#This Row],[FECHA DE FACTURACIÓN]])&gt;PROVEEDORES[[#This Row],[PLAZO Días]],"PAGO VENCIDO")</f>
        <v>0</v>
      </c>
      <c r="C1101" s="27">
        <f>+VLOOKUP(PROVEEDORES[[#This Row],[PROVEEDOR]],TERCEROS_INFO[#All],2,FALSE)</f>
        <v>20</v>
      </c>
      <c r="D1101" s="37">
        <f>+SUMIFS(PROVEEDORES[Total],PROVEEDORES[PROVEEDOR],PROVEEDORES[[#This Row],[PROVEEDOR]],PROVEEDORES[FECHA DE PAGO],"")</f>
        <v>944086</v>
      </c>
      <c r="E1101" s="37"/>
      <c r="F1101" s="108" t="str">
        <f>+VLOOKUP(PROVEEDORES[[#This Row],[PROVEEDOR]],TERCEROS_INFO[[PROVEEDOR]:[CORREO]],5,FALSE)</f>
        <v>pse</v>
      </c>
      <c r="G1101" s="143">
        <v>44484</v>
      </c>
      <c r="H1101" s="57" t="s">
        <v>677</v>
      </c>
      <c r="I1101" s="30">
        <v>44470</v>
      </c>
      <c r="J1101" s="58"/>
      <c r="K1101" s="32">
        <f>105000+69321+25171+428062+244444</f>
        <v>871998</v>
      </c>
      <c r="L1101" s="32"/>
      <c r="M1101" s="33">
        <f>(PROVEEDORES[[#This Row],[SUBTOTAL]]-PROVEEDORES[[#This Row],[descuento antes de IVA]])*VLOOKUP(PROVEEDORES[[#This Row],[PROVEEDOR]],TERCEROS_INFO[#All],3,FALSE)</f>
        <v>0</v>
      </c>
      <c r="N1101" s="34"/>
      <c r="O1101" s="33">
        <f>+PROVEEDORES[[#This Row],[Descuento sobre subtotal %]]*(PROVEEDORES[[#This Row],[SUBTOTAL]]-PROVEEDORES[[#This Row],[descuento antes de IVA]])</f>
        <v>0</v>
      </c>
      <c r="P11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1" s="33">
        <f>+(PROVEEDORES[[#This Row],[SUBTOTAL]]-PROVEEDORES[[#This Row],[descuento antes de IVA]])*PROVEEDORES[[#This Row],[Rete Fuente %]]</f>
        <v>0</v>
      </c>
      <c r="R1101" s="32">
        <f>+PROVEEDORES[[#This Row],[SUBTOTAL]]+PROVEEDORES[[#This Row],[IVA 19%]]-PROVEEDORES[[#This Row],[descuento antes de IVA]]-PROVEEDORES[[#This Row],[Descuento sobre subtotal $]]-PROVEEDORES[[#This Row],[Rete Fuente $]]</f>
        <v>871998</v>
      </c>
      <c r="S1101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2" spans="1:19" ht="21.95" hidden="1" customHeight="1" x14ac:dyDescent="0.25">
      <c r="A1102" s="164" t="str">
        <f>+IF(PROVEEDORES[[#This Row],[FECHA DE PAGO]]=PROVEEDORES[[#This Row],[FECHA DE FACTURACIÓN]],"DE CONTADO","CRÉDITO")</f>
        <v>CRÉDITO</v>
      </c>
      <c r="B1102" s="70" t="b">
        <f>+IF((PROVEEDORES[[#This Row],[FECHA DE PAGO]]-PROVEEDORES[[#This Row],[FECHA DE FACTURACIÓN]])&gt;PROVEEDORES[[#This Row],[PLAZO Días]],"PAGO VENCIDO")</f>
        <v>0</v>
      </c>
      <c r="C1102" s="27">
        <f>+VLOOKUP(PROVEEDORES[[#This Row],[PROVEEDOR]],TERCEROS_INFO[#All],2,FALSE)</f>
        <v>20</v>
      </c>
      <c r="D1102" s="37">
        <f>+SUMIFS(PROVEEDORES[Total],PROVEEDORES[PROVEEDOR],PROVEEDORES[[#This Row],[PROVEEDOR]],PROVEEDORES[FECHA DE PAGO],"")</f>
        <v>944086</v>
      </c>
      <c r="E1102" s="37"/>
      <c r="F1102" s="108" t="str">
        <f>+VLOOKUP(PROVEEDORES[[#This Row],[PROVEEDOR]],TERCEROS_INFO[[PROVEEDOR]:[CORREO]],5,FALSE)</f>
        <v>pse</v>
      </c>
      <c r="G1102" s="143">
        <v>44516</v>
      </c>
      <c r="H1102" s="57" t="s">
        <v>677</v>
      </c>
      <c r="I1102" s="30">
        <v>44501</v>
      </c>
      <c r="J1102" s="58"/>
      <c r="K1102" s="32">
        <v>895265</v>
      </c>
      <c r="L1102" s="32"/>
      <c r="M1102" s="33">
        <f>(PROVEEDORES[[#This Row],[SUBTOTAL]]-PROVEEDORES[[#This Row],[descuento antes de IVA]])*VLOOKUP(PROVEEDORES[[#This Row],[PROVEEDOR]],TERCEROS_INFO[#All],3,FALSE)</f>
        <v>0</v>
      </c>
      <c r="N1102" s="34"/>
      <c r="O1102" s="33">
        <f>+PROVEEDORES[[#This Row],[Descuento sobre subtotal %]]*(PROVEEDORES[[#This Row],[SUBTOTAL]]-PROVEEDORES[[#This Row],[descuento antes de IVA]])</f>
        <v>0</v>
      </c>
      <c r="P11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2" s="33">
        <f>+(PROVEEDORES[[#This Row],[SUBTOTAL]]-PROVEEDORES[[#This Row],[descuento antes de IVA]])*PROVEEDORES[[#This Row],[Rete Fuente %]]</f>
        <v>0</v>
      </c>
      <c r="R1102" s="32">
        <f>+PROVEEDORES[[#This Row],[SUBTOTAL]]+PROVEEDORES[[#This Row],[IVA 19%]]-PROVEEDORES[[#This Row],[descuento antes de IVA]]-PROVEEDORES[[#This Row],[Descuento sobre subtotal $]]-PROVEEDORES[[#This Row],[Rete Fuente $]]</f>
        <v>895265</v>
      </c>
      <c r="S1102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3" spans="1:19" ht="21.95" hidden="1" customHeight="1" x14ac:dyDescent="0.25">
      <c r="A1103" s="35" t="str">
        <f>+IF(PROVEEDORES[[#This Row],[FECHA DE PAGO]]=PROVEEDORES[[#This Row],[FECHA DE FACTURACIÓN]],"DE CONTADO","CRÉDITO")</f>
        <v>CRÉDITO</v>
      </c>
      <c r="B1103" s="70" t="b">
        <f>+IF((PROVEEDORES[[#This Row],[FECHA DE PAGO]]-PROVEEDORES[[#This Row],[FECHA DE FACTURACIÓN]])&gt;PROVEEDORES[[#This Row],[PLAZO Días]],"PAGO VENCIDO")</f>
        <v>0</v>
      </c>
      <c r="C1103" s="27">
        <f>+VLOOKUP(PROVEEDORES[[#This Row],[PROVEEDOR]],TERCEROS_INFO[#All],2,FALSE)</f>
        <v>20</v>
      </c>
      <c r="D1103" s="37">
        <f>+SUMIFS(PROVEEDORES[Total],PROVEEDORES[PROVEEDOR],PROVEEDORES[[#This Row],[PROVEEDOR]],PROVEEDORES[FECHA DE PAGO],"")</f>
        <v>944086</v>
      </c>
      <c r="E1103" s="37"/>
      <c r="F1103" s="108" t="str">
        <f>+VLOOKUP(PROVEEDORES[[#This Row],[PROVEEDOR]],TERCEROS_INFO[[PROVEEDOR]:[CORREO]],5,FALSE)</f>
        <v>pse</v>
      </c>
      <c r="G1103" s="143">
        <v>44540</v>
      </c>
      <c r="H1103" s="57" t="s">
        <v>677</v>
      </c>
      <c r="I1103" s="30">
        <v>44531</v>
      </c>
      <c r="J1103" s="58"/>
      <c r="K1103" s="32">
        <v>934412</v>
      </c>
      <c r="L1103" s="32"/>
      <c r="M1103" s="33">
        <f>(PROVEEDORES[[#This Row],[SUBTOTAL]]-PROVEEDORES[[#This Row],[descuento antes de IVA]])*VLOOKUP(PROVEEDORES[[#This Row],[PROVEEDOR]],TERCEROS_INFO[#All],3,FALSE)</f>
        <v>0</v>
      </c>
      <c r="N1103" s="34"/>
      <c r="O1103" s="33">
        <f>+PROVEEDORES[[#This Row],[Descuento sobre subtotal %]]*(PROVEEDORES[[#This Row],[SUBTOTAL]]-PROVEEDORES[[#This Row],[descuento antes de IVA]])</f>
        <v>0</v>
      </c>
      <c r="P11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3" s="33">
        <f>+(PROVEEDORES[[#This Row],[SUBTOTAL]]-PROVEEDORES[[#This Row],[descuento antes de IVA]])*PROVEEDORES[[#This Row],[Rete Fuente %]]</f>
        <v>0</v>
      </c>
      <c r="R1103" s="32">
        <f>+PROVEEDORES[[#This Row],[SUBTOTAL]]+PROVEEDORES[[#This Row],[IVA 19%]]-PROVEEDORES[[#This Row],[descuento antes de IVA]]-PROVEEDORES[[#This Row],[Descuento sobre subtotal $]]-PROVEEDORES[[#This Row],[Rete Fuente $]]</f>
        <v>934412</v>
      </c>
      <c r="S110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4" spans="1:19" ht="21.95" hidden="1" customHeight="1" x14ac:dyDescent="0.25">
      <c r="A1104" s="175" t="str">
        <f>+IF(PROVEEDORES[[#This Row],[FECHA DE PAGO]]=PROVEEDORES[[#This Row],[FECHA DE FACTURACIÓN]],"DE CONTADO","CRÉDITO")</f>
        <v>CRÉDITO</v>
      </c>
      <c r="B1104" s="70" t="b">
        <f>+IF((PROVEEDORES[[#This Row],[FECHA DE PAGO]]-PROVEEDORES[[#This Row],[FECHA DE FACTURACIÓN]])&gt;PROVEEDORES[[#This Row],[PLAZO Días]],"PAGO VENCIDO")</f>
        <v>0</v>
      </c>
      <c r="C1104" s="27">
        <f>+VLOOKUP(PROVEEDORES[[#This Row],[PROVEEDOR]],TERCEROS_INFO[#All],2,FALSE)</f>
        <v>20</v>
      </c>
      <c r="D1104" s="37">
        <f>+SUMIFS(PROVEEDORES[Total],PROVEEDORES[PROVEEDOR],PROVEEDORES[[#This Row],[PROVEEDOR]],PROVEEDORES[FECHA DE PAGO],"")</f>
        <v>944086</v>
      </c>
      <c r="E1104" s="37"/>
      <c r="F1104" s="108" t="str">
        <f>+VLOOKUP(PROVEEDORES[[#This Row],[PROVEEDOR]],TERCEROS_INFO[[PROVEEDOR]:[CORREO]],5,FALSE)</f>
        <v>pse</v>
      </c>
      <c r="H1104" s="57" t="s">
        <v>677</v>
      </c>
      <c r="I1104" s="30">
        <v>44562</v>
      </c>
      <c r="J1104" s="58"/>
      <c r="K1104" s="32">
        <v>944086</v>
      </c>
      <c r="L1104" s="32"/>
      <c r="M1104" s="33">
        <f>(PROVEEDORES[[#This Row],[SUBTOTAL]]-PROVEEDORES[[#This Row],[descuento antes de IVA]])*VLOOKUP(PROVEEDORES[[#This Row],[PROVEEDOR]],TERCEROS_INFO[#All],3,FALSE)</f>
        <v>0</v>
      </c>
      <c r="N1104" s="34"/>
      <c r="O1104" s="33">
        <f>+PROVEEDORES[[#This Row],[Descuento sobre subtotal %]]*(PROVEEDORES[[#This Row],[SUBTOTAL]]-PROVEEDORES[[#This Row],[descuento antes de IVA]])</f>
        <v>0</v>
      </c>
      <c r="P11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4" s="33">
        <f>+(PROVEEDORES[[#This Row],[SUBTOTAL]]-PROVEEDORES[[#This Row],[descuento antes de IVA]])*PROVEEDORES[[#This Row],[Rete Fuente %]]</f>
        <v>0</v>
      </c>
      <c r="R1104" s="32">
        <f>+PROVEEDORES[[#This Row],[SUBTOTAL]]+PROVEEDORES[[#This Row],[IVA 19%]]-PROVEEDORES[[#This Row],[descuento antes de IVA]]-PROVEEDORES[[#This Row],[Descuento sobre subtotal $]]-PROVEEDORES[[#This Row],[Rete Fuente $]]</f>
        <v>944086</v>
      </c>
      <c r="S1104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05" spans="1:19" ht="21.95" hidden="1" customHeight="1" x14ac:dyDescent="0.25">
      <c r="A1105" s="111" t="str">
        <f>+IF(PROVEEDORES[[#This Row],[FECHA DE PAGO]]=PROVEEDORES[[#This Row],[FECHA DE FACTURACIÓN]],"DE CONTADO","CRÉDITO")</f>
        <v>CRÉDITO</v>
      </c>
      <c r="B1105" s="70" t="b">
        <f>+IF((PROVEEDORES[[#This Row],[FECHA DE PAGO]]-PROVEEDORES[[#This Row],[FECHA DE FACTURACIÓN]])&gt;PROVEEDORES[[#This Row],[PLAZO Días]],"PAGO VENCIDO")</f>
        <v>0</v>
      </c>
      <c r="C1105" s="27">
        <f>+VLOOKUP(PROVEEDORES[[#This Row],[PROVEEDOR]],TERCEROS_INFO[#All],2,FALSE)</f>
        <v>20</v>
      </c>
      <c r="D1105" s="37">
        <f>+SUMIFS(PROVEEDORES[Total],PROVEEDORES[PROVEEDOR],PROVEEDORES[[#This Row],[PROVEEDOR]],PROVEEDORES[FECHA DE PAGO],"")</f>
        <v>0</v>
      </c>
      <c r="E1105" s="37"/>
      <c r="F1105" s="108" t="str">
        <f>+VLOOKUP(PROVEEDORES[[#This Row],[PROVEEDOR]],TERCEROS_INFO[[PROVEEDOR]:[CORREO]],5,FALSE)</f>
        <v>pse</v>
      </c>
      <c r="G1105" s="143">
        <v>44334</v>
      </c>
      <c r="H1105" s="38" t="s">
        <v>676</v>
      </c>
      <c r="I1105" s="30">
        <v>44317</v>
      </c>
      <c r="J1105" s="58"/>
      <c r="K1105" s="32">
        <v>356260</v>
      </c>
      <c r="L1105" s="32"/>
      <c r="M1105" s="33">
        <f>(PROVEEDORES[[#This Row],[SUBTOTAL]]-PROVEEDORES[[#This Row],[descuento antes de IVA]])*VLOOKUP(PROVEEDORES[[#This Row],[PROVEEDOR]],TERCEROS_INFO[#All],3,FALSE)</f>
        <v>0</v>
      </c>
      <c r="N1105" s="34"/>
      <c r="O1105" s="33">
        <f>+PROVEEDORES[[#This Row],[Descuento sobre subtotal %]]*(PROVEEDORES[[#This Row],[SUBTOTAL]]-PROVEEDORES[[#This Row],[descuento antes de IVA]])</f>
        <v>0</v>
      </c>
      <c r="P11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5" s="33">
        <f>+(PROVEEDORES[[#This Row],[SUBTOTAL]]-PROVEEDORES[[#This Row],[descuento antes de IVA]])*PROVEEDORES[[#This Row],[Rete Fuente %]]</f>
        <v>0</v>
      </c>
      <c r="R1105" s="32">
        <f>+PROVEEDORES[[#This Row],[SUBTOTAL]]+PROVEEDORES[[#This Row],[IVA 19%]]-PROVEEDORES[[#This Row],[descuento antes de IVA]]-PROVEEDORES[[#This Row],[Descuento sobre subtotal $]]-PROVEEDORES[[#This Row],[Rete Fuente $]]</f>
        <v>356260</v>
      </c>
      <c r="S1105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6" spans="1:19" ht="21.95" hidden="1" customHeight="1" x14ac:dyDescent="0.25">
      <c r="A1106" s="124" t="str">
        <f>+IF(PROVEEDORES[[#This Row],[FECHA DE PAGO]]=PROVEEDORES[[#This Row],[FECHA DE FACTURACIÓN]],"DE CONTADO","CRÉDITO")</f>
        <v>CRÉDITO</v>
      </c>
      <c r="B1106" s="70" t="b">
        <f>+IF((PROVEEDORES[[#This Row],[FECHA DE PAGO]]-PROVEEDORES[[#This Row],[FECHA DE FACTURACIÓN]])&gt;PROVEEDORES[[#This Row],[PLAZO Días]],"PAGO VENCIDO")</f>
        <v>0</v>
      </c>
      <c r="C1106" s="27">
        <f>+VLOOKUP(PROVEEDORES[[#This Row],[PROVEEDOR]],TERCEROS_INFO[#All],2,FALSE)</f>
        <v>20</v>
      </c>
      <c r="D1106" s="37">
        <f>+SUMIFS(PROVEEDORES[Total],PROVEEDORES[PROVEEDOR],PROVEEDORES[[#This Row],[PROVEEDOR]],PROVEEDORES[FECHA DE PAGO],"")</f>
        <v>0</v>
      </c>
      <c r="E1106" s="37"/>
      <c r="F1106" s="108" t="str">
        <f>+VLOOKUP(PROVEEDORES[[#This Row],[PROVEEDOR]],TERCEROS_INFO[[PROVEEDOR]:[CORREO]],5,FALSE)</f>
        <v>pse</v>
      </c>
      <c r="G1106" s="143">
        <v>44365</v>
      </c>
      <c r="H1106" s="38" t="s">
        <v>676</v>
      </c>
      <c r="I1106" s="30">
        <v>44348</v>
      </c>
      <c r="J1106" s="58"/>
      <c r="K1106" s="32">
        <v>326232</v>
      </c>
      <c r="L1106" s="32"/>
      <c r="M1106" s="33">
        <f>(PROVEEDORES[[#This Row],[SUBTOTAL]]-PROVEEDORES[[#This Row],[descuento antes de IVA]])*VLOOKUP(PROVEEDORES[[#This Row],[PROVEEDOR]],TERCEROS_INFO[#All],3,FALSE)</f>
        <v>0</v>
      </c>
      <c r="N1106" s="34"/>
      <c r="O1106" s="33">
        <f>+PROVEEDORES[[#This Row],[Descuento sobre subtotal %]]*(PROVEEDORES[[#This Row],[SUBTOTAL]]-PROVEEDORES[[#This Row],[descuento antes de IVA]])</f>
        <v>0</v>
      </c>
      <c r="P11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6" s="33">
        <f>+(PROVEEDORES[[#This Row],[SUBTOTAL]]-PROVEEDORES[[#This Row],[descuento antes de IVA]])*PROVEEDORES[[#This Row],[Rete Fuente %]]</f>
        <v>0</v>
      </c>
      <c r="R1106" s="32">
        <f>+PROVEEDORES[[#This Row],[SUBTOTAL]]+PROVEEDORES[[#This Row],[IVA 19%]]-PROVEEDORES[[#This Row],[descuento antes de IVA]]-PROVEEDORES[[#This Row],[Descuento sobre subtotal $]]-PROVEEDORES[[#This Row],[Rete Fuente $]]</f>
        <v>326232</v>
      </c>
      <c r="S1106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7" spans="1:19" ht="21.95" hidden="1" customHeight="1" x14ac:dyDescent="0.25">
      <c r="A1107" s="134" t="str">
        <f>+IF(PROVEEDORES[[#This Row],[FECHA DE PAGO]]=PROVEEDORES[[#This Row],[FECHA DE FACTURACIÓN]],"DE CONTADO","CRÉDITO")</f>
        <v>CRÉDITO</v>
      </c>
      <c r="B1107" s="70" t="str">
        <f>+IF((PROVEEDORES[[#This Row],[FECHA DE PAGO]]-PROVEEDORES[[#This Row],[FECHA DE FACTURACIÓN]])&gt;PROVEEDORES[[#This Row],[PLAZO Días]],"PAGO VENCIDO")</f>
        <v>PAGO VENCIDO</v>
      </c>
      <c r="C1107" s="27">
        <f>+VLOOKUP(PROVEEDORES[[#This Row],[PROVEEDOR]],TERCEROS_INFO[#All],2,FALSE)</f>
        <v>20</v>
      </c>
      <c r="D1107" s="37">
        <f>+SUMIFS(PROVEEDORES[Total],PROVEEDORES[PROVEEDOR],PROVEEDORES[[#This Row],[PROVEEDOR]],PROVEEDORES[FECHA DE PAGO],"")</f>
        <v>0</v>
      </c>
      <c r="E1107" s="37"/>
      <c r="F1107" s="108" t="str">
        <f>+VLOOKUP(PROVEEDORES[[#This Row],[PROVEEDOR]],TERCEROS_INFO[[PROVEEDOR]:[CORREO]],5,FALSE)</f>
        <v>pse</v>
      </c>
      <c r="G1107" s="143">
        <v>44399</v>
      </c>
      <c r="H1107" s="38" t="s">
        <v>676</v>
      </c>
      <c r="I1107" s="30">
        <v>44378</v>
      </c>
      <c r="J1107" s="58"/>
      <c r="K1107" s="32">
        <v>326232</v>
      </c>
      <c r="L1107" s="32"/>
      <c r="M1107" s="33">
        <f>(PROVEEDORES[[#This Row],[SUBTOTAL]]-PROVEEDORES[[#This Row],[descuento antes de IVA]])*VLOOKUP(PROVEEDORES[[#This Row],[PROVEEDOR]],TERCEROS_INFO[#All],3,FALSE)</f>
        <v>0</v>
      </c>
      <c r="N1107" s="34"/>
      <c r="O1107" s="33">
        <f>+PROVEEDORES[[#This Row],[Descuento sobre subtotal %]]*(PROVEEDORES[[#This Row],[SUBTOTAL]]-PROVEEDORES[[#This Row],[descuento antes de IVA]])</f>
        <v>0</v>
      </c>
      <c r="P11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7" s="33">
        <f>+(PROVEEDORES[[#This Row],[SUBTOTAL]]-PROVEEDORES[[#This Row],[descuento antes de IVA]])*PROVEEDORES[[#This Row],[Rete Fuente %]]</f>
        <v>0</v>
      </c>
      <c r="R1107" s="32">
        <f>+PROVEEDORES[[#This Row],[SUBTOTAL]]+PROVEEDORES[[#This Row],[IVA 19%]]-PROVEEDORES[[#This Row],[descuento antes de IVA]]-PROVEEDORES[[#This Row],[Descuento sobre subtotal $]]-PROVEEDORES[[#This Row],[Rete Fuente $]]</f>
        <v>326232</v>
      </c>
      <c r="S1107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8" spans="1:19" ht="21.95" hidden="1" customHeight="1" x14ac:dyDescent="0.25">
      <c r="A1108" s="141" t="str">
        <f>+IF(PROVEEDORES[[#This Row],[FECHA DE PAGO]]=PROVEEDORES[[#This Row],[FECHA DE FACTURACIÓN]],"DE CONTADO","CRÉDITO")</f>
        <v>CRÉDITO</v>
      </c>
      <c r="B1108" s="70" t="b">
        <f>+IF((PROVEEDORES[[#This Row],[FECHA DE PAGO]]-PROVEEDORES[[#This Row],[FECHA DE FACTURACIÓN]])&gt;PROVEEDORES[[#This Row],[PLAZO Días]],"PAGO VENCIDO")</f>
        <v>0</v>
      </c>
      <c r="C1108" s="27">
        <f>+VLOOKUP(PROVEEDORES[[#This Row],[PROVEEDOR]],TERCEROS_INFO[#All],2,FALSE)</f>
        <v>20</v>
      </c>
      <c r="D1108" s="37">
        <f>+SUMIFS(PROVEEDORES[Total],PROVEEDORES[PROVEEDOR],PROVEEDORES[[#This Row],[PROVEEDOR]],PROVEEDORES[FECHA DE PAGO],"")</f>
        <v>0</v>
      </c>
      <c r="E1108" s="37"/>
      <c r="F1108" s="108" t="str">
        <f>+VLOOKUP(PROVEEDORES[[#This Row],[PROVEEDOR]],TERCEROS_INFO[[PROVEEDOR]:[CORREO]],5,FALSE)</f>
        <v>pse</v>
      </c>
      <c r="G1108" s="143">
        <v>44425</v>
      </c>
      <c r="H1108" s="57" t="s">
        <v>676</v>
      </c>
      <c r="I1108" s="30">
        <v>44409</v>
      </c>
      <c r="J1108" s="58"/>
      <c r="K1108" s="32">
        <v>326232</v>
      </c>
      <c r="L1108" s="32"/>
      <c r="M1108" s="33">
        <f>(PROVEEDORES[[#This Row],[SUBTOTAL]]-PROVEEDORES[[#This Row],[descuento antes de IVA]])*VLOOKUP(PROVEEDORES[[#This Row],[PROVEEDOR]],TERCEROS_INFO[#All],3,FALSE)</f>
        <v>0</v>
      </c>
      <c r="N1108" s="34"/>
      <c r="O1108" s="33">
        <f>+PROVEEDORES[[#This Row],[Descuento sobre subtotal %]]*(PROVEEDORES[[#This Row],[SUBTOTAL]]-PROVEEDORES[[#This Row],[descuento antes de IVA]])</f>
        <v>0</v>
      </c>
      <c r="P11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8" s="33">
        <f>+(PROVEEDORES[[#This Row],[SUBTOTAL]]-PROVEEDORES[[#This Row],[descuento antes de IVA]])*PROVEEDORES[[#This Row],[Rete Fuente %]]</f>
        <v>0</v>
      </c>
      <c r="R1108" s="32">
        <f>+PROVEEDORES[[#This Row],[SUBTOTAL]]+PROVEEDORES[[#This Row],[IVA 19%]]-PROVEEDORES[[#This Row],[descuento antes de IVA]]-PROVEEDORES[[#This Row],[Descuento sobre subtotal $]]-PROVEEDORES[[#This Row],[Rete Fuente $]]</f>
        <v>326232</v>
      </c>
      <c r="S1108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9" spans="1:19" ht="21.95" hidden="1" customHeight="1" x14ac:dyDescent="0.25">
      <c r="A1109" s="151" t="str">
        <f>+IF(PROVEEDORES[[#This Row],[FECHA DE PAGO]]=PROVEEDORES[[#This Row],[FECHA DE FACTURACIÓN]],"DE CONTADO","CRÉDITO")</f>
        <v>CRÉDITO</v>
      </c>
      <c r="B1109" s="70" t="b">
        <f>+IF((PROVEEDORES[[#This Row],[FECHA DE PAGO]]-PROVEEDORES[[#This Row],[FECHA DE FACTURACIÓN]])&gt;PROVEEDORES[[#This Row],[PLAZO Días]],"PAGO VENCIDO")</f>
        <v>0</v>
      </c>
      <c r="C1109" s="27">
        <f>+VLOOKUP(PROVEEDORES[[#This Row],[PROVEEDOR]],TERCEROS_INFO[#All],2,FALSE)</f>
        <v>20</v>
      </c>
      <c r="D1109" s="37">
        <f>+SUMIFS(PROVEEDORES[Total],PROVEEDORES[PROVEEDOR],PROVEEDORES[[#This Row],[PROVEEDOR]],PROVEEDORES[FECHA DE PAGO],"")</f>
        <v>0</v>
      </c>
      <c r="E1109" s="37"/>
      <c r="F1109" s="108" t="str">
        <f>+VLOOKUP(PROVEEDORES[[#This Row],[PROVEEDOR]],TERCEROS_INFO[[PROVEEDOR]:[CORREO]],5,FALSE)</f>
        <v>pse</v>
      </c>
      <c r="G1109" s="143">
        <v>44456</v>
      </c>
      <c r="H1109" s="57" t="s">
        <v>676</v>
      </c>
      <c r="I1109" s="30">
        <v>44440</v>
      </c>
      <c r="J1109" s="58"/>
      <c r="K1109" s="32">
        <v>326232</v>
      </c>
      <c r="L1109" s="32"/>
      <c r="M1109" s="33">
        <f>(PROVEEDORES[[#This Row],[SUBTOTAL]]-PROVEEDORES[[#This Row],[descuento antes de IVA]])*VLOOKUP(PROVEEDORES[[#This Row],[PROVEEDOR]],TERCEROS_INFO[#All],3,FALSE)</f>
        <v>0</v>
      </c>
      <c r="N1109" s="34"/>
      <c r="O1109" s="33">
        <f>+PROVEEDORES[[#This Row],[Descuento sobre subtotal %]]*(PROVEEDORES[[#This Row],[SUBTOTAL]]-PROVEEDORES[[#This Row],[descuento antes de IVA]])</f>
        <v>0</v>
      </c>
      <c r="P11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09" s="33">
        <f>+(PROVEEDORES[[#This Row],[SUBTOTAL]]-PROVEEDORES[[#This Row],[descuento antes de IVA]])*PROVEEDORES[[#This Row],[Rete Fuente %]]</f>
        <v>0</v>
      </c>
      <c r="R1109" s="32">
        <f>+PROVEEDORES[[#This Row],[SUBTOTAL]]+PROVEEDORES[[#This Row],[IVA 19%]]-PROVEEDORES[[#This Row],[descuento antes de IVA]]-PROVEEDORES[[#This Row],[Descuento sobre subtotal $]]-PROVEEDORES[[#This Row],[Rete Fuente $]]</f>
        <v>326232</v>
      </c>
      <c r="S1109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0" spans="1:19" ht="21.95" hidden="1" customHeight="1" x14ac:dyDescent="0.25">
      <c r="A1110" s="156" t="str">
        <f>+IF(PROVEEDORES[[#This Row],[FECHA DE PAGO]]=PROVEEDORES[[#This Row],[FECHA DE FACTURACIÓN]],"DE CONTADO","CRÉDITO")</f>
        <v>CRÉDITO</v>
      </c>
      <c r="B1110" s="70" t="b">
        <f>+IF((PROVEEDORES[[#This Row],[FECHA DE PAGO]]-PROVEEDORES[[#This Row],[FECHA DE FACTURACIÓN]])&gt;PROVEEDORES[[#This Row],[PLAZO Días]],"PAGO VENCIDO")</f>
        <v>0</v>
      </c>
      <c r="C1110" s="27">
        <f>+VLOOKUP(PROVEEDORES[[#This Row],[PROVEEDOR]],TERCEROS_INFO[#All],2,FALSE)</f>
        <v>20</v>
      </c>
      <c r="D1110" s="37">
        <f>+SUMIFS(PROVEEDORES[Total],PROVEEDORES[PROVEEDOR],PROVEEDORES[[#This Row],[PROVEEDOR]],PROVEEDORES[FECHA DE PAGO],"")</f>
        <v>0</v>
      </c>
      <c r="E1110" s="37"/>
      <c r="F1110" s="108" t="str">
        <f>+VLOOKUP(PROVEEDORES[[#This Row],[PROVEEDOR]],TERCEROS_INFO[[PROVEEDOR]:[CORREO]],5,FALSE)</f>
        <v>pse</v>
      </c>
      <c r="G1110" s="143">
        <v>44484</v>
      </c>
      <c r="H1110" s="57" t="s">
        <v>676</v>
      </c>
      <c r="I1110" s="30">
        <v>44470</v>
      </c>
      <c r="J1110" s="58"/>
      <c r="K1110" s="32">
        <v>329148</v>
      </c>
      <c r="L1110" s="32"/>
      <c r="M1110" s="33">
        <f>(PROVEEDORES[[#This Row],[SUBTOTAL]]-PROVEEDORES[[#This Row],[descuento antes de IVA]])*VLOOKUP(PROVEEDORES[[#This Row],[PROVEEDOR]],TERCEROS_INFO[#All],3,FALSE)</f>
        <v>0</v>
      </c>
      <c r="N1110" s="34"/>
      <c r="O1110" s="33">
        <f>+PROVEEDORES[[#This Row],[Descuento sobre subtotal %]]*(PROVEEDORES[[#This Row],[SUBTOTAL]]-PROVEEDORES[[#This Row],[descuento antes de IVA]])</f>
        <v>0</v>
      </c>
      <c r="P11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10" s="33">
        <f>+(PROVEEDORES[[#This Row],[SUBTOTAL]]-PROVEEDORES[[#This Row],[descuento antes de IVA]])*PROVEEDORES[[#This Row],[Rete Fuente %]]</f>
        <v>0</v>
      </c>
      <c r="R1110" s="32">
        <f>+PROVEEDORES[[#This Row],[SUBTOTAL]]+PROVEEDORES[[#This Row],[IVA 19%]]-PROVEEDORES[[#This Row],[descuento antes de IVA]]-PROVEEDORES[[#This Row],[Descuento sobre subtotal $]]-PROVEEDORES[[#This Row],[Rete Fuente $]]</f>
        <v>329148</v>
      </c>
      <c r="S1110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1" spans="1:19" ht="21.95" hidden="1" customHeight="1" x14ac:dyDescent="0.25">
      <c r="A1111" s="164" t="str">
        <f>+IF(PROVEEDORES[[#This Row],[FECHA DE PAGO]]=PROVEEDORES[[#This Row],[FECHA DE FACTURACIÓN]],"DE CONTADO","CRÉDITO")</f>
        <v>CRÉDITO</v>
      </c>
      <c r="B1111" s="70" t="b">
        <f>+IF((PROVEEDORES[[#This Row],[FECHA DE PAGO]]-PROVEEDORES[[#This Row],[FECHA DE FACTURACIÓN]])&gt;PROVEEDORES[[#This Row],[PLAZO Días]],"PAGO VENCIDO")</f>
        <v>0</v>
      </c>
      <c r="C1111" s="27">
        <f>+VLOOKUP(PROVEEDORES[[#This Row],[PROVEEDOR]],TERCEROS_INFO[#All],2,FALSE)</f>
        <v>20</v>
      </c>
      <c r="D1111" s="37">
        <f>+SUMIFS(PROVEEDORES[Total],PROVEEDORES[PROVEEDOR],PROVEEDORES[[#This Row],[PROVEEDOR]],PROVEEDORES[FECHA DE PAGO],"")</f>
        <v>0</v>
      </c>
      <c r="E1111" s="37"/>
      <c r="F1111" s="108" t="str">
        <f>+VLOOKUP(PROVEEDORES[[#This Row],[PROVEEDOR]],TERCEROS_INFO[[PROVEEDOR]:[CORREO]],5,FALSE)</f>
        <v>pse</v>
      </c>
      <c r="G1111" s="143">
        <v>44516</v>
      </c>
      <c r="H1111" s="57" t="s">
        <v>676</v>
      </c>
      <c r="I1111" s="30">
        <v>44501</v>
      </c>
      <c r="J1111" s="58"/>
      <c r="K1111" s="32">
        <v>326243</v>
      </c>
      <c r="L1111" s="32"/>
      <c r="M1111" s="33">
        <f>(PROVEEDORES[[#This Row],[SUBTOTAL]]-PROVEEDORES[[#This Row],[descuento antes de IVA]])*VLOOKUP(PROVEEDORES[[#This Row],[PROVEEDOR]],TERCEROS_INFO[#All],3,FALSE)</f>
        <v>0</v>
      </c>
      <c r="N1111" s="34"/>
      <c r="O1111" s="33">
        <f>+PROVEEDORES[[#This Row],[Descuento sobre subtotal %]]*(PROVEEDORES[[#This Row],[SUBTOTAL]]-PROVEEDORES[[#This Row],[descuento antes de IVA]])</f>
        <v>0</v>
      </c>
      <c r="P11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11" s="33">
        <f>+(PROVEEDORES[[#This Row],[SUBTOTAL]]-PROVEEDORES[[#This Row],[descuento antes de IVA]])*PROVEEDORES[[#This Row],[Rete Fuente %]]</f>
        <v>0</v>
      </c>
      <c r="R1111" s="32">
        <f>+PROVEEDORES[[#This Row],[SUBTOTAL]]+PROVEEDORES[[#This Row],[IVA 19%]]-PROVEEDORES[[#This Row],[descuento antes de IVA]]-PROVEEDORES[[#This Row],[Descuento sobre subtotal $]]-PROVEEDORES[[#This Row],[Rete Fuente $]]</f>
        <v>326243</v>
      </c>
      <c r="S1111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2" spans="1:19" ht="21.95" hidden="1" customHeight="1" x14ac:dyDescent="0.25">
      <c r="A1112" s="169" t="str">
        <f>+IF(PROVEEDORES[[#This Row],[FECHA DE PAGO]]=PROVEEDORES[[#This Row],[FECHA DE FACTURACIÓN]],"DE CONTADO","CRÉDITO")</f>
        <v>CRÉDITO</v>
      </c>
      <c r="B1112" s="70" t="str">
        <f>+IF((PROVEEDORES[[#This Row],[FECHA DE PAGO]]-PROVEEDORES[[#This Row],[FECHA DE FACTURACIÓN]])&gt;PROVEEDORES[[#This Row],[PLAZO Días]],"PAGO VENCIDO")</f>
        <v>PAGO VENCIDO</v>
      </c>
      <c r="C1112" s="27">
        <f>+VLOOKUP(PROVEEDORES[[#This Row],[PROVEEDOR]],TERCEROS_INFO[#All],2,FALSE)</f>
        <v>20</v>
      </c>
      <c r="D1112" s="37">
        <f>+SUMIFS(PROVEEDORES[Total],PROVEEDORES[PROVEEDOR],PROVEEDORES[[#This Row],[PROVEEDOR]],PROVEEDORES[FECHA DE PAGO],"")</f>
        <v>0</v>
      </c>
      <c r="E1112" s="37"/>
      <c r="F1112" s="108" t="str">
        <f>+VLOOKUP(PROVEEDORES[[#This Row],[PROVEEDOR]],TERCEROS_INFO[[PROVEEDOR]:[CORREO]],5,FALSE)</f>
        <v>pse</v>
      </c>
      <c r="G1112" s="143">
        <v>44554</v>
      </c>
      <c r="H1112" s="57" t="s">
        <v>676</v>
      </c>
      <c r="I1112" s="30">
        <v>44531</v>
      </c>
      <c r="J1112" s="58"/>
      <c r="K1112" s="32">
        <v>326243</v>
      </c>
      <c r="L1112" s="32"/>
      <c r="M1112" s="33">
        <f>(PROVEEDORES[[#This Row],[SUBTOTAL]]-PROVEEDORES[[#This Row],[descuento antes de IVA]])*VLOOKUP(PROVEEDORES[[#This Row],[PROVEEDOR]],TERCEROS_INFO[#All],3,FALSE)</f>
        <v>0</v>
      </c>
      <c r="N1112" s="34"/>
      <c r="O1112" s="33">
        <f>+PROVEEDORES[[#This Row],[Descuento sobre subtotal %]]*(PROVEEDORES[[#This Row],[SUBTOTAL]]-PROVEEDORES[[#This Row],[descuento antes de IVA]])</f>
        <v>0</v>
      </c>
      <c r="P11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12" s="33">
        <f>+(PROVEEDORES[[#This Row],[SUBTOTAL]]-PROVEEDORES[[#This Row],[descuento antes de IVA]])*PROVEEDORES[[#This Row],[Rete Fuente %]]</f>
        <v>0</v>
      </c>
      <c r="R1112" s="32">
        <f>+PROVEEDORES[[#This Row],[SUBTOTAL]]+PROVEEDORES[[#This Row],[IVA 19%]]-PROVEEDORES[[#This Row],[descuento antes de IVA]]-PROVEEDORES[[#This Row],[Descuento sobre subtotal $]]-PROVEEDORES[[#This Row],[Rete Fuente $]]</f>
        <v>326243</v>
      </c>
      <c r="S1112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3" spans="1:19" ht="21.95" hidden="1" customHeight="1" x14ac:dyDescent="0.25">
      <c r="A1113" s="107" t="str">
        <f>+IF(PROVEEDORES[[#This Row],[FECHA DE PAGO]]=PROVEEDORES[[#This Row],[FECHA DE FACTURACIÓN]],"DE CONTADO","CRÉDITO")</f>
        <v>CRÉDITO</v>
      </c>
      <c r="B1113" s="70" t="b">
        <f>+IF((PROVEEDORES[[#This Row],[FECHA DE PAGO]]-PROVEEDORES[[#This Row],[FECHA DE FACTURACIÓN]])&gt;PROVEEDORES[[#This Row],[PLAZO Días]],"PAGO VENCIDO")</f>
        <v>0</v>
      </c>
      <c r="C1113" s="27">
        <f>+VLOOKUP(PROVEEDORES[[#This Row],[PROVEEDOR]],TERCEROS_INFO[#All],2,FALSE)</f>
        <v>30</v>
      </c>
      <c r="D1113" s="37">
        <f>+SUMIFS(PROVEEDORES[Total],PROVEEDORES[PROVEEDOR],PROVEEDORES[[#This Row],[PROVEEDOR]],PROVEEDORES[FECHA DE PAGO],"")</f>
        <v>5116650</v>
      </c>
      <c r="E1113" s="37"/>
      <c r="F1113" s="108" t="str">
        <f>+VLOOKUP(PROVEEDORES[[#This Row],[PROVEEDOR]],TERCEROS_INFO[[PROVEEDOR]:[CORREO]],5,FALSE)</f>
        <v>CBastidas@vyp.com.co;girlesa.ruiz@servipilas.com;joriescobar64@gmail.com</v>
      </c>
      <c r="G1113" s="143">
        <v>44250</v>
      </c>
      <c r="H1113" s="38" t="s">
        <v>647</v>
      </c>
      <c r="I1113" s="30">
        <v>44228</v>
      </c>
      <c r="J1113" s="58">
        <v>38129</v>
      </c>
      <c r="K1113" s="32">
        <v>3488000</v>
      </c>
      <c r="L1113" s="32"/>
      <c r="M1113" s="33">
        <f>(PROVEEDORES[[#This Row],[SUBTOTAL]]-PROVEEDORES[[#This Row],[descuento antes de IVA]])*VLOOKUP(PROVEEDORES[[#This Row],[PROVEEDOR]],TERCEROS_INFO[#All],3,FALSE)</f>
        <v>662720</v>
      </c>
      <c r="N1113" s="34"/>
      <c r="O1113" s="33">
        <f>+PROVEEDORES[[#This Row],[Descuento sobre subtotal %]]*(PROVEEDORES[[#This Row],[SUBTOTAL]]-PROVEEDORES[[#This Row],[descuento antes de IVA]])</f>
        <v>0</v>
      </c>
      <c r="P11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13" s="33">
        <f>+(PROVEEDORES[[#This Row],[SUBTOTAL]]-PROVEEDORES[[#This Row],[descuento antes de IVA]])*PROVEEDORES[[#This Row],[Rete Fuente %]]</f>
        <v>122080.00000000001</v>
      </c>
      <c r="R1113" s="32">
        <f>+PROVEEDORES[[#This Row],[SUBTOTAL]]+PROVEEDORES[[#This Row],[IVA 19%]]-PROVEEDORES[[#This Row],[descuento antes de IVA]]-PROVEEDORES[[#This Row],[Descuento sobre subtotal $]]-PROVEEDORES[[#This Row],[Rete Fuente $]]</f>
        <v>4028640</v>
      </c>
      <c r="S1113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4" spans="1:19" ht="21.95" hidden="1" customHeight="1" x14ac:dyDescent="0.25">
      <c r="A1114" s="107" t="str">
        <f>+IF(PROVEEDORES[[#This Row],[FECHA DE PAGO]]=PROVEEDORES[[#This Row],[FECHA DE FACTURACIÓN]],"DE CONTADO","CRÉDITO")</f>
        <v>CRÉDITO</v>
      </c>
      <c r="B1114" s="70" t="b">
        <f>+IF((PROVEEDORES[[#This Row],[FECHA DE PAGO]]-PROVEEDORES[[#This Row],[FECHA DE FACTURACIÓN]])&gt;PROVEEDORES[[#This Row],[PLAZO Días]],"PAGO VENCIDO")</f>
        <v>0</v>
      </c>
      <c r="C1114" s="27">
        <f>+VLOOKUP(PROVEEDORES[[#This Row],[PROVEEDOR]],TERCEROS_INFO[#All],2,FALSE)</f>
        <v>30</v>
      </c>
      <c r="D1114" s="37">
        <f>+SUMIFS(PROVEEDORES[Total],PROVEEDORES[PROVEEDOR],PROVEEDORES[[#This Row],[PROVEEDOR]],PROVEEDORES[FECHA DE PAGO],"")</f>
        <v>5116650</v>
      </c>
      <c r="E1114" s="37"/>
      <c r="F1114" s="108" t="str">
        <f>+VLOOKUP(PROVEEDORES[[#This Row],[PROVEEDOR]],TERCEROS_INFO[[PROVEEDOR]:[CORREO]],5,FALSE)</f>
        <v>CBastidas@vyp.com.co;girlesa.ruiz@servipilas.com;joriescobar64@gmail.com</v>
      </c>
      <c r="G1114" s="143">
        <v>44280</v>
      </c>
      <c r="H1114" s="38" t="s">
        <v>647</v>
      </c>
      <c r="I1114" s="30">
        <v>44251</v>
      </c>
      <c r="J1114" s="58" t="s">
        <v>511</v>
      </c>
      <c r="K1114" s="32">
        <v>-174400</v>
      </c>
      <c r="L1114" s="32"/>
      <c r="M1114" s="33">
        <f>(PROVEEDORES[[#This Row],[SUBTOTAL]]-PROVEEDORES[[#This Row],[descuento antes de IVA]])*VLOOKUP(PROVEEDORES[[#This Row],[PROVEEDOR]],TERCEROS_INFO[#All],3,FALSE)</f>
        <v>-33136</v>
      </c>
      <c r="N1114" s="34"/>
      <c r="O1114" s="33">
        <f>+PROVEEDORES[[#This Row],[Descuento sobre subtotal %]]*(PROVEEDORES[[#This Row],[SUBTOTAL]]-PROVEEDORES[[#This Row],[descuento antes de IVA]])</f>
        <v>0</v>
      </c>
      <c r="P1114" s="34">
        <v>3.5000000000000003E-2</v>
      </c>
      <c r="Q1114" s="33">
        <f>+(PROVEEDORES[[#This Row],[SUBTOTAL]]-PROVEEDORES[[#This Row],[descuento antes de IVA]])*PROVEEDORES[[#This Row],[Rete Fuente %]]</f>
        <v>-6104.0000000000009</v>
      </c>
      <c r="R1114" s="32">
        <f>+PROVEEDORES[[#This Row],[SUBTOTAL]]+PROVEEDORES[[#This Row],[IVA 19%]]-PROVEEDORES[[#This Row],[descuento antes de IVA]]-PROVEEDORES[[#This Row],[Descuento sobre subtotal $]]-PROVEEDORES[[#This Row],[Rete Fuente $]]</f>
        <v>-201432</v>
      </c>
      <c r="S1114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5" spans="1:19" ht="21.95" hidden="1" customHeight="1" x14ac:dyDescent="0.25">
      <c r="A1115" s="107" t="str">
        <f>+IF(PROVEEDORES[[#This Row],[FECHA DE PAGO]]=PROVEEDORES[[#This Row],[FECHA DE FACTURACIÓN]],"DE CONTADO","CRÉDITO")</f>
        <v>CRÉDITO</v>
      </c>
      <c r="B1115" s="70" t="b">
        <f>+IF((PROVEEDORES[[#This Row],[FECHA DE PAGO]]-PROVEEDORES[[#This Row],[FECHA DE FACTURACIÓN]])&gt;PROVEEDORES[[#This Row],[PLAZO Días]],"PAGO VENCIDO")</f>
        <v>0</v>
      </c>
      <c r="C1115" s="27">
        <f>+VLOOKUP(PROVEEDORES[[#This Row],[PROVEEDOR]],TERCEROS_INFO[#All],2,FALSE)</f>
        <v>30</v>
      </c>
      <c r="D1115" s="37">
        <f>+SUMIFS(PROVEEDORES[Total],PROVEEDORES[PROVEEDOR],PROVEEDORES[[#This Row],[PROVEEDOR]],PROVEEDORES[FECHA DE PAGO],"")</f>
        <v>5116650</v>
      </c>
      <c r="E1115" s="37"/>
      <c r="F1115" s="108" t="str">
        <f>+VLOOKUP(PROVEEDORES[[#This Row],[PROVEEDOR]],TERCEROS_INFO[[PROVEEDOR]:[CORREO]],5,FALSE)</f>
        <v>CBastidas@vyp.com.co;girlesa.ruiz@servipilas.com;joriescobar64@gmail.com</v>
      </c>
      <c r="G1115" s="143">
        <v>44280</v>
      </c>
      <c r="H1115" s="38" t="s">
        <v>647</v>
      </c>
      <c r="I1115" s="30">
        <v>44256</v>
      </c>
      <c r="J1115" s="58">
        <v>38432</v>
      </c>
      <c r="K1115" s="32">
        <v>3706000</v>
      </c>
      <c r="L1115" s="32"/>
      <c r="M1115" s="33">
        <f>(PROVEEDORES[[#This Row],[SUBTOTAL]]-PROVEEDORES[[#This Row],[descuento antes de IVA]])*VLOOKUP(PROVEEDORES[[#This Row],[PROVEEDOR]],TERCEROS_INFO[#All],3,FALSE)</f>
        <v>704140</v>
      </c>
      <c r="N1115" s="34"/>
      <c r="O1115" s="33">
        <v>214021</v>
      </c>
      <c r="P11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15" s="33">
        <f>+(PROVEEDORES[[#This Row],[SUBTOTAL]]-PROVEEDORES[[#This Row],[descuento antes de IVA]])*PROVEEDORES[[#This Row],[Rete Fuente %]]</f>
        <v>129710.00000000001</v>
      </c>
      <c r="R1115" s="32">
        <f>+PROVEEDORES[[#This Row],[SUBTOTAL]]+PROVEEDORES[[#This Row],[IVA 19%]]-PROVEEDORES[[#This Row],[descuento antes de IVA]]-PROVEEDORES[[#This Row],[Descuento sobre subtotal $]]-PROVEEDORES[[#This Row],[Rete Fuente $]]</f>
        <v>4066409</v>
      </c>
      <c r="S1115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6" spans="1:19" ht="21.95" hidden="1" customHeight="1" x14ac:dyDescent="0.25">
      <c r="A1116" s="107" t="str">
        <f>+IF(PROVEEDORES[[#This Row],[FECHA DE PAGO]]=PROVEEDORES[[#This Row],[FECHA DE FACTURACIÓN]],"DE CONTADO","CRÉDITO")</f>
        <v>CRÉDITO</v>
      </c>
      <c r="B1116" s="70" t="str">
        <f>+IF((PROVEEDORES[[#This Row],[FECHA DE PAGO]]-PROVEEDORES[[#This Row],[FECHA DE FACTURACIÓN]])&gt;PROVEEDORES[[#This Row],[PLAZO Días]],"PAGO VENCIDO")</f>
        <v>PAGO VENCIDO</v>
      </c>
      <c r="C1116" s="27">
        <f>+VLOOKUP(PROVEEDORES[[#This Row],[PROVEEDOR]],TERCEROS_INFO[#All],2,FALSE)</f>
        <v>30</v>
      </c>
      <c r="D1116" s="37">
        <f>+SUMIFS(PROVEEDORES[Total],PROVEEDORES[PROVEEDOR],PROVEEDORES[[#This Row],[PROVEEDOR]],PROVEEDORES[FECHA DE PAGO],"")</f>
        <v>5116650</v>
      </c>
      <c r="E1116" s="37"/>
      <c r="F1116" s="108" t="str">
        <f>+VLOOKUP(PROVEEDORES[[#This Row],[PROVEEDOR]],TERCEROS_INFO[[PROVEEDOR]:[CORREO]],5,FALSE)</f>
        <v>CBastidas@vyp.com.co;girlesa.ruiz@servipilas.com;joriescobar64@gmail.com</v>
      </c>
      <c r="G1116" s="143">
        <v>44496</v>
      </c>
      <c r="H1116" s="38" t="s">
        <v>647</v>
      </c>
      <c r="I1116" s="30">
        <v>44287</v>
      </c>
      <c r="J1116" s="58">
        <v>38743</v>
      </c>
      <c r="K1116" s="32">
        <v>4142000</v>
      </c>
      <c r="L1116" s="32"/>
      <c r="M1116" s="33">
        <f>(PROVEEDORES[[#This Row],[SUBTOTAL]]-PROVEEDORES[[#This Row],[descuento antes de IVA]])*VLOOKUP(PROVEEDORES[[#This Row],[PROVEEDOR]],TERCEROS_INFO[#All],3,FALSE)</f>
        <v>786980</v>
      </c>
      <c r="N1116" s="34"/>
      <c r="O1116" s="33">
        <f>+PROVEEDORES[[#This Row],[Descuento sobre subtotal %]]*(PROVEEDORES[[#This Row],[SUBTOTAL]]-PROVEEDORES[[#This Row],[descuento antes de IVA]])</f>
        <v>0</v>
      </c>
      <c r="P11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16" s="33">
        <f>+(PROVEEDORES[[#This Row],[SUBTOTAL]]-PROVEEDORES[[#This Row],[descuento antes de IVA]])*PROVEEDORES[[#This Row],[Rete Fuente %]]</f>
        <v>144970</v>
      </c>
      <c r="R1116" s="32">
        <f>+PROVEEDORES[[#This Row],[SUBTOTAL]]+PROVEEDORES[[#This Row],[IVA 19%]]-PROVEEDORES[[#This Row],[descuento antes de IVA]]-PROVEEDORES[[#This Row],[Descuento sobre subtotal $]]-PROVEEDORES[[#This Row],[Rete Fuente $]]</f>
        <v>4784010</v>
      </c>
      <c r="S1116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7" spans="1:19" ht="21.95" hidden="1" customHeight="1" x14ac:dyDescent="0.25">
      <c r="A1117" s="107" t="str">
        <f>+IF(PROVEEDORES[[#This Row],[FECHA DE PAGO]]=PROVEEDORES[[#This Row],[FECHA DE FACTURACIÓN]],"DE CONTADO","CRÉDITO")</f>
        <v>CRÉDITO</v>
      </c>
      <c r="B1117" s="70" t="b">
        <f>+IF((PROVEEDORES[[#This Row],[FECHA DE PAGO]]-PROVEEDORES[[#This Row],[FECHA DE FACTURACIÓN]])&gt;PROVEEDORES[[#This Row],[PLAZO Días]],"PAGO VENCIDO")</f>
        <v>0</v>
      </c>
      <c r="C1117" s="27">
        <f>+VLOOKUP(PROVEEDORES[[#This Row],[PROVEEDOR]],TERCEROS_INFO[#All],2,FALSE)</f>
        <v>30</v>
      </c>
      <c r="D1117" s="37">
        <f>+SUMIFS(PROVEEDORES[Total],PROVEEDORES[PROVEEDOR],PROVEEDORES[[#This Row],[PROVEEDOR]],PROVEEDORES[FECHA DE PAGO],"")</f>
        <v>5116650</v>
      </c>
      <c r="E1117" s="37"/>
      <c r="F1117" s="108" t="str">
        <f>+VLOOKUP(PROVEEDORES[[#This Row],[PROVEEDOR]],TERCEROS_INFO[[PROVEEDOR]:[CORREO]],5,FALSE)</f>
        <v>CBastidas@vyp.com.co;girlesa.ruiz@servipilas.com;joriescobar64@gmail.com</v>
      </c>
      <c r="G1117" s="143">
        <v>44341</v>
      </c>
      <c r="H1117" s="38" t="s">
        <v>647</v>
      </c>
      <c r="I1117" s="30">
        <v>44317</v>
      </c>
      <c r="J1117" s="58">
        <v>39048</v>
      </c>
      <c r="K1117" s="32">
        <v>3322500</v>
      </c>
      <c r="L1117" s="32"/>
      <c r="M1117" s="33">
        <f>(PROVEEDORES[[#This Row],[SUBTOTAL]]-PROVEEDORES[[#This Row],[descuento antes de IVA]])*VLOOKUP(PROVEEDORES[[#This Row],[PROVEEDOR]],TERCEROS_INFO[#All],3,FALSE)</f>
        <v>631275</v>
      </c>
      <c r="N1117" s="34"/>
      <c r="O1117" s="33">
        <f>+PROVEEDORES[[#This Row],[Descuento sobre subtotal %]]*(PROVEEDORES[[#This Row],[SUBTOTAL]]-PROVEEDORES[[#This Row],[descuento antes de IVA]])</f>
        <v>0</v>
      </c>
      <c r="P11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17" s="33">
        <f>+(PROVEEDORES[[#This Row],[SUBTOTAL]]-PROVEEDORES[[#This Row],[descuento antes de IVA]])*PROVEEDORES[[#This Row],[Rete Fuente %]]</f>
        <v>116287.50000000001</v>
      </c>
      <c r="R1117" s="32">
        <f>+PROVEEDORES[[#This Row],[SUBTOTAL]]+PROVEEDORES[[#This Row],[IVA 19%]]-PROVEEDORES[[#This Row],[descuento antes de IVA]]-PROVEEDORES[[#This Row],[Descuento sobre subtotal $]]-PROVEEDORES[[#This Row],[Rete Fuente $]]</f>
        <v>3837487.5</v>
      </c>
      <c r="S1117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8" spans="1:19" ht="21.95" hidden="1" customHeight="1" x14ac:dyDescent="0.25">
      <c r="A1118" s="35" t="str">
        <f>+IF(PROVEEDORES[[#This Row],[FECHA DE PAGO]]=PROVEEDORES[[#This Row],[FECHA DE FACTURACIÓN]],"DE CONTADO","CRÉDITO")</f>
        <v>CRÉDITO</v>
      </c>
      <c r="B1118" s="70" t="b">
        <f>+IF((PROVEEDORES[[#This Row],[FECHA DE PAGO]]-PROVEEDORES[[#This Row],[FECHA DE FACTURACIÓN]])&gt;PROVEEDORES[[#This Row],[PLAZO Días]],"PAGO VENCIDO")</f>
        <v>0</v>
      </c>
      <c r="C1118" s="27">
        <f>+VLOOKUP(PROVEEDORES[[#This Row],[PROVEEDOR]],TERCEROS_INFO[#All],2,FALSE)</f>
        <v>30</v>
      </c>
      <c r="D1118" s="37">
        <f>+SUMIFS(PROVEEDORES[Total],PROVEEDORES[PROVEEDOR],PROVEEDORES[[#This Row],[PROVEEDOR]],PROVEEDORES[FECHA DE PAGO],"")</f>
        <v>5116650</v>
      </c>
      <c r="E1118" s="112"/>
      <c r="F1118" s="108" t="str">
        <f>+VLOOKUP(PROVEEDORES[[#This Row],[PROVEEDOR]],TERCEROS_INFO[[PROVEEDOR]:[CORREO]],5,FALSE)</f>
        <v>CBastidas@vyp.com.co;girlesa.ruiz@servipilas.com;joriescobar64@gmail.com</v>
      </c>
      <c r="G1118" s="143">
        <v>44369</v>
      </c>
      <c r="H1118" s="38" t="s">
        <v>647</v>
      </c>
      <c r="I1118" s="30">
        <v>44348</v>
      </c>
      <c r="J1118" s="58">
        <v>39353</v>
      </c>
      <c r="K1118" s="32">
        <v>3765500</v>
      </c>
      <c r="L1118" s="32"/>
      <c r="M1118" s="33">
        <f>(PROVEEDORES[[#This Row],[SUBTOTAL]]-PROVEEDORES[[#This Row],[descuento antes de IVA]])*VLOOKUP(PROVEEDORES[[#This Row],[PROVEEDOR]],TERCEROS_INFO[#All],3,FALSE)</f>
        <v>715445</v>
      </c>
      <c r="N1118" s="34"/>
      <c r="O1118" s="33">
        <f>+PROVEEDORES[[#This Row],[Descuento sobre subtotal %]]*(PROVEEDORES[[#This Row],[SUBTOTAL]]-PROVEEDORES[[#This Row],[descuento antes de IVA]])</f>
        <v>0</v>
      </c>
      <c r="P11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18" s="33">
        <f>+(PROVEEDORES[[#This Row],[SUBTOTAL]]-PROVEEDORES[[#This Row],[descuento antes de IVA]])*PROVEEDORES[[#This Row],[Rete Fuente %]]</f>
        <v>131792.5</v>
      </c>
      <c r="R1118" s="32">
        <f>+PROVEEDORES[[#This Row],[SUBTOTAL]]+PROVEEDORES[[#This Row],[IVA 19%]]-PROVEEDORES[[#This Row],[descuento antes de IVA]]-PROVEEDORES[[#This Row],[Descuento sobre subtotal $]]-PROVEEDORES[[#This Row],[Rete Fuente $]]</f>
        <v>4349152.5</v>
      </c>
      <c r="S111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9" spans="1:19" ht="21.95" hidden="1" customHeight="1" x14ac:dyDescent="0.25">
      <c r="A1119" s="127" t="str">
        <f>+IF(PROVEEDORES[[#This Row],[FECHA DE PAGO]]=PROVEEDORES[[#This Row],[FECHA DE FACTURACIÓN]],"DE CONTADO","CRÉDITO")</f>
        <v>CRÉDITO</v>
      </c>
      <c r="B1119" s="70" t="str">
        <f>+IF((PROVEEDORES[[#This Row],[FECHA DE PAGO]]-PROVEEDORES[[#This Row],[FECHA DE FACTURACIÓN]])&gt;PROVEEDORES[[#This Row],[PLAZO Días]],"PAGO VENCIDO")</f>
        <v>PAGO VENCIDO</v>
      </c>
      <c r="C1119" s="27">
        <v>-1</v>
      </c>
      <c r="D1119" s="37">
        <f>+SUMIFS(PROVEEDORES[Total],PROVEEDORES[PROVEEDOR],PROVEEDORES[[#This Row],[PROVEEDOR]],PROVEEDORES[FECHA DE PAGO],"")</f>
        <v>5116650</v>
      </c>
      <c r="E1119" s="37"/>
      <c r="F1119" s="108" t="str">
        <f>+VLOOKUP(PROVEEDORES[[#This Row],[PROVEEDOR]],TERCEROS_INFO[[PROVEEDOR]:[CORREO]],5,FALSE)</f>
        <v>CBastidas@vyp.com.co;girlesa.ruiz@servipilas.com;joriescobar64@gmail.com</v>
      </c>
      <c r="G1119" s="143">
        <v>44496</v>
      </c>
      <c r="H1119" s="38" t="s">
        <v>647</v>
      </c>
      <c r="I1119" s="30">
        <v>44369</v>
      </c>
      <c r="J1119" s="58" t="s">
        <v>1361</v>
      </c>
      <c r="K1119" s="32">
        <v>-956801</v>
      </c>
      <c r="L1119" s="32"/>
      <c r="M1119" s="33"/>
      <c r="N1119" s="34"/>
      <c r="O1119" s="33">
        <f>+PROVEEDORES[[#This Row],[Descuento sobre subtotal %]]*(PROVEEDORES[[#This Row],[SUBTOTAL]]-PROVEEDORES[[#This Row],[descuento antes de IVA]])</f>
        <v>0</v>
      </c>
      <c r="P11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19" s="33">
        <f>+(PROVEEDORES[[#This Row],[SUBTOTAL]]-PROVEEDORES[[#This Row],[descuento antes de IVA]])*PROVEEDORES[[#This Row],[Rete Fuente %]]</f>
        <v>0</v>
      </c>
      <c r="R1119" s="32">
        <v>0</v>
      </c>
      <c r="S1119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0" spans="1:19" ht="21.95" hidden="1" customHeight="1" x14ac:dyDescent="0.25">
      <c r="A1120" s="129" t="str">
        <f>+IF(PROVEEDORES[[#This Row],[FECHA DE PAGO]]=PROVEEDORES[[#This Row],[FECHA DE FACTURACIÓN]],"DE CONTADO","CRÉDITO")</f>
        <v>CRÉDITO</v>
      </c>
      <c r="B1120" s="70" t="b">
        <f>+IF((PROVEEDORES[[#This Row],[FECHA DE PAGO]]-PROVEEDORES[[#This Row],[FECHA DE FACTURACIÓN]])&gt;PROVEEDORES[[#This Row],[PLAZO Días]],"PAGO VENCIDO")</f>
        <v>0</v>
      </c>
      <c r="C1120" s="27">
        <f>+VLOOKUP(PROVEEDORES[[#This Row],[PROVEEDOR]],TERCEROS_INFO[#All],2,FALSE)</f>
        <v>30</v>
      </c>
      <c r="D1120" s="37">
        <f>+SUMIFS(PROVEEDORES[Total],PROVEEDORES[PROVEEDOR],PROVEEDORES[[#This Row],[PROVEEDOR]],PROVEEDORES[FECHA DE PAGO],"")</f>
        <v>5116650</v>
      </c>
      <c r="E1120" s="37"/>
      <c r="F1120" s="108" t="str">
        <f>+VLOOKUP(PROVEEDORES[[#This Row],[PROVEEDOR]],TERCEROS_INFO[[PROVEEDOR]:[CORREO]],5,FALSE)</f>
        <v>CBastidas@vyp.com.co;girlesa.ruiz@servipilas.com;joriescobar64@gmail.com</v>
      </c>
      <c r="G1120" s="143">
        <v>44396</v>
      </c>
      <c r="H1120" s="38" t="s">
        <v>647</v>
      </c>
      <c r="I1120" s="30">
        <v>44375</v>
      </c>
      <c r="J1120" s="58" t="s">
        <v>1362</v>
      </c>
      <c r="K1120" s="32">
        <v>-376550</v>
      </c>
      <c r="L1120" s="32"/>
      <c r="M1120" s="33">
        <f>(PROVEEDORES[[#This Row],[SUBTOTAL]]-PROVEEDORES[[#This Row],[descuento antes de IVA]])*VLOOKUP(PROVEEDORES[[#This Row],[PROVEEDOR]],TERCEROS_INFO[#All],3,FALSE)</f>
        <v>-71544.5</v>
      </c>
      <c r="N1120" s="34"/>
      <c r="O1120" s="33">
        <f>+PROVEEDORES[[#This Row],[Descuento sobre subtotal %]]*(PROVEEDORES[[#This Row],[SUBTOTAL]]-PROVEEDORES[[#This Row],[descuento antes de IVA]])</f>
        <v>0</v>
      </c>
      <c r="P1120" s="34">
        <v>3.5000000000000003E-2</v>
      </c>
      <c r="Q1120" s="33">
        <f>+(PROVEEDORES[[#This Row],[SUBTOTAL]]-PROVEEDORES[[#This Row],[descuento antes de IVA]])*PROVEEDORES[[#This Row],[Rete Fuente %]]</f>
        <v>-13179.250000000002</v>
      </c>
      <c r="R1120" s="32">
        <f>+PROVEEDORES[[#This Row],[SUBTOTAL]]+PROVEEDORES[[#This Row],[IVA 19%]]-PROVEEDORES[[#This Row],[descuento antes de IVA]]-PROVEEDORES[[#This Row],[Descuento sobre subtotal $]]-PROVEEDORES[[#This Row],[Rete Fuente $]]</f>
        <v>-434915.25</v>
      </c>
      <c r="S1120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1" spans="1:19" ht="21.95" hidden="1" customHeight="1" x14ac:dyDescent="0.25">
      <c r="A1121" s="35" t="str">
        <f>+IF(PROVEEDORES[[#This Row],[FECHA DE PAGO]]=PROVEEDORES[[#This Row],[FECHA DE FACTURACIÓN]],"DE CONTADO","CRÉDITO")</f>
        <v>CRÉDITO</v>
      </c>
      <c r="B1121" s="70" t="b">
        <f>+IF((PROVEEDORES[[#This Row],[FECHA DE PAGO]]-PROVEEDORES[[#This Row],[FECHA DE FACTURACIÓN]])&gt;PROVEEDORES[[#This Row],[PLAZO Días]],"PAGO VENCIDO")</f>
        <v>0</v>
      </c>
      <c r="C1121" s="27">
        <f>+VLOOKUP(PROVEEDORES[[#This Row],[PROVEEDOR]],TERCEROS_INFO[#All],2,FALSE)</f>
        <v>30</v>
      </c>
      <c r="D1121" s="37">
        <f>+SUMIFS(PROVEEDORES[Total],PROVEEDORES[PROVEEDOR],PROVEEDORES[[#This Row],[PROVEEDOR]],PROVEEDORES[FECHA DE PAGO],"")</f>
        <v>5116650</v>
      </c>
      <c r="E1121" s="37"/>
      <c r="F1121" s="108" t="str">
        <f>+VLOOKUP(PROVEEDORES[[#This Row],[PROVEEDOR]],TERCEROS_INFO[[PROVEEDOR]:[CORREO]],5,FALSE)</f>
        <v>CBastidas@vyp.com.co;girlesa.ruiz@servipilas.com;joriescobar64@gmail.com</v>
      </c>
      <c r="G1121" s="143">
        <v>44396</v>
      </c>
      <c r="H1121" s="38" t="s">
        <v>647</v>
      </c>
      <c r="I1121" s="30">
        <v>44378</v>
      </c>
      <c r="J1121" s="58">
        <v>39654</v>
      </c>
      <c r="K1121" s="32">
        <v>3987000</v>
      </c>
      <c r="L1121" s="32"/>
      <c r="M1121" s="33">
        <f>(PROVEEDORES[[#This Row],[SUBTOTAL]]-PROVEEDORES[[#This Row],[descuento antes de IVA]])*VLOOKUP(PROVEEDORES[[#This Row],[PROVEEDOR]],TERCEROS_INFO[#All],3,FALSE)</f>
        <v>757530</v>
      </c>
      <c r="N1121" s="34"/>
      <c r="O1121" s="33">
        <f>+PROVEEDORES[[#This Row],[Descuento sobre subtotal %]]*(PROVEEDORES[[#This Row],[SUBTOTAL]]-PROVEEDORES[[#This Row],[descuento antes de IVA]])</f>
        <v>0</v>
      </c>
      <c r="P11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21" s="33">
        <f>+(PROVEEDORES[[#This Row],[SUBTOTAL]]-PROVEEDORES[[#This Row],[descuento antes de IVA]])*PROVEEDORES[[#This Row],[Rete Fuente %]]</f>
        <v>139545</v>
      </c>
      <c r="R1121" s="32">
        <f>+PROVEEDORES[[#This Row],[SUBTOTAL]]+PROVEEDORES[[#This Row],[IVA 19%]]-PROVEEDORES[[#This Row],[descuento antes de IVA]]-PROVEEDORES[[#This Row],[Descuento sobre subtotal $]]-PROVEEDORES[[#This Row],[Rete Fuente $]]</f>
        <v>4604985</v>
      </c>
      <c r="S112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2" spans="1:19" ht="21.95" hidden="1" customHeight="1" x14ac:dyDescent="0.25">
      <c r="A1122" s="133" t="str">
        <f>+IF(PROVEEDORES[[#This Row],[FECHA DE PAGO]]=PROVEEDORES[[#This Row],[FECHA DE FACTURACIÓN]],"DE CONTADO","CRÉDITO")</f>
        <v>CRÉDITO</v>
      </c>
      <c r="B1122" s="70" t="str">
        <f>+IF((PROVEEDORES[[#This Row],[FECHA DE PAGO]]-PROVEEDORES[[#This Row],[FECHA DE FACTURACIÓN]])&gt;PROVEEDORES[[#This Row],[PLAZO Días]],"PAGO VENCIDO")</f>
        <v>PAGO VENCIDO</v>
      </c>
      <c r="C1122" s="27">
        <v>-1</v>
      </c>
      <c r="D1122" s="37">
        <f>+SUMIFS(PROVEEDORES[Total],PROVEEDORES[PROVEEDOR],PROVEEDORES[[#This Row],[PROVEEDOR]],PROVEEDORES[FECHA DE PAGO],"")</f>
        <v>5116650</v>
      </c>
      <c r="E1122" s="37"/>
      <c r="F1122" s="108" t="str">
        <f>+VLOOKUP(PROVEEDORES[[#This Row],[PROVEEDOR]],TERCEROS_INFO[[PROVEEDOR]:[CORREO]],5,FALSE)</f>
        <v>CBastidas@vyp.com.co;girlesa.ruiz@servipilas.com;joriescobar64@gmail.com</v>
      </c>
      <c r="G1122" s="143">
        <v>44496</v>
      </c>
      <c r="H1122" s="38" t="s">
        <v>647</v>
      </c>
      <c r="I1122" s="30">
        <v>44396</v>
      </c>
      <c r="J1122" s="58" t="s">
        <v>1361</v>
      </c>
      <c r="K1122" s="32">
        <v>-956801</v>
      </c>
      <c r="L1122" s="32"/>
      <c r="M1122" s="33"/>
      <c r="N1122" s="34"/>
      <c r="O1122" s="33">
        <f>+PROVEEDORES[[#This Row],[Descuento sobre subtotal %]]*(PROVEEDORES[[#This Row],[SUBTOTAL]]-PROVEEDORES[[#This Row],[descuento antes de IVA]])</f>
        <v>0</v>
      </c>
      <c r="P11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22" s="33">
        <f>+(PROVEEDORES[[#This Row],[SUBTOTAL]]-PROVEEDORES[[#This Row],[descuento antes de IVA]])*PROVEEDORES[[#This Row],[Rete Fuente %]]</f>
        <v>0</v>
      </c>
      <c r="R1122" s="32">
        <v>0</v>
      </c>
      <c r="S1122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3" spans="1:19" ht="21.95" hidden="1" customHeight="1" x14ac:dyDescent="0.25">
      <c r="A1123" s="134" t="str">
        <f>+IF(PROVEEDORES[[#This Row],[FECHA DE PAGO]]=PROVEEDORES[[#This Row],[FECHA DE FACTURACIÓN]],"DE CONTADO","CRÉDITO")</f>
        <v>CRÉDITO</v>
      </c>
      <c r="B1123" s="70" t="str">
        <f>+IF((PROVEEDORES[[#This Row],[FECHA DE PAGO]]-PROVEEDORES[[#This Row],[FECHA DE FACTURACIÓN]])&gt;PROVEEDORES[[#This Row],[PLAZO Días]],"PAGO VENCIDO")</f>
        <v>PAGO VENCIDO</v>
      </c>
      <c r="C1123" s="27">
        <v>-1</v>
      </c>
      <c r="D1123" s="37">
        <f>+SUMIFS(PROVEEDORES[Total],PROVEEDORES[PROVEEDOR],PROVEEDORES[[#This Row],[PROVEEDOR]],PROVEEDORES[FECHA DE PAGO],"")</f>
        <v>5116650</v>
      </c>
      <c r="E1123" s="37" t="s">
        <v>753</v>
      </c>
      <c r="F1123" s="108" t="str">
        <f>+VLOOKUP(PROVEEDORES[[#This Row],[PROVEEDOR]],TERCEROS_INFO[[PROVEEDOR]:[CORREO]],5,FALSE)</f>
        <v>CBastidas@vyp.com.co;girlesa.ruiz@servipilas.com;joriescobar64@gmail.com</v>
      </c>
      <c r="G1123" s="143">
        <v>44432</v>
      </c>
      <c r="H1123" s="38" t="s">
        <v>647</v>
      </c>
      <c r="I1123" s="30">
        <v>44396</v>
      </c>
      <c r="J1123" s="58" t="s">
        <v>1363</v>
      </c>
      <c r="K1123" s="32">
        <v>13179.25</v>
      </c>
      <c r="L1123" s="32"/>
      <c r="M1123" s="33"/>
      <c r="N1123" s="34"/>
      <c r="O1123" s="33">
        <f>+PROVEEDORES[[#This Row],[Descuento sobre subtotal %]]*(PROVEEDORES[[#This Row],[SUBTOTAL]]-PROVEEDORES[[#This Row],[descuento antes de IVA]])</f>
        <v>0</v>
      </c>
      <c r="P11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23" s="33">
        <f>+(PROVEEDORES[[#This Row],[SUBTOTAL]]-PROVEEDORES[[#This Row],[descuento antes de IVA]])*PROVEEDORES[[#This Row],[Rete Fuente %]]</f>
        <v>0</v>
      </c>
      <c r="R1123" s="32">
        <f>+PROVEEDORES[[#This Row],[SUBTOTAL]]+PROVEEDORES[[#This Row],[IVA 19%]]-PROVEEDORES[[#This Row],[descuento antes de IVA]]-PROVEEDORES[[#This Row],[Descuento sobre subtotal $]]-PROVEEDORES[[#This Row],[Rete Fuente $]]</f>
        <v>13179.25</v>
      </c>
      <c r="S1123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4" spans="1:19" ht="21.95" hidden="1" customHeight="1" x14ac:dyDescent="0.25">
      <c r="A1124" s="35" t="str">
        <f>+IF(PROVEEDORES[[#This Row],[FECHA DE PAGO]]=PROVEEDORES[[#This Row],[FECHA DE FACTURACIÓN]],"DE CONTADO","CRÉDITO")</f>
        <v>CRÉDITO</v>
      </c>
      <c r="B1124" s="70" t="b">
        <f>+IF((PROVEEDORES[[#This Row],[FECHA DE PAGO]]-PROVEEDORES[[#This Row],[FECHA DE FACTURACIÓN]])&gt;PROVEEDORES[[#This Row],[PLAZO Días]],"PAGO VENCIDO")</f>
        <v>0</v>
      </c>
      <c r="C1124" s="27">
        <f>+VLOOKUP(PROVEEDORES[[#This Row],[PROVEEDOR]],TERCEROS_INFO[#All],2,FALSE)</f>
        <v>30</v>
      </c>
      <c r="D1124" s="37">
        <f>+SUMIFS(PROVEEDORES[Total],PROVEEDORES[PROVEEDOR],PROVEEDORES[[#This Row],[PROVEEDOR]],PROVEEDORES[FECHA DE PAGO],"")</f>
        <v>5116650</v>
      </c>
      <c r="E1124" s="37"/>
      <c r="F1124" s="108" t="str">
        <f>+VLOOKUP(PROVEEDORES[[#This Row],[PROVEEDOR]],TERCEROS_INFO[[PROVEEDOR]:[CORREO]],5,FALSE)</f>
        <v>CBastidas@vyp.com.co;girlesa.ruiz@servipilas.com;joriescobar64@gmail.com</v>
      </c>
      <c r="G1124" s="143">
        <v>44432</v>
      </c>
      <c r="H1124" s="38" t="s">
        <v>647</v>
      </c>
      <c r="I1124" s="30">
        <v>44409</v>
      </c>
      <c r="J1124" s="58">
        <v>39977</v>
      </c>
      <c r="K1124" s="32">
        <v>4430000</v>
      </c>
      <c r="L1124" s="32"/>
      <c r="M1124" s="33">
        <f>(PROVEEDORES[[#This Row],[SUBTOTAL]]-PROVEEDORES[[#This Row],[descuento antes de IVA]])*VLOOKUP(PROVEEDORES[[#This Row],[PROVEEDOR]],TERCEROS_INFO[#All],3,FALSE)</f>
        <v>841700</v>
      </c>
      <c r="N1124" s="34"/>
      <c r="O1124" s="33">
        <f>+PROVEEDORES[[#This Row],[Descuento sobre subtotal %]]*(PROVEEDORES[[#This Row],[SUBTOTAL]]-PROVEEDORES[[#This Row],[descuento antes de IVA]])</f>
        <v>0</v>
      </c>
      <c r="P11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24" s="33">
        <f>+(PROVEEDORES[[#This Row],[SUBTOTAL]]-PROVEEDORES[[#This Row],[descuento antes de IVA]])*PROVEEDORES[[#This Row],[Rete Fuente %]]</f>
        <v>155050.00000000003</v>
      </c>
      <c r="R1124" s="32">
        <f>+PROVEEDORES[[#This Row],[SUBTOTAL]]+PROVEEDORES[[#This Row],[IVA 19%]]-PROVEEDORES[[#This Row],[descuento antes de IVA]]-PROVEEDORES[[#This Row],[Descuento sobre subtotal $]]-PROVEEDORES[[#This Row],[Rete Fuente $]]</f>
        <v>5116650</v>
      </c>
      <c r="S112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5" spans="1:19" ht="21.95" hidden="1" customHeight="1" x14ac:dyDescent="0.25">
      <c r="A1125" s="35" t="str">
        <f>+IF(PROVEEDORES[[#This Row],[FECHA DE PAGO]]=PROVEEDORES[[#This Row],[FECHA DE FACTURACIÓN]],"DE CONTADO","CRÉDITO")</f>
        <v>CRÉDITO</v>
      </c>
      <c r="B1125" s="70" t="str">
        <f>+IF((PROVEEDORES[[#This Row],[FECHA DE PAGO]]-PROVEEDORES[[#This Row],[FECHA DE FACTURACIÓN]])&gt;PROVEEDORES[[#This Row],[PLAZO Días]],"PAGO VENCIDO")</f>
        <v>PAGO VENCIDO</v>
      </c>
      <c r="C1125" s="27">
        <v>-2</v>
      </c>
      <c r="D1125" s="37">
        <f>+SUMIFS(PROVEEDORES[Total],PROVEEDORES[PROVEEDOR],PROVEEDORES[[#This Row],[PROVEEDOR]],PROVEEDORES[FECHA DE PAGO],"")</f>
        <v>5116650</v>
      </c>
      <c r="E1125" s="37"/>
      <c r="F1125" s="108" t="str">
        <f>+VLOOKUP(PROVEEDORES[[#This Row],[PROVEEDOR]],TERCEROS_INFO[[PROVEEDOR]:[CORREO]],5,FALSE)</f>
        <v>CBastidas@vyp.com.co;girlesa.ruiz@servipilas.com;joriescobar64@gmail.com</v>
      </c>
      <c r="G1125" s="143">
        <v>44496</v>
      </c>
      <c r="H1125" s="38" t="s">
        <v>647</v>
      </c>
      <c r="I1125" s="30">
        <v>44432</v>
      </c>
      <c r="J1125" s="58" t="s">
        <v>1361</v>
      </c>
      <c r="K1125" s="32">
        <v>-956801</v>
      </c>
      <c r="L1125" s="32"/>
      <c r="M1125" s="33"/>
      <c r="N1125" s="34"/>
      <c r="O1125" s="33">
        <f>+PROVEEDORES[[#This Row],[Descuento sobre subtotal %]]*(PROVEEDORES[[#This Row],[SUBTOTAL]]-PROVEEDORES[[#This Row],[descuento antes de IVA]])</f>
        <v>0</v>
      </c>
      <c r="P11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25" s="33">
        <f>+(PROVEEDORES[[#This Row],[SUBTOTAL]]-PROVEEDORES[[#This Row],[descuento antes de IVA]])*PROVEEDORES[[#This Row],[Rete Fuente %]]</f>
        <v>0</v>
      </c>
      <c r="R1125" s="32">
        <v>0</v>
      </c>
      <c r="S112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6" spans="1:19" ht="21.95" hidden="1" customHeight="1" x14ac:dyDescent="0.25">
      <c r="A1126" s="148" t="str">
        <f>+IF(PROVEEDORES[[#This Row],[FECHA DE PAGO]]=PROVEEDORES[[#This Row],[FECHA DE FACTURACIÓN]],"DE CONTADO","CRÉDITO")</f>
        <v>CRÉDITO</v>
      </c>
      <c r="B1126" s="70" t="b">
        <f>+IF((PROVEEDORES[[#This Row],[FECHA DE PAGO]]-PROVEEDORES[[#This Row],[FECHA DE FACTURACIÓN]])&gt;PROVEEDORES[[#This Row],[PLAZO Días]],"PAGO VENCIDO")</f>
        <v>0</v>
      </c>
      <c r="C1126" s="27">
        <f>+VLOOKUP(PROVEEDORES[[#This Row],[PROVEEDOR]],TERCEROS_INFO[#All],2,FALSE)</f>
        <v>30</v>
      </c>
      <c r="D1126" s="37">
        <f>+SUMIFS(PROVEEDORES[Total],PROVEEDORES[PROVEEDOR],PROVEEDORES[[#This Row],[PROVEEDOR]],PROVEEDORES[FECHA DE PAGO],"")</f>
        <v>5116650</v>
      </c>
      <c r="E1126" s="37"/>
      <c r="F1126" s="108" t="str">
        <f>+VLOOKUP(PROVEEDORES[[#This Row],[PROVEEDOR]],TERCEROS_INFO[[PROVEEDOR]:[CORREO]],5,FALSE)</f>
        <v>CBastidas@vyp.com.co;girlesa.ruiz@servipilas.com;joriescobar64@gmail.com</v>
      </c>
      <c r="G1126" s="143">
        <v>44461</v>
      </c>
      <c r="H1126" s="38" t="s">
        <v>647</v>
      </c>
      <c r="I1126" s="30">
        <v>44440</v>
      </c>
      <c r="J1126" s="58">
        <v>40299</v>
      </c>
      <c r="K1126" s="32">
        <v>4430000</v>
      </c>
      <c r="L1126" s="32"/>
      <c r="M1126" s="33">
        <f>(PROVEEDORES[[#This Row],[SUBTOTAL]]-PROVEEDORES[[#This Row],[descuento antes de IVA]])*VLOOKUP(PROVEEDORES[[#This Row],[PROVEEDOR]],TERCEROS_INFO[#All],3,FALSE)</f>
        <v>841700</v>
      </c>
      <c r="N1126" s="34"/>
      <c r="O1126" s="33">
        <f>+PROVEEDORES[[#This Row],[Descuento sobre subtotal %]]*(PROVEEDORES[[#This Row],[SUBTOTAL]]-PROVEEDORES[[#This Row],[descuento antes de IVA]])</f>
        <v>0</v>
      </c>
      <c r="P11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26" s="33">
        <f>+(PROVEEDORES[[#This Row],[SUBTOTAL]]-PROVEEDORES[[#This Row],[descuento antes de IVA]])*PROVEEDORES[[#This Row],[Rete Fuente %]]</f>
        <v>155050.00000000003</v>
      </c>
      <c r="R1126" s="32">
        <f>+PROVEEDORES[[#This Row],[SUBTOTAL]]+PROVEEDORES[[#This Row],[IVA 19%]]-PROVEEDORES[[#This Row],[descuento antes de IVA]]-PROVEEDORES[[#This Row],[Descuento sobre subtotal $]]-PROVEEDORES[[#This Row],[Rete Fuente $]]</f>
        <v>5116650</v>
      </c>
      <c r="S1126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7" spans="1:19" ht="21.95" hidden="1" customHeight="1" x14ac:dyDescent="0.25">
      <c r="A1127" s="153" t="str">
        <f>+IF(PROVEEDORES[[#This Row],[FECHA DE PAGO]]=PROVEEDORES[[#This Row],[FECHA DE FACTURACIÓN]],"DE CONTADO","CRÉDITO")</f>
        <v>CRÉDITO</v>
      </c>
      <c r="B1127" s="70" t="str">
        <f>+IF((PROVEEDORES[[#This Row],[FECHA DE PAGO]]-PROVEEDORES[[#This Row],[FECHA DE FACTURACIÓN]])&gt;PROVEEDORES[[#This Row],[PLAZO Días]],"PAGO VENCIDO")</f>
        <v>PAGO VENCIDO</v>
      </c>
      <c r="C1127" s="27">
        <v>-2</v>
      </c>
      <c r="D1127" s="37">
        <f>+SUMIFS(PROVEEDORES[Total],PROVEEDORES[PROVEEDOR],PROVEEDORES[[#This Row],[PROVEEDOR]],PROVEEDORES[FECHA DE PAGO],"")</f>
        <v>5116650</v>
      </c>
      <c r="E1127" s="37"/>
      <c r="F1127" s="108" t="str">
        <f>+VLOOKUP(PROVEEDORES[[#This Row],[PROVEEDOR]],TERCEROS_INFO[[PROVEEDOR]:[CORREO]],5,FALSE)</f>
        <v>CBastidas@vyp.com.co;girlesa.ruiz@servipilas.com;joriescobar64@gmail.com</v>
      </c>
      <c r="G1127" s="143">
        <v>44496</v>
      </c>
      <c r="H1127" s="38" t="s">
        <v>647</v>
      </c>
      <c r="I1127" s="30">
        <v>44461</v>
      </c>
      <c r="J1127" s="58" t="s">
        <v>1361</v>
      </c>
      <c r="K1127" s="32">
        <v>-956801</v>
      </c>
      <c r="L1127" s="32"/>
      <c r="M1127" s="33"/>
      <c r="N1127" s="34"/>
      <c r="O1127" s="33">
        <f>+PROVEEDORES[[#This Row],[Descuento sobre subtotal %]]*(PROVEEDORES[[#This Row],[SUBTOTAL]]-PROVEEDORES[[#This Row],[descuento antes de IVA]])</f>
        <v>0</v>
      </c>
      <c r="P11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27" s="33">
        <f>+(PROVEEDORES[[#This Row],[SUBTOTAL]]-PROVEEDORES[[#This Row],[descuento antes de IVA]])*PROVEEDORES[[#This Row],[Rete Fuente %]]</f>
        <v>0</v>
      </c>
      <c r="R1127" s="32">
        <v>0</v>
      </c>
      <c r="S1127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8" spans="1:19" ht="21.95" hidden="1" customHeight="1" x14ac:dyDescent="0.25">
      <c r="A1128" s="154" t="str">
        <f>+IF(PROVEEDORES[[#This Row],[FECHA DE PAGO]]=PROVEEDORES[[#This Row],[FECHA DE FACTURACIÓN]],"DE CONTADO","CRÉDITO")</f>
        <v>CRÉDITO</v>
      </c>
      <c r="B1128" s="70" t="b">
        <f>+IF((PROVEEDORES[[#This Row],[FECHA DE PAGO]]-PROVEEDORES[[#This Row],[FECHA DE FACTURACIÓN]])&gt;PROVEEDORES[[#This Row],[PLAZO Días]],"PAGO VENCIDO")</f>
        <v>0</v>
      </c>
      <c r="C1128" s="27">
        <f>+VLOOKUP(PROVEEDORES[[#This Row],[PROVEEDOR]],TERCEROS_INFO[#All],2,FALSE)</f>
        <v>30</v>
      </c>
      <c r="D1128" s="37">
        <f>+SUMIFS(PROVEEDORES[Total],PROVEEDORES[PROVEEDOR],PROVEEDORES[[#This Row],[PROVEEDOR]],PROVEEDORES[FECHA DE PAGO],"")</f>
        <v>5116650</v>
      </c>
      <c r="E1128" s="37"/>
      <c r="F1128" s="108" t="str">
        <f>+VLOOKUP(PROVEEDORES[[#This Row],[PROVEEDOR]],TERCEROS_INFO[[PROVEEDOR]:[CORREO]],5,FALSE)</f>
        <v>CBastidas@vyp.com.co;girlesa.ruiz@servipilas.com;joriescobar64@gmail.com</v>
      </c>
      <c r="G1128" s="143">
        <v>44496</v>
      </c>
      <c r="H1128" s="38" t="s">
        <v>647</v>
      </c>
      <c r="I1128" s="30">
        <v>44470</v>
      </c>
      <c r="J1128" s="58">
        <v>40617</v>
      </c>
      <c r="K1128" s="32">
        <v>4430000</v>
      </c>
      <c r="L1128" s="32"/>
      <c r="M1128" s="33">
        <f>(PROVEEDORES[[#This Row],[SUBTOTAL]]-PROVEEDORES[[#This Row],[descuento antes de IVA]])*VLOOKUP(PROVEEDORES[[#This Row],[PROVEEDOR]],TERCEROS_INFO[#All],3,FALSE)</f>
        <v>841700</v>
      </c>
      <c r="N1128" s="34"/>
      <c r="O1128" s="33">
        <f>+PROVEEDORES[[#This Row],[Descuento sobre subtotal %]]*(PROVEEDORES[[#This Row],[SUBTOTAL]]-PROVEEDORES[[#This Row],[descuento antes de IVA]])</f>
        <v>0</v>
      </c>
      <c r="P11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28" s="33">
        <f>+(PROVEEDORES[[#This Row],[SUBTOTAL]]-PROVEEDORES[[#This Row],[descuento antes de IVA]])*PROVEEDORES[[#This Row],[Rete Fuente %]]</f>
        <v>155050.00000000003</v>
      </c>
      <c r="R1128" s="32">
        <f>+PROVEEDORES[[#This Row],[SUBTOTAL]]+PROVEEDORES[[#This Row],[IVA 19%]]-PROVEEDORES[[#This Row],[descuento antes de IVA]]-PROVEEDORES[[#This Row],[Descuento sobre subtotal $]]-PROVEEDORES[[#This Row],[Rete Fuente $]]</f>
        <v>5116650</v>
      </c>
      <c r="S1128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9" spans="1:19" ht="21.95" hidden="1" customHeight="1" x14ac:dyDescent="0.25">
      <c r="A1129" s="157" t="str">
        <f>+IF(PROVEEDORES[[#This Row],[FECHA DE PAGO]]=PROVEEDORES[[#This Row],[FECHA DE FACTURACIÓN]],"DE CONTADO","CRÉDITO")</f>
        <v>DE CONTADO</v>
      </c>
      <c r="B1129" s="70" t="b">
        <f>+IF((PROVEEDORES[[#This Row],[FECHA DE PAGO]]-PROVEEDORES[[#This Row],[FECHA DE FACTURACIÓN]])&gt;PROVEEDORES[[#This Row],[PLAZO Días]],"PAGO VENCIDO")</f>
        <v>0</v>
      </c>
      <c r="C1129" s="27">
        <f>+VLOOKUP(PROVEEDORES[[#This Row],[PROVEEDOR]],TERCEROS_INFO[#All],2,FALSE)</f>
        <v>30</v>
      </c>
      <c r="D1129" s="37">
        <f>+SUMIFS(PROVEEDORES[Total],PROVEEDORES[PROVEEDOR],PROVEEDORES[[#This Row],[PROVEEDOR]],PROVEEDORES[FECHA DE PAGO],"")</f>
        <v>5116650</v>
      </c>
      <c r="E1129" s="37"/>
      <c r="F1129" s="108" t="str">
        <f>+VLOOKUP(PROVEEDORES[[#This Row],[PROVEEDOR]],TERCEROS_INFO[[PROVEEDOR]:[CORREO]],5,FALSE)</f>
        <v>CBastidas@vyp.com.co;girlesa.ruiz@servipilas.com;joriescobar64@gmail.com</v>
      </c>
      <c r="G1129" s="143">
        <v>44496</v>
      </c>
      <c r="H1129" s="38" t="s">
        <v>647</v>
      </c>
      <c r="I1129" s="30">
        <v>44496</v>
      </c>
      <c r="J1129" s="58" t="s">
        <v>1361</v>
      </c>
      <c r="K1129" s="32">
        <v>-956806</v>
      </c>
      <c r="L1129" s="32"/>
      <c r="M1129" s="33">
        <f>(PROVEEDORES[[#This Row],[SUBTOTAL]]-PROVEEDORES[[#This Row],[descuento antes de IVA]])*VLOOKUP(PROVEEDORES[[#This Row],[PROVEEDOR]],TERCEROS_INFO[#All],3,FALSE)</f>
        <v>-181793.14</v>
      </c>
      <c r="N1129" s="34"/>
      <c r="O1129" s="33">
        <f>+PROVEEDORES[[#This Row],[Descuento sobre subtotal %]]*(PROVEEDORES[[#This Row],[SUBTOTAL]]-PROVEEDORES[[#This Row],[descuento antes de IVA]])</f>
        <v>0</v>
      </c>
      <c r="P11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29" s="33">
        <f>+(PROVEEDORES[[#This Row],[SUBTOTAL]]-PROVEEDORES[[#This Row],[descuento antes de IVA]])*PROVEEDORES[[#This Row],[Rete Fuente %]]</f>
        <v>0</v>
      </c>
      <c r="R1129" s="32">
        <v>0</v>
      </c>
      <c r="S1129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0" spans="1:19" ht="21.95" hidden="1" customHeight="1" x14ac:dyDescent="0.25">
      <c r="A1130" s="161" t="str">
        <f>+IF(PROVEEDORES[[#This Row],[FECHA DE PAGO]]=PROVEEDORES[[#This Row],[FECHA DE FACTURACIÓN]],"DE CONTADO","CRÉDITO")</f>
        <v>CRÉDITO</v>
      </c>
      <c r="B1130" s="70" t="b">
        <f>+IF((PROVEEDORES[[#This Row],[FECHA DE PAGO]]-PROVEEDORES[[#This Row],[FECHA DE FACTURACIÓN]])&gt;PROVEEDORES[[#This Row],[PLAZO Días]],"PAGO VENCIDO")</f>
        <v>0</v>
      </c>
      <c r="C1130" s="27">
        <f>+VLOOKUP(PROVEEDORES[[#This Row],[PROVEEDOR]],TERCEROS_INFO[#All],2,FALSE)</f>
        <v>30</v>
      </c>
      <c r="D1130" s="37">
        <f>+SUMIFS(PROVEEDORES[Total],PROVEEDORES[PROVEEDOR],PROVEEDORES[[#This Row],[PROVEEDOR]],PROVEEDORES[FECHA DE PAGO],"")</f>
        <v>5116650</v>
      </c>
      <c r="E1130" s="37"/>
      <c r="F1130" s="108" t="str">
        <f>+VLOOKUP(PROVEEDORES[[#This Row],[PROVEEDOR]],TERCEROS_INFO[[PROVEEDOR]:[CORREO]],5,FALSE)</f>
        <v>CBastidas@vyp.com.co;girlesa.ruiz@servipilas.com;joriescobar64@gmail.com</v>
      </c>
      <c r="G1130" s="143">
        <v>44527</v>
      </c>
      <c r="H1130" s="38" t="s">
        <v>647</v>
      </c>
      <c r="I1130" s="30">
        <v>44501</v>
      </c>
      <c r="J1130" s="58">
        <v>40950</v>
      </c>
      <c r="K1130" s="32">
        <v>4430000</v>
      </c>
      <c r="L1130" s="32"/>
      <c r="M1130" s="33">
        <f>(PROVEEDORES[[#This Row],[SUBTOTAL]]-PROVEEDORES[[#This Row],[descuento antes de IVA]])*VLOOKUP(PROVEEDORES[[#This Row],[PROVEEDOR]],TERCEROS_INFO[#All],3,FALSE)</f>
        <v>841700</v>
      </c>
      <c r="N1130" s="34"/>
      <c r="O1130" s="33">
        <f>+PROVEEDORES[[#This Row],[Descuento sobre subtotal %]]*(PROVEEDORES[[#This Row],[SUBTOTAL]]-PROVEEDORES[[#This Row],[descuento antes de IVA]])</f>
        <v>0</v>
      </c>
      <c r="P11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30" s="33">
        <f>+(PROVEEDORES[[#This Row],[SUBTOTAL]]-PROVEEDORES[[#This Row],[descuento antes de IVA]])*PROVEEDORES[[#This Row],[Rete Fuente %]]</f>
        <v>155050.00000000003</v>
      </c>
      <c r="R1130" s="32">
        <f>+PROVEEDORES[[#This Row],[SUBTOTAL]]+PROVEEDORES[[#This Row],[IVA 19%]]-PROVEEDORES[[#This Row],[descuento antes de IVA]]-PROVEEDORES[[#This Row],[Descuento sobre subtotal $]]-PROVEEDORES[[#This Row],[Rete Fuente $]]</f>
        <v>5116650</v>
      </c>
      <c r="S1130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1" spans="1:19" ht="21.95" hidden="1" customHeight="1" x14ac:dyDescent="0.25">
      <c r="A1131" s="35" t="str">
        <f>+IF(PROVEEDORES[[#This Row],[FECHA DE PAGO]]=PROVEEDORES[[#This Row],[FECHA DE FACTURACIÓN]],"DE CONTADO","CRÉDITO")</f>
        <v>CRÉDITO</v>
      </c>
      <c r="B1131" s="70" t="b">
        <f>+IF((PROVEEDORES[[#This Row],[FECHA DE PAGO]]-PROVEEDORES[[#This Row],[FECHA DE FACTURACIÓN]])&gt;PROVEEDORES[[#This Row],[PLAZO Días]],"PAGO VENCIDO")</f>
        <v>0</v>
      </c>
      <c r="C1131" s="27">
        <f>+VLOOKUP(PROVEEDORES[[#This Row],[PROVEEDOR]],TERCEROS_INFO[#All],2,FALSE)</f>
        <v>30</v>
      </c>
      <c r="D1131" s="37">
        <f>+SUMIFS(PROVEEDORES[Total],PROVEEDORES[PROVEEDOR],PROVEEDORES[[#This Row],[PROVEEDOR]],PROVEEDORES[FECHA DE PAGO],"")</f>
        <v>5116650</v>
      </c>
      <c r="E1131" s="37"/>
      <c r="F1131" s="108" t="str">
        <f>+VLOOKUP(PROVEEDORES[[#This Row],[PROVEEDOR]],TERCEROS_INFO[[PROVEEDOR]:[CORREO]],5,FALSE)</f>
        <v>CBastidas@vyp.com.co;girlesa.ruiz@servipilas.com;joriescobar64@gmail.com</v>
      </c>
      <c r="G1131" s="143">
        <v>44554</v>
      </c>
      <c r="H1131" s="38" t="s">
        <v>647</v>
      </c>
      <c r="I1131" s="30">
        <v>44531</v>
      </c>
      <c r="J1131" s="58">
        <v>41293</v>
      </c>
      <c r="K1131" s="32">
        <v>4430000</v>
      </c>
      <c r="L1131" s="32"/>
      <c r="M1131" s="33">
        <f>(PROVEEDORES[[#This Row],[SUBTOTAL]]-PROVEEDORES[[#This Row],[descuento antes de IVA]])*VLOOKUP(PROVEEDORES[[#This Row],[PROVEEDOR]],TERCEROS_INFO[#All],3,FALSE)</f>
        <v>841700</v>
      </c>
      <c r="N1131" s="34"/>
      <c r="O1131" s="33">
        <f>+PROVEEDORES[[#This Row],[Descuento sobre subtotal %]]*(PROVEEDORES[[#This Row],[SUBTOTAL]]-PROVEEDORES[[#This Row],[descuento antes de IVA]])</f>
        <v>0</v>
      </c>
      <c r="P11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31" s="33">
        <f>+(PROVEEDORES[[#This Row],[SUBTOTAL]]-PROVEEDORES[[#This Row],[descuento antes de IVA]])*PROVEEDORES[[#This Row],[Rete Fuente %]]</f>
        <v>155050.00000000003</v>
      </c>
      <c r="R1131" s="32">
        <f>+PROVEEDORES[[#This Row],[SUBTOTAL]]+PROVEEDORES[[#This Row],[IVA 19%]]-PROVEEDORES[[#This Row],[descuento antes de IVA]]-PROVEEDORES[[#This Row],[Descuento sobre subtotal $]]-PROVEEDORES[[#This Row],[Rete Fuente $]]</f>
        <v>5116650</v>
      </c>
      <c r="S113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2" spans="1:19" ht="21.95" hidden="1" customHeight="1" x14ac:dyDescent="0.25">
      <c r="A1132" s="175" t="str">
        <f>+IF(PROVEEDORES[[#This Row],[FECHA DE PAGO]]=PROVEEDORES[[#This Row],[FECHA DE FACTURACIÓN]],"DE CONTADO","CRÉDITO")</f>
        <v>CRÉDITO</v>
      </c>
      <c r="B1132" s="70" t="b">
        <f>+IF((PROVEEDORES[[#This Row],[FECHA DE PAGO]]-PROVEEDORES[[#This Row],[FECHA DE FACTURACIÓN]])&gt;PROVEEDORES[[#This Row],[PLAZO Días]],"PAGO VENCIDO")</f>
        <v>0</v>
      </c>
      <c r="C1132" s="27">
        <f>+VLOOKUP(PROVEEDORES[[#This Row],[PROVEEDOR]],TERCEROS_INFO[#All],2,FALSE)</f>
        <v>30</v>
      </c>
      <c r="D1132" s="37">
        <f>+SUMIFS(PROVEEDORES[Total],PROVEEDORES[PROVEEDOR],PROVEEDORES[[#This Row],[PROVEEDOR]],PROVEEDORES[FECHA DE PAGO],"")</f>
        <v>5116650</v>
      </c>
      <c r="E1132" s="37"/>
      <c r="F1132" s="108" t="str">
        <f>+VLOOKUP(PROVEEDORES[[#This Row],[PROVEEDOR]],TERCEROS_INFO[[PROVEEDOR]:[CORREO]],5,FALSE)</f>
        <v>CBastidas@vyp.com.co;girlesa.ruiz@servipilas.com;joriescobar64@gmail.com</v>
      </c>
      <c r="H1132" s="38" t="s">
        <v>647</v>
      </c>
      <c r="I1132" s="30">
        <v>44562</v>
      </c>
      <c r="J1132" s="58">
        <v>41630</v>
      </c>
      <c r="K1132" s="32">
        <v>4430000</v>
      </c>
      <c r="L1132" s="32"/>
      <c r="M1132" s="33">
        <f>(PROVEEDORES[[#This Row],[SUBTOTAL]]-PROVEEDORES[[#This Row],[descuento antes de IVA]])*VLOOKUP(PROVEEDORES[[#This Row],[PROVEEDOR]],TERCEROS_INFO[#All],3,FALSE)</f>
        <v>841700</v>
      </c>
      <c r="N1132" s="34"/>
      <c r="O1132" s="33">
        <f>+PROVEEDORES[[#This Row],[Descuento sobre subtotal %]]*(PROVEEDORES[[#This Row],[SUBTOTAL]]-PROVEEDORES[[#This Row],[descuento antes de IVA]])</f>
        <v>0</v>
      </c>
      <c r="P11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132" s="33">
        <f>+(PROVEEDORES[[#This Row],[SUBTOTAL]]-PROVEEDORES[[#This Row],[descuento antes de IVA]])*PROVEEDORES[[#This Row],[Rete Fuente %]]</f>
        <v>155050.00000000003</v>
      </c>
      <c r="R1132" s="32">
        <f>+PROVEEDORES[[#This Row],[SUBTOTAL]]+PROVEEDORES[[#This Row],[IVA 19%]]-PROVEEDORES[[#This Row],[descuento antes de IVA]]-PROVEEDORES[[#This Row],[Descuento sobre subtotal $]]-PROVEEDORES[[#This Row],[Rete Fuente $]]</f>
        <v>5116650</v>
      </c>
      <c r="S1132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33" spans="1:19" ht="21.95" hidden="1" customHeight="1" x14ac:dyDescent="0.25">
      <c r="A1133" s="144" t="str">
        <f>+IF(PROVEEDORES[[#This Row],[FECHA DE PAGO]]=PROVEEDORES[[#This Row],[FECHA DE FACTURACIÓN]],"DE CONTADO","CRÉDITO")</f>
        <v>CRÉDITO</v>
      </c>
      <c r="B1133" s="70" t="str">
        <f>+IF((PROVEEDORES[[#This Row],[FECHA DE PAGO]]-PROVEEDORES[[#This Row],[FECHA DE FACTURACIÓN]])&gt;PROVEEDORES[[#This Row],[PLAZO Días]],"PAGO VENCIDO")</f>
        <v>PAGO VENCIDO</v>
      </c>
      <c r="C1133" s="27">
        <f>+VLOOKUP(PROVEEDORES[[#This Row],[PROVEEDOR]],TERCEROS_INFO[#All],2,FALSE)</f>
        <v>30</v>
      </c>
      <c r="D1133" s="37">
        <f>+SUMIFS(PROVEEDORES[Total],PROVEEDORES[PROVEEDOR],PROVEEDORES[[#This Row],[PROVEEDOR]],PROVEEDORES[FECHA DE PAGO],"")</f>
        <v>0</v>
      </c>
      <c r="E1133" s="37"/>
      <c r="F1133" s="108">
        <f>+VLOOKUP(PROVEEDORES[[#This Row],[PROVEEDOR]],TERCEROS_INFO[[PROVEEDOR]:[CORREO]],5,FALSE)</f>
        <v>0</v>
      </c>
      <c r="G1133" s="143">
        <v>44481</v>
      </c>
      <c r="H1133" s="38" t="s">
        <v>843</v>
      </c>
      <c r="I1133" s="30">
        <v>44427</v>
      </c>
      <c r="J1133" s="58" t="s">
        <v>845</v>
      </c>
      <c r="K1133" s="32">
        <v>1466370</v>
      </c>
      <c r="L1133" s="32"/>
      <c r="M1133" s="33">
        <f>(PROVEEDORES[[#This Row],[SUBTOTAL]]-PROVEEDORES[[#This Row],[descuento antes de IVA]])*VLOOKUP(PROVEEDORES[[#This Row],[PROVEEDOR]],TERCEROS_INFO[#All],3,FALSE)</f>
        <v>278610.3</v>
      </c>
      <c r="N1133" s="34"/>
      <c r="O1133" s="33">
        <f>+PROVEEDORES[[#This Row],[Descuento sobre subtotal %]]*(PROVEEDORES[[#This Row],[SUBTOTAL]]-PROVEEDORES[[#This Row],[descuento antes de IVA]])</f>
        <v>0</v>
      </c>
      <c r="P11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33" s="33">
        <f>+(PROVEEDORES[[#This Row],[SUBTOTAL]]-PROVEEDORES[[#This Row],[descuento antes de IVA]])*PROVEEDORES[[#This Row],[Rete Fuente %]]</f>
        <v>36659.25</v>
      </c>
      <c r="R1133" s="32">
        <f>+PROVEEDORES[[#This Row],[SUBTOTAL]]+PROVEEDORES[[#This Row],[IVA 19%]]-PROVEEDORES[[#This Row],[descuento antes de IVA]]-PROVEEDORES[[#This Row],[Descuento sobre subtotal $]]-PROVEEDORES[[#This Row],[Rete Fuente $]]</f>
        <v>1708321.05</v>
      </c>
      <c r="S1133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4" spans="1:19" ht="21.95" hidden="1" customHeight="1" x14ac:dyDescent="0.25">
      <c r="A1134" s="144" t="str">
        <f>+IF(PROVEEDORES[[#This Row],[FECHA DE PAGO]]=PROVEEDORES[[#This Row],[FECHA DE FACTURACIÓN]],"DE CONTADO","CRÉDITO")</f>
        <v>CRÉDITO</v>
      </c>
      <c r="B1134" s="70" t="str">
        <f>+IF((PROVEEDORES[[#This Row],[FECHA DE PAGO]]-PROVEEDORES[[#This Row],[FECHA DE FACTURACIÓN]])&gt;PROVEEDORES[[#This Row],[PLAZO Días]],"PAGO VENCIDO")</f>
        <v>PAGO VENCIDO</v>
      </c>
      <c r="C1134" s="27">
        <f>+VLOOKUP(PROVEEDORES[[#This Row],[PROVEEDOR]],TERCEROS_INFO[#All],2,FALSE)</f>
        <v>30</v>
      </c>
      <c r="D1134" s="37">
        <f>+SUMIFS(PROVEEDORES[Total],PROVEEDORES[PROVEEDOR],PROVEEDORES[[#This Row],[PROVEEDOR]],PROVEEDORES[FECHA DE PAGO],"")</f>
        <v>0</v>
      </c>
      <c r="E1134" s="37"/>
      <c r="F1134" s="108">
        <f>+VLOOKUP(PROVEEDORES[[#This Row],[PROVEEDOR]],TERCEROS_INFO[[PROVEEDOR]:[CORREO]],5,FALSE)</f>
        <v>0</v>
      </c>
      <c r="G1134" s="143">
        <v>44497</v>
      </c>
      <c r="H1134" s="38" t="s">
        <v>843</v>
      </c>
      <c r="I1134" s="30">
        <v>44428</v>
      </c>
      <c r="J1134" s="58" t="s">
        <v>844</v>
      </c>
      <c r="K1134" s="32">
        <v>5056294</v>
      </c>
      <c r="L1134" s="32"/>
      <c r="M1134" s="33">
        <f>(PROVEEDORES[[#This Row],[SUBTOTAL]]-PROVEEDORES[[#This Row],[descuento antes de IVA]])*VLOOKUP(PROVEEDORES[[#This Row],[PROVEEDOR]],TERCEROS_INFO[#All],3,FALSE)</f>
        <v>960695.86</v>
      </c>
      <c r="N1134" s="34"/>
      <c r="O1134" s="33">
        <f>+PROVEEDORES[[#This Row],[Descuento sobre subtotal %]]*(PROVEEDORES[[#This Row],[SUBTOTAL]]-PROVEEDORES[[#This Row],[descuento antes de IVA]])</f>
        <v>0</v>
      </c>
      <c r="P1134" s="34">
        <v>0</v>
      </c>
      <c r="Q1134" s="33">
        <f>+(PROVEEDORES[[#This Row],[SUBTOTAL]]-PROVEEDORES[[#This Row],[descuento antes de IVA]])*PROVEEDORES[[#This Row],[Rete Fuente %]]</f>
        <v>0</v>
      </c>
      <c r="R1134" s="32">
        <f>+PROVEEDORES[[#This Row],[SUBTOTAL]]+PROVEEDORES[[#This Row],[IVA 19%]]-PROVEEDORES[[#This Row],[descuento antes de IVA]]-PROVEEDORES[[#This Row],[Descuento sobre subtotal $]]-PROVEEDORES[[#This Row],[Rete Fuente $]]</f>
        <v>6016989.8600000003</v>
      </c>
      <c r="S1134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5" spans="1:19" ht="21.95" hidden="1" customHeight="1" x14ac:dyDescent="0.25">
      <c r="A1135" s="144" t="str">
        <f>+IF(PROVEEDORES[[#This Row],[FECHA DE PAGO]]=PROVEEDORES[[#This Row],[FECHA DE FACTURACIÓN]],"DE CONTADO","CRÉDITO")</f>
        <v>CRÉDITO</v>
      </c>
      <c r="B1135" s="70" t="str">
        <f>+IF((PROVEEDORES[[#This Row],[FECHA DE PAGO]]-PROVEEDORES[[#This Row],[FECHA DE FACTURACIÓN]])&gt;PROVEEDORES[[#This Row],[PLAZO Días]],"PAGO VENCIDO")</f>
        <v>PAGO VENCIDO</v>
      </c>
      <c r="C1135" s="27">
        <f>+VLOOKUP(PROVEEDORES[[#This Row],[PROVEEDOR]],TERCEROS_INFO[#All],2,FALSE)</f>
        <v>30</v>
      </c>
      <c r="D1135" s="37">
        <f>+SUMIFS(PROVEEDORES[Total],PROVEEDORES[PROVEEDOR],PROVEEDORES[[#This Row],[PROVEEDOR]],PROVEEDORES[FECHA DE PAGO],"")</f>
        <v>0</v>
      </c>
      <c r="E1135" s="37"/>
      <c r="F1135" s="108">
        <f>+VLOOKUP(PROVEEDORES[[#This Row],[PROVEEDOR]],TERCEROS_INFO[[PROVEEDOR]:[CORREO]],5,FALSE)</f>
        <v>0</v>
      </c>
      <c r="G1135" s="143">
        <v>44488</v>
      </c>
      <c r="H1135" s="38" t="s">
        <v>843</v>
      </c>
      <c r="I1135" s="30">
        <v>44428</v>
      </c>
      <c r="J1135" s="58" t="s">
        <v>846</v>
      </c>
      <c r="K1135" s="32">
        <v>6142846</v>
      </c>
      <c r="L1135" s="32"/>
      <c r="M1135" s="33">
        <f>(PROVEEDORES[[#This Row],[SUBTOTAL]]-PROVEEDORES[[#This Row],[descuento antes de IVA]])*VLOOKUP(PROVEEDORES[[#This Row],[PROVEEDOR]],TERCEROS_INFO[#All],3,FALSE)</f>
        <v>1167140.74</v>
      </c>
      <c r="N1135" s="34"/>
      <c r="O1135" s="33">
        <f>+PROVEEDORES[[#This Row],[Descuento sobre subtotal %]]*(PROVEEDORES[[#This Row],[SUBTOTAL]]-PROVEEDORES[[#This Row],[descuento antes de IVA]])</f>
        <v>0</v>
      </c>
      <c r="P1135" s="34">
        <v>0</v>
      </c>
      <c r="Q1135" s="33">
        <f>+(PROVEEDORES[[#This Row],[SUBTOTAL]]-PROVEEDORES[[#This Row],[descuento antes de IVA]])*PROVEEDORES[[#This Row],[Rete Fuente %]]</f>
        <v>0</v>
      </c>
      <c r="R1135" s="32">
        <f>+PROVEEDORES[[#This Row],[SUBTOTAL]]+PROVEEDORES[[#This Row],[IVA 19%]]-PROVEEDORES[[#This Row],[descuento antes de IVA]]-PROVEEDORES[[#This Row],[Descuento sobre subtotal $]]-PROVEEDORES[[#This Row],[Rete Fuente $]]</f>
        <v>7309986.7400000002</v>
      </c>
      <c r="S1135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6" spans="1:19" ht="21.95" hidden="1" customHeight="1" x14ac:dyDescent="0.25">
      <c r="A1136" s="39" t="str">
        <f>+IF(PROVEEDORES[[#This Row],[FECHA DE PAGO]]=PROVEEDORES[[#This Row],[FECHA DE FACTURACIÓN]],"DE CONTADO","CRÉDITO")</f>
        <v>CRÉDITO</v>
      </c>
      <c r="B1136" s="67" t="str">
        <f>+IF((PROVEEDORES[[#This Row],[FECHA DE PAGO]]-PROVEEDORES[[#This Row],[FECHA DE FACTURACIÓN]])&gt;PROVEEDORES[[#This Row],[PLAZO Días]],"PAGO VENCIDO")</f>
        <v>PAGO VENCIDO</v>
      </c>
      <c r="C1136" s="27">
        <f>+VLOOKUP(PROVEEDORES[[#This Row],[PROVEEDOR]],TERCEROS_INFO[#All],2,FALSE)</f>
        <v>30</v>
      </c>
      <c r="D1136" s="37">
        <f>+SUMIFS(PROVEEDORES[Total],PROVEEDORES[PROVEEDOR],PROVEEDORES[[#This Row],[PROVEEDOR]],PROVEEDORES[FECHA DE PAGO],"")</f>
        <v>6072997.5925500002</v>
      </c>
      <c r="E1136" s="37"/>
      <c r="F1136" s="108" t="str">
        <f>+VLOOKUP(PROVEEDORES[[#This Row],[PROVEEDOR]],TERCEROS_INFO[[PROVEEDOR]:[CORREO]],5,FALSE)</f>
        <v>angela.navas@hyrdistribuciones.com;girlesa.ruiz@servipilas.com;joriescobar64@gmail.com</v>
      </c>
      <c r="G1136" s="143">
        <v>43883</v>
      </c>
      <c r="H1136" s="38" t="s">
        <v>18</v>
      </c>
      <c r="I1136" s="30">
        <v>43851</v>
      </c>
      <c r="J1136" s="58">
        <v>1019657</v>
      </c>
      <c r="K1136" s="32">
        <v>1372729.6218487395</v>
      </c>
      <c r="L1136" s="32"/>
      <c r="M1136" s="33">
        <f>(PROVEEDORES[[#This Row],[SUBTOTAL]]-PROVEEDORES[[#This Row],[descuento antes de IVA]])*VLOOKUP(PROVEEDORES[[#This Row],[PROVEEDOR]],TERCEROS_INFO[#All],3,FALSE)</f>
        <v>260818.62815126049</v>
      </c>
      <c r="N1136" s="34"/>
      <c r="O1136" s="33">
        <f>+PROVEEDORES[[#This Row],[Descuento sobre subtotal %]]*(PROVEEDORES[[#This Row],[SUBTOTAL]]-PROVEEDORES[[#This Row],[descuento antes de IVA]])</f>
        <v>0</v>
      </c>
      <c r="P11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36" s="33">
        <f>+(PROVEEDORES[[#This Row],[SUBTOTAL]]-PROVEEDORES[[#This Row],[descuento antes de IVA]])*PROVEEDORES[[#This Row],[Rete Fuente %]]</f>
        <v>34318.240546218491</v>
      </c>
      <c r="R1136" s="32">
        <f>+PROVEEDORES[[#This Row],[SUBTOTAL]]+PROVEEDORES[[#This Row],[IVA 19%]]-PROVEEDORES[[#This Row],[descuento antes de IVA]]-PROVEEDORES[[#This Row],[Descuento sobre subtotal $]]-PROVEEDORES[[#This Row],[Rete Fuente $]]</f>
        <v>1599230.0094537814</v>
      </c>
      <c r="S113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7" spans="1:19" ht="21.95" hidden="1" customHeight="1" x14ac:dyDescent="0.25">
      <c r="A1137" s="39" t="str">
        <f>+IF(PROVEEDORES[[#This Row],[FECHA DE PAGO]]=PROVEEDORES[[#This Row],[FECHA DE FACTURACIÓN]],"DE CONTADO","CRÉDITO")</f>
        <v>CRÉDITO</v>
      </c>
      <c r="B1137" s="67" t="str">
        <f>+IF((PROVEEDORES[[#This Row],[FECHA DE PAGO]]-PROVEEDORES[[#This Row],[FECHA DE FACTURACIÓN]])&gt;PROVEEDORES[[#This Row],[PLAZO Días]],"PAGO VENCIDO")</f>
        <v>PAGO VENCIDO</v>
      </c>
      <c r="C1137" s="27">
        <f>+VLOOKUP(PROVEEDORES[[#This Row],[PROVEEDOR]],TERCEROS_INFO[#All],2,FALSE)</f>
        <v>30</v>
      </c>
      <c r="D1137" s="37">
        <f>+SUMIFS(PROVEEDORES[Total],PROVEEDORES[PROVEEDOR],PROVEEDORES[[#This Row],[PROVEEDOR]],PROVEEDORES[FECHA DE PAGO],"")</f>
        <v>6072997.5925500002</v>
      </c>
      <c r="E1137" s="37"/>
      <c r="F1137" s="108" t="str">
        <f>+VLOOKUP(PROVEEDORES[[#This Row],[PROVEEDOR]],TERCEROS_INFO[[PROVEEDOR]:[CORREO]],5,FALSE)</f>
        <v>angela.navas@hyrdistribuciones.com;girlesa.ruiz@servipilas.com;joriescobar64@gmail.com</v>
      </c>
      <c r="G1137" s="143">
        <v>43899</v>
      </c>
      <c r="H1137" s="38" t="s">
        <v>18</v>
      </c>
      <c r="I1137" s="30">
        <v>43864</v>
      </c>
      <c r="J1137" s="58">
        <v>1020107</v>
      </c>
      <c r="K1137" s="32">
        <v>2048330.4705882352</v>
      </c>
      <c r="L1137" s="32"/>
      <c r="M1137" s="33">
        <f>(PROVEEDORES[[#This Row],[SUBTOTAL]]-PROVEEDORES[[#This Row],[descuento antes de IVA]])*VLOOKUP(PROVEEDORES[[#This Row],[PROVEEDOR]],TERCEROS_INFO[#All],3,FALSE)</f>
        <v>389182.78941176471</v>
      </c>
      <c r="N1137" s="34"/>
      <c r="O1137" s="33">
        <f>+PROVEEDORES[[#This Row],[Descuento sobre subtotal %]]*(PROVEEDORES[[#This Row],[SUBTOTAL]]-PROVEEDORES[[#This Row],[descuento antes de IVA]])</f>
        <v>0</v>
      </c>
      <c r="P11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37" s="33">
        <f>+(PROVEEDORES[[#This Row],[SUBTOTAL]]-PROVEEDORES[[#This Row],[descuento antes de IVA]])*PROVEEDORES[[#This Row],[Rete Fuente %]]</f>
        <v>51208.26176470588</v>
      </c>
      <c r="R1137" s="32">
        <f>+PROVEEDORES[[#This Row],[SUBTOTAL]]+PROVEEDORES[[#This Row],[IVA 19%]]-PROVEEDORES[[#This Row],[descuento antes de IVA]]-PROVEEDORES[[#This Row],[Descuento sobre subtotal $]]-PROVEEDORES[[#This Row],[Rete Fuente $]]</f>
        <v>2386304.9982352937</v>
      </c>
      <c r="S113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8" spans="1:19" ht="21.95" hidden="1" customHeight="1" x14ac:dyDescent="0.25">
      <c r="A1138" s="39" t="str">
        <f>+IF(PROVEEDORES[[#This Row],[FECHA DE PAGO]]=PROVEEDORES[[#This Row],[FECHA DE FACTURACIÓN]],"DE CONTADO","CRÉDITO")</f>
        <v>CRÉDITO</v>
      </c>
      <c r="B1138" s="67" t="str">
        <f>+IF((PROVEEDORES[[#This Row],[FECHA DE PAGO]]-PROVEEDORES[[#This Row],[FECHA DE FACTURACIÓN]])&gt;PROVEEDORES[[#This Row],[PLAZO Días]],"PAGO VENCIDO")</f>
        <v>PAGO VENCIDO</v>
      </c>
      <c r="C1138" s="27">
        <f>+VLOOKUP(PROVEEDORES[[#This Row],[PROVEEDOR]],TERCEROS_INFO[#All],2,FALSE)</f>
        <v>30</v>
      </c>
      <c r="D1138" s="37">
        <f>+SUMIFS(PROVEEDORES[Total],PROVEEDORES[PROVEEDOR],PROVEEDORES[[#This Row],[PROVEEDOR]],PROVEEDORES[FECHA DE PAGO],"")</f>
        <v>6072997.5925500002</v>
      </c>
      <c r="E1138" s="37"/>
      <c r="F1138" s="108" t="str">
        <f>+VLOOKUP(PROVEEDORES[[#This Row],[PROVEEDOR]],TERCEROS_INFO[[PROVEEDOR]:[CORREO]],5,FALSE)</f>
        <v>angela.navas@hyrdistribuciones.com;girlesa.ruiz@servipilas.com;joriescobar64@gmail.com</v>
      </c>
      <c r="G1138" s="143">
        <v>43901</v>
      </c>
      <c r="H1138" s="38" t="s">
        <v>18</v>
      </c>
      <c r="I1138" s="30">
        <v>43869</v>
      </c>
      <c r="J1138" s="58">
        <v>1020288</v>
      </c>
      <c r="K1138" s="32">
        <v>1577754.5042016809</v>
      </c>
      <c r="L1138" s="32"/>
      <c r="M1138" s="33">
        <f>(PROVEEDORES[[#This Row],[SUBTOTAL]]-PROVEEDORES[[#This Row],[descuento antes de IVA]])*VLOOKUP(PROVEEDORES[[#This Row],[PROVEEDOR]],TERCEROS_INFO[#All],3,FALSE)</f>
        <v>299773.35579831939</v>
      </c>
      <c r="N1138" s="34"/>
      <c r="O1138" s="33">
        <f>+PROVEEDORES[[#This Row],[Descuento sobre subtotal %]]*(PROVEEDORES[[#This Row],[SUBTOTAL]]-PROVEEDORES[[#This Row],[descuento antes de IVA]])</f>
        <v>0</v>
      </c>
      <c r="P11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38" s="33">
        <f>+(PROVEEDORES[[#This Row],[SUBTOTAL]]-PROVEEDORES[[#This Row],[descuento antes de IVA]])*PROVEEDORES[[#This Row],[Rete Fuente %]]</f>
        <v>39443.862605042028</v>
      </c>
      <c r="R1138" s="32">
        <f>+PROVEEDORES[[#This Row],[SUBTOTAL]]+PROVEEDORES[[#This Row],[IVA 19%]]-PROVEEDORES[[#This Row],[descuento antes de IVA]]-PROVEEDORES[[#This Row],[Descuento sobre subtotal $]]-PROVEEDORES[[#This Row],[Rete Fuente $]]</f>
        <v>1838083.9973949583</v>
      </c>
      <c r="S113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9" spans="1:19" ht="21.95" hidden="1" customHeight="1" x14ac:dyDescent="0.25">
      <c r="A1139" s="39" t="str">
        <f>+IF(PROVEEDORES[[#This Row],[FECHA DE PAGO]]=PROVEEDORES[[#This Row],[FECHA DE FACTURACIÓN]],"DE CONTADO","CRÉDITO")</f>
        <v>CRÉDITO</v>
      </c>
      <c r="B1139" s="67" t="str">
        <f>+IF((PROVEEDORES[[#This Row],[FECHA DE PAGO]]-PROVEEDORES[[#This Row],[FECHA DE FACTURACIÓN]])&gt;PROVEEDORES[[#This Row],[PLAZO Días]],"PAGO VENCIDO")</f>
        <v>PAGO VENCIDO</v>
      </c>
      <c r="C1139" s="27">
        <f>+VLOOKUP(PROVEEDORES[[#This Row],[PROVEEDOR]],TERCEROS_INFO[#All],2,FALSE)</f>
        <v>30</v>
      </c>
      <c r="D1139" s="37">
        <f>+SUMIFS(PROVEEDORES[Total],PROVEEDORES[PROVEEDOR],PROVEEDORES[[#This Row],[PROVEEDOR]],PROVEEDORES[FECHA DE PAGO],"")</f>
        <v>6072997.5925500002</v>
      </c>
      <c r="E1139" s="37"/>
      <c r="F1139" s="108" t="str">
        <f>+VLOOKUP(PROVEEDORES[[#This Row],[PROVEEDOR]],TERCEROS_INFO[[PROVEEDOR]:[CORREO]],5,FALSE)</f>
        <v>angela.navas@hyrdistribuciones.com;girlesa.ruiz@servipilas.com;joriescobar64@gmail.com</v>
      </c>
      <c r="G1139" s="143">
        <v>43924</v>
      </c>
      <c r="H1139" s="38" t="s">
        <v>18</v>
      </c>
      <c r="I1139" s="30">
        <v>43882</v>
      </c>
      <c r="J1139" s="58">
        <v>1020736</v>
      </c>
      <c r="K1139" s="32">
        <v>680000</v>
      </c>
      <c r="L1139" s="32"/>
      <c r="M1139" s="33">
        <f>(PROVEEDORES[[#This Row],[SUBTOTAL]]-PROVEEDORES[[#This Row],[descuento antes de IVA]])*VLOOKUP(PROVEEDORES[[#This Row],[PROVEEDOR]],TERCEROS_INFO[#All],3,FALSE)</f>
        <v>129200</v>
      </c>
      <c r="N1139" s="34"/>
      <c r="O1139" s="33">
        <f>+PROVEEDORES[[#This Row],[Descuento sobre subtotal %]]*(PROVEEDORES[[#This Row],[SUBTOTAL]]-PROVEEDORES[[#This Row],[descuento antes de IVA]])</f>
        <v>0</v>
      </c>
      <c r="P11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39" s="33">
        <f>+(PROVEEDORES[[#This Row],[SUBTOTAL]]-PROVEEDORES[[#This Row],[descuento antes de IVA]])*PROVEEDORES[[#This Row],[Rete Fuente %]]</f>
        <v>0</v>
      </c>
      <c r="R1139" s="32">
        <f>+PROVEEDORES[[#This Row],[SUBTOTAL]]+PROVEEDORES[[#This Row],[IVA 19%]]-PROVEEDORES[[#This Row],[descuento antes de IVA]]-PROVEEDORES[[#This Row],[Descuento sobre subtotal $]]-PROVEEDORES[[#This Row],[Rete Fuente $]]</f>
        <v>809200</v>
      </c>
      <c r="S113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0" spans="1:19" ht="21.95" hidden="1" customHeight="1" x14ac:dyDescent="0.25">
      <c r="A1140" s="39" t="str">
        <f>+IF(PROVEEDORES[[#This Row],[FECHA DE PAGO]]=PROVEEDORES[[#This Row],[FECHA DE FACTURACIÓN]],"DE CONTADO","CRÉDITO")</f>
        <v>CRÉDITO</v>
      </c>
      <c r="B1140" s="67" t="str">
        <f>+IF((PROVEEDORES[[#This Row],[FECHA DE PAGO]]-PROVEEDORES[[#This Row],[FECHA DE FACTURACIÓN]])&gt;PROVEEDORES[[#This Row],[PLAZO Días]],"PAGO VENCIDO")</f>
        <v>PAGO VENCIDO</v>
      </c>
      <c r="C1140" s="27">
        <f>+VLOOKUP(PROVEEDORES[[#This Row],[PROVEEDOR]],TERCEROS_INFO[#All],2,FALSE)</f>
        <v>30</v>
      </c>
      <c r="D1140" s="37">
        <f>+SUMIFS(PROVEEDORES[Total],PROVEEDORES[PROVEEDOR],PROVEEDORES[[#This Row],[PROVEEDOR]],PROVEEDORES[FECHA DE PAGO],"")</f>
        <v>6072997.5925500002</v>
      </c>
      <c r="E1140" s="37"/>
      <c r="F1140" s="108" t="str">
        <f>+VLOOKUP(PROVEEDORES[[#This Row],[PROVEEDOR]],TERCEROS_INFO[[PROVEEDOR]:[CORREO]],5,FALSE)</f>
        <v>angela.navas@hyrdistribuciones.com;girlesa.ruiz@servipilas.com;joriescobar64@gmail.com</v>
      </c>
      <c r="G1140" s="143">
        <v>43924</v>
      </c>
      <c r="H1140" s="38" t="s">
        <v>18</v>
      </c>
      <c r="I1140" s="30">
        <v>43883</v>
      </c>
      <c r="J1140" s="58">
        <v>1020786</v>
      </c>
      <c r="K1140" s="32">
        <v>170000</v>
      </c>
      <c r="L1140" s="32"/>
      <c r="M1140" s="33">
        <f>(PROVEEDORES[[#This Row],[SUBTOTAL]]-PROVEEDORES[[#This Row],[descuento antes de IVA]])*VLOOKUP(PROVEEDORES[[#This Row],[PROVEEDOR]],TERCEROS_INFO[#All],3,FALSE)</f>
        <v>32300</v>
      </c>
      <c r="N1140" s="34"/>
      <c r="O1140" s="33">
        <f>+PROVEEDORES[[#This Row],[Descuento sobre subtotal %]]*(PROVEEDORES[[#This Row],[SUBTOTAL]]-PROVEEDORES[[#This Row],[descuento antes de IVA]])</f>
        <v>0</v>
      </c>
      <c r="P11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40" s="33">
        <f>+(PROVEEDORES[[#This Row],[SUBTOTAL]]-PROVEEDORES[[#This Row],[descuento antes de IVA]])*PROVEEDORES[[#This Row],[Rete Fuente %]]</f>
        <v>0</v>
      </c>
      <c r="R1140" s="32">
        <f>+PROVEEDORES[[#This Row],[SUBTOTAL]]+PROVEEDORES[[#This Row],[IVA 19%]]-PROVEEDORES[[#This Row],[descuento antes de IVA]]-PROVEEDORES[[#This Row],[Descuento sobre subtotal $]]-PROVEEDORES[[#This Row],[Rete Fuente $]]</f>
        <v>202300</v>
      </c>
      <c r="S11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1" spans="1:19" ht="21.95" hidden="1" customHeight="1" x14ac:dyDescent="0.25">
      <c r="A1141" s="39" t="str">
        <f>+IF(PROVEEDORES[[#This Row],[FECHA DE PAGO]]=PROVEEDORES[[#This Row],[FECHA DE FACTURACIÓN]],"DE CONTADO","CRÉDITO")</f>
        <v>CRÉDITO</v>
      </c>
      <c r="B1141" s="67" t="str">
        <f>+IF((PROVEEDORES[[#This Row],[FECHA DE PAGO]]-PROVEEDORES[[#This Row],[FECHA DE FACTURACIÓN]])&gt;PROVEEDORES[[#This Row],[PLAZO Días]],"PAGO VENCIDO")</f>
        <v>PAGO VENCIDO</v>
      </c>
      <c r="C1141" s="27">
        <f>+VLOOKUP(PROVEEDORES[[#This Row],[PROVEEDOR]],TERCEROS_INFO[#All],2,FALSE)</f>
        <v>30</v>
      </c>
      <c r="D1141" s="37">
        <f>+SUMIFS(PROVEEDORES[Total],PROVEEDORES[PROVEEDOR],PROVEEDORES[[#This Row],[PROVEEDOR]],PROVEEDORES[FECHA DE PAGO],"")</f>
        <v>6072997.5925500002</v>
      </c>
      <c r="E1141" s="37"/>
      <c r="F1141" s="108" t="str">
        <f>+VLOOKUP(PROVEEDORES[[#This Row],[PROVEEDOR]],TERCEROS_INFO[[PROVEEDOR]:[CORREO]],5,FALSE)</f>
        <v>angela.navas@hyrdistribuciones.com;girlesa.ruiz@servipilas.com;joriescobar64@gmail.com</v>
      </c>
      <c r="G1141" s="143">
        <v>43924</v>
      </c>
      <c r="H1141" s="38" t="s">
        <v>18</v>
      </c>
      <c r="I1141" s="30">
        <v>43885</v>
      </c>
      <c r="J1141" s="58">
        <v>1020659</v>
      </c>
      <c r="K1141" s="32">
        <v>728353.78151260503</v>
      </c>
      <c r="L1141" s="32"/>
      <c r="M1141" s="33">
        <f>(PROVEEDORES[[#This Row],[SUBTOTAL]]-PROVEEDORES[[#This Row],[descuento antes de IVA]])*VLOOKUP(PROVEEDORES[[#This Row],[PROVEEDOR]],TERCEROS_INFO[#All],3,FALSE)</f>
        <v>138387.21848739494</v>
      </c>
      <c r="N1141" s="34"/>
      <c r="O1141" s="33">
        <f>+PROVEEDORES[[#This Row],[Descuento sobre subtotal %]]*(PROVEEDORES[[#This Row],[SUBTOTAL]]-PROVEEDORES[[#This Row],[descuento antes de IVA]])</f>
        <v>0</v>
      </c>
      <c r="P11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41" s="33">
        <f>+(PROVEEDORES[[#This Row],[SUBTOTAL]]-PROVEEDORES[[#This Row],[descuento antes de IVA]])*PROVEEDORES[[#This Row],[Rete Fuente %]]</f>
        <v>0</v>
      </c>
      <c r="R1141" s="32">
        <f>+PROVEEDORES[[#This Row],[SUBTOTAL]]+PROVEEDORES[[#This Row],[IVA 19%]]-PROVEEDORES[[#This Row],[descuento antes de IVA]]-PROVEEDORES[[#This Row],[Descuento sobre subtotal $]]-PROVEEDORES[[#This Row],[Rete Fuente $]]</f>
        <v>866741</v>
      </c>
      <c r="S11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2" spans="1:19" ht="21.95" hidden="1" customHeight="1" x14ac:dyDescent="0.25">
      <c r="A1142" s="39" t="str">
        <f>+IF(PROVEEDORES[[#This Row],[FECHA DE PAGO]]=PROVEEDORES[[#This Row],[FECHA DE FACTURACIÓN]],"DE CONTADO","CRÉDITO")</f>
        <v>CRÉDITO</v>
      </c>
      <c r="B1142" s="67" t="str">
        <f>+IF((PROVEEDORES[[#This Row],[FECHA DE PAGO]]-PROVEEDORES[[#This Row],[FECHA DE FACTURACIÓN]])&gt;PROVEEDORES[[#This Row],[PLAZO Días]],"PAGO VENCIDO")</f>
        <v>PAGO VENCIDO</v>
      </c>
      <c r="C1142" s="27">
        <f>+VLOOKUP(PROVEEDORES[[#This Row],[PROVEEDOR]],TERCEROS_INFO[#All],2,FALSE)</f>
        <v>30</v>
      </c>
      <c r="D1142" s="37">
        <f>+SUMIFS(PROVEEDORES[Total],PROVEEDORES[PROVEEDOR],PROVEEDORES[[#This Row],[PROVEEDOR]],PROVEEDORES[FECHA DE PAGO],"")</f>
        <v>6072997.5925500002</v>
      </c>
      <c r="E1142" s="37"/>
      <c r="F1142" s="108" t="str">
        <f>+VLOOKUP(PROVEEDORES[[#This Row],[PROVEEDOR]],TERCEROS_INFO[[PROVEEDOR]:[CORREO]],5,FALSE)</f>
        <v>angela.navas@hyrdistribuciones.com;girlesa.ruiz@servipilas.com;joriescobar64@gmail.com</v>
      </c>
      <c r="G1142" s="143">
        <v>43938</v>
      </c>
      <c r="H1142" s="38" t="s">
        <v>18</v>
      </c>
      <c r="I1142" s="30">
        <v>43893</v>
      </c>
      <c r="J1142" s="58">
        <v>1614636</v>
      </c>
      <c r="K1142" s="32">
        <v>1487244.6386554623</v>
      </c>
      <c r="L1142" s="32"/>
      <c r="M1142" s="33">
        <f>(PROVEEDORES[[#This Row],[SUBTOTAL]]-PROVEEDORES[[#This Row],[descuento antes de IVA]])*VLOOKUP(PROVEEDORES[[#This Row],[PROVEEDOR]],TERCEROS_INFO[#All],3,FALSE)</f>
        <v>282576.48134453787</v>
      </c>
      <c r="N1142" s="34"/>
      <c r="O1142" s="33">
        <f>+PROVEEDORES[[#This Row],[Descuento sobre subtotal %]]*(PROVEEDORES[[#This Row],[SUBTOTAL]]-PROVEEDORES[[#This Row],[descuento antes de IVA]])</f>
        <v>0</v>
      </c>
      <c r="P11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42" s="33">
        <f>+(PROVEEDORES[[#This Row],[SUBTOTAL]]-PROVEEDORES[[#This Row],[descuento antes de IVA]])*PROVEEDORES[[#This Row],[Rete Fuente %]]</f>
        <v>37181.115966386562</v>
      </c>
      <c r="R1142" s="32">
        <f>+PROVEEDORES[[#This Row],[SUBTOTAL]]+PROVEEDORES[[#This Row],[IVA 19%]]-PROVEEDORES[[#This Row],[descuento antes de IVA]]-PROVEEDORES[[#This Row],[Descuento sobre subtotal $]]-PROVEEDORES[[#This Row],[Rete Fuente $]]</f>
        <v>1732640.0040336135</v>
      </c>
      <c r="S11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3" spans="1:19" ht="21.95" hidden="1" customHeight="1" x14ac:dyDescent="0.25">
      <c r="A1143" s="39" t="str">
        <f>+IF(PROVEEDORES[[#This Row],[FECHA DE PAGO]]=PROVEEDORES[[#This Row],[FECHA DE FACTURACIÓN]],"DE CONTADO","CRÉDITO")</f>
        <v>CRÉDITO</v>
      </c>
      <c r="B1143" s="67" t="str">
        <f>+IF((PROVEEDORES[[#This Row],[FECHA DE PAGO]]-PROVEEDORES[[#This Row],[FECHA DE FACTURACIÓN]])&gt;PROVEEDORES[[#This Row],[PLAZO Días]],"PAGO VENCIDO")</f>
        <v>PAGO VENCIDO</v>
      </c>
      <c r="C1143" s="27">
        <f>+VLOOKUP(PROVEEDORES[[#This Row],[PROVEEDOR]],TERCEROS_INFO[#All],2,FALSE)</f>
        <v>30</v>
      </c>
      <c r="D1143" s="37">
        <f>+SUMIFS(PROVEEDORES[Total],PROVEEDORES[PROVEEDOR],PROVEEDORES[[#This Row],[PROVEEDOR]],PROVEEDORES[FECHA DE PAGO],"")</f>
        <v>6072997.5925500002</v>
      </c>
      <c r="E1143" s="37"/>
      <c r="F1143" s="108" t="str">
        <f>+VLOOKUP(PROVEEDORES[[#This Row],[PROVEEDOR]],TERCEROS_INFO[[PROVEEDOR]:[CORREO]],5,FALSE)</f>
        <v>angela.navas@hyrdistribuciones.com;girlesa.ruiz@servipilas.com;joriescobar64@gmail.com</v>
      </c>
      <c r="G1143" s="143">
        <v>43938</v>
      </c>
      <c r="H1143" s="38" t="s">
        <v>18</v>
      </c>
      <c r="I1143" s="30">
        <v>43893</v>
      </c>
      <c r="J1143" s="58">
        <v>1614636</v>
      </c>
      <c r="K1143" s="32">
        <v>915783.19327731093</v>
      </c>
      <c r="L1143" s="32"/>
      <c r="M1143" s="33">
        <f>(PROVEEDORES[[#This Row],[SUBTOTAL]]-PROVEEDORES[[#This Row],[descuento antes de IVA]])*VLOOKUP(PROVEEDORES[[#This Row],[PROVEEDOR]],TERCEROS_INFO[#All],3,FALSE)</f>
        <v>173998.80672268907</v>
      </c>
      <c r="N1143" s="34"/>
      <c r="O1143" s="33">
        <f>+PROVEEDORES[[#This Row],[Descuento sobre subtotal %]]*(PROVEEDORES[[#This Row],[SUBTOTAL]]-PROVEEDORES[[#This Row],[descuento antes de IVA]])</f>
        <v>0</v>
      </c>
      <c r="P11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43" s="33">
        <f>+(PROVEEDORES[[#This Row],[SUBTOTAL]]-PROVEEDORES[[#This Row],[descuento antes de IVA]])*PROVEEDORES[[#This Row],[Rete Fuente %]]</f>
        <v>0</v>
      </c>
      <c r="R1143" s="32">
        <f>+PROVEEDORES[[#This Row],[SUBTOTAL]]+PROVEEDORES[[#This Row],[IVA 19%]]-PROVEEDORES[[#This Row],[descuento antes de IVA]]-PROVEEDORES[[#This Row],[Descuento sobre subtotal $]]-PROVEEDORES[[#This Row],[Rete Fuente $]]</f>
        <v>1089782</v>
      </c>
      <c r="S11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4" spans="1:19" ht="21.95" hidden="1" customHeight="1" x14ac:dyDescent="0.25">
      <c r="A1144" s="39" t="str">
        <f>+IF(PROVEEDORES[[#This Row],[FECHA DE PAGO]]=PROVEEDORES[[#This Row],[FECHA DE FACTURACIÓN]],"DE CONTADO","CRÉDITO")</f>
        <v>CRÉDITO</v>
      </c>
      <c r="B1144" s="67" t="str">
        <f>+IF((PROVEEDORES[[#This Row],[FECHA DE PAGO]]-PROVEEDORES[[#This Row],[FECHA DE FACTURACIÓN]])&gt;PROVEEDORES[[#This Row],[PLAZO Días]],"PAGO VENCIDO")</f>
        <v>PAGO VENCIDO</v>
      </c>
      <c r="C1144" s="27">
        <f>+VLOOKUP(PROVEEDORES[[#This Row],[PROVEEDOR]],TERCEROS_INFO[#All],2,FALSE)</f>
        <v>30</v>
      </c>
      <c r="D1144" s="37">
        <f>+SUMIFS(PROVEEDORES[Total],PROVEEDORES[PROVEEDOR],PROVEEDORES[[#This Row],[PROVEEDOR]],PROVEEDORES[FECHA DE PAGO],"")</f>
        <v>6072997.5925500002</v>
      </c>
      <c r="E1144" s="37"/>
      <c r="F1144" s="108" t="str">
        <f>+VLOOKUP(PROVEEDORES[[#This Row],[PROVEEDOR]],TERCEROS_INFO[[PROVEEDOR]:[CORREO]],5,FALSE)</f>
        <v>angela.navas@hyrdistribuciones.com;girlesa.ruiz@servipilas.com;joriescobar64@gmail.com</v>
      </c>
      <c r="G1144" s="143">
        <v>43956</v>
      </c>
      <c r="H1144" s="38" t="s">
        <v>18</v>
      </c>
      <c r="I1144" s="30">
        <v>43908</v>
      </c>
      <c r="J1144" s="58">
        <v>1021665</v>
      </c>
      <c r="K1144" s="32">
        <v>2788504.7226890759</v>
      </c>
      <c r="L1144" s="32"/>
      <c r="M1144" s="33">
        <f>(PROVEEDORES[[#This Row],[SUBTOTAL]]-PROVEEDORES[[#This Row],[descuento antes de IVA]])*VLOOKUP(PROVEEDORES[[#This Row],[PROVEEDOR]],TERCEROS_INFO[#All],3,FALSE)</f>
        <v>529815.89731092437</v>
      </c>
      <c r="N1144" s="34"/>
      <c r="O1144" s="33">
        <f>+PROVEEDORES[[#This Row],[Descuento sobre subtotal %]]*(PROVEEDORES[[#This Row],[SUBTOTAL]]-PROVEEDORES[[#This Row],[descuento antes de IVA]])</f>
        <v>0</v>
      </c>
      <c r="P11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44" s="33">
        <f>+(PROVEEDORES[[#This Row],[SUBTOTAL]]-PROVEEDORES[[#This Row],[descuento antes de IVA]])*PROVEEDORES[[#This Row],[Rete Fuente %]]</f>
        <v>69712.618067226897</v>
      </c>
      <c r="R1144" s="32">
        <f>+PROVEEDORES[[#This Row],[SUBTOTAL]]+PROVEEDORES[[#This Row],[IVA 19%]]-PROVEEDORES[[#This Row],[descuento antes de IVA]]-PROVEEDORES[[#This Row],[Descuento sobre subtotal $]]-PROVEEDORES[[#This Row],[Rete Fuente $]]</f>
        <v>3248608.0019327733</v>
      </c>
      <c r="S11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5" spans="1:19" ht="21.95" hidden="1" customHeight="1" x14ac:dyDescent="0.25">
      <c r="A1145" s="39" t="str">
        <f>+IF(PROVEEDORES[[#This Row],[FECHA DE PAGO]]=PROVEEDORES[[#This Row],[FECHA DE FACTURACIÓN]],"DE CONTADO","CRÉDITO")</f>
        <v>CRÉDITO</v>
      </c>
      <c r="B1145" s="67" t="b">
        <f>+IF((PROVEEDORES[[#This Row],[FECHA DE PAGO]]-PROVEEDORES[[#This Row],[FECHA DE FACTURACIÓN]])&gt;PROVEEDORES[[#This Row],[PLAZO Días]],"PAGO VENCIDO")</f>
        <v>0</v>
      </c>
      <c r="C1145" s="27">
        <f>+VLOOKUP(PROVEEDORES[[#This Row],[PROVEEDOR]],TERCEROS_INFO[#All],2,FALSE)</f>
        <v>30</v>
      </c>
      <c r="D1145" s="37">
        <f>+SUMIFS(PROVEEDORES[Total],PROVEEDORES[PROVEEDOR],PROVEEDORES[[#This Row],[PROVEEDOR]],PROVEEDORES[FECHA DE PAGO],"")</f>
        <v>6072997.5925500002</v>
      </c>
      <c r="E1145" s="37"/>
      <c r="F1145" s="108" t="str">
        <f>+VLOOKUP(PROVEEDORES[[#This Row],[PROVEEDOR]],TERCEROS_INFO[[PROVEEDOR]:[CORREO]],5,FALSE)</f>
        <v>angela.navas@hyrdistribuciones.com;girlesa.ruiz@servipilas.com;joriescobar64@gmail.com</v>
      </c>
      <c r="G1145" s="143">
        <v>43964</v>
      </c>
      <c r="H1145" s="38" t="s">
        <v>18</v>
      </c>
      <c r="I1145" s="30">
        <v>43943</v>
      </c>
      <c r="J1145" s="58">
        <v>1023305</v>
      </c>
      <c r="K1145" s="32">
        <v>2560831.7563025211</v>
      </c>
      <c r="L1145" s="32"/>
      <c r="M1145" s="33">
        <f>(PROVEEDORES[[#This Row],[SUBTOTAL]]-PROVEEDORES[[#This Row],[descuento antes de IVA]])*VLOOKUP(PROVEEDORES[[#This Row],[PROVEEDOR]],TERCEROS_INFO[#All],3,FALSE)</f>
        <v>486558.033697479</v>
      </c>
      <c r="N1145" s="34"/>
      <c r="O1145" s="33">
        <f>+PROVEEDORES[[#This Row],[Descuento sobre subtotal %]]*(PROVEEDORES[[#This Row],[SUBTOTAL]]-PROVEEDORES[[#This Row],[descuento antes de IVA]])</f>
        <v>0</v>
      </c>
      <c r="P11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45" s="33">
        <f>+(PROVEEDORES[[#This Row],[SUBTOTAL]]-PROVEEDORES[[#This Row],[descuento antes de IVA]])*PROVEEDORES[[#This Row],[Rete Fuente %]]</f>
        <v>64020.793907563027</v>
      </c>
      <c r="R1145" s="32">
        <f>+PROVEEDORES[[#This Row],[SUBTOTAL]]+PROVEEDORES[[#This Row],[IVA 19%]]-PROVEEDORES[[#This Row],[descuento antes de IVA]]-PROVEEDORES[[#This Row],[Descuento sobre subtotal $]]-PROVEEDORES[[#This Row],[Rete Fuente $]]</f>
        <v>2983368.9960924368</v>
      </c>
      <c r="S11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6" spans="1:19" ht="21.95" hidden="1" customHeight="1" x14ac:dyDescent="0.25">
      <c r="A1146" s="39" t="str">
        <f>+IF(PROVEEDORES[[#This Row],[FECHA DE PAGO]]=PROVEEDORES[[#This Row],[FECHA DE FACTURACIÓN]],"DE CONTADO","CRÉDITO")</f>
        <v>CRÉDITO</v>
      </c>
      <c r="B1146" s="67" t="str">
        <f>+IF((PROVEEDORES[[#This Row],[FECHA DE PAGO]]-PROVEEDORES[[#This Row],[FECHA DE FACTURACIÓN]])&gt;PROVEEDORES[[#This Row],[PLAZO Días]],"PAGO VENCIDO")</f>
        <v>PAGO VENCIDO</v>
      </c>
      <c r="C1146" s="27">
        <f>+VLOOKUP(PROVEEDORES[[#This Row],[PROVEEDOR]],TERCEROS_INFO[#All],2,FALSE)</f>
        <v>30</v>
      </c>
      <c r="D1146" s="37">
        <f>+SUMIFS(PROVEEDORES[Total],PROVEEDORES[PROVEEDOR],PROVEEDORES[[#This Row],[PROVEEDOR]],PROVEEDORES[FECHA DE PAGO],"")</f>
        <v>6072997.5925500002</v>
      </c>
      <c r="E1146" s="37"/>
      <c r="F1146" s="108" t="str">
        <f>+VLOOKUP(PROVEEDORES[[#This Row],[PROVEEDOR]],TERCEROS_INFO[[PROVEEDOR]:[CORREO]],5,FALSE)</f>
        <v>angela.navas@hyrdistribuciones.com;girlesa.ruiz@servipilas.com;joriescobar64@gmail.com</v>
      </c>
      <c r="G1146" s="143">
        <v>43992</v>
      </c>
      <c r="H1146" s="38" t="s">
        <v>18</v>
      </c>
      <c r="I1146" s="30">
        <v>43956</v>
      </c>
      <c r="J1146" s="58">
        <v>1023876</v>
      </c>
      <c r="K1146" s="32">
        <v>1413218.8823529412</v>
      </c>
      <c r="L1146" s="32"/>
      <c r="M1146" s="33">
        <f>(PROVEEDORES[[#This Row],[SUBTOTAL]]-PROVEEDORES[[#This Row],[descuento antes de IVA]])*VLOOKUP(PROVEEDORES[[#This Row],[PROVEEDOR]],TERCEROS_INFO[#All],3,FALSE)</f>
        <v>268511.58764705883</v>
      </c>
      <c r="N1146" s="34"/>
      <c r="O1146" s="33">
        <f>+PROVEEDORES[[#This Row],[Descuento sobre subtotal %]]*(PROVEEDORES[[#This Row],[SUBTOTAL]]-PROVEEDORES[[#This Row],[descuento antes de IVA]])</f>
        <v>0</v>
      </c>
      <c r="P11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46" s="33">
        <f>+(PROVEEDORES[[#This Row],[SUBTOTAL]]-PROVEEDORES[[#This Row],[descuento antes de IVA]])*PROVEEDORES[[#This Row],[Rete Fuente %]]</f>
        <v>35330.472058823529</v>
      </c>
      <c r="R1146" s="32">
        <f>+PROVEEDORES[[#This Row],[SUBTOTAL]]+PROVEEDORES[[#This Row],[IVA 19%]]-PROVEEDORES[[#This Row],[descuento antes de IVA]]-PROVEEDORES[[#This Row],[Descuento sobre subtotal $]]-PROVEEDORES[[#This Row],[Rete Fuente $]]</f>
        <v>1646399.9979411764</v>
      </c>
      <c r="S11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7" spans="1:19" ht="21.95" hidden="1" customHeight="1" x14ac:dyDescent="0.25">
      <c r="A1147" s="39" t="str">
        <f>+IF(PROVEEDORES[[#This Row],[FECHA DE PAGO]]=PROVEEDORES[[#This Row],[FECHA DE FACTURACIÓN]],"DE CONTADO","CRÉDITO")</f>
        <v>CRÉDITO</v>
      </c>
      <c r="B1147" s="67" t="str">
        <f>+IF((PROVEEDORES[[#This Row],[FECHA DE PAGO]]-PROVEEDORES[[#This Row],[FECHA DE FACTURACIÓN]])&gt;PROVEEDORES[[#This Row],[PLAZO Días]],"PAGO VENCIDO")</f>
        <v>PAGO VENCIDO</v>
      </c>
      <c r="C1147" s="27">
        <f>+VLOOKUP(PROVEEDORES[[#This Row],[PROVEEDOR]],TERCEROS_INFO[#All],2,FALSE)</f>
        <v>30</v>
      </c>
      <c r="D1147" s="37">
        <f>+SUMIFS(PROVEEDORES[Total],PROVEEDORES[PROVEEDOR],PROVEEDORES[[#This Row],[PROVEEDOR]],PROVEEDORES[FECHA DE PAGO],"")</f>
        <v>6072997.5925500002</v>
      </c>
      <c r="E1147" s="37"/>
      <c r="F1147" s="108" t="str">
        <f>+VLOOKUP(PROVEEDORES[[#This Row],[PROVEEDOR]],TERCEROS_INFO[[PROVEEDOR]:[CORREO]],5,FALSE)</f>
        <v>angela.navas@hyrdistribuciones.com;girlesa.ruiz@servipilas.com;joriescobar64@gmail.com</v>
      </c>
      <c r="G1147" s="143">
        <v>44007</v>
      </c>
      <c r="H1147" s="38" t="s">
        <v>18</v>
      </c>
      <c r="I1147" s="30">
        <v>43973</v>
      </c>
      <c r="J1147" s="58">
        <v>1024535</v>
      </c>
      <c r="K1147" s="32">
        <v>2556103.0084033613</v>
      </c>
      <c r="L1147" s="32"/>
      <c r="M1147" s="33">
        <f>(PROVEEDORES[[#This Row],[SUBTOTAL]]-PROVEEDORES[[#This Row],[descuento antes de IVA]])*VLOOKUP(PROVEEDORES[[#This Row],[PROVEEDOR]],TERCEROS_INFO[#All],3,FALSE)</f>
        <v>485659.57159663865</v>
      </c>
      <c r="N1147" s="34"/>
      <c r="O1147" s="33">
        <f>+PROVEEDORES[[#This Row],[Descuento sobre subtotal %]]*(PROVEEDORES[[#This Row],[SUBTOTAL]]-PROVEEDORES[[#This Row],[descuento antes de IVA]])</f>
        <v>0</v>
      </c>
      <c r="P11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47" s="33">
        <f>+(PROVEEDORES[[#This Row],[SUBTOTAL]]-PROVEEDORES[[#This Row],[descuento antes de IVA]])*PROVEEDORES[[#This Row],[Rete Fuente %]]</f>
        <v>63902.575210084033</v>
      </c>
      <c r="R1147" s="32">
        <f>+PROVEEDORES[[#This Row],[SUBTOTAL]]+PROVEEDORES[[#This Row],[IVA 19%]]-PROVEEDORES[[#This Row],[descuento antes de IVA]]-PROVEEDORES[[#This Row],[Descuento sobre subtotal $]]-PROVEEDORES[[#This Row],[Rete Fuente $]]</f>
        <v>2977860.0047899159</v>
      </c>
      <c r="S11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8" spans="1:19" ht="21.95" hidden="1" customHeight="1" x14ac:dyDescent="0.25">
      <c r="A1148" s="39" t="str">
        <f>+IF(PROVEEDORES[[#This Row],[FECHA DE PAGO]]=PROVEEDORES[[#This Row],[FECHA DE FACTURACIÓN]],"DE CONTADO","CRÉDITO")</f>
        <v>CRÉDITO</v>
      </c>
      <c r="B1148" s="67" t="str">
        <f>+IF((PROVEEDORES[[#This Row],[FECHA DE PAGO]]-PROVEEDORES[[#This Row],[FECHA DE FACTURACIÓN]])&gt;PROVEEDORES[[#This Row],[PLAZO Días]],"PAGO VENCIDO")</f>
        <v>PAGO VENCIDO</v>
      </c>
      <c r="C1148" s="27">
        <f>+VLOOKUP(PROVEEDORES[[#This Row],[PROVEEDOR]],TERCEROS_INFO[#All],2,FALSE)</f>
        <v>30</v>
      </c>
      <c r="D1148" s="37">
        <f>+SUMIFS(PROVEEDORES[Total],PROVEEDORES[PROVEEDOR],PROVEEDORES[[#This Row],[PROVEEDOR]],PROVEEDORES[FECHA DE PAGO],"")</f>
        <v>6072997.5925500002</v>
      </c>
      <c r="E1148" s="37"/>
      <c r="F1148" s="108" t="str">
        <f>+VLOOKUP(PROVEEDORES[[#This Row],[PROVEEDOR]],TERCEROS_INFO[[PROVEEDOR]:[CORREO]],5,FALSE)</f>
        <v>angela.navas@hyrdistribuciones.com;girlesa.ruiz@servipilas.com;joriescobar64@gmail.com</v>
      </c>
      <c r="G1148" s="143">
        <v>44039</v>
      </c>
      <c r="H1148" s="38" t="s">
        <v>18</v>
      </c>
      <c r="I1148" s="30">
        <v>43992</v>
      </c>
      <c r="J1148" s="58">
        <v>1025193</v>
      </c>
      <c r="K1148" s="32">
        <v>2413727.8991596643</v>
      </c>
      <c r="L1148" s="32"/>
      <c r="M1148" s="33">
        <f>(PROVEEDORES[[#This Row],[SUBTOTAL]]-PROVEEDORES[[#This Row],[descuento antes de IVA]])*VLOOKUP(PROVEEDORES[[#This Row],[PROVEEDOR]],TERCEROS_INFO[#All],3,FALSE)</f>
        <v>458608.30084033625</v>
      </c>
      <c r="N1148" s="34"/>
      <c r="O1148" s="33">
        <f>+PROVEEDORES[[#This Row],[Descuento sobre subtotal %]]*(PROVEEDORES[[#This Row],[SUBTOTAL]]-PROVEEDORES[[#This Row],[descuento antes de IVA]])</f>
        <v>0</v>
      </c>
      <c r="P11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48" s="33">
        <f>+(PROVEEDORES[[#This Row],[SUBTOTAL]]-PROVEEDORES[[#This Row],[descuento antes de IVA]])*PROVEEDORES[[#This Row],[Rete Fuente %]]</f>
        <v>60343.197478991613</v>
      </c>
      <c r="R1148" s="32">
        <f>+PROVEEDORES[[#This Row],[SUBTOTAL]]+PROVEEDORES[[#This Row],[IVA 19%]]-PROVEEDORES[[#This Row],[descuento antes de IVA]]-PROVEEDORES[[#This Row],[Descuento sobre subtotal $]]-PROVEEDORES[[#This Row],[Rete Fuente $]]</f>
        <v>2811993.0025210092</v>
      </c>
      <c r="S11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9" spans="1:19" ht="21.95" hidden="1" customHeight="1" x14ac:dyDescent="0.25">
      <c r="A1149" s="39" t="str">
        <f>+IF(PROVEEDORES[[#This Row],[FECHA DE PAGO]]=PROVEEDORES[[#This Row],[FECHA DE FACTURACIÓN]],"DE CONTADO","CRÉDITO")</f>
        <v>CRÉDITO</v>
      </c>
      <c r="B1149" s="67" t="str">
        <f>+IF((PROVEEDORES[[#This Row],[FECHA DE PAGO]]-PROVEEDORES[[#This Row],[FECHA DE FACTURACIÓN]])&gt;PROVEEDORES[[#This Row],[PLAZO Días]],"PAGO VENCIDO")</f>
        <v>PAGO VENCIDO</v>
      </c>
      <c r="C1149" s="27">
        <f>+VLOOKUP(PROVEEDORES[[#This Row],[PROVEEDOR]],TERCEROS_INFO[#All],2,FALSE)</f>
        <v>30</v>
      </c>
      <c r="D1149" s="37">
        <f>+SUMIFS(PROVEEDORES[Total],PROVEEDORES[PROVEEDOR],PROVEEDORES[[#This Row],[PROVEEDOR]],PROVEEDORES[FECHA DE PAGO],"")</f>
        <v>6072997.5925500002</v>
      </c>
      <c r="E1149" s="37"/>
      <c r="F1149" s="108" t="str">
        <f>+VLOOKUP(PROVEEDORES[[#This Row],[PROVEEDOR]],TERCEROS_INFO[[PROVEEDOR]:[CORREO]],5,FALSE)</f>
        <v>angela.navas@hyrdistribuciones.com;girlesa.ruiz@servipilas.com;joriescobar64@gmail.com</v>
      </c>
      <c r="G1149" s="143">
        <v>44053</v>
      </c>
      <c r="H1149" s="38" t="s">
        <v>18</v>
      </c>
      <c r="I1149" s="30">
        <v>43999</v>
      </c>
      <c r="J1149" s="58">
        <v>1025410</v>
      </c>
      <c r="K1149" s="32">
        <v>379147.89915966388</v>
      </c>
      <c r="L1149" s="32"/>
      <c r="M1149" s="33">
        <f>(PROVEEDORES[[#This Row],[SUBTOTAL]]-PROVEEDORES[[#This Row],[descuento antes de IVA]])*VLOOKUP(PROVEEDORES[[#This Row],[PROVEEDOR]],TERCEROS_INFO[#All],3,FALSE)</f>
        <v>72038.100840336134</v>
      </c>
      <c r="N1149" s="34"/>
      <c r="O1149" s="33">
        <f>+PROVEEDORES[[#This Row],[Descuento sobre subtotal %]]*(PROVEEDORES[[#This Row],[SUBTOTAL]]-PROVEEDORES[[#This Row],[descuento antes de IVA]])</f>
        <v>0</v>
      </c>
      <c r="P11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49" s="33">
        <f>+(PROVEEDORES[[#This Row],[SUBTOTAL]]-PROVEEDORES[[#This Row],[descuento antes de IVA]])*PROVEEDORES[[#This Row],[Rete Fuente %]]</f>
        <v>0</v>
      </c>
      <c r="R1149" s="32">
        <f>+PROVEEDORES[[#This Row],[SUBTOTAL]]+PROVEEDORES[[#This Row],[IVA 19%]]-PROVEEDORES[[#This Row],[descuento antes de IVA]]-PROVEEDORES[[#This Row],[Descuento sobre subtotal $]]-PROVEEDORES[[#This Row],[Rete Fuente $]]</f>
        <v>451186</v>
      </c>
      <c r="S114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0" spans="1:19" ht="21.95" hidden="1" customHeight="1" x14ac:dyDescent="0.25">
      <c r="A1150" s="39" t="str">
        <f>+IF(PROVEEDORES[[#This Row],[FECHA DE PAGO]]=PROVEEDORES[[#This Row],[FECHA DE FACTURACIÓN]],"DE CONTADO","CRÉDITO")</f>
        <v>CRÉDITO</v>
      </c>
      <c r="B1150" s="67" t="str">
        <f>+IF((PROVEEDORES[[#This Row],[FECHA DE PAGO]]-PROVEEDORES[[#This Row],[FECHA DE FACTURACIÓN]])&gt;PROVEEDORES[[#This Row],[PLAZO Días]],"PAGO VENCIDO")</f>
        <v>PAGO VENCIDO</v>
      </c>
      <c r="C1150" s="27">
        <f>+VLOOKUP(PROVEEDORES[[#This Row],[PROVEEDOR]],TERCEROS_INFO[#All],2,FALSE)</f>
        <v>30</v>
      </c>
      <c r="D1150" s="37">
        <f>+SUMIFS(PROVEEDORES[Total],PROVEEDORES[PROVEEDOR],PROVEEDORES[[#This Row],[PROVEEDOR]],PROVEEDORES[FECHA DE PAGO],"")</f>
        <v>6072997.5925500002</v>
      </c>
      <c r="E1150" s="37"/>
      <c r="F1150" s="108" t="str">
        <f>+VLOOKUP(PROVEEDORES[[#This Row],[PROVEEDOR]],TERCEROS_INFO[[PROVEEDOR]:[CORREO]],5,FALSE)</f>
        <v>angela.navas@hyrdistribuciones.com;girlesa.ruiz@servipilas.com;joriescobar64@gmail.com</v>
      </c>
      <c r="G1150" s="143">
        <v>44053</v>
      </c>
      <c r="H1150" s="38" t="s">
        <v>18</v>
      </c>
      <c r="I1150" s="30">
        <v>44014</v>
      </c>
      <c r="J1150" s="58">
        <v>1025920</v>
      </c>
      <c r="K1150" s="32">
        <v>658286.55462184874</v>
      </c>
      <c r="L1150" s="32"/>
      <c r="M1150" s="33">
        <f>(PROVEEDORES[[#This Row],[SUBTOTAL]]-PROVEEDORES[[#This Row],[descuento antes de IVA]])*VLOOKUP(PROVEEDORES[[#This Row],[PROVEEDOR]],TERCEROS_INFO[#All],3,FALSE)</f>
        <v>125074.44537815126</v>
      </c>
      <c r="N1150" s="34"/>
      <c r="O1150" s="33">
        <f>+PROVEEDORES[[#This Row],[Descuento sobre subtotal %]]*(PROVEEDORES[[#This Row],[SUBTOTAL]]-PROVEEDORES[[#This Row],[descuento antes de IVA]])</f>
        <v>0</v>
      </c>
      <c r="P11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50" s="33">
        <f>+(PROVEEDORES[[#This Row],[SUBTOTAL]]-PROVEEDORES[[#This Row],[descuento antes de IVA]])*PROVEEDORES[[#This Row],[Rete Fuente %]]</f>
        <v>0</v>
      </c>
      <c r="R1150" s="32">
        <f>+PROVEEDORES[[#This Row],[SUBTOTAL]]+PROVEEDORES[[#This Row],[IVA 19%]]-PROVEEDORES[[#This Row],[descuento antes de IVA]]-PROVEEDORES[[#This Row],[Descuento sobre subtotal $]]-PROVEEDORES[[#This Row],[Rete Fuente $]]</f>
        <v>783361</v>
      </c>
      <c r="S115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1" spans="1:19" ht="21.95" hidden="1" customHeight="1" x14ac:dyDescent="0.25">
      <c r="A1151" s="39" t="str">
        <f>+IF(PROVEEDORES[[#This Row],[FECHA DE PAGO]]=PROVEEDORES[[#This Row],[FECHA DE FACTURACIÓN]],"DE CONTADO","CRÉDITO")</f>
        <v>CRÉDITO</v>
      </c>
      <c r="B1151" s="67" t="str">
        <f>+IF((PROVEEDORES[[#This Row],[FECHA DE PAGO]]-PROVEEDORES[[#This Row],[FECHA DE FACTURACIÓN]])&gt;PROVEEDORES[[#This Row],[PLAZO Días]],"PAGO VENCIDO")</f>
        <v>PAGO VENCIDO</v>
      </c>
      <c r="C1151" s="27">
        <f>+VLOOKUP(PROVEEDORES[[#This Row],[PROVEEDOR]],TERCEROS_INFO[#All],2,FALSE)</f>
        <v>30</v>
      </c>
      <c r="D1151" s="37">
        <f>+SUMIFS(PROVEEDORES[Total],PROVEEDORES[PROVEEDOR],PROVEEDORES[[#This Row],[PROVEEDOR]],PROVEEDORES[FECHA DE PAGO],"")</f>
        <v>6072997.5925500002</v>
      </c>
      <c r="E1151" s="37"/>
      <c r="F1151" s="108" t="str">
        <f>+VLOOKUP(PROVEEDORES[[#This Row],[PROVEEDOR]],TERCEROS_INFO[[PROVEEDOR]:[CORREO]],5,FALSE)</f>
        <v>angela.navas@hyrdistribuciones.com;girlesa.ruiz@servipilas.com;joriescobar64@gmail.com</v>
      </c>
      <c r="G1151" s="143">
        <v>44053</v>
      </c>
      <c r="H1151" s="38" t="s">
        <v>18</v>
      </c>
      <c r="I1151" s="30">
        <v>44015</v>
      </c>
      <c r="J1151" s="58">
        <v>1025983</v>
      </c>
      <c r="K1151" s="32">
        <v>693733.61344537814</v>
      </c>
      <c r="L1151" s="32"/>
      <c r="M1151" s="33">
        <f>(PROVEEDORES[[#This Row],[SUBTOTAL]]-PROVEEDORES[[#This Row],[descuento antes de IVA]])*VLOOKUP(PROVEEDORES[[#This Row],[PROVEEDOR]],TERCEROS_INFO[#All],3,FALSE)</f>
        <v>131809.38655462186</v>
      </c>
      <c r="N1151" s="34"/>
      <c r="O1151" s="33">
        <f>+PROVEEDORES[[#This Row],[Descuento sobre subtotal %]]*(PROVEEDORES[[#This Row],[SUBTOTAL]]-PROVEEDORES[[#This Row],[descuento antes de IVA]])</f>
        <v>0</v>
      </c>
      <c r="P11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51" s="33">
        <f>+(PROVEEDORES[[#This Row],[SUBTOTAL]]-PROVEEDORES[[#This Row],[descuento antes de IVA]])*PROVEEDORES[[#This Row],[Rete Fuente %]]</f>
        <v>0</v>
      </c>
      <c r="R1151" s="32">
        <f>+PROVEEDORES[[#This Row],[SUBTOTAL]]+PROVEEDORES[[#This Row],[IVA 19%]]-PROVEEDORES[[#This Row],[descuento antes de IVA]]-PROVEEDORES[[#This Row],[Descuento sobre subtotal $]]-PROVEEDORES[[#This Row],[Rete Fuente $]]</f>
        <v>825543</v>
      </c>
      <c r="S11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2" spans="1:19" ht="21.95" hidden="1" customHeight="1" x14ac:dyDescent="0.25">
      <c r="A1152" s="39" t="str">
        <f>+IF(PROVEEDORES[[#This Row],[FECHA DE PAGO]]=PROVEEDORES[[#This Row],[FECHA DE FACTURACIÓN]],"DE CONTADO","CRÉDITO")</f>
        <v>CRÉDITO</v>
      </c>
      <c r="B1152" s="67" t="str">
        <f>+IF((PROVEEDORES[[#This Row],[FECHA DE PAGO]]-PROVEEDORES[[#This Row],[FECHA DE FACTURACIÓN]])&gt;PROVEEDORES[[#This Row],[PLAZO Días]],"PAGO VENCIDO")</f>
        <v>PAGO VENCIDO</v>
      </c>
      <c r="C1152" s="27">
        <f>+VLOOKUP(PROVEEDORES[[#This Row],[PROVEEDOR]],TERCEROS_INFO[#All],2,FALSE)</f>
        <v>30</v>
      </c>
      <c r="D1152" s="37">
        <f>+SUMIFS(PROVEEDORES[Total],PROVEEDORES[PROVEEDOR],PROVEEDORES[[#This Row],[PROVEEDOR]],PROVEEDORES[FECHA DE PAGO],"")</f>
        <v>6072997.5925500002</v>
      </c>
      <c r="E1152" s="37"/>
      <c r="F1152" s="108" t="str">
        <f>+VLOOKUP(PROVEEDORES[[#This Row],[PROVEEDOR]],TERCEROS_INFO[[PROVEEDOR]:[CORREO]],5,FALSE)</f>
        <v>angela.navas@hyrdistribuciones.com;girlesa.ruiz@servipilas.com;joriescobar64@gmail.com</v>
      </c>
      <c r="G1152" s="143">
        <v>44068</v>
      </c>
      <c r="H1152" s="38" t="s">
        <v>18</v>
      </c>
      <c r="I1152" s="30">
        <v>44022</v>
      </c>
      <c r="J1152" s="58">
        <v>1026287</v>
      </c>
      <c r="K1152" s="32">
        <v>3888237.7731092442</v>
      </c>
      <c r="L1152" s="32"/>
      <c r="M1152" s="33">
        <f>(PROVEEDORES[[#This Row],[SUBTOTAL]]-PROVEEDORES[[#This Row],[descuento antes de IVA]])*VLOOKUP(PROVEEDORES[[#This Row],[PROVEEDOR]],TERCEROS_INFO[#All],3,FALSE)</f>
        <v>738765.17689075635</v>
      </c>
      <c r="N1152" s="34"/>
      <c r="O1152" s="33">
        <f>+PROVEEDORES[[#This Row],[Descuento sobre subtotal %]]*(PROVEEDORES[[#This Row],[SUBTOTAL]]-PROVEEDORES[[#This Row],[descuento antes de IVA]])</f>
        <v>0</v>
      </c>
      <c r="P11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52" s="33">
        <f>+(PROVEEDORES[[#This Row],[SUBTOTAL]]-PROVEEDORES[[#This Row],[descuento antes de IVA]])*PROVEEDORES[[#This Row],[Rete Fuente %]]</f>
        <v>97205.944327731107</v>
      </c>
      <c r="R1152" s="32">
        <f>+PROVEEDORES[[#This Row],[SUBTOTAL]]+PROVEEDORES[[#This Row],[IVA 19%]]-PROVEEDORES[[#This Row],[descuento antes de IVA]]-PROVEEDORES[[#This Row],[Descuento sobre subtotal $]]-PROVEEDORES[[#This Row],[Rete Fuente $]]</f>
        <v>4529797.0056722695</v>
      </c>
      <c r="S115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3" spans="1:19" ht="21.95" hidden="1" customHeight="1" x14ac:dyDescent="0.25">
      <c r="A1153" s="39" t="str">
        <f>+IF(PROVEEDORES[[#This Row],[FECHA DE PAGO]]=PROVEEDORES[[#This Row],[FECHA DE FACTURACIÓN]],"DE CONTADO","CRÉDITO")</f>
        <v>CRÉDITO</v>
      </c>
      <c r="B1153" s="67" t="str">
        <f>+IF((PROVEEDORES[[#This Row],[FECHA DE PAGO]]-PROVEEDORES[[#This Row],[FECHA DE FACTURACIÓN]])&gt;PROVEEDORES[[#This Row],[PLAZO Días]],"PAGO VENCIDO")</f>
        <v>PAGO VENCIDO</v>
      </c>
      <c r="C1153" s="27">
        <f>+VLOOKUP(PROVEEDORES[[#This Row],[PROVEEDOR]],TERCEROS_INFO[#All],2,FALSE)</f>
        <v>30</v>
      </c>
      <c r="D1153" s="37">
        <f>+SUMIFS(PROVEEDORES[Total],PROVEEDORES[PROVEEDOR],PROVEEDORES[[#This Row],[PROVEEDOR]],PROVEEDORES[FECHA DE PAGO],"")</f>
        <v>6072997.5925500002</v>
      </c>
      <c r="E1153" s="37"/>
      <c r="F1153" s="108" t="str">
        <f>+VLOOKUP(PROVEEDORES[[#This Row],[PROVEEDOR]],TERCEROS_INFO[[PROVEEDOR]:[CORREO]],5,FALSE)</f>
        <v>angela.navas@hyrdistribuciones.com;girlesa.ruiz@servipilas.com;joriescobar64@gmail.com</v>
      </c>
      <c r="G1153" s="143">
        <v>44078</v>
      </c>
      <c r="H1153" s="38" t="s">
        <v>18</v>
      </c>
      <c r="I1153" s="30">
        <v>44047</v>
      </c>
      <c r="J1153" s="58">
        <v>1027106</v>
      </c>
      <c r="K1153" s="32">
        <v>3225608.5882352944</v>
      </c>
      <c r="L1153" s="32"/>
      <c r="M1153" s="33">
        <f>(PROVEEDORES[[#This Row],[SUBTOTAL]]-PROVEEDORES[[#This Row],[descuento antes de IVA]])*VLOOKUP(PROVEEDORES[[#This Row],[PROVEEDOR]],TERCEROS_INFO[#All],3,FALSE)</f>
        <v>612865.63176470599</v>
      </c>
      <c r="N1153" s="34"/>
      <c r="O1153" s="33">
        <f>+PROVEEDORES[[#This Row],[Descuento sobre subtotal %]]*(PROVEEDORES[[#This Row],[SUBTOTAL]]-PROVEEDORES[[#This Row],[descuento antes de IVA]])</f>
        <v>0</v>
      </c>
      <c r="P11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53" s="33">
        <f>+(PROVEEDORES[[#This Row],[SUBTOTAL]]-PROVEEDORES[[#This Row],[descuento antes de IVA]])*PROVEEDORES[[#This Row],[Rete Fuente %]]</f>
        <v>80640.214705882361</v>
      </c>
      <c r="R1153" s="32">
        <f>+PROVEEDORES[[#This Row],[SUBTOTAL]]+PROVEEDORES[[#This Row],[IVA 19%]]-PROVEEDORES[[#This Row],[descuento antes de IVA]]-PROVEEDORES[[#This Row],[Descuento sobre subtotal $]]-PROVEEDORES[[#This Row],[Rete Fuente $]]</f>
        <v>3757834.0052941181</v>
      </c>
      <c r="S115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4" spans="1:19" ht="21.95" hidden="1" customHeight="1" x14ac:dyDescent="0.25">
      <c r="A1154" s="39" t="str">
        <f>+IF(PROVEEDORES[[#This Row],[FECHA DE PAGO]]=PROVEEDORES[[#This Row],[FECHA DE FACTURACIÓN]],"DE CONTADO","CRÉDITO")</f>
        <v>CRÉDITO</v>
      </c>
      <c r="B1154" s="67" t="str">
        <f>+IF((PROVEEDORES[[#This Row],[FECHA DE PAGO]]-PROVEEDORES[[#This Row],[FECHA DE FACTURACIÓN]])&gt;PROVEEDORES[[#This Row],[PLAZO Días]],"PAGO VENCIDO")</f>
        <v>PAGO VENCIDO</v>
      </c>
      <c r="C1154" s="27">
        <f>+VLOOKUP(PROVEEDORES[[#This Row],[PROVEEDOR]],TERCEROS_INFO[#All],2,FALSE)</f>
        <v>30</v>
      </c>
      <c r="D1154" s="37">
        <f>+SUMIFS(PROVEEDORES[Total],PROVEEDORES[PROVEEDOR],PROVEEDORES[[#This Row],[PROVEEDOR]],PROVEEDORES[FECHA DE PAGO],"")</f>
        <v>6072997.5925500002</v>
      </c>
      <c r="E1154" s="37"/>
      <c r="F1154" s="108" t="str">
        <f>+VLOOKUP(PROVEEDORES[[#This Row],[PROVEEDOR]],TERCEROS_INFO[[PROVEEDOR]:[CORREO]],5,FALSE)</f>
        <v>angela.navas@hyrdistribuciones.com;girlesa.ruiz@servipilas.com;joriescobar64@gmail.com</v>
      </c>
      <c r="G1154" s="143">
        <v>44110</v>
      </c>
      <c r="H1154" s="38" t="s">
        <v>18</v>
      </c>
      <c r="I1154" s="30">
        <v>44060</v>
      </c>
      <c r="J1154" s="58">
        <v>1027488</v>
      </c>
      <c r="K1154" s="32">
        <v>3591330.4705882352</v>
      </c>
      <c r="L1154" s="32"/>
      <c r="M1154" s="33">
        <f>(PROVEEDORES[[#This Row],[SUBTOTAL]]-PROVEEDORES[[#This Row],[descuento antes de IVA]])*VLOOKUP(PROVEEDORES[[#This Row],[PROVEEDOR]],TERCEROS_INFO[#All],3,FALSE)</f>
        <v>682352.78941176471</v>
      </c>
      <c r="N1154" s="34"/>
      <c r="O1154" s="33">
        <f>+PROVEEDORES[[#This Row],[Descuento sobre subtotal %]]*(PROVEEDORES[[#This Row],[SUBTOTAL]]-PROVEEDORES[[#This Row],[descuento antes de IVA]])</f>
        <v>0</v>
      </c>
      <c r="P11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54" s="33">
        <f>+(PROVEEDORES[[#This Row],[SUBTOTAL]]-PROVEEDORES[[#This Row],[descuento antes de IVA]])*PROVEEDORES[[#This Row],[Rete Fuente %]]</f>
        <v>89783.26176470588</v>
      </c>
      <c r="R1154" s="32">
        <f>+PROVEEDORES[[#This Row],[SUBTOTAL]]+PROVEEDORES[[#This Row],[IVA 19%]]-PROVEEDORES[[#This Row],[descuento antes de IVA]]-PROVEEDORES[[#This Row],[Descuento sobre subtotal $]]-PROVEEDORES[[#This Row],[Rete Fuente $]]</f>
        <v>4183899.9982352937</v>
      </c>
      <c r="S115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5" spans="1:19" ht="21.95" hidden="1" customHeight="1" x14ac:dyDescent="0.25">
      <c r="A1155" s="39" t="str">
        <f>+IF(PROVEEDORES[[#This Row],[FECHA DE PAGO]]=PROVEEDORES[[#This Row],[FECHA DE FACTURACIÓN]],"DE CONTADO","CRÉDITO")</f>
        <v>CRÉDITO</v>
      </c>
      <c r="B1155" s="67" t="str">
        <f>+IF((PROVEEDORES[[#This Row],[FECHA DE PAGO]]-PROVEEDORES[[#This Row],[FECHA DE FACTURACIÓN]])&gt;PROVEEDORES[[#This Row],[PLAZO Días]],"PAGO VENCIDO")</f>
        <v>PAGO VENCIDO</v>
      </c>
      <c r="C1155" s="27">
        <f>+VLOOKUP(PROVEEDORES[[#This Row],[PROVEEDOR]],TERCEROS_INFO[#All],2,FALSE)</f>
        <v>30</v>
      </c>
      <c r="D1155" s="37">
        <f>+SUMIFS(PROVEEDORES[Total],PROVEEDORES[PROVEEDOR],PROVEEDORES[[#This Row],[PROVEEDOR]],PROVEEDORES[FECHA DE PAGO],"")</f>
        <v>6072997.5925500002</v>
      </c>
      <c r="E1155" s="37"/>
      <c r="F1155" s="108" t="str">
        <f>+VLOOKUP(PROVEEDORES[[#This Row],[PROVEEDOR]],TERCEROS_INFO[[PROVEEDOR]:[CORREO]],5,FALSE)</f>
        <v>angela.navas@hyrdistribuciones.com;girlesa.ruiz@servipilas.com;joriescobar64@gmail.com</v>
      </c>
      <c r="G1155" s="143">
        <v>44118</v>
      </c>
      <c r="H1155" s="38" t="s">
        <v>18</v>
      </c>
      <c r="I1155" s="30">
        <v>44073</v>
      </c>
      <c r="J1155" s="58">
        <v>1028003</v>
      </c>
      <c r="K1155" s="32">
        <v>2340582.8403361347</v>
      </c>
      <c r="L1155" s="32"/>
      <c r="M1155" s="33">
        <f>(PROVEEDORES[[#This Row],[SUBTOTAL]]-PROVEEDORES[[#This Row],[descuento antes de IVA]])*VLOOKUP(PROVEEDORES[[#This Row],[PROVEEDOR]],TERCEROS_INFO[#All],3,FALSE)</f>
        <v>444710.73966386559</v>
      </c>
      <c r="N1155" s="34"/>
      <c r="O1155" s="33">
        <f>+PROVEEDORES[[#This Row],[Descuento sobre subtotal %]]*(PROVEEDORES[[#This Row],[SUBTOTAL]]-PROVEEDORES[[#This Row],[descuento antes de IVA]])</f>
        <v>0</v>
      </c>
      <c r="P11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55" s="33">
        <f>+(PROVEEDORES[[#This Row],[SUBTOTAL]]-PROVEEDORES[[#This Row],[descuento antes de IVA]])*PROVEEDORES[[#This Row],[Rete Fuente %]]</f>
        <v>58514.571008403371</v>
      </c>
      <c r="R1155" s="32">
        <f>+PROVEEDORES[[#This Row],[SUBTOTAL]]+PROVEEDORES[[#This Row],[IVA 19%]]-PROVEEDORES[[#This Row],[descuento antes de IVA]]-PROVEEDORES[[#This Row],[Descuento sobre subtotal $]]-PROVEEDORES[[#This Row],[Rete Fuente $]]</f>
        <v>2726779.0089915968</v>
      </c>
      <c r="S115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6" spans="1:19" ht="21.95" hidden="1" customHeight="1" x14ac:dyDescent="0.25">
      <c r="A1156" s="39" t="str">
        <f>+IF(PROVEEDORES[[#This Row],[FECHA DE PAGO]]=PROVEEDORES[[#This Row],[FECHA DE FACTURACIÓN]],"DE CONTADO","CRÉDITO")</f>
        <v>CRÉDITO</v>
      </c>
      <c r="B1156" s="67" t="str">
        <f>+IF((PROVEEDORES[[#This Row],[FECHA DE PAGO]]-PROVEEDORES[[#This Row],[FECHA DE FACTURACIÓN]])&gt;PROVEEDORES[[#This Row],[PLAZO Días]],"PAGO VENCIDO")</f>
        <v>PAGO VENCIDO</v>
      </c>
      <c r="C1156" s="27">
        <f>+VLOOKUP(PROVEEDORES[[#This Row],[PROVEEDOR]],TERCEROS_INFO[#All],2,FALSE)</f>
        <v>30</v>
      </c>
      <c r="D1156" s="37">
        <f>+SUMIFS(PROVEEDORES[Total],PROVEEDORES[PROVEEDOR],PROVEEDORES[[#This Row],[PROVEEDOR]],PROVEEDORES[FECHA DE PAGO],"")</f>
        <v>6072997.5925500002</v>
      </c>
      <c r="E1156" s="37"/>
      <c r="F1156" s="108" t="str">
        <f>+VLOOKUP(PROVEEDORES[[#This Row],[PROVEEDOR]],TERCEROS_INFO[[PROVEEDOR]:[CORREO]],5,FALSE)</f>
        <v>angela.navas@hyrdistribuciones.com;girlesa.ruiz@servipilas.com;joriescobar64@gmail.com</v>
      </c>
      <c r="G1156" s="143">
        <v>44124</v>
      </c>
      <c r="H1156" s="38" t="s">
        <v>18</v>
      </c>
      <c r="I1156" s="30">
        <v>44084</v>
      </c>
      <c r="J1156" s="58">
        <v>1028410</v>
      </c>
      <c r="K1156" s="32">
        <v>1944003.4285714286</v>
      </c>
      <c r="L1156" s="32"/>
      <c r="M1156" s="33">
        <f>(PROVEEDORES[[#This Row],[SUBTOTAL]]-PROVEEDORES[[#This Row],[descuento antes de IVA]])*VLOOKUP(PROVEEDORES[[#This Row],[PROVEEDOR]],TERCEROS_INFO[#All],3,FALSE)</f>
        <v>369360.65142857144</v>
      </c>
      <c r="N1156" s="34"/>
      <c r="O1156" s="33">
        <f>+PROVEEDORES[[#This Row],[Descuento sobre subtotal %]]*(PROVEEDORES[[#This Row],[SUBTOTAL]]-PROVEEDORES[[#This Row],[descuento antes de IVA]])</f>
        <v>0</v>
      </c>
      <c r="P11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56" s="33">
        <f>+(PROVEEDORES[[#This Row],[SUBTOTAL]]-PROVEEDORES[[#This Row],[descuento antes de IVA]])*PROVEEDORES[[#This Row],[Rete Fuente %]]</f>
        <v>48600.08571428572</v>
      </c>
      <c r="R1156" s="32">
        <f>+PROVEEDORES[[#This Row],[SUBTOTAL]]+PROVEEDORES[[#This Row],[IVA 19%]]-PROVEEDORES[[#This Row],[descuento antes de IVA]]-PROVEEDORES[[#This Row],[Descuento sobre subtotal $]]-PROVEEDORES[[#This Row],[Rete Fuente $]]</f>
        <v>2264763.9942857143</v>
      </c>
      <c r="S115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7" spans="1:19" ht="21.95" hidden="1" customHeight="1" x14ac:dyDescent="0.25">
      <c r="A1157" s="39" t="str">
        <f>+IF(PROVEEDORES[[#This Row],[FECHA DE PAGO]]=PROVEEDORES[[#This Row],[FECHA DE FACTURACIÓN]],"DE CONTADO","CRÉDITO")</f>
        <v>CRÉDITO</v>
      </c>
      <c r="B1157" s="67" t="str">
        <f>+IF((PROVEEDORES[[#This Row],[FECHA DE PAGO]]-PROVEEDORES[[#This Row],[FECHA DE FACTURACIÓN]])&gt;PROVEEDORES[[#This Row],[PLAZO Días]],"PAGO VENCIDO")</f>
        <v>PAGO VENCIDO</v>
      </c>
      <c r="C1157" s="27">
        <f>+VLOOKUP(PROVEEDORES[[#This Row],[PROVEEDOR]],TERCEROS_INFO[#All],2,FALSE)</f>
        <v>30</v>
      </c>
      <c r="D1157" s="37">
        <f>+SUMIFS(PROVEEDORES[Total],PROVEEDORES[PROVEEDOR],PROVEEDORES[[#This Row],[PROVEEDOR]],PROVEEDORES[FECHA DE PAGO],"")</f>
        <v>6072997.5925500002</v>
      </c>
      <c r="E1157" s="37"/>
      <c r="F1157" s="108" t="str">
        <f>+VLOOKUP(PROVEEDORES[[#This Row],[PROVEEDOR]],TERCEROS_INFO[[PROVEEDOR]:[CORREO]],5,FALSE)</f>
        <v>angela.navas@hyrdistribuciones.com;girlesa.ruiz@servipilas.com;joriescobar64@gmail.com</v>
      </c>
      <c r="G1157" s="143">
        <v>44138</v>
      </c>
      <c r="H1157" s="38" t="s">
        <v>18</v>
      </c>
      <c r="I1157" s="30">
        <v>44095</v>
      </c>
      <c r="J1157" s="58">
        <v>1028736</v>
      </c>
      <c r="K1157" s="32">
        <v>3198987.1344537814</v>
      </c>
      <c r="L1157" s="32"/>
      <c r="M1157" s="33">
        <f>(PROVEEDORES[[#This Row],[SUBTOTAL]]-PROVEEDORES[[#This Row],[descuento antes de IVA]])*VLOOKUP(PROVEEDORES[[#This Row],[PROVEEDOR]],TERCEROS_INFO[#All],3,FALSE)</f>
        <v>607807.55554621853</v>
      </c>
      <c r="N1157" s="34"/>
      <c r="O1157" s="33">
        <f>+PROVEEDORES[[#This Row],[Descuento sobre subtotal %]]*(PROVEEDORES[[#This Row],[SUBTOTAL]]-PROVEEDORES[[#This Row],[descuento antes de IVA]])</f>
        <v>0</v>
      </c>
      <c r="P11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57" s="33">
        <f>+(PROVEEDORES[[#This Row],[SUBTOTAL]]-PROVEEDORES[[#This Row],[descuento antes de IVA]])*PROVEEDORES[[#This Row],[Rete Fuente %]]</f>
        <v>79974.678361344544</v>
      </c>
      <c r="R1157" s="32">
        <f>+PROVEEDORES[[#This Row],[SUBTOTAL]]+PROVEEDORES[[#This Row],[IVA 19%]]-PROVEEDORES[[#This Row],[descuento antes de IVA]]-PROVEEDORES[[#This Row],[Descuento sobre subtotal $]]-PROVEEDORES[[#This Row],[Rete Fuente $]]</f>
        <v>3726820.0116386553</v>
      </c>
      <c r="S115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8" spans="1:19" ht="21.95" hidden="1" customHeight="1" x14ac:dyDescent="0.25">
      <c r="A1158" s="39" t="str">
        <f>+IF(PROVEEDORES[[#This Row],[FECHA DE PAGO]]=PROVEEDORES[[#This Row],[FECHA DE FACTURACIÓN]],"DE CONTADO","CRÉDITO")</f>
        <v>CRÉDITO</v>
      </c>
      <c r="B1158" s="67" t="str">
        <f>+IF((PROVEEDORES[[#This Row],[FECHA DE PAGO]]-PROVEEDORES[[#This Row],[FECHA DE FACTURACIÓN]])&gt;PROVEEDORES[[#This Row],[PLAZO Días]],"PAGO VENCIDO")</f>
        <v>PAGO VENCIDO</v>
      </c>
      <c r="C1158" s="27">
        <f>+VLOOKUP(PROVEEDORES[[#This Row],[PROVEEDOR]],TERCEROS_INFO[#All],2,FALSE)</f>
        <v>30</v>
      </c>
      <c r="D1158" s="37">
        <f>+SUMIFS(PROVEEDORES[Total],PROVEEDORES[PROVEEDOR],PROVEEDORES[[#This Row],[PROVEEDOR]],PROVEEDORES[FECHA DE PAGO],"")</f>
        <v>6072997.5925500002</v>
      </c>
      <c r="E1158" s="37"/>
      <c r="F1158" s="108" t="str">
        <f>+VLOOKUP(PROVEEDORES[[#This Row],[PROVEEDOR]],TERCEROS_INFO[[PROVEEDOR]:[CORREO]],5,FALSE)</f>
        <v>angela.navas@hyrdistribuciones.com;girlesa.ruiz@servipilas.com;joriescobar64@gmail.com</v>
      </c>
      <c r="G1158" s="143">
        <v>44168</v>
      </c>
      <c r="H1158" s="38" t="s">
        <v>18</v>
      </c>
      <c r="I1158" s="30">
        <v>44118</v>
      </c>
      <c r="J1158" s="58">
        <v>1029497</v>
      </c>
      <c r="K1158" s="32">
        <v>2234944.2268907563</v>
      </c>
      <c r="L1158" s="32"/>
      <c r="M1158" s="33">
        <f>(PROVEEDORES[[#This Row],[SUBTOTAL]]-PROVEEDORES[[#This Row],[descuento antes de IVA]])*VLOOKUP(PROVEEDORES[[#This Row],[PROVEEDOR]],TERCEROS_INFO[#All],3,FALSE)</f>
        <v>424639.40310924372</v>
      </c>
      <c r="N1158" s="34"/>
      <c r="O1158" s="33">
        <f>+PROVEEDORES[[#This Row],[Descuento sobre subtotal %]]*(PROVEEDORES[[#This Row],[SUBTOTAL]]-PROVEEDORES[[#This Row],[descuento antes de IVA]])</f>
        <v>0</v>
      </c>
      <c r="P11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58" s="33">
        <f>+(PROVEEDORES[[#This Row],[SUBTOTAL]]-PROVEEDORES[[#This Row],[descuento antes de IVA]])*PROVEEDORES[[#This Row],[Rete Fuente %]]</f>
        <v>55873.60567226891</v>
      </c>
      <c r="R1158" s="32">
        <f>+PROVEEDORES[[#This Row],[SUBTOTAL]]+PROVEEDORES[[#This Row],[IVA 19%]]-PROVEEDORES[[#This Row],[descuento antes de IVA]]-PROVEEDORES[[#This Row],[Descuento sobre subtotal $]]-PROVEEDORES[[#This Row],[Rete Fuente $]]</f>
        <v>2603710.0243277308</v>
      </c>
      <c r="S115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9" spans="1:19" ht="21.95" hidden="1" customHeight="1" x14ac:dyDescent="0.25">
      <c r="A1159" s="39" t="str">
        <f>+IF(PROVEEDORES[[#This Row],[FECHA DE PAGO]]=PROVEEDORES[[#This Row],[FECHA DE FACTURACIÓN]],"DE CONTADO","CRÉDITO")</f>
        <v>CRÉDITO</v>
      </c>
      <c r="B1159" s="67" t="str">
        <f>+IF((PROVEEDORES[[#This Row],[FECHA DE PAGO]]-PROVEEDORES[[#This Row],[FECHA DE FACTURACIÓN]])&gt;PROVEEDORES[[#This Row],[PLAZO Días]],"PAGO VENCIDO")</f>
        <v>PAGO VENCIDO</v>
      </c>
      <c r="C1159" s="27">
        <f>+VLOOKUP(PROVEEDORES[[#This Row],[PROVEEDOR]],TERCEROS_INFO[#All],2,FALSE)</f>
        <v>30</v>
      </c>
      <c r="D1159" s="37">
        <f>+SUMIFS(PROVEEDORES[Total],PROVEEDORES[PROVEEDOR],PROVEEDORES[[#This Row],[PROVEEDOR]],PROVEEDORES[FECHA DE PAGO],"")</f>
        <v>6072997.5925500002</v>
      </c>
      <c r="E1159" s="37"/>
      <c r="F1159" s="108" t="str">
        <f>+VLOOKUP(PROVEEDORES[[#This Row],[PROVEEDOR]],TERCEROS_INFO[[PROVEEDOR]:[CORREO]],5,FALSE)</f>
        <v>angela.navas@hyrdistribuciones.com;girlesa.ruiz@servipilas.com;joriescobar64@gmail.com</v>
      </c>
      <c r="G1159" s="143">
        <v>44168</v>
      </c>
      <c r="H1159" s="38" t="s">
        <v>18</v>
      </c>
      <c r="I1159" s="30">
        <v>44118</v>
      </c>
      <c r="J1159" s="58">
        <v>1029523</v>
      </c>
      <c r="K1159" s="32">
        <v>3017159.6638655462</v>
      </c>
      <c r="L1159" s="32"/>
      <c r="M1159" s="33">
        <f>(PROVEEDORES[[#This Row],[SUBTOTAL]]-PROVEEDORES[[#This Row],[descuento antes de IVA]])*VLOOKUP(PROVEEDORES[[#This Row],[PROVEEDOR]],TERCEROS_INFO[#All],3,FALSE)</f>
        <v>573260.33613445377</v>
      </c>
      <c r="N1159" s="34"/>
      <c r="O1159" s="33">
        <f>+PROVEEDORES[[#This Row],[Descuento sobre subtotal %]]*(PROVEEDORES[[#This Row],[SUBTOTAL]]-PROVEEDORES[[#This Row],[descuento antes de IVA]])</f>
        <v>0</v>
      </c>
      <c r="P11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59" s="33">
        <f>+(PROVEEDORES[[#This Row],[SUBTOTAL]]-PROVEEDORES[[#This Row],[descuento antes de IVA]])*PROVEEDORES[[#This Row],[Rete Fuente %]]</f>
        <v>75428.991596638662</v>
      </c>
      <c r="R1159" s="32">
        <f>+PROVEEDORES[[#This Row],[SUBTOTAL]]+PROVEEDORES[[#This Row],[IVA 19%]]-PROVEEDORES[[#This Row],[descuento antes de IVA]]-PROVEEDORES[[#This Row],[Descuento sobre subtotal $]]-PROVEEDORES[[#This Row],[Rete Fuente $]]</f>
        <v>3514991.0084033613</v>
      </c>
      <c r="S115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0" spans="1:19" ht="21.95" hidden="1" customHeight="1" x14ac:dyDescent="0.25">
      <c r="A1160" s="39" t="str">
        <f>+IF(PROVEEDORES[[#This Row],[FECHA DE PAGO]]=PROVEEDORES[[#This Row],[FECHA DE FACTURACIÓN]],"DE CONTADO","CRÉDITO")</f>
        <v>CRÉDITO</v>
      </c>
      <c r="B1160" s="67" t="b">
        <f>+IF((PROVEEDORES[[#This Row],[FECHA DE PAGO]]-PROVEEDORES[[#This Row],[FECHA DE FACTURACIÓN]])&gt;PROVEEDORES[[#This Row],[PLAZO Días]],"PAGO VENCIDO")</f>
        <v>0</v>
      </c>
      <c r="C1160" s="27">
        <f>+VLOOKUP(PROVEEDORES[[#This Row],[PROVEEDOR]],TERCEROS_INFO[#All],2,FALSE)</f>
        <v>30</v>
      </c>
      <c r="D1160" s="37">
        <f>+SUMIFS(PROVEEDORES[Total],PROVEEDORES[PROVEEDOR],PROVEEDORES[[#This Row],[PROVEEDOR]],PROVEEDORES[FECHA DE PAGO],"")</f>
        <v>6072997.5925500002</v>
      </c>
      <c r="E1160" s="37"/>
      <c r="F1160" s="108" t="str">
        <f>+VLOOKUP(PROVEEDORES[[#This Row],[PROVEEDOR]],TERCEROS_INFO[[PROVEEDOR]:[CORREO]],5,FALSE)</f>
        <v>angela.navas@hyrdistribuciones.com;girlesa.ruiz@servipilas.com;joriescobar64@gmail.com</v>
      </c>
      <c r="G1160" s="143">
        <v>44158</v>
      </c>
      <c r="H1160" s="38" t="s">
        <v>18</v>
      </c>
      <c r="I1160" s="30">
        <v>44128</v>
      </c>
      <c r="J1160" s="58">
        <v>1029916</v>
      </c>
      <c r="K1160" s="32">
        <v>680000</v>
      </c>
      <c r="L1160" s="32"/>
      <c r="M1160" s="33">
        <f>(PROVEEDORES[[#This Row],[SUBTOTAL]]-PROVEEDORES[[#This Row],[descuento antes de IVA]])*VLOOKUP(PROVEEDORES[[#This Row],[PROVEEDOR]],TERCEROS_INFO[#All],3,FALSE)</f>
        <v>129200</v>
      </c>
      <c r="N1160" s="34"/>
      <c r="O1160" s="33">
        <f>+PROVEEDORES[[#This Row],[Descuento sobre subtotal %]]*(PROVEEDORES[[#This Row],[SUBTOTAL]]-PROVEEDORES[[#This Row],[descuento antes de IVA]])</f>
        <v>0</v>
      </c>
      <c r="P11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60" s="33">
        <f>+(PROVEEDORES[[#This Row],[SUBTOTAL]]-PROVEEDORES[[#This Row],[descuento antes de IVA]])*PROVEEDORES[[#This Row],[Rete Fuente %]]</f>
        <v>0</v>
      </c>
      <c r="R1160" s="32">
        <f>+PROVEEDORES[[#This Row],[SUBTOTAL]]+PROVEEDORES[[#This Row],[IVA 19%]]-PROVEEDORES[[#This Row],[descuento antes de IVA]]-PROVEEDORES[[#This Row],[Descuento sobre subtotal $]]-PROVEEDORES[[#This Row],[Rete Fuente $]]</f>
        <v>809200</v>
      </c>
      <c r="S116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1" spans="1:19" ht="21.95" hidden="1" customHeight="1" x14ac:dyDescent="0.25">
      <c r="A1161" s="39" t="str">
        <f>+IF(PROVEEDORES[[#This Row],[FECHA DE PAGO]]=PROVEEDORES[[#This Row],[FECHA DE FACTURACIÓN]],"DE CONTADO","CRÉDITO")</f>
        <v>CRÉDITO</v>
      </c>
      <c r="B1161" s="67" t="str">
        <f>+IF((PROVEEDORES[[#This Row],[FECHA DE PAGO]]-PROVEEDORES[[#This Row],[FECHA DE FACTURACIÓN]])&gt;PROVEEDORES[[#This Row],[PLAZO Días]],"PAGO VENCIDO")</f>
        <v>PAGO VENCIDO</v>
      </c>
      <c r="C1161" s="27">
        <f>+VLOOKUP(PROVEEDORES[[#This Row],[PROVEEDOR]],TERCEROS_INFO[#All],2,FALSE)</f>
        <v>30</v>
      </c>
      <c r="D1161" s="37">
        <f>+SUMIFS(PROVEEDORES[Total],PROVEEDORES[PROVEEDOR],PROVEEDORES[[#This Row],[PROVEEDOR]],PROVEEDORES[FECHA DE PAGO],"")</f>
        <v>6072997.5925500002</v>
      </c>
      <c r="E1161" s="37"/>
      <c r="F1161" s="108" t="str">
        <f>+VLOOKUP(PROVEEDORES[[#This Row],[PROVEEDOR]],TERCEROS_INFO[[PROVEEDOR]:[CORREO]],5,FALSE)</f>
        <v>angela.navas@hyrdistribuciones.com;girlesa.ruiz@servipilas.com;joriescobar64@gmail.com</v>
      </c>
      <c r="G1161" s="143">
        <v>44172</v>
      </c>
      <c r="H1161" s="38" t="s">
        <v>18</v>
      </c>
      <c r="I1161" s="30">
        <v>44134</v>
      </c>
      <c r="J1161" s="58">
        <v>1030186</v>
      </c>
      <c r="K1161" s="32">
        <v>2139457.5126050422</v>
      </c>
      <c r="L1161" s="32"/>
      <c r="M1161" s="33">
        <f>(PROVEEDORES[[#This Row],[SUBTOTAL]]-PROVEEDORES[[#This Row],[descuento antes de IVA]])*VLOOKUP(PROVEEDORES[[#This Row],[PROVEEDOR]],TERCEROS_INFO[#All],3,FALSE)</f>
        <v>406496.92739495804</v>
      </c>
      <c r="N1161" s="34"/>
      <c r="O1161" s="33">
        <f>+PROVEEDORES[[#This Row],[Descuento sobre subtotal %]]*(PROVEEDORES[[#This Row],[SUBTOTAL]]-PROVEEDORES[[#This Row],[descuento antes de IVA]])</f>
        <v>0</v>
      </c>
      <c r="P11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61" s="33">
        <f>+(PROVEEDORES[[#This Row],[SUBTOTAL]]-PROVEEDORES[[#This Row],[descuento antes de IVA]])*PROVEEDORES[[#This Row],[Rete Fuente %]]</f>
        <v>53486.437815126061</v>
      </c>
      <c r="R1161" s="32">
        <f>+PROVEEDORES[[#This Row],[SUBTOTAL]]+PROVEEDORES[[#This Row],[IVA 19%]]-PROVEEDORES[[#This Row],[descuento antes de IVA]]-PROVEEDORES[[#This Row],[Descuento sobre subtotal $]]-PROVEEDORES[[#This Row],[Rete Fuente $]]</f>
        <v>2492468.0021848744</v>
      </c>
      <c r="S116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2" spans="1:19" ht="21.95" hidden="1" customHeight="1" x14ac:dyDescent="0.25">
      <c r="A1162" s="39" t="str">
        <f>+IF(PROVEEDORES[[#This Row],[FECHA DE PAGO]]=PROVEEDORES[[#This Row],[FECHA DE FACTURACIÓN]],"DE CONTADO","CRÉDITO")</f>
        <v>CRÉDITO</v>
      </c>
      <c r="B1162" s="67" t="str">
        <f>+IF((PROVEEDORES[[#This Row],[FECHA DE PAGO]]-PROVEEDORES[[#This Row],[FECHA DE FACTURACIÓN]])&gt;PROVEEDORES[[#This Row],[PLAZO Días]],"PAGO VENCIDO")</f>
        <v>PAGO VENCIDO</v>
      </c>
      <c r="C1162" s="27">
        <f>+VLOOKUP(PROVEEDORES[[#This Row],[PROVEEDOR]],TERCEROS_INFO[#All],2,FALSE)</f>
        <v>30</v>
      </c>
      <c r="D1162" s="37">
        <f>+SUMIFS(PROVEEDORES[Total],PROVEEDORES[PROVEEDOR],PROVEEDORES[[#This Row],[PROVEEDOR]],PROVEEDORES[FECHA DE PAGO],"")</f>
        <v>6072997.5925500002</v>
      </c>
      <c r="E1162" s="37"/>
      <c r="F1162" s="108" t="str">
        <f>+VLOOKUP(PROVEEDORES[[#This Row],[PROVEEDOR]],TERCEROS_INFO[[PROVEEDOR]:[CORREO]],5,FALSE)</f>
        <v>angela.navas@hyrdistribuciones.com;girlesa.ruiz@servipilas.com;joriescobar64@gmail.com</v>
      </c>
      <c r="G1162" s="143">
        <v>44188</v>
      </c>
      <c r="H1162" s="38" t="s">
        <v>18</v>
      </c>
      <c r="I1162" s="30">
        <v>44142</v>
      </c>
      <c r="J1162" s="58">
        <v>1030523</v>
      </c>
      <c r="K1162" s="32">
        <v>5028600</v>
      </c>
      <c r="L1162" s="32"/>
      <c r="M1162" s="33">
        <f>(PROVEEDORES[[#This Row],[SUBTOTAL]]-PROVEEDORES[[#This Row],[descuento antes de IVA]])*VLOOKUP(PROVEEDORES[[#This Row],[PROVEEDOR]],TERCEROS_INFO[#All],3,FALSE)</f>
        <v>955434</v>
      </c>
      <c r="N1162" s="34"/>
      <c r="O1162" s="33">
        <f>+PROVEEDORES[[#This Row],[Descuento sobre subtotal %]]*(PROVEEDORES[[#This Row],[SUBTOTAL]]-PROVEEDORES[[#This Row],[descuento antes de IVA]])</f>
        <v>0</v>
      </c>
      <c r="P11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62" s="33">
        <f>+(PROVEEDORES[[#This Row],[SUBTOTAL]]-PROVEEDORES[[#This Row],[descuento antes de IVA]])*PROVEEDORES[[#This Row],[Rete Fuente %]]</f>
        <v>125715</v>
      </c>
      <c r="R1162" s="32">
        <f>+PROVEEDORES[[#This Row],[SUBTOTAL]]+PROVEEDORES[[#This Row],[IVA 19%]]-PROVEEDORES[[#This Row],[descuento antes de IVA]]-PROVEEDORES[[#This Row],[Descuento sobre subtotal $]]-PROVEEDORES[[#This Row],[Rete Fuente $]]</f>
        <v>5858319</v>
      </c>
      <c r="S116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3" spans="1:19" ht="21.95" hidden="1" customHeight="1" x14ac:dyDescent="0.25">
      <c r="A1163" s="39" t="str">
        <f>+IF(PROVEEDORES[[#This Row],[FECHA DE PAGO]]=PROVEEDORES[[#This Row],[FECHA DE FACTURACIÓN]],"DE CONTADO","CRÉDITO")</f>
        <v>CRÉDITO</v>
      </c>
      <c r="B1163" s="67" t="str">
        <f>+IF((PROVEEDORES[[#This Row],[FECHA DE PAGO]]-PROVEEDORES[[#This Row],[FECHA DE FACTURACIÓN]])&gt;PROVEEDORES[[#This Row],[PLAZO Días]],"PAGO VENCIDO")</f>
        <v>PAGO VENCIDO</v>
      </c>
      <c r="C1163" s="27">
        <f>+VLOOKUP(PROVEEDORES[[#This Row],[PROVEEDOR]],TERCEROS_INFO[#All],2,FALSE)</f>
        <v>30</v>
      </c>
      <c r="D1163" s="37">
        <f>+SUMIFS(PROVEEDORES[Total],PROVEEDORES[PROVEEDOR],PROVEEDORES[[#This Row],[PROVEEDOR]],PROVEEDORES[FECHA DE PAGO],"")</f>
        <v>6072997.5925500002</v>
      </c>
      <c r="E1163" s="37"/>
      <c r="F1163" s="108" t="str">
        <f>+VLOOKUP(PROVEEDORES[[#This Row],[PROVEEDOR]],TERCEROS_INFO[[PROVEEDOR]:[CORREO]],5,FALSE)</f>
        <v>angela.navas@hyrdistribuciones.com;girlesa.ruiz@servipilas.com;joriescobar64@gmail.com</v>
      </c>
      <c r="G1163" s="143">
        <v>44188</v>
      </c>
      <c r="H1163" s="38" t="s">
        <v>18</v>
      </c>
      <c r="I1163" s="30">
        <v>44146</v>
      </c>
      <c r="J1163" s="58">
        <v>1030761</v>
      </c>
      <c r="K1163" s="32">
        <v>681835.29411764711</v>
      </c>
      <c r="L1163" s="32"/>
      <c r="M1163" s="33">
        <f>(PROVEEDORES[[#This Row],[SUBTOTAL]]-PROVEEDORES[[#This Row],[descuento antes de IVA]])*VLOOKUP(PROVEEDORES[[#This Row],[PROVEEDOR]],TERCEROS_INFO[#All],3,FALSE)</f>
        <v>129548.70588235295</v>
      </c>
      <c r="N1163" s="34"/>
      <c r="O1163" s="33">
        <f>+PROVEEDORES[[#This Row],[Descuento sobre subtotal %]]*(PROVEEDORES[[#This Row],[SUBTOTAL]]-PROVEEDORES[[#This Row],[descuento antes de IVA]])</f>
        <v>0</v>
      </c>
      <c r="P11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63" s="33">
        <f>+(PROVEEDORES[[#This Row],[SUBTOTAL]]-PROVEEDORES[[#This Row],[descuento antes de IVA]])*PROVEEDORES[[#This Row],[Rete Fuente %]]</f>
        <v>0</v>
      </c>
      <c r="R1163" s="32">
        <f>+PROVEEDORES[[#This Row],[SUBTOTAL]]+PROVEEDORES[[#This Row],[IVA 19%]]-PROVEEDORES[[#This Row],[descuento antes de IVA]]-PROVEEDORES[[#This Row],[Descuento sobre subtotal $]]-PROVEEDORES[[#This Row],[Rete Fuente $]]</f>
        <v>811384</v>
      </c>
      <c r="S116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4" spans="1:19" ht="21.95" hidden="1" customHeight="1" x14ac:dyDescent="0.25">
      <c r="A1164" s="39" t="str">
        <f>+IF(PROVEEDORES[[#This Row],[FECHA DE PAGO]]=PROVEEDORES[[#This Row],[FECHA DE FACTURACIÓN]],"DE CONTADO","CRÉDITO")</f>
        <v>CRÉDITO</v>
      </c>
      <c r="B1164" s="67" t="str">
        <f>+IF((PROVEEDORES[[#This Row],[FECHA DE PAGO]]-PROVEEDORES[[#This Row],[FECHA DE FACTURACIÓN]])&gt;PROVEEDORES[[#This Row],[PLAZO Días]],"PAGO VENCIDO")</f>
        <v>PAGO VENCIDO</v>
      </c>
      <c r="C1164" s="27">
        <f>+VLOOKUP(PROVEEDORES[[#This Row],[PROVEEDOR]],TERCEROS_INFO[#All],2,FALSE)</f>
        <v>30</v>
      </c>
      <c r="D1164" s="37">
        <f>+SUMIFS(PROVEEDORES[Total],PROVEEDORES[PROVEEDOR],PROVEEDORES[[#This Row],[PROVEEDOR]],PROVEEDORES[FECHA DE PAGO],"")</f>
        <v>6072997.5925500002</v>
      </c>
      <c r="E1164" s="37"/>
      <c r="F1164" s="108" t="str">
        <f>+VLOOKUP(PROVEEDORES[[#This Row],[PROVEEDOR]],TERCEROS_INFO[[PROVEEDOR]:[CORREO]],5,FALSE)</f>
        <v>angela.navas@hyrdistribuciones.com;girlesa.ruiz@servipilas.com;joriescobar64@gmail.com</v>
      </c>
      <c r="G1164" s="143">
        <v>44195</v>
      </c>
      <c r="H1164" s="38" t="s">
        <v>18</v>
      </c>
      <c r="I1164" s="30">
        <v>44148</v>
      </c>
      <c r="J1164" s="58">
        <v>1030855</v>
      </c>
      <c r="K1164" s="32">
        <v>271901.68067226891</v>
      </c>
      <c r="L1164" s="32"/>
      <c r="M1164" s="33">
        <f>(PROVEEDORES[[#This Row],[SUBTOTAL]]-PROVEEDORES[[#This Row],[descuento antes de IVA]])*VLOOKUP(PROVEEDORES[[#This Row],[PROVEEDOR]],TERCEROS_INFO[#All],3,FALSE)</f>
        <v>51661.319327731093</v>
      </c>
      <c r="N1164" s="34"/>
      <c r="O1164" s="33">
        <f>+PROVEEDORES[[#This Row],[Descuento sobre subtotal %]]*(PROVEEDORES[[#This Row],[SUBTOTAL]]-PROVEEDORES[[#This Row],[descuento antes de IVA]])</f>
        <v>0</v>
      </c>
      <c r="P11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64" s="33">
        <f>+(PROVEEDORES[[#This Row],[SUBTOTAL]]-PROVEEDORES[[#This Row],[descuento antes de IVA]])*PROVEEDORES[[#This Row],[Rete Fuente %]]</f>
        <v>0</v>
      </c>
      <c r="R1164" s="32">
        <f>+PROVEEDORES[[#This Row],[SUBTOTAL]]+PROVEEDORES[[#This Row],[IVA 19%]]-PROVEEDORES[[#This Row],[descuento antes de IVA]]-PROVEEDORES[[#This Row],[Descuento sobre subtotal $]]-PROVEEDORES[[#This Row],[Rete Fuente $]]</f>
        <v>323563</v>
      </c>
      <c r="S116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5" spans="1:19" ht="21.95" hidden="1" customHeight="1" x14ac:dyDescent="0.25">
      <c r="A1165" s="39" t="str">
        <f>+IF(PROVEEDORES[[#This Row],[FECHA DE PAGO]]=PROVEEDORES[[#This Row],[FECHA DE FACTURACIÓN]],"DE CONTADO","CRÉDITO")</f>
        <v>CRÉDITO</v>
      </c>
      <c r="B1165" s="67" t="str">
        <f>+IF((PROVEEDORES[[#This Row],[FECHA DE PAGO]]-PROVEEDORES[[#This Row],[FECHA DE FACTURACIÓN]])&gt;PROVEEDORES[[#This Row],[PLAZO Días]],"PAGO VENCIDO")</f>
        <v>PAGO VENCIDO</v>
      </c>
      <c r="C1165" s="27">
        <f>+VLOOKUP(PROVEEDORES[[#This Row],[PROVEEDOR]],TERCEROS_INFO[#All],2,FALSE)</f>
        <v>30</v>
      </c>
      <c r="D1165" s="37">
        <f>+SUMIFS(PROVEEDORES[Total],PROVEEDORES[PROVEEDOR],PROVEEDORES[[#This Row],[PROVEEDOR]],PROVEEDORES[FECHA DE PAGO],"")</f>
        <v>6072997.5925500002</v>
      </c>
      <c r="E1165" s="37"/>
      <c r="F1165" s="108" t="str">
        <f>+VLOOKUP(PROVEEDORES[[#This Row],[PROVEEDOR]],TERCEROS_INFO[[PROVEEDOR]:[CORREO]],5,FALSE)</f>
        <v>angela.navas@hyrdistribuciones.com;girlesa.ruiz@servipilas.com;joriescobar64@gmail.com</v>
      </c>
      <c r="G1165" s="143">
        <v>44195</v>
      </c>
      <c r="H1165" s="38" t="s">
        <v>18</v>
      </c>
      <c r="I1165" s="30">
        <v>44154</v>
      </c>
      <c r="J1165" s="58">
        <v>1031047</v>
      </c>
      <c r="K1165" s="32">
        <v>425000</v>
      </c>
      <c r="L1165" s="32"/>
      <c r="M1165" s="33">
        <f>(PROVEEDORES[[#This Row],[SUBTOTAL]]-PROVEEDORES[[#This Row],[descuento antes de IVA]])*VLOOKUP(PROVEEDORES[[#This Row],[PROVEEDOR]],TERCEROS_INFO[#All],3,FALSE)</f>
        <v>80750</v>
      </c>
      <c r="N1165" s="34"/>
      <c r="O1165" s="33">
        <f>+PROVEEDORES[[#This Row],[Descuento sobre subtotal %]]*(PROVEEDORES[[#This Row],[SUBTOTAL]]-PROVEEDORES[[#This Row],[descuento antes de IVA]])</f>
        <v>0</v>
      </c>
      <c r="P11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65" s="33">
        <f>+(PROVEEDORES[[#This Row],[SUBTOTAL]]-PROVEEDORES[[#This Row],[descuento antes de IVA]])*PROVEEDORES[[#This Row],[Rete Fuente %]]</f>
        <v>0</v>
      </c>
      <c r="R1165" s="32">
        <f>+PROVEEDORES[[#This Row],[SUBTOTAL]]+PROVEEDORES[[#This Row],[IVA 19%]]-PROVEEDORES[[#This Row],[descuento antes de IVA]]-PROVEEDORES[[#This Row],[Descuento sobre subtotal $]]-PROVEEDORES[[#This Row],[Rete Fuente $]]</f>
        <v>505750</v>
      </c>
      <c r="S116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6" spans="1:19" ht="21.95" hidden="1" customHeight="1" x14ac:dyDescent="0.25">
      <c r="A1166" s="39" t="str">
        <f>+IF(PROVEEDORES[[#This Row],[FECHA DE PAGO]]=PROVEEDORES[[#This Row],[FECHA DE FACTURACIÓN]],"DE CONTADO","CRÉDITO")</f>
        <v>CRÉDITO</v>
      </c>
      <c r="B1166" s="67" t="b">
        <f>+IF((PROVEEDORES[[#This Row],[FECHA DE PAGO]]-PROVEEDORES[[#This Row],[FECHA DE FACTURACIÓN]])&gt;PROVEEDORES[[#This Row],[PLAZO Días]],"PAGO VENCIDO")</f>
        <v>0</v>
      </c>
      <c r="C1166" s="27">
        <f>+VLOOKUP(PROVEEDORES[[#This Row],[PROVEEDOR]],TERCEROS_INFO[#All],2,FALSE)</f>
        <v>30</v>
      </c>
      <c r="D1166" s="37">
        <f>+SUMIFS(PROVEEDORES[Total],PROVEEDORES[PROVEEDOR],PROVEEDORES[[#This Row],[PROVEEDOR]],PROVEEDORES[FECHA DE PAGO],"")</f>
        <v>6072997.5925500002</v>
      </c>
      <c r="E1166" s="37"/>
      <c r="F1166" s="108" t="str">
        <f>+VLOOKUP(PROVEEDORES[[#This Row],[PROVEEDOR]],TERCEROS_INFO[[PROVEEDOR]:[CORREO]],5,FALSE)</f>
        <v>angela.navas@hyrdistribuciones.com;girlesa.ruiz@servipilas.com;joriescobar64@gmail.com</v>
      </c>
      <c r="G1166" s="143">
        <v>44195</v>
      </c>
      <c r="H1166" s="38" t="s">
        <v>18</v>
      </c>
      <c r="I1166" s="30">
        <v>44166</v>
      </c>
      <c r="J1166" s="58">
        <v>1031646</v>
      </c>
      <c r="K1166" s="32">
        <v>1020000</v>
      </c>
      <c r="L1166" s="32"/>
      <c r="M1166" s="33">
        <f>(PROVEEDORES[[#This Row],[SUBTOTAL]]-PROVEEDORES[[#This Row],[descuento antes de IVA]])*VLOOKUP(PROVEEDORES[[#This Row],[PROVEEDOR]],TERCEROS_INFO[#All],3,FALSE)</f>
        <v>193800</v>
      </c>
      <c r="N1166" s="34"/>
      <c r="O1166" s="33">
        <f>+PROVEEDORES[[#This Row],[Descuento sobre subtotal %]]*(PROVEEDORES[[#This Row],[SUBTOTAL]]-PROVEEDORES[[#This Row],[descuento antes de IVA]])</f>
        <v>0</v>
      </c>
      <c r="P11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66" s="33">
        <f>+(PROVEEDORES[[#This Row],[SUBTOTAL]]-PROVEEDORES[[#This Row],[descuento antes de IVA]])*PROVEEDORES[[#This Row],[Rete Fuente %]]</f>
        <v>25500</v>
      </c>
      <c r="R1166" s="32">
        <f>+PROVEEDORES[[#This Row],[SUBTOTAL]]+PROVEEDORES[[#This Row],[IVA 19%]]-PROVEEDORES[[#This Row],[descuento antes de IVA]]-PROVEEDORES[[#This Row],[Descuento sobre subtotal $]]-PROVEEDORES[[#This Row],[Rete Fuente $]]</f>
        <v>1188300</v>
      </c>
      <c r="S116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7" spans="1:19" ht="21.95" hidden="1" customHeight="1" x14ac:dyDescent="0.25">
      <c r="A1167" s="39" t="str">
        <f>+IF(PROVEEDORES[[#This Row],[FECHA DE PAGO]]=PROVEEDORES[[#This Row],[FECHA DE FACTURACIÓN]],"DE CONTADO","CRÉDITO")</f>
        <v>CRÉDITO</v>
      </c>
      <c r="B1167" s="67" t="b">
        <f>+IF((PROVEEDORES[[#This Row],[FECHA DE PAGO]]-PROVEEDORES[[#This Row],[FECHA DE FACTURACIÓN]])&gt;PROVEEDORES[[#This Row],[PLAZO Días]],"PAGO VENCIDO")</f>
        <v>0</v>
      </c>
      <c r="C1167" s="27">
        <f>+VLOOKUP(PROVEEDORES[[#This Row],[PROVEEDOR]],TERCEROS_INFO[#All],2,FALSE)</f>
        <v>30</v>
      </c>
      <c r="D1167" s="37">
        <f>+SUMIFS(PROVEEDORES[Total],PROVEEDORES[PROVEEDOR],PROVEEDORES[[#This Row],[PROVEEDOR]],PROVEEDORES[FECHA DE PAGO],"")</f>
        <v>6072997.5925500002</v>
      </c>
      <c r="E1167" s="37"/>
      <c r="F1167" s="108" t="str">
        <f>+VLOOKUP(PROVEEDORES[[#This Row],[PROVEEDOR]],TERCEROS_INFO[[PROVEEDOR]:[CORREO]],5,FALSE)</f>
        <v>angela.navas@hyrdistribuciones.com;girlesa.ruiz@servipilas.com;joriescobar64@gmail.com</v>
      </c>
      <c r="G1167" s="143">
        <v>44195</v>
      </c>
      <c r="H1167" s="38" t="s">
        <v>18</v>
      </c>
      <c r="I1167" s="30">
        <v>44166</v>
      </c>
      <c r="J1167" s="58">
        <v>1031650</v>
      </c>
      <c r="K1167" s="32">
        <v>954516.80672268907</v>
      </c>
      <c r="L1167" s="32"/>
      <c r="M1167" s="33">
        <f>(PROVEEDORES[[#This Row],[SUBTOTAL]]-PROVEEDORES[[#This Row],[descuento antes de IVA]])*VLOOKUP(PROVEEDORES[[#This Row],[PROVEEDOR]],TERCEROS_INFO[#All],3,FALSE)</f>
        <v>181358.19327731093</v>
      </c>
      <c r="N1167" s="34"/>
      <c r="O1167" s="33">
        <f>+PROVEEDORES[[#This Row],[Descuento sobre subtotal %]]*(PROVEEDORES[[#This Row],[SUBTOTAL]]-PROVEEDORES[[#This Row],[descuento antes de IVA]])</f>
        <v>0</v>
      </c>
      <c r="P11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67" s="33">
        <f>+(PROVEEDORES[[#This Row],[SUBTOTAL]]-PROVEEDORES[[#This Row],[descuento antes de IVA]])*PROVEEDORES[[#This Row],[Rete Fuente %]]</f>
        <v>0</v>
      </c>
      <c r="R1167" s="32">
        <f>+PROVEEDORES[[#This Row],[SUBTOTAL]]+PROVEEDORES[[#This Row],[IVA 19%]]-PROVEEDORES[[#This Row],[descuento antes de IVA]]-PROVEEDORES[[#This Row],[Descuento sobre subtotal $]]-PROVEEDORES[[#This Row],[Rete Fuente $]]</f>
        <v>1135875</v>
      </c>
      <c r="S116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8" spans="1:19" ht="21.95" hidden="1" customHeight="1" x14ac:dyDescent="0.25">
      <c r="A1168" s="39" t="str">
        <f>+IF(PROVEEDORES[[#This Row],[FECHA DE PAGO]]=PROVEEDORES[[#This Row],[FECHA DE FACTURACIÓN]],"DE CONTADO","CRÉDITO")</f>
        <v>CRÉDITO</v>
      </c>
      <c r="B1168" s="67" t="str">
        <f>+IF((PROVEEDORES[[#This Row],[FECHA DE PAGO]]-PROVEEDORES[[#This Row],[FECHA DE FACTURACIÓN]])&gt;PROVEEDORES[[#This Row],[PLAZO Días]],"PAGO VENCIDO")</f>
        <v>PAGO VENCIDO</v>
      </c>
      <c r="C1168" s="27">
        <f>+VLOOKUP(PROVEEDORES[[#This Row],[PROVEEDOR]],TERCEROS_INFO[#All],2,FALSE)</f>
        <v>30</v>
      </c>
      <c r="D1168" s="37">
        <f>+SUMIFS(PROVEEDORES[Total],PROVEEDORES[PROVEEDOR],PROVEEDORES[[#This Row],[PROVEEDOR]],PROVEEDORES[FECHA DE PAGO],"")</f>
        <v>6072997.5925500002</v>
      </c>
      <c r="E1168" s="37"/>
      <c r="F1168" s="108" t="str">
        <f>+VLOOKUP(PROVEEDORES[[#This Row],[PROVEEDOR]],TERCEROS_INFO[[PROVEEDOR]:[CORREO]],5,FALSE)</f>
        <v>angela.navas@hyrdistribuciones.com;girlesa.ruiz@servipilas.com;joriescobar64@gmail.com</v>
      </c>
      <c r="G1168" s="143">
        <v>44214</v>
      </c>
      <c r="H1168" s="38" t="s">
        <v>18</v>
      </c>
      <c r="I1168" s="30">
        <v>44169</v>
      </c>
      <c r="J1168" s="58">
        <v>1031773</v>
      </c>
      <c r="K1168" s="32">
        <v>1856607.7310924372</v>
      </c>
      <c r="L1168" s="32"/>
      <c r="M1168" s="33">
        <f>(PROVEEDORES[[#This Row],[SUBTOTAL]]-PROVEEDORES[[#This Row],[descuento antes de IVA]])*VLOOKUP(PROVEEDORES[[#This Row],[PROVEEDOR]],TERCEROS_INFO[#All],3,FALSE)</f>
        <v>352755.46890756307</v>
      </c>
      <c r="N1168" s="34"/>
      <c r="O1168" s="33">
        <f>+PROVEEDORES[[#This Row],[Descuento sobre subtotal %]]*(PROVEEDORES[[#This Row],[SUBTOTAL]]-PROVEEDORES[[#This Row],[descuento antes de IVA]])</f>
        <v>0</v>
      </c>
      <c r="P11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68" s="33">
        <f>+(PROVEEDORES[[#This Row],[SUBTOTAL]]-PROVEEDORES[[#This Row],[descuento antes de IVA]])*PROVEEDORES[[#This Row],[Rete Fuente %]]</f>
        <v>46415.193277310929</v>
      </c>
      <c r="R1168" s="32">
        <f>+PROVEEDORES[[#This Row],[SUBTOTAL]]+PROVEEDORES[[#This Row],[IVA 19%]]-PROVEEDORES[[#This Row],[descuento antes de IVA]]-PROVEEDORES[[#This Row],[Descuento sobre subtotal $]]-PROVEEDORES[[#This Row],[Rete Fuente $]]</f>
        <v>2162948.0067226891</v>
      </c>
      <c r="S116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9" spans="1:19" ht="21.95" hidden="1" customHeight="1" x14ac:dyDescent="0.25">
      <c r="A1169" s="39" t="str">
        <f>+IF(PROVEEDORES[[#This Row],[FECHA DE PAGO]]=PROVEEDORES[[#This Row],[FECHA DE FACTURACIÓN]],"DE CONTADO","CRÉDITO")</f>
        <v>CRÉDITO</v>
      </c>
      <c r="B1169" s="67" t="str">
        <f>+IF((PROVEEDORES[[#This Row],[FECHA DE PAGO]]-PROVEEDORES[[#This Row],[FECHA DE FACTURACIÓN]])&gt;PROVEEDORES[[#This Row],[PLAZO Días]],"PAGO VENCIDO")</f>
        <v>PAGO VENCIDO</v>
      </c>
      <c r="C1169" s="27">
        <f>+VLOOKUP(PROVEEDORES[[#This Row],[PROVEEDOR]],TERCEROS_INFO[#All],2,FALSE)</f>
        <v>30</v>
      </c>
      <c r="D1169" s="37">
        <f>+SUMIFS(PROVEEDORES[Total],PROVEEDORES[PROVEEDOR],PROVEEDORES[[#This Row],[PROVEEDOR]],PROVEEDORES[FECHA DE PAGO],"")</f>
        <v>6072997.5925500002</v>
      </c>
      <c r="E1169" s="37"/>
      <c r="F1169" s="108" t="str">
        <f>+VLOOKUP(PROVEEDORES[[#This Row],[PROVEEDOR]],TERCEROS_INFO[[PROVEEDOR]:[CORREO]],5,FALSE)</f>
        <v>angela.navas@hyrdistribuciones.com;girlesa.ruiz@servipilas.com;joriescobar64@gmail.com</v>
      </c>
      <c r="G1169" s="143">
        <v>44239</v>
      </c>
      <c r="H1169" s="38" t="s">
        <v>18</v>
      </c>
      <c r="I1169" s="30">
        <v>44191</v>
      </c>
      <c r="J1169" s="58">
        <v>1032784</v>
      </c>
      <c r="K1169" s="32">
        <v>1615387.1176470588</v>
      </c>
      <c r="L1169" s="32"/>
      <c r="M1169" s="33">
        <f>(PROVEEDORES[[#This Row],[SUBTOTAL]]-PROVEEDORES[[#This Row],[descuento antes de IVA]])*VLOOKUP(PROVEEDORES[[#This Row],[PROVEEDOR]],TERCEROS_INFO[#All],3,FALSE)</f>
        <v>306923.55235294119</v>
      </c>
      <c r="N1169" s="34"/>
      <c r="O1169" s="33">
        <f>+PROVEEDORES[[#This Row],[Descuento sobre subtotal %]]*(PROVEEDORES[[#This Row],[SUBTOTAL]]-PROVEEDORES[[#This Row],[descuento antes de IVA]])</f>
        <v>0</v>
      </c>
      <c r="P11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69" s="33">
        <f>+(PROVEEDORES[[#This Row],[SUBTOTAL]]-PROVEEDORES[[#This Row],[descuento antes de IVA]])*PROVEEDORES[[#This Row],[Rete Fuente %]]</f>
        <v>40384.677941176473</v>
      </c>
      <c r="R1169" s="32">
        <f>+PROVEEDORES[[#This Row],[SUBTOTAL]]+PROVEEDORES[[#This Row],[IVA 19%]]-PROVEEDORES[[#This Row],[descuento antes de IVA]]-PROVEEDORES[[#This Row],[Descuento sobre subtotal $]]-PROVEEDORES[[#This Row],[Rete Fuente $]]</f>
        <v>1881925.9920588234</v>
      </c>
      <c r="S116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0" spans="1:19" ht="21.95" hidden="1" customHeight="1" x14ac:dyDescent="0.25">
      <c r="A1170" s="39" t="str">
        <f>+IF(PROVEEDORES[[#This Row],[FECHA DE PAGO]]=PROVEEDORES[[#This Row],[FECHA DE FACTURACIÓN]],"DE CONTADO","CRÉDITO")</f>
        <v>CRÉDITO</v>
      </c>
      <c r="B1170" s="67" t="str">
        <f>+IF((PROVEEDORES[[#This Row],[FECHA DE PAGO]]-PROVEEDORES[[#This Row],[FECHA DE FACTURACIÓN]])&gt;PROVEEDORES[[#This Row],[PLAZO Días]],"PAGO VENCIDO")</f>
        <v>PAGO VENCIDO</v>
      </c>
      <c r="C1170" s="27">
        <f>+VLOOKUP(PROVEEDORES[[#This Row],[PROVEEDOR]],TERCEROS_INFO[#All],2,FALSE)</f>
        <v>30</v>
      </c>
      <c r="D1170" s="37">
        <f>+SUMIFS(PROVEEDORES[Total],PROVEEDORES[PROVEEDOR],PROVEEDORES[[#This Row],[PROVEEDOR]],PROVEEDORES[FECHA DE PAGO],"")</f>
        <v>6072997.5925500002</v>
      </c>
      <c r="E1170" s="37"/>
      <c r="F1170" s="108" t="str">
        <f>+VLOOKUP(PROVEEDORES[[#This Row],[PROVEEDOR]],TERCEROS_INFO[[PROVEEDOR]:[CORREO]],5,FALSE)</f>
        <v>angela.navas@hyrdistribuciones.com;girlesa.ruiz@servipilas.com;joriescobar64@gmail.com</v>
      </c>
      <c r="G1170" s="143">
        <v>44257</v>
      </c>
      <c r="H1170" s="38" t="s">
        <v>18</v>
      </c>
      <c r="I1170" s="30">
        <v>44208</v>
      </c>
      <c r="J1170" s="58">
        <v>1033186</v>
      </c>
      <c r="K1170" s="32">
        <v>2093726.1764705882</v>
      </c>
      <c r="L1170" s="32"/>
      <c r="M1170" s="33">
        <f>(PROVEEDORES[[#This Row],[SUBTOTAL]]-PROVEEDORES[[#This Row],[descuento antes de IVA]])*VLOOKUP(PROVEEDORES[[#This Row],[PROVEEDOR]],TERCEROS_INFO[#All],3,FALSE)</f>
        <v>397807.97352941177</v>
      </c>
      <c r="N1170" s="34"/>
      <c r="O1170" s="33">
        <f>+PROVEEDORES[[#This Row],[Descuento sobre subtotal %]]*(PROVEEDORES[[#This Row],[SUBTOTAL]]-PROVEEDORES[[#This Row],[descuento antes de IVA]])</f>
        <v>0</v>
      </c>
      <c r="P11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70" s="33">
        <f>+(PROVEEDORES[[#This Row],[SUBTOTAL]]-PROVEEDORES[[#This Row],[descuento antes de IVA]])*PROVEEDORES[[#This Row],[Rete Fuente %]]</f>
        <v>52343.154411764706</v>
      </c>
      <c r="R1170" s="32">
        <f>+PROVEEDORES[[#This Row],[SUBTOTAL]]+PROVEEDORES[[#This Row],[IVA 19%]]-PROVEEDORES[[#This Row],[descuento antes de IVA]]-PROVEEDORES[[#This Row],[Descuento sobre subtotal $]]-PROVEEDORES[[#This Row],[Rete Fuente $]]</f>
        <v>2439190.9955882351</v>
      </c>
      <c r="S117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1" spans="1:19" ht="21.95" hidden="1" customHeight="1" x14ac:dyDescent="0.25">
      <c r="A1171" s="39" t="str">
        <f>+IF(PROVEEDORES[[#This Row],[FECHA DE PAGO]]=PROVEEDORES[[#This Row],[FECHA DE FACTURACIÓN]],"DE CONTADO","CRÉDITO")</f>
        <v>CRÉDITO</v>
      </c>
      <c r="B1171" s="67" t="str">
        <f>+IF((PROVEEDORES[[#This Row],[FECHA DE PAGO]]-PROVEEDORES[[#This Row],[FECHA DE FACTURACIÓN]])&gt;PROVEEDORES[[#This Row],[PLAZO Días]],"PAGO VENCIDO")</f>
        <v>PAGO VENCIDO</v>
      </c>
      <c r="C1171" s="27">
        <f>+VLOOKUP(PROVEEDORES[[#This Row],[PROVEEDOR]],TERCEROS_INFO[#All],2,FALSE)</f>
        <v>30</v>
      </c>
      <c r="D1171" s="37">
        <f>+SUMIFS(PROVEEDORES[Total],PROVEEDORES[PROVEEDOR],PROVEEDORES[[#This Row],[PROVEEDOR]],PROVEEDORES[FECHA DE PAGO],"")</f>
        <v>6072997.5925500002</v>
      </c>
      <c r="E1171" s="37"/>
      <c r="F1171" s="108" t="str">
        <f>+VLOOKUP(PROVEEDORES[[#This Row],[PROVEEDOR]],TERCEROS_INFO[[PROVEEDOR]:[CORREO]],5,FALSE)</f>
        <v>angela.navas@hyrdistribuciones.com;girlesa.ruiz@servipilas.com;joriescobar64@gmail.com</v>
      </c>
      <c r="G1171" s="143">
        <v>44257</v>
      </c>
      <c r="H1171" s="38" t="s">
        <v>18</v>
      </c>
      <c r="I1171" s="30">
        <v>44213</v>
      </c>
      <c r="J1171" s="58">
        <v>1033457</v>
      </c>
      <c r="K1171" s="32">
        <v>3519586.8</v>
      </c>
      <c r="L1171" s="32"/>
      <c r="M1171" s="33">
        <f>(PROVEEDORES[[#This Row],[SUBTOTAL]]-PROVEEDORES[[#This Row],[descuento antes de IVA]])*VLOOKUP(PROVEEDORES[[#This Row],[PROVEEDOR]],TERCEROS_INFO[#All],3,FALSE)</f>
        <v>668721.49199999997</v>
      </c>
      <c r="N1171" s="34"/>
      <c r="O1171" s="33">
        <f>+PROVEEDORES[[#This Row],[Descuento sobre subtotal %]]*(PROVEEDORES[[#This Row],[SUBTOTAL]]-PROVEEDORES[[#This Row],[descuento antes de IVA]])</f>
        <v>0</v>
      </c>
      <c r="P11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71" s="33">
        <f>+(PROVEEDORES[[#This Row],[SUBTOTAL]]-PROVEEDORES[[#This Row],[descuento antes de IVA]])*PROVEEDORES[[#This Row],[Rete Fuente %]]</f>
        <v>87989.67</v>
      </c>
      <c r="R1171" s="32">
        <f>+PROVEEDORES[[#This Row],[SUBTOTAL]]+PROVEEDORES[[#This Row],[IVA 19%]]-PROVEEDORES[[#This Row],[descuento antes de IVA]]-PROVEEDORES[[#This Row],[Descuento sobre subtotal $]]-PROVEEDORES[[#This Row],[Rete Fuente $]]</f>
        <v>4100318.622</v>
      </c>
      <c r="S117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2" spans="1:19" ht="21.95" hidden="1" customHeight="1" x14ac:dyDescent="0.25">
      <c r="A1172" s="39" t="str">
        <f>+IF(PROVEEDORES[[#This Row],[FECHA DE PAGO]]=PROVEEDORES[[#This Row],[FECHA DE FACTURACIÓN]],"DE CONTADO","CRÉDITO")</f>
        <v>CRÉDITO</v>
      </c>
      <c r="B1172" s="67" t="b">
        <f>+IF((PROVEEDORES[[#This Row],[FECHA DE PAGO]]-PROVEEDORES[[#This Row],[FECHA DE FACTURACIÓN]])&gt;PROVEEDORES[[#This Row],[PLAZO Días]],"PAGO VENCIDO")</f>
        <v>0</v>
      </c>
      <c r="C1172" s="27">
        <f>+VLOOKUP(PROVEEDORES[[#This Row],[PROVEEDOR]],TERCEROS_INFO[#All],2,FALSE)</f>
        <v>30</v>
      </c>
      <c r="D1172" s="37">
        <f>+SUMIFS(PROVEEDORES[Total],PROVEEDORES[PROVEEDOR],PROVEEDORES[[#This Row],[PROVEEDOR]],PROVEEDORES[FECHA DE PAGO],"")</f>
        <v>6072997.5925500002</v>
      </c>
      <c r="E1172" s="37"/>
      <c r="F1172" s="108" t="str">
        <f>+VLOOKUP(PROVEEDORES[[#This Row],[PROVEEDOR]],TERCEROS_INFO[[PROVEEDOR]:[CORREO]],5,FALSE)</f>
        <v>angela.navas@hyrdistribuciones.com;girlesa.ruiz@servipilas.com;joriescobar64@gmail.com</v>
      </c>
      <c r="G1172" s="143">
        <v>44239</v>
      </c>
      <c r="H1172" s="38" t="s">
        <v>18</v>
      </c>
      <c r="I1172" s="30">
        <v>44235</v>
      </c>
      <c r="J1172" s="58" t="s">
        <v>435</v>
      </c>
      <c r="K1172" s="32">
        <v>-279600</v>
      </c>
      <c r="L1172" s="32"/>
      <c r="M1172" s="33">
        <f>(PROVEEDORES[[#This Row],[SUBTOTAL]]-PROVEEDORES[[#This Row],[descuento antes de IVA]])*VLOOKUP(PROVEEDORES[[#This Row],[PROVEEDOR]],TERCEROS_INFO[#All],3,FALSE)</f>
        <v>-53124</v>
      </c>
      <c r="N1172" s="34"/>
      <c r="O1172" s="33">
        <f>+PROVEEDORES[[#This Row],[Descuento sobre subtotal %]]*(PROVEEDORES[[#This Row],[SUBTOTAL]]-PROVEEDORES[[#This Row],[descuento antes de IVA]])</f>
        <v>0</v>
      </c>
      <c r="P11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72" s="33">
        <f>+(PROVEEDORES[[#This Row],[SUBTOTAL]]-PROVEEDORES[[#This Row],[descuento antes de IVA]])*PROVEEDORES[[#This Row],[Rete Fuente %]]</f>
        <v>0</v>
      </c>
      <c r="R1172" s="32">
        <f>+PROVEEDORES[[#This Row],[SUBTOTAL]]+PROVEEDORES[[#This Row],[IVA 19%]]-PROVEEDORES[[#This Row],[descuento antes de IVA]]-PROVEEDORES[[#This Row],[Descuento sobre subtotal $]]-PROVEEDORES[[#This Row],[Rete Fuente $]]</f>
        <v>-332724</v>
      </c>
      <c r="S117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3" spans="1:19" ht="21.95" hidden="1" customHeight="1" x14ac:dyDescent="0.25">
      <c r="A1173" s="88" t="str">
        <f>+IF(PROVEEDORES[[#This Row],[FECHA DE PAGO]]=PROVEEDORES[[#This Row],[FECHA DE FACTURACIÓN]],"DE CONTADO","CRÉDITO")</f>
        <v>CRÉDITO</v>
      </c>
      <c r="B1173" s="70" t="str">
        <f>+IF((PROVEEDORES[[#This Row],[FECHA DE PAGO]]-PROVEEDORES[[#This Row],[FECHA DE FACTURACIÓN]])&gt;PROVEEDORES[[#This Row],[PLAZO Días]],"PAGO VENCIDO")</f>
        <v>PAGO VENCIDO</v>
      </c>
      <c r="C1173" s="27">
        <f>+VLOOKUP(PROVEEDORES[[#This Row],[PROVEEDOR]],TERCEROS_INFO[#All],2,FALSE)</f>
        <v>30</v>
      </c>
      <c r="D1173" s="37">
        <f>+SUMIFS(PROVEEDORES[Total],PROVEEDORES[PROVEEDOR],PROVEEDORES[[#This Row],[PROVEEDOR]],PROVEEDORES[FECHA DE PAGO],"")</f>
        <v>6072997.5925500002</v>
      </c>
      <c r="E1173" s="37"/>
      <c r="F1173" s="108" t="str">
        <f>+VLOOKUP(PROVEEDORES[[#This Row],[PROVEEDOR]],TERCEROS_INFO[[PROVEEDOR]:[CORREO]],5,FALSE)</f>
        <v>angela.navas@hyrdistribuciones.com;girlesa.ruiz@servipilas.com;joriescobar64@gmail.com</v>
      </c>
      <c r="G1173" s="143">
        <v>44271</v>
      </c>
      <c r="H1173" s="38" t="s">
        <v>18</v>
      </c>
      <c r="I1173" s="30">
        <v>44238</v>
      </c>
      <c r="J1173" s="58">
        <v>1034429</v>
      </c>
      <c r="K1173" s="32">
        <v>1825646.4</v>
      </c>
      <c r="L1173" s="32"/>
      <c r="M1173" s="33">
        <f>(PROVEEDORES[[#This Row],[SUBTOTAL]]-PROVEEDORES[[#This Row],[descuento antes de IVA]])*VLOOKUP(PROVEEDORES[[#This Row],[PROVEEDOR]],TERCEROS_INFO[#All],3,FALSE)</f>
        <v>346872.81599999999</v>
      </c>
      <c r="N1173" s="34"/>
      <c r="O1173" s="33">
        <f>+PROVEEDORES[[#This Row],[Descuento sobre subtotal %]]*(PROVEEDORES[[#This Row],[SUBTOTAL]]-PROVEEDORES[[#This Row],[descuento antes de IVA]])</f>
        <v>0</v>
      </c>
      <c r="P11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73" s="33">
        <f>+(PROVEEDORES[[#This Row],[SUBTOTAL]]-PROVEEDORES[[#This Row],[descuento antes de IVA]])*PROVEEDORES[[#This Row],[Rete Fuente %]]</f>
        <v>45641.16</v>
      </c>
      <c r="R1173" s="32">
        <f>+PROVEEDORES[[#This Row],[SUBTOTAL]]+PROVEEDORES[[#This Row],[IVA 19%]]-PROVEEDORES[[#This Row],[descuento antes de IVA]]-PROVEEDORES[[#This Row],[Descuento sobre subtotal $]]-PROVEEDORES[[#This Row],[Rete Fuente $]]</f>
        <v>2126878.0559999999</v>
      </c>
      <c r="S117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4" spans="1:19" ht="21.95" hidden="1" customHeight="1" x14ac:dyDescent="0.25">
      <c r="A1174" s="88" t="str">
        <f>+IF(PROVEEDORES[[#This Row],[FECHA DE PAGO]]=PROVEEDORES[[#This Row],[FECHA DE FACTURACIÓN]],"DE CONTADO","CRÉDITO")</f>
        <v>CRÉDITO</v>
      </c>
      <c r="B1174" s="70" t="str">
        <f>+IF((PROVEEDORES[[#This Row],[FECHA DE PAGO]]-PROVEEDORES[[#This Row],[FECHA DE FACTURACIÓN]])&gt;PROVEEDORES[[#This Row],[PLAZO Días]],"PAGO VENCIDO")</f>
        <v>PAGO VENCIDO</v>
      </c>
      <c r="C1174" s="27">
        <f>+VLOOKUP(PROVEEDORES[[#This Row],[PROVEEDOR]],TERCEROS_INFO[#All],2,FALSE)</f>
        <v>30</v>
      </c>
      <c r="D1174" s="37">
        <f>+SUMIFS(PROVEEDORES[Total],PROVEEDORES[PROVEEDOR],PROVEEDORES[[#This Row],[PROVEEDOR]],PROVEEDORES[FECHA DE PAGO],"")</f>
        <v>6072997.5925500002</v>
      </c>
      <c r="E1174" s="37"/>
      <c r="F1174" s="108" t="str">
        <f>+VLOOKUP(PROVEEDORES[[#This Row],[PROVEEDOR]],TERCEROS_INFO[[PROVEEDOR]:[CORREO]],5,FALSE)</f>
        <v>angela.navas@hyrdistribuciones.com;girlesa.ruiz@servipilas.com;joriescobar64@gmail.com</v>
      </c>
      <c r="G1174" s="143">
        <v>44307</v>
      </c>
      <c r="H1174" s="38" t="s">
        <v>18</v>
      </c>
      <c r="I1174" s="30">
        <v>44246</v>
      </c>
      <c r="J1174" s="58" t="s">
        <v>531</v>
      </c>
      <c r="K1174" s="32">
        <f>-320000/1.19</f>
        <v>-268907.56302521011</v>
      </c>
      <c r="L1174" s="32"/>
      <c r="M1174" s="33">
        <f>(PROVEEDORES[[#This Row],[SUBTOTAL]]-PROVEEDORES[[#This Row],[descuento antes de IVA]])*VLOOKUP(PROVEEDORES[[#This Row],[PROVEEDOR]],TERCEROS_INFO[#All],3,FALSE)</f>
        <v>-51092.436974789918</v>
      </c>
      <c r="N1174" s="34"/>
      <c r="O1174" s="33">
        <f>+PROVEEDORES[[#This Row],[Descuento sobre subtotal %]]*(PROVEEDORES[[#This Row],[SUBTOTAL]]-PROVEEDORES[[#This Row],[descuento antes de IVA]])</f>
        <v>0</v>
      </c>
      <c r="P11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74" s="33">
        <f>+(PROVEEDORES[[#This Row],[SUBTOTAL]]-PROVEEDORES[[#This Row],[descuento antes de IVA]])*PROVEEDORES[[#This Row],[Rete Fuente %]]</f>
        <v>0</v>
      </c>
      <c r="R1174" s="32">
        <f>+PROVEEDORES[[#This Row],[SUBTOTAL]]+PROVEEDORES[[#This Row],[IVA 19%]]-PROVEEDORES[[#This Row],[descuento antes de IVA]]-PROVEEDORES[[#This Row],[Descuento sobre subtotal $]]-PROVEEDORES[[#This Row],[Rete Fuente $]]</f>
        <v>-320000</v>
      </c>
      <c r="S1174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5" spans="1:19" ht="21.95" hidden="1" customHeight="1" x14ac:dyDescent="0.25">
      <c r="A1175" s="88" t="str">
        <f>+IF(PROVEEDORES[[#This Row],[FECHA DE PAGO]]=PROVEEDORES[[#This Row],[FECHA DE FACTURACIÓN]],"DE CONTADO","CRÉDITO")</f>
        <v>CRÉDITO</v>
      </c>
      <c r="B1175" s="70" t="str">
        <f>+IF((PROVEEDORES[[#This Row],[FECHA DE PAGO]]-PROVEEDORES[[#This Row],[FECHA DE FACTURACIÓN]])&gt;PROVEEDORES[[#This Row],[PLAZO Días]],"PAGO VENCIDO")</f>
        <v>PAGO VENCIDO</v>
      </c>
      <c r="C1175" s="27">
        <f>+VLOOKUP(PROVEEDORES[[#This Row],[PROVEEDOR]],TERCEROS_INFO[#All],2,FALSE)</f>
        <v>30</v>
      </c>
      <c r="D1175" s="37">
        <f>+SUMIFS(PROVEEDORES[Total],PROVEEDORES[PROVEEDOR],PROVEEDORES[[#This Row],[PROVEEDOR]],PROVEEDORES[FECHA DE PAGO],"")</f>
        <v>6072997.5925500002</v>
      </c>
      <c r="E1175" s="37"/>
      <c r="F1175" s="108" t="str">
        <f>+VLOOKUP(PROVEEDORES[[#This Row],[PROVEEDOR]],TERCEROS_INFO[[PROVEEDOR]:[CORREO]],5,FALSE)</f>
        <v>angela.navas@hyrdistribuciones.com;girlesa.ruiz@servipilas.com;joriescobar64@gmail.com</v>
      </c>
      <c r="G1175" s="143">
        <v>44307</v>
      </c>
      <c r="H1175" s="38" t="s">
        <v>18</v>
      </c>
      <c r="I1175" s="30">
        <v>44258</v>
      </c>
      <c r="J1175" s="58">
        <v>1035231</v>
      </c>
      <c r="K1175" s="32">
        <v>1334863.2</v>
      </c>
      <c r="L1175" s="32"/>
      <c r="M1175" s="33">
        <f>(PROVEEDORES[[#This Row],[SUBTOTAL]]-PROVEEDORES[[#This Row],[descuento antes de IVA]])*VLOOKUP(PROVEEDORES[[#This Row],[PROVEEDOR]],TERCEROS_INFO[#All],3,FALSE)</f>
        <v>253624.008</v>
      </c>
      <c r="N1175" s="34"/>
      <c r="O1175" s="33">
        <f>+PROVEEDORES[[#This Row],[Descuento sobre subtotal %]]*(PROVEEDORES[[#This Row],[SUBTOTAL]]-PROVEEDORES[[#This Row],[descuento antes de IVA]])</f>
        <v>0</v>
      </c>
      <c r="P11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75" s="33">
        <f>+(PROVEEDORES[[#This Row],[SUBTOTAL]]-PROVEEDORES[[#This Row],[descuento antes de IVA]])*PROVEEDORES[[#This Row],[Rete Fuente %]]</f>
        <v>33371.58</v>
      </c>
      <c r="R1175" s="32">
        <f>+PROVEEDORES[[#This Row],[SUBTOTAL]]+PROVEEDORES[[#This Row],[IVA 19%]]-PROVEEDORES[[#This Row],[descuento antes de IVA]]-PROVEEDORES[[#This Row],[Descuento sobre subtotal $]]-PROVEEDORES[[#This Row],[Rete Fuente $]]</f>
        <v>1555115.6279999998</v>
      </c>
      <c r="S1175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6" spans="1:19" ht="21.95" hidden="1" customHeight="1" x14ac:dyDescent="0.25">
      <c r="A1176" s="88" t="str">
        <f>+IF(PROVEEDORES[[#This Row],[FECHA DE PAGO]]=PROVEEDORES[[#This Row],[FECHA DE FACTURACIÓN]],"DE CONTADO","CRÉDITO")</f>
        <v>CRÉDITO</v>
      </c>
      <c r="B1176" s="70" t="str">
        <f>+IF((PROVEEDORES[[#This Row],[FECHA DE PAGO]]-PROVEEDORES[[#This Row],[FECHA DE FACTURACIÓN]])&gt;PROVEEDORES[[#This Row],[PLAZO Días]],"PAGO VENCIDO")</f>
        <v>PAGO VENCIDO</v>
      </c>
      <c r="C1176" s="27">
        <f>+VLOOKUP(PROVEEDORES[[#This Row],[PROVEEDOR]],TERCEROS_INFO[#All],2,FALSE)</f>
        <v>30</v>
      </c>
      <c r="D1176" s="37">
        <f>+SUMIFS(PROVEEDORES[Total],PROVEEDORES[PROVEEDOR],PROVEEDORES[[#This Row],[PROVEEDOR]],PROVEEDORES[FECHA DE PAGO],"")</f>
        <v>6072997.5925500002</v>
      </c>
      <c r="E1176" s="37"/>
      <c r="F1176" s="108" t="str">
        <f>+VLOOKUP(PROVEEDORES[[#This Row],[PROVEEDOR]],TERCEROS_INFO[[PROVEEDOR]:[CORREO]],5,FALSE)</f>
        <v>angela.navas@hyrdistribuciones.com;girlesa.ruiz@servipilas.com;joriescobar64@gmail.com</v>
      </c>
      <c r="G1176" s="143">
        <v>44307</v>
      </c>
      <c r="H1176" s="38" t="s">
        <v>18</v>
      </c>
      <c r="I1176" s="30">
        <v>44261</v>
      </c>
      <c r="J1176" s="58">
        <v>1035341</v>
      </c>
      <c r="K1176" s="32">
        <v>1508580</v>
      </c>
      <c r="L1176" s="32"/>
      <c r="M1176" s="33">
        <f>(PROVEEDORES[[#This Row],[SUBTOTAL]]-PROVEEDORES[[#This Row],[descuento antes de IVA]])*VLOOKUP(PROVEEDORES[[#This Row],[PROVEEDOR]],TERCEROS_INFO[#All],3,FALSE)</f>
        <v>286630.2</v>
      </c>
      <c r="N1176" s="34"/>
      <c r="O1176" s="33">
        <f>+PROVEEDORES[[#This Row],[Descuento sobre subtotal %]]*(PROVEEDORES[[#This Row],[SUBTOTAL]]-PROVEEDORES[[#This Row],[descuento antes de IVA]])</f>
        <v>0</v>
      </c>
      <c r="P11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76" s="33">
        <f>+(PROVEEDORES[[#This Row],[SUBTOTAL]]-PROVEEDORES[[#This Row],[descuento antes de IVA]])*PROVEEDORES[[#This Row],[Rete Fuente %]]</f>
        <v>37714.5</v>
      </c>
      <c r="R1176" s="32">
        <f>+PROVEEDORES[[#This Row],[SUBTOTAL]]+PROVEEDORES[[#This Row],[IVA 19%]]-PROVEEDORES[[#This Row],[descuento antes de IVA]]-PROVEEDORES[[#This Row],[Descuento sobre subtotal $]]-PROVEEDORES[[#This Row],[Rete Fuente $]]</f>
        <v>1757495.7</v>
      </c>
      <c r="S117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7" spans="1:19" ht="21.95" hidden="1" customHeight="1" x14ac:dyDescent="0.25">
      <c r="A1177" s="88" t="str">
        <f>+IF(PROVEEDORES[[#This Row],[FECHA DE PAGO]]=PROVEEDORES[[#This Row],[FECHA DE FACTURACIÓN]],"DE CONTADO","CRÉDITO")</f>
        <v>CRÉDITO</v>
      </c>
      <c r="B1177" s="70" t="str">
        <f>+IF((PROVEEDORES[[#This Row],[FECHA DE PAGO]]-PROVEEDORES[[#This Row],[FECHA DE FACTURACIÓN]])&gt;PROVEEDORES[[#This Row],[PLAZO Días]],"PAGO VENCIDO")</f>
        <v>PAGO VENCIDO</v>
      </c>
      <c r="C1177" s="27">
        <f>+VLOOKUP(PROVEEDORES[[#This Row],[PROVEEDOR]],TERCEROS_INFO[#All],2,FALSE)</f>
        <v>30</v>
      </c>
      <c r="D1177" s="37">
        <f>+SUMIFS(PROVEEDORES[Total],PROVEEDORES[PROVEEDOR],PROVEEDORES[[#This Row],[PROVEEDOR]],PROVEEDORES[FECHA DE PAGO],"")</f>
        <v>6072997.5925500002</v>
      </c>
      <c r="E1177" s="37"/>
      <c r="F1177" s="108" t="str">
        <f>+VLOOKUP(PROVEEDORES[[#This Row],[PROVEEDOR]],TERCEROS_INFO[[PROVEEDOR]:[CORREO]],5,FALSE)</f>
        <v>angela.navas@hyrdistribuciones.com;girlesa.ruiz@servipilas.com;joriescobar64@gmail.com</v>
      </c>
      <c r="G1177" s="143">
        <v>44312</v>
      </c>
      <c r="H1177" s="38" t="s">
        <v>18</v>
      </c>
      <c r="I1177" s="30">
        <v>44263</v>
      </c>
      <c r="J1177" s="58">
        <v>1035371</v>
      </c>
      <c r="K1177" s="32">
        <v>1837723.2</v>
      </c>
      <c r="L1177" s="32"/>
      <c r="M1177" s="33">
        <f>(PROVEEDORES[[#This Row],[SUBTOTAL]]-PROVEEDORES[[#This Row],[descuento antes de IVA]])*VLOOKUP(PROVEEDORES[[#This Row],[PROVEEDOR]],TERCEROS_INFO[#All],3,FALSE)</f>
        <v>349167.408</v>
      </c>
      <c r="N1177" s="34"/>
      <c r="O1177" s="33">
        <f>+PROVEEDORES[[#This Row],[Descuento sobre subtotal %]]*(PROVEEDORES[[#This Row],[SUBTOTAL]]-PROVEEDORES[[#This Row],[descuento antes de IVA]])</f>
        <v>0</v>
      </c>
      <c r="P11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77" s="33">
        <f>+(PROVEEDORES[[#This Row],[SUBTOTAL]]-PROVEEDORES[[#This Row],[descuento antes de IVA]])*PROVEEDORES[[#This Row],[Rete Fuente %]]</f>
        <v>45943.08</v>
      </c>
      <c r="R1177" s="32">
        <f>+PROVEEDORES[[#This Row],[SUBTOTAL]]+PROVEEDORES[[#This Row],[IVA 19%]]-PROVEEDORES[[#This Row],[descuento antes de IVA]]-PROVEEDORES[[#This Row],[Descuento sobre subtotal $]]-PROVEEDORES[[#This Row],[Rete Fuente $]]</f>
        <v>2140947.5279999999</v>
      </c>
      <c r="S1177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8" spans="1:19" ht="21.95" hidden="1" customHeight="1" x14ac:dyDescent="0.25">
      <c r="A1178" s="88" t="str">
        <f>+IF(PROVEEDORES[[#This Row],[FECHA DE PAGO]]=PROVEEDORES[[#This Row],[FECHA DE FACTURACIÓN]],"DE CONTADO","CRÉDITO")</f>
        <v>CRÉDITO</v>
      </c>
      <c r="B1178" s="70" t="str">
        <f>+IF((PROVEEDORES[[#This Row],[FECHA DE PAGO]]-PROVEEDORES[[#This Row],[FECHA DE FACTURACIÓN]])&gt;PROVEEDORES[[#This Row],[PLAZO Días]],"PAGO VENCIDO")</f>
        <v>PAGO VENCIDO</v>
      </c>
      <c r="C1178" s="27">
        <f>+VLOOKUP(PROVEEDORES[[#This Row],[PROVEEDOR]],TERCEROS_INFO[#All],2,FALSE)</f>
        <v>30</v>
      </c>
      <c r="D1178" s="37">
        <f>+SUMIFS(PROVEEDORES[Total],PROVEEDORES[PROVEEDOR],PROVEEDORES[[#This Row],[PROVEEDOR]],PROVEEDORES[FECHA DE PAGO],"")</f>
        <v>6072997.5925500002</v>
      </c>
      <c r="E1178" s="37"/>
      <c r="F1178" s="108" t="str">
        <f>+VLOOKUP(PROVEEDORES[[#This Row],[PROVEEDOR]],TERCEROS_INFO[[PROVEEDOR]:[CORREO]],5,FALSE)</f>
        <v>angela.navas@hyrdistribuciones.com;girlesa.ruiz@servipilas.com;joriescobar64@gmail.com</v>
      </c>
      <c r="G1178" s="143">
        <v>44312</v>
      </c>
      <c r="H1178" s="38" t="s">
        <v>18</v>
      </c>
      <c r="I1178" s="30">
        <v>44265</v>
      </c>
      <c r="J1178" s="58">
        <v>1035528</v>
      </c>
      <c r="K1178" s="32">
        <v>500285.04</v>
      </c>
      <c r="L1178" s="32"/>
      <c r="M1178" s="33">
        <f>(PROVEEDORES[[#This Row],[SUBTOTAL]]-PROVEEDORES[[#This Row],[descuento antes de IVA]])*VLOOKUP(PROVEEDORES[[#This Row],[PROVEEDOR]],TERCEROS_INFO[#All],3,FALSE)</f>
        <v>95054.157599999991</v>
      </c>
      <c r="N1178" s="34"/>
      <c r="O1178" s="33">
        <f>+PROVEEDORES[[#This Row],[Descuento sobre subtotal %]]*(PROVEEDORES[[#This Row],[SUBTOTAL]]-PROVEEDORES[[#This Row],[descuento antes de IVA]])</f>
        <v>0</v>
      </c>
      <c r="P11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78" s="33">
        <f>+(PROVEEDORES[[#This Row],[SUBTOTAL]]-PROVEEDORES[[#This Row],[descuento antes de IVA]])*PROVEEDORES[[#This Row],[Rete Fuente %]]</f>
        <v>0</v>
      </c>
      <c r="R1178" s="32">
        <f>+PROVEEDORES[[#This Row],[SUBTOTAL]]+PROVEEDORES[[#This Row],[IVA 19%]]-PROVEEDORES[[#This Row],[descuento antes de IVA]]-PROVEEDORES[[#This Row],[Descuento sobre subtotal $]]-PROVEEDORES[[#This Row],[Rete Fuente $]]</f>
        <v>595339.19759999996</v>
      </c>
      <c r="S1178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9" spans="1:19" ht="21.95" hidden="1" customHeight="1" x14ac:dyDescent="0.25">
      <c r="A1179" s="88" t="str">
        <f>+IF(PROVEEDORES[[#This Row],[FECHA DE PAGO]]=PROVEEDORES[[#This Row],[FECHA DE FACTURACIÓN]],"DE CONTADO","CRÉDITO")</f>
        <v>CRÉDITO</v>
      </c>
      <c r="B1179" s="70" t="str">
        <f>+IF((PROVEEDORES[[#This Row],[FECHA DE PAGO]]-PROVEEDORES[[#This Row],[FECHA DE FACTURACIÓN]])&gt;PROVEEDORES[[#This Row],[PLAZO Días]],"PAGO VENCIDO")</f>
        <v>PAGO VENCIDO</v>
      </c>
      <c r="C1179" s="27">
        <f>+VLOOKUP(PROVEEDORES[[#This Row],[PROVEEDOR]],TERCEROS_INFO[#All],2,FALSE)</f>
        <v>30</v>
      </c>
      <c r="D1179" s="37">
        <f>+SUMIFS(PROVEEDORES[Total],PROVEEDORES[PROVEEDOR],PROVEEDORES[[#This Row],[PROVEEDOR]],PROVEEDORES[FECHA DE PAGO],"")</f>
        <v>6072997.5925500002</v>
      </c>
      <c r="E1179" s="37"/>
      <c r="F1179" s="108" t="str">
        <f>+VLOOKUP(PROVEEDORES[[#This Row],[PROVEEDOR]],TERCEROS_INFO[[PROVEEDOR]:[CORREO]],5,FALSE)</f>
        <v>angela.navas@hyrdistribuciones.com;girlesa.ruiz@servipilas.com;joriescobar64@gmail.com</v>
      </c>
      <c r="G1179" s="143">
        <v>44335</v>
      </c>
      <c r="H1179" s="38" t="s">
        <v>18</v>
      </c>
      <c r="I1179" s="30">
        <v>44274</v>
      </c>
      <c r="J1179" s="58">
        <v>1035834</v>
      </c>
      <c r="K1179" s="32">
        <v>3865479.42</v>
      </c>
      <c r="L1179" s="32"/>
      <c r="M1179" s="33">
        <f>(PROVEEDORES[[#This Row],[SUBTOTAL]]-PROVEEDORES[[#This Row],[descuento antes de IVA]])*VLOOKUP(PROVEEDORES[[#This Row],[PROVEEDOR]],TERCEROS_INFO[#All],3,FALSE)</f>
        <v>734441.08979999996</v>
      </c>
      <c r="N1179" s="34"/>
      <c r="O1179" s="33">
        <f>+PROVEEDORES[[#This Row],[Descuento sobre subtotal %]]*(PROVEEDORES[[#This Row],[SUBTOTAL]]-PROVEEDORES[[#This Row],[descuento antes de IVA]])</f>
        <v>0</v>
      </c>
      <c r="P11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79" s="33">
        <f>+(PROVEEDORES[[#This Row],[SUBTOTAL]]-PROVEEDORES[[#This Row],[descuento antes de IVA]])*PROVEEDORES[[#This Row],[Rete Fuente %]]</f>
        <v>96636.98550000001</v>
      </c>
      <c r="R1179" s="32">
        <f>+PROVEEDORES[[#This Row],[SUBTOTAL]]+PROVEEDORES[[#This Row],[IVA 19%]]-PROVEEDORES[[#This Row],[descuento antes de IVA]]-PROVEEDORES[[#This Row],[Descuento sobre subtotal $]]-PROVEEDORES[[#This Row],[Rete Fuente $]]</f>
        <v>4503283.5242999997</v>
      </c>
      <c r="S117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0" spans="1:19" ht="21.95" hidden="1" customHeight="1" x14ac:dyDescent="0.25">
      <c r="A1180" s="107" t="str">
        <f>+IF(PROVEEDORES[[#This Row],[FECHA DE PAGO]]=PROVEEDORES[[#This Row],[FECHA DE FACTURACIÓN]],"DE CONTADO","CRÉDITO")</f>
        <v>CRÉDITO</v>
      </c>
      <c r="B1180" s="70" t="b">
        <f>+IF((PROVEEDORES[[#This Row],[FECHA DE PAGO]]-PROVEEDORES[[#This Row],[FECHA DE FACTURACIÓN]])&gt;PROVEEDORES[[#This Row],[PLAZO Días]],"PAGO VENCIDO")</f>
        <v>0</v>
      </c>
      <c r="C1180" s="27">
        <f>+VLOOKUP(PROVEEDORES[[#This Row],[PROVEEDOR]],TERCEROS_INFO[#All],2,FALSE)</f>
        <v>30</v>
      </c>
      <c r="D1180" s="37">
        <f>+SUMIFS(PROVEEDORES[Total],PROVEEDORES[PROVEEDOR],PROVEEDORES[[#This Row],[PROVEEDOR]],PROVEEDORES[FECHA DE PAGO],"")</f>
        <v>6072997.5925500002</v>
      </c>
      <c r="E1180" s="37"/>
      <c r="F1180" s="108" t="str">
        <f>+VLOOKUP(PROVEEDORES[[#This Row],[PROVEEDOR]],TERCEROS_INFO[[PROVEEDOR]:[CORREO]],5,FALSE)</f>
        <v>angela.navas@hyrdistribuciones.com;girlesa.ruiz@servipilas.com;joriescobar64@gmail.com</v>
      </c>
      <c r="G1180" s="143">
        <v>44335</v>
      </c>
      <c r="H1180" s="38" t="s">
        <v>18</v>
      </c>
      <c r="I1180" s="30">
        <v>44308</v>
      </c>
      <c r="J1180" s="58">
        <v>1037035</v>
      </c>
      <c r="K1180" s="32">
        <v>2259006.4</v>
      </c>
      <c r="L1180" s="32"/>
      <c r="M1180" s="33">
        <f>(PROVEEDORES[[#This Row],[SUBTOTAL]]-PROVEEDORES[[#This Row],[descuento antes de IVA]])*VLOOKUP(PROVEEDORES[[#This Row],[PROVEEDOR]],TERCEROS_INFO[#All],3,FALSE)</f>
        <v>429211.21600000001</v>
      </c>
      <c r="N1180" s="34"/>
      <c r="O1180" s="33">
        <f>+PROVEEDORES[[#This Row],[Descuento sobre subtotal %]]*(PROVEEDORES[[#This Row],[SUBTOTAL]]-PROVEEDORES[[#This Row],[descuento antes de IVA]])</f>
        <v>0</v>
      </c>
      <c r="P11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80" s="33">
        <f>+(PROVEEDORES[[#This Row],[SUBTOTAL]]-PROVEEDORES[[#This Row],[descuento antes de IVA]])*PROVEEDORES[[#This Row],[Rete Fuente %]]</f>
        <v>56475.16</v>
      </c>
      <c r="R1180" s="32">
        <f>+PROVEEDORES[[#This Row],[SUBTOTAL]]+PROVEEDORES[[#This Row],[IVA 19%]]-PROVEEDORES[[#This Row],[descuento antes de IVA]]-PROVEEDORES[[#This Row],[Descuento sobre subtotal $]]-PROVEEDORES[[#This Row],[Rete Fuente $]]</f>
        <v>2631742.4559999998</v>
      </c>
      <c r="S1180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1" spans="1:19" ht="21.95" hidden="1" customHeight="1" x14ac:dyDescent="0.25">
      <c r="A1181" s="109" t="str">
        <f>+IF(PROVEEDORES[[#This Row],[FECHA DE PAGO]]=PROVEEDORES[[#This Row],[FECHA DE FACTURACIÓN]],"DE CONTADO","CRÉDITO")</f>
        <v>CRÉDITO</v>
      </c>
      <c r="B1181" s="70" t="b">
        <f>+IF((PROVEEDORES[[#This Row],[FECHA DE PAGO]]-PROVEEDORES[[#This Row],[FECHA DE FACTURACIÓN]])&gt;PROVEEDORES[[#This Row],[PLAZO Días]],"PAGO VENCIDO")</f>
        <v>0</v>
      </c>
      <c r="C1181" s="27">
        <f>+VLOOKUP(PROVEEDORES[[#This Row],[PROVEEDOR]],TERCEROS_INFO[#All],2,FALSE)</f>
        <v>30</v>
      </c>
      <c r="D1181" s="37">
        <f>+SUMIFS(PROVEEDORES[Total],PROVEEDORES[PROVEEDOR],PROVEEDORES[[#This Row],[PROVEEDOR]],PROVEEDORES[FECHA DE PAGO],"")</f>
        <v>6072997.5925500002</v>
      </c>
      <c r="E1181" s="37"/>
      <c r="F1181" s="108" t="str">
        <f>+VLOOKUP(PROVEEDORES[[#This Row],[PROVEEDOR]],TERCEROS_INFO[[PROVEEDOR]:[CORREO]],5,FALSE)</f>
        <v>angela.navas@hyrdistribuciones.com;girlesa.ruiz@servipilas.com;joriescobar64@gmail.com</v>
      </c>
      <c r="G1181" s="143">
        <v>44348</v>
      </c>
      <c r="H1181" s="38" t="s">
        <v>663</v>
      </c>
      <c r="I1181" s="30">
        <v>44320</v>
      </c>
      <c r="J1181" s="58">
        <v>1037460</v>
      </c>
      <c r="K1181" s="32">
        <v>850000</v>
      </c>
      <c r="L1181" s="32"/>
      <c r="M1181" s="33">
        <f>(PROVEEDORES[[#This Row],[SUBTOTAL]]-PROVEEDORES[[#This Row],[descuento antes de IVA]])*VLOOKUP(PROVEEDORES[[#This Row],[PROVEEDOR]],TERCEROS_INFO[#All],3,FALSE)</f>
        <v>161500</v>
      </c>
      <c r="N1181" s="34"/>
      <c r="O1181" s="33">
        <f>+PROVEEDORES[[#This Row],[Descuento sobre subtotal %]]*(PROVEEDORES[[#This Row],[SUBTOTAL]]-PROVEEDORES[[#This Row],[descuento antes de IVA]])</f>
        <v>0</v>
      </c>
      <c r="P11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81" s="33">
        <f>+(PROVEEDORES[[#This Row],[SUBTOTAL]]-PROVEEDORES[[#This Row],[descuento antes de IVA]])*PROVEEDORES[[#This Row],[Rete Fuente %]]</f>
        <v>0</v>
      </c>
      <c r="R1181" s="32">
        <f>+PROVEEDORES[[#This Row],[SUBTOTAL]]+PROVEEDORES[[#This Row],[IVA 19%]]-PROVEEDORES[[#This Row],[descuento antes de IVA]]-PROVEEDORES[[#This Row],[Descuento sobre subtotal $]]-PROVEEDORES[[#This Row],[Rete Fuente $]]</f>
        <v>1011500</v>
      </c>
      <c r="S1181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2" spans="1:19" ht="21.95" hidden="1" customHeight="1" x14ac:dyDescent="0.25">
      <c r="A1182" s="109" t="str">
        <f>+IF(PROVEEDORES[[#This Row],[FECHA DE PAGO]]=PROVEEDORES[[#This Row],[FECHA DE FACTURACIÓN]],"DE CONTADO","CRÉDITO")</f>
        <v>CRÉDITO</v>
      </c>
      <c r="B1182" s="70" t="str">
        <f>+IF((PROVEEDORES[[#This Row],[FECHA DE PAGO]]-PROVEEDORES[[#This Row],[FECHA DE FACTURACIÓN]])&gt;PROVEEDORES[[#This Row],[PLAZO Días]],"PAGO VENCIDO")</f>
        <v>PAGO VENCIDO</v>
      </c>
      <c r="C1182" s="27">
        <f>+VLOOKUP(PROVEEDORES[[#This Row],[PROVEEDOR]],TERCEROS_INFO[#All],2,FALSE)</f>
        <v>30</v>
      </c>
      <c r="D1182" s="37">
        <f>+SUMIFS(PROVEEDORES[Total],PROVEEDORES[PROVEEDOR],PROVEEDORES[[#This Row],[PROVEEDOR]],PROVEEDORES[FECHA DE PAGO],"")</f>
        <v>6072997.5925500002</v>
      </c>
      <c r="E1182" s="37"/>
      <c r="F1182" s="108" t="str">
        <f>+VLOOKUP(PROVEEDORES[[#This Row],[PROVEEDOR]],TERCEROS_INFO[[PROVEEDOR]:[CORREO]],5,FALSE)</f>
        <v>angela.navas@hyrdistribuciones.com;girlesa.ruiz@servipilas.com;joriescobar64@gmail.com</v>
      </c>
      <c r="G1182" s="143">
        <v>44363</v>
      </c>
      <c r="H1182" s="38" t="s">
        <v>663</v>
      </c>
      <c r="I1182" s="30">
        <v>44323</v>
      </c>
      <c r="J1182" s="58">
        <v>1037614</v>
      </c>
      <c r="K1182" s="32">
        <v>3032760.12</v>
      </c>
      <c r="L1182" s="32"/>
      <c r="M1182" s="33">
        <f>(PROVEEDORES[[#This Row],[SUBTOTAL]]-PROVEEDORES[[#This Row],[descuento antes de IVA]])*VLOOKUP(PROVEEDORES[[#This Row],[PROVEEDOR]],TERCEROS_INFO[#All],3,FALSE)</f>
        <v>576224.42280000006</v>
      </c>
      <c r="N1182" s="34"/>
      <c r="O1182" s="33">
        <f>+PROVEEDORES[[#This Row],[Descuento sobre subtotal %]]*(PROVEEDORES[[#This Row],[SUBTOTAL]]-PROVEEDORES[[#This Row],[descuento antes de IVA]])</f>
        <v>0</v>
      </c>
      <c r="P11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82" s="33">
        <f>+(PROVEEDORES[[#This Row],[SUBTOTAL]]-PROVEEDORES[[#This Row],[descuento antes de IVA]])*PROVEEDORES[[#This Row],[Rete Fuente %]]</f>
        <v>75819.003000000012</v>
      </c>
      <c r="R1182" s="32">
        <f>+PROVEEDORES[[#This Row],[SUBTOTAL]]+PROVEEDORES[[#This Row],[IVA 19%]]-PROVEEDORES[[#This Row],[descuento antes de IVA]]-PROVEEDORES[[#This Row],[Descuento sobre subtotal $]]-PROVEEDORES[[#This Row],[Rete Fuente $]]</f>
        <v>3533165.5397999999</v>
      </c>
      <c r="S1182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3" spans="1:19" ht="21.95" hidden="1" customHeight="1" x14ac:dyDescent="0.25">
      <c r="A1183" s="35" t="str">
        <f>+IF(PROVEEDORES[[#This Row],[FECHA DE PAGO]]=PROVEEDORES[[#This Row],[FECHA DE FACTURACIÓN]],"DE CONTADO","CRÉDITO")</f>
        <v>CRÉDITO</v>
      </c>
      <c r="B1183" s="70" t="str">
        <f>+IF((PROVEEDORES[[#This Row],[FECHA DE PAGO]]-PROVEEDORES[[#This Row],[FECHA DE FACTURACIÓN]])&gt;PROVEEDORES[[#This Row],[PLAZO Días]],"PAGO VENCIDO")</f>
        <v>PAGO VENCIDO</v>
      </c>
      <c r="C1183" s="27">
        <f>+VLOOKUP(PROVEEDORES[[#This Row],[PROVEEDOR]],TERCEROS_INFO[#All],2,FALSE)</f>
        <v>30</v>
      </c>
      <c r="D1183" s="37">
        <f>+SUMIFS(PROVEEDORES[Total],PROVEEDORES[PROVEEDOR],PROVEEDORES[[#This Row],[PROVEEDOR]],PROVEEDORES[FECHA DE PAGO],"")</f>
        <v>6072997.5925500002</v>
      </c>
      <c r="E1183" s="37"/>
      <c r="F1183" s="108" t="str">
        <f>+VLOOKUP(PROVEEDORES[[#This Row],[PROVEEDOR]],TERCEROS_INFO[[PROVEEDOR]:[CORREO]],5,FALSE)</f>
        <v>angela.navas@hyrdistribuciones.com;girlesa.ruiz@servipilas.com;joriescobar64@gmail.com</v>
      </c>
      <c r="G1183" s="143">
        <v>44376</v>
      </c>
      <c r="H1183" s="38" t="s">
        <v>18</v>
      </c>
      <c r="I1183" s="30">
        <v>44337</v>
      </c>
      <c r="J1183" s="58">
        <v>1038069</v>
      </c>
      <c r="K1183" s="32">
        <v>2084580.6</v>
      </c>
      <c r="L1183" s="32"/>
      <c r="M1183" s="33">
        <f>(PROVEEDORES[[#This Row],[SUBTOTAL]]-PROVEEDORES[[#This Row],[descuento antes de IVA]])*VLOOKUP(PROVEEDORES[[#This Row],[PROVEEDOR]],TERCEROS_INFO[#All],3,FALSE)</f>
        <v>396070.31400000001</v>
      </c>
      <c r="N1183" s="34"/>
      <c r="O1183" s="33">
        <f>+PROVEEDORES[[#This Row],[Descuento sobre subtotal %]]*(PROVEEDORES[[#This Row],[SUBTOTAL]]-PROVEEDORES[[#This Row],[descuento antes de IVA]])</f>
        <v>0</v>
      </c>
      <c r="P11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83" s="33">
        <f>+(PROVEEDORES[[#This Row],[SUBTOTAL]]-PROVEEDORES[[#This Row],[descuento antes de IVA]])*PROVEEDORES[[#This Row],[Rete Fuente %]]</f>
        <v>52114.515000000007</v>
      </c>
      <c r="R1183" s="32">
        <f>+PROVEEDORES[[#This Row],[SUBTOTAL]]+PROVEEDORES[[#This Row],[IVA 19%]]-PROVEEDORES[[#This Row],[descuento antes de IVA]]-PROVEEDORES[[#This Row],[Descuento sobre subtotal $]]-PROVEEDORES[[#This Row],[Rete Fuente $]]</f>
        <v>2428536.3989999997</v>
      </c>
      <c r="S118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4" spans="1:19" ht="21.95" hidden="1" customHeight="1" x14ac:dyDescent="0.25">
      <c r="A1184" s="119" t="str">
        <f>+IF(PROVEEDORES[[#This Row],[FECHA DE PAGO]]=PROVEEDORES[[#This Row],[FECHA DE FACTURACIÓN]],"DE CONTADO","CRÉDITO")</f>
        <v>CRÉDITO</v>
      </c>
      <c r="B1184" s="70" t="str">
        <f>+IF((PROVEEDORES[[#This Row],[FECHA DE PAGO]]-PROVEEDORES[[#This Row],[FECHA DE FACTURACIÓN]])&gt;PROVEEDORES[[#This Row],[PLAZO Días]],"PAGO VENCIDO")</f>
        <v>PAGO VENCIDO</v>
      </c>
      <c r="C1184" s="27">
        <f>+VLOOKUP(PROVEEDORES[[#This Row],[PROVEEDOR]],TERCEROS_INFO[#All],2,FALSE)</f>
        <v>30</v>
      </c>
      <c r="D1184" s="37">
        <f>+SUMIFS(PROVEEDORES[Total],PROVEEDORES[PROVEEDOR],PROVEEDORES[[#This Row],[PROVEEDOR]],PROVEEDORES[FECHA DE PAGO],"")</f>
        <v>6072997.5925500002</v>
      </c>
      <c r="E1184" s="37"/>
      <c r="F1184" s="108" t="str">
        <f>+VLOOKUP(PROVEEDORES[[#This Row],[PROVEEDOR]],TERCEROS_INFO[[PROVEEDOR]:[CORREO]],5,FALSE)</f>
        <v>angela.navas@hyrdistribuciones.com;girlesa.ruiz@servipilas.com;joriescobar64@gmail.com</v>
      </c>
      <c r="G1184" s="143">
        <v>44389</v>
      </c>
      <c r="H1184" s="38" t="s">
        <v>18</v>
      </c>
      <c r="I1184" s="30">
        <v>44350</v>
      </c>
      <c r="J1184" s="58">
        <v>1038584</v>
      </c>
      <c r="K1184" s="32">
        <v>2162828.4</v>
      </c>
      <c r="L1184" s="32"/>
      <c r="M1184" s="33">
        <f>(PROVEEDORES[[#This Row],[SUBTOTAL]]-PROVEEDORES[[#This Row],[descuento antes de IVA]])*VLOOKUP(PROVEEDORES[[#This Row],[PROVEEDOR]],TERCEROS_INFO[#All],3,FALSE)</f>
        <v>410937.39600000001</v>
      </c>
      <c r="N1184" s="34"/>
      <c r="O1184" s="33">
        <f>+PROVEEDORES[[#This Row],[Descuento sobre subtotal %]]*(PROVEEDORES[[#This Row],[SUBTOTAL]]-PROVEEDORES[[#This Row],[descuento antes de IVA]])</f>
        <v>0</v>
      </c>
      <c r="P11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84" s="33">
        <f>+(PROVEEDORES[[#This Row],[SUBTOTAL]]-PROVEEDORES[[#This Row],[descuento antes de IVA]])*PROVEEDORES[[#This Row],[Rete Fuente %]]</f>
        <v>54070.71</v>
      </c>
      <c r="R1184" s="32">
        <f>+PROVEEDORES[[#This Row],[SUBTOTAL]]+PROVEEDORES[[#This Row],[IVA 19%]]-PROVEEDORES[[#This Row],[descuento antes de IVA]]-PROVEEDORES[[#This Row],[Descuento sobre subtotal $]]-PROVEEDORES[[#This Row],[Rete Fuente $]]</f>
        <v>2519695.0860000001</v>
      </c>
      <c r="S1184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5" spans="1:19" ht="21.95" hidden="1" customHeight="1" x14ac:dyDescent="0.25">
      <c r="A1185" s="35" t="str">
        <f>+IF(PROVEEDORES[[#This Row],[FECHA DE PAGO]]=PROVEEDORES[[#This Row],[FECHA DE FACTURACIÓN]],"DE CONTADO","CRÉDITO")</f>
        <v>CRÉDITO</v>
      </c>
      <c r="B1185" s="70" t="str">
        <f>+IF((PROVEEDORES[[#This Row],[FECHA DE PAGO]]-PROVEEDORES[[#This Row],[FECHA DE FACTURACIÓN]])&gt;PROVEEDORES[[#This Row],[PLAZO Días]],"PAGO VENCIDO")</f>
        <v>PAGO VENCIDO</v>
      </c>
      <c r="C1185" s="27">
        <f>+VLOOKUP(PROVEEDORES[[#This Row],[PROVEEDOR]],TERCEROS_INFO[#All],2,FALSE)</f>
        <v>30</v>
      </c>
      <c r="D1185" s="37">
        <f>+SUMIFS(PROVEEDORES[Total],PROVEEDORES[PROVEEDOR],PROVEEDORES[[#This Row],[PROVEEDOR]],PROVEEDORES[FECHA DE PAGO],"")</f>
        <v>6072997.5925500002</v>
      </c>
      <c r="E1185" s="37"/>
      <c r="F1185" s="108" t="str">
        <f>+VLOOKUP(PROVEEDORES[[#This Row],[PROVEEDOR]],TERCEROS_INFO[[PROVEEDOR]:[CORREO]],5,FALSE)</f>
        <v>angela.navas@hyrdistribuciones.com;girlesa.ruiz@servipilas.com;joriescobar64@gmail.com</v>
      </c>
      <c r="G1185" s="143">
        <v>44403</v>
      </c>
      <c r="H1185" s="38" t="s">
        <v>18</v>
      </c>
      <c r="I1185" s="30">
        <v>44365</v>
      </c>
      <c r="J1185" s="58">
        <v>1039175</v>
      </c>
      <c r="K1185" s="32">
        <v>5950201.4400000004</v>
      </c>
      <c r="L1185" s="32"/>
      <c r="M1185" s="33">
        <f>(PROVEEDORES[[#This Row],[SUBTOTAL]]-PROVEEDORES[[#This Row],[descuento antes de IVA]])*VLOOKUP(PROVEEDORES[[#This Row],[PROVEEDOR]],TERCEROS_INFO[#All],3,FALSE)</f>
        <v>1130538.2736000002</v>
      </c>
      <c r="N1185" s="34"/>
      <c r="O1185" s="33">
        <f>+PROVEEDORES[[#This Row],[Descuento sobre subtotal %]]*(PROVEEDORES[[#This Row],[SUBTOTAL]]-PROVEEDORES[[#This Row],[descuento antes de IVA]])</f>
        <v>0</v>
      </c>
      <c r="P11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85" s="33">
        <f>+(PROVEEDORES[[#This Row],[SUBTOTAL]]-PROVEEDORES[[#This Row],[descuento antes de IVA]])*PROVEEDORES[[#This Row],[Rete Fuente %]]</f>
        <v>148755.03600000002</v>
      </c>
      <c r="R1185" s="32">
        <f>+PROVEEDORES[[#This Row],[SUBTOTAL]]+PROVEEDORES[[#This Row],[IVA 19%]]-PROVEEDORES[[#This Row],[descuento antes de IVA]]-PROVEEDORES[[#This Row],[Descuento sobre subtotal $]]-PROVEEDORES[[#This Row],[Rete Fuente $]]</f>
        <v>6931984.6776000001</v>
      </c>
      <c r="S118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6" spans="1:19" ht="21.95" hidden="1" customHeight="1" x14ac:dyDescent="0.25">
      <c r="A1186" s="129" t="str">
        <f>+IF(PROVEEDORES[[#This Row],[FECHA DE PAGO]]=PROVEEDORES[[#This Row],[FECHA DE FACTURACIÓN]],"DE CONTADO","CRÉDITO")</f>
        <v>CRÉDITO</v>
      </c>
      <c r="B1186" s="70" t="str">
        <f>+IF((PROVEEDORES[[#This Row],[FECHA DE PAGO]]-PROVEEDORES[[#This Row],[FECHA DE FACTURACIÓN]])&gt;PROVEEDORES[[#This Row],[PLAZO Días]],"PAGO VENCIDO")</f>
        <v>PAGO VENCIDO</v>
      </c>
      <c r="C1186" s="27">
        <f>+VLOOKUP(PROVEEDORES[[#This Row],[PROVEEDOR]],TERCEROS_INFO[#All],2,FALSE)</f>
        <v>30</v>
      </c>
      <c r="D1186" s="37">
        <f>+SUMIFS(PROVEEDORES[Total],PROVEEDORES[PROVEEDOR],PROVEEDORES[[#This Row],[PROVEEDOR]],PROVEEDORES[FECHA DE PAGO],"")</f>
        <v>6072997.5925500002</v>
      </c>
      <c r="E1186" s="37"/>
      <c r="F1186" s="108" t="str">
        <f>+VLOOKUP(PROVEEDORES[[#This Row],[PROVEEDOR]],TERCEROS_INFO[[PROVEEDOR]:[CORREO]],5,FALSE)</f>
        <v>angela.navas@hyrdistribuciones.com;girlesa.ruiz@servipilas.com;joriescobar64@gmail.com</v>
      </c>
      <c r="G1186" s="143">
        <v>44414</v>
      </c>
      <c r="H1186" s="38" t="s">
        <v>18</v>
      </c>
      <c r="I1186" s="30">
        <v>44377</v>
      </c>
      <c r="J1186" s="58">
        <v>1039723</v>
      </c>
      <c r="K1186" s="32">
        <v>2181869.2400000002</v>
      </c>
      <c r="L1186" s="32"/>
      <c r="M1186" s="33">
        <f>(PROVEEDORES[[#This Row],[SUBTOTAL]]-PROVEEDORES[[#This Row],[descuento antes de IVA]])*VLOOKUP(PROVEEDORES[[#This Row],[PROVEEDOR]],TERCEROS_INFO[#All],3,FALSE)</f>
        <v>414555.15560000006</v>
      </c>
      <c r="N1186" s="34"/>
      <c r="O1186" s="33">
        <f>+PROVEEDORES[[#This Row],[Descuento sobre subtotal %]]*(PROVEEDORES[[#This Row],[SUBTOTAL]]-PROVEEDORES[[#This Row],[descuento antes de IVA]])</f>
        <v>0</v>
      </c>
      <c r="P11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86" s="33">
        <f>+(PROVEEDORES[[#This Row],[SUBTOTAL]]-PROVEEDORES[[#This Row],[descuento antes de IVA]])*PROVEEDORES[[#This Row],[Rete Fuente %]]</f>
        <v>54546.731000000007</v>
      </c>
      <c r="R1186" s="32">
        <f>+PROVEEDORES[[#This Row],[SUBTOTAL]]+PROVEEDORES[[#This Row],[IVA 19%]]-PROVEEDORES[[#This Row],[descuento antes de IVA]]-PROVEEDORES[[#This Row],[Descuento sobre subtotal $]]-PROVEEDORES[[#This Row],[Rete Fuente $]]</f>
        <v>2541877.6646000003</v>
      </c>
      <c r="S1186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7" spans="1:19" ht="21.95" hidden="1" customHeight="1" x14ac:dyDescent="0.25">
      <c r="A1187" s="134" t="str">
        <f>+IF(PROVEEDORES[[#This Row],[FECHA DE PAGO]]=PROVEEDORES[[#This Row],[FECHA DE FACTURACIÓN]],"DE CONTADO","CRÉDITO")</f>
        <v>CRÉDITO</v>
      </c>
      <c r="B1187" s="70" t="str">
        <f>+IF((PROVEEDORES[[#This Row],[FECHA DE PAGO]]-PROVEEDORES[[#This Row],[FECHA DE FACTURACIÓN]])&gt;PROVEEDORES[[#This Row],[PLAZO Días]],"PAGO VENCIDO")</f>
        <v>PAGO VENCIDO</v>
      </c>
      <c r="C1187" s="27">
        <f>+VLOOKUP(PROVEEDORES[[#This Row],[PROVEEDOR]],TERCEROS_INFO[#All],2,FALSE)</f>
        <v>30</v>
      </c>
      <c r="D1187" s="37">
        <f>+SUMIFS(PROVEEDORES[Total],PROVEEDORES[PROVEEDOR],PROVEEDORES[[#This Row],[PROVEEDOR]],PROVEEDORES[FECHA DE PAGO],"")</f>
        <v>6072997.5925500002</v>
      </c>
      <c r="E1187" s="37"/>
      <c r="F1187" s="108" t="str">
        <f>+VLOOKUP(PROVEEDORES[[#This Row],[PROVEEDOR]],TERCEROS_INFO[[PROVEEDOR]:[CORREO]],5,FALSE)</f>
        <v>angela.navas@hyrdistribuciones.com;girlesa.ruiz@servipilas.com;joriescobar64@gmail.com</v>
      </c>
      <c r="G1187" s="143">
        <v>44426</v>
      </c>
      <c r="H1187" s="38" t="s">
        <v>18</v>
      </c>
      <c r="I1187" s="30">
        <v>44390</v>
      </c>
      <c r="J1187" s="58">
        <v>1040307</v>
      </c>
      <c r="K1187" s="32">
        <v>822858</v>
      </c>
      <c r="L1187" s="32"/>
      <c r="M1187" s="33">
        <f>(PROVEEDORES[[#This Row],[SUBTOTAL]]-PROVEEDORES[[#This Row],[descuento antes de IVA]])*VLOOKUP(PROVEEDORES[[#This Row],[PROVEEDOR]],TERCEROS_INFO[#All],3,FALSE)</f>
        <v>156343.01999999999</v>
      </c>
      <c r="N1187" s="34"/>
      <c r="O1187" s="33">
        <f>+PROVEEDORES[[#This Row],[Descuento sobre subtotal %]]*(PROVEEDORES[[#This Row],[SUBTOTAL]]-PROVEEDORES[[#This Row],[descuento antes de IVA]])</f>
        <v>0</v>
      </c>
      <c r="P11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87" s="33">
        <f>+(PROVEEDORES[[#This Row],[SUBTOTAL]]-PROVEEDORES[[#This Row],[descuento antes de IVA]])*PROVEEDORES[[#This Row],[Rete Fuente %]]</f>
        <v>0</v>
      </c>
      <c r="R1187" s="32">
        <f>+PROVEEDORES[[#This Row],[SUBTOTAL]]+PROVEEDORES[[#This Row],[IVA 19%]]-PROVEEDORES[[#This Row],[descuento antes de IVA]]-PROVEEDORES[[#This Row],[Descuento sobre subtotal $]]-PROVEEDORES[[#This Row],[Rete Fuente $]]</f>
        <v>979201.02</v>
      </c>
      <c r="S1187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8" spans="1:19" ht="21.95" hidden="1" customHeight="1" x14ac:dyDescent="0.25">
      <c r="A1188" s="139" t="str">
        <f>+IF(PROVEEDORES[[#This Row],[FECHA DE PAGO]]=PROVEEDORES[[#This Row],[FECHA DE FACTURACIÓN]],"DE CONTADO","CRÉDITO")</f>
        <v>CRÉDITO</v>
      </c>
      <c r="B1188" s="70" t="str">
        <f>+IF((PROVEEDORES[[#This Row],[FECHA DE PAGO]]-PROVEEDORES[[#This Row],[FECHA DE FACTURACIÓN]])&gt;PROVEEDORES[[#This Row],[PLAZO Días]],"PAGO VENCIDO")</f>
        <v>PAGO VENCIDO</v>
      </c>
      <c r="C1188" s="27">
        <f>+VLOOKUP(PROVEEDORES[[#This Row],[PROVEEDOR]],TERCEROS_INFO[#All],2,FALSE)</f>
        <v>30</v>
      </c>
      <c r="D1188" s="37">
        <f>+SUMIFS(PROVEEDORES[Total],PROVEEDORES[PROVEEDOR],PROVEEDORES[[#This Row],[PROVEEDOR]],PROVEEDORES[FECHA DE PAGO],"")</f>
        <v>6072997.5925500002</v>
      </c>
      <c r="E1188" s="37"/>
      <c r="F1188" s="108" t="str">
        <f>+VLOOKUP(PROVEEDORES[[#This Row],[PROVEEDOR]],TERCEROS_INFO[[PROVEEDOR]:[CORREO]],5,FALSE)</f>
        <v>angela.navas@hyrdistribuciones.com;girlesa.ruiz@servipilas.com;joriescobar64@gmail.com</v>
      </c>
      <c r="G1188" s="143">
        <v>44452</v>
      </c>
      <c r="H1188" s="38" t="s">
        <v>18</v>
      </c>
      <c r="I1188" s="30">
        <v>44412</v>
      </c>
      <c r="J1188" s="58">
        <v>1041347</v>
      </c>
      <c r="K1188" s="32">
        <v>1530000</v>
      </c>
      <c r="L1188" s="32"/>
      <c r="M1188" s="33">
        <f>(PROVEEDORES[[#This Row],[SUBTOTAL]]-PROVEEDORES[[#This Row],[descuento antes de IVA]])*VLOOKUP(PROVEEDORES[[#This Row],[PROVEEDOR]],TERCEROS_INFO[#All],3,FALSE)</f>
        <v>290700</v>
      </c>
      <c r="N1188" s="34"/>
      <c r="O1188" s="33">
        <f>+PROVEEDORES[[#This Row],[Descuento sobre subtotal %]]*(PROVEEDORES[[#This Row],[SUBTOTAL]]-PROVEEDORES[[#This Row],[descuento antes de IVA]])</f>
        <v>0</v>
      </c>
      <c r="P11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88" s="33">
        <f>+(PROVEEDORES[[#This Row],[SUBTOTAL]]-PROVEEDORES[[#This Row],[descuento antes de IVA]])*PROVEEDORES[[#This Row],[Rete Fuente %]]</f>
        <v>38250</v>
      </c>
      <c r="R1188" s="32">
        <f>+PROVEEDORES[[#This Row],[SUBTOTAL]]+PROVEEDORES[[#This Row],[IVA 19%]]-PROVEEDORES[[#This Row],[descuento antes de IVA]]-PROVEEDORES[[#This Row],[Descuento sobre subtotal $]]-PROVEEDORES[[#This Row],[Rete Fuente $]]</f>
        <v>1782450</v>
      </c>
      <c r="S1188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9" spans="1:19" ht="21.95" hidden="1" customHeight="1" x14ac:dyDescent="0.25">
      <c r="A1189" s="139" t="str">
        <f>+IF(PROVEEDORES[[#This Row],[FECHA DE PAGO]]=PROVEEDORES[[#This Row],[FECHA DE FACTURACIÓN]],"DE CONTADO","CRÉDITO")</f>
        <v>CRÉDITO</v>
      </c>
      <c r="B1189" s="70" t="str">
        <f>+IF((PROVEEDORES[[#This Row],[FECHA DE PAGO]]-PROVEEDORES[[#This Row],[FECHA DE FACTURACIÓN]])&gt;PROVEEDORES[[#This Row],[PLAZO Días]],"PAGO VENCIDO")</f>
        <v>PAGO VENCIDO</v>
      </c>
      <c r="C1189" s="27">
        <f>+VLOOKUP(PROVEEDORES[[#This Row],[PROVEEDOR]],TERCEROS_INFO[#All],2,FALSE)</f>
        <v>30</v>
      </c>
      <c r="D1189" s="37">
        <f>+SUMIFS(PROVEEDORES[Total],PROVEEDORES[PROVEEDOR],PROVEEDORES[[#This Row],[PROVEEDOR]],PROVEEDORES[FECHA DE PAGO],"")</f>
        <v>6072997.5925500002</v>
      </c>
      <c r="E1189" s="37"/>
      <c r="F1189" s="108" t="str">
        <f>+VLOOKUP(PROVEEDORES[[#This Row],[PROVEEDOR]],TERCEROS_INFO[[PROVEEDOR]:[CORREO]],5,FALSE)</f>
        <v>angela.navas@hyrdistribuciones.com;girlesa.ruiz@servipilas.com;joriescobar64@gmail.com</v>
      </c>
      <c r="G1189" s="143">
        <v>44452</v>
      </c>
      <c r="H1189" s="38" t="s">
        <v>18</v>
      </c>
      <c r="I1189" s="30">
        <v>44413</v>
      </c>
      <c r="J1189" s="58">
        <v>1041395</v>
      </c>
      <c r="K1189" s="32">
        <v>1837723.2</v>
      </c>
      <c r="L1189" s="32"/>
      <c r="M1189" s="33">
        <f>(PROVEEDORES[[#This Row],[SUBTOTAL]]-PROVEEDORES[[#This Row],[descuento antes de IVA]])*VLOOKUP(PROVEEDORES[[#This Row],[PROVEEDOR]],TERCEROS_INFO[#All],3,FALSE)</f>
        <v>349167.408</v>
      </c>
      <c r="N1189" s="34"/>
      <c r="O1189" s="33">
        <f>+PROVEEDORES[[#This Row],[Descuento sobre subtotal %]]*(PROVEEDORES[[#This Row],[SUBTOTAL]]-PROVEEDORES[[#This Row],[descuento antes de IVA]])</f>
        <v>0</v>
      </c>
      <c r="P11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89" s="33">
        <f>+(PROVEEDORES[[#This Row],[SUBTOTAL]]-PROVEEDORES[[#This Row],[descuento antes de IVA]])*PROVEEDORES[[#This Row],[Rete Fuente %]]</f>
        <v>45943.08</v>
      </c>
      <c r="R1189" s="32">
        <f>+PROVEEDORES[[#This Row],[SUBTOTAL]]+PROVEEDORES[[#This Row],[IVA 19%]]-PROVEEDORES[[#This Row],[descuento antes de IVA]]-PROVEEDORES[[#This Row],[Descuento sobre subtotal $]]-PROVEEDORES[[#This Row],[Rete Fuente $]]</f>
        <v>2140947.5279999999</v>
      </c>
      <c r="S1189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0" spans="1:19" ht="21.95" hidden="1" customHeight="1" x14ac:dyDescent="0.25">
      <c r="A1190" s="142" t="str">
        <f>+IF(PROVEEDORES[[#This Row],[FECHA DE PAGO]]=PROVEEDORES[[#This Row],[FECHA DE FACTURACIÓN]],"DE CONTADO","CRÉDITO")</f>
        <v>CRÉDITO</v>
      </c>
      <c r="B1190" s="70" t="str">
        <f>+IF((PROVEEDORES[[#This Row],[FECHA DE PAGO]]-PROVEEDORES[[#This Row],[FECHA DE FACTURACIÓN]])&gt;PROVEEDORES[[#This Row],[PLAZO Días]],"PAGO VENCIDO")</f>
        <v>PAGO VENCIDO</v>
      </c>
      <c r="C1190" s="27">
        <f>+VLOOKUP(PROVEEDORES[[#This Row],[PROVEEDOR]],TERCEROS_INFO[#All],2,FALSE)</f>
        <v>30</v>
      </c>
      <c r="D1190" s="37">
        <f>+SUMIFS(PROVEEDORES[Total],PROVEEDORES[PROVEEDOR],PROVEEDORES[[#This Row],[PROVEEDOR]],PROVEEDORES[FECHA DE PAGO],"")</f>
        <v>6072997.5925500002</v>
      </c>
      <c r="E1190" s="37"/>
      <c r="F1190" s="108" t="str">
        <f>+VLOOKUP(PROVEEDORES[[#This Row],[PROVEEDOR]],TERCEROS_INFO[[PROVEEDOR]:[CORREO]],5,FALSE)</f>
        <v>angela.navas@hyrdistribuciones.com;girlesa.ruiz@servipilas.com;joriescobar64@gmail.com</v>
      </c>
      <c r="G1190" s="143">
        <v>44482</v>
      </c>
      <c r="H1190" s="38" t="s">
        <v>18</v>
      </c>
      <c r="I1190" s="30">
        <v>44432</v>
      </c>
      <c r="J1190" s="58">
        <v>1042098</v>
      </c>
      <c r="K1190" s="32">
        <v>4739218.08</v>
      </c>
      <c r="L1190" s="32"/>
      <c r="M1190" s="33">
        <f>(PROVEEDORES[[#This Row],[SUBTOTAL]]-PROVEEDORES[[#This Row],[descuento antes de IVA]])*VLOOKUP(PROVEEDORES[[#This Row],[PROVEEDOR]],TERCEROS_INFO[#All],3,FALSE)</f>
        <v>900451.43520000007</v>
      </c>
      <c r="N1190" s="34"/>
      <c r="O1190" s="33">
        <f>+PROVEEDORES[[#This Row],[Descuento sobre subtotal %]]*(PROVEEDORES[[#This Row],[SUBTOTAL]]-PROVEEDORES[[#This Row],[descuento antes de IVA]])</f>
        <v>0</v>
      </c>
      <c r="P11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90" s="33">
        <f>+(PROVEEDORES[[#This Row],[SUBTOTAL]]-PROVEEDORES[[#This Row],[descuento antes de IVA]])*PROVEEDORES[[#This Row],[Rete Fuente %]]</f>
        <v>118480.452</v>
      </c>
      <c r="R1190" s="32">
        <f>+PROVEEDORES[[#This Row],[SUBTOTAL]]+PROVEEDORES[[#This Row],[IVA 19%]]-PROVEEDORES[[#This Row],[descuento antes de IVA]]-PROVEEDORES[[#This Row],[Descuento sobre subtotal $]]-PROVEEDORES[[#This Row],[Rete Fuente $]]</f>
        <v>5521189.0632000007</v>
      </c>
      <c r="S1190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1" spans="1:19" ht="21.95" hidden="1" customHeight="1" x14ac:dyDescent="0.25">
      <c r="A1191" s="35" t="str">
        <f>+IF(PROVEEDORES[[#This Row],[FECHA DE PAGO]]=PROVEEDORES[[#This Row],[FECHA DE FACTURACIÓN]],"DE CONTADO","CRÉDITO")</f>
        <v>CRÉDITO</v>
      </c>
      <c r="B1191" s="70" t="str">
        <f>+IF((PROVEEDORES[[#This Row],[FECHA DE PAGO]]-PROVEEDORES[[#This Row],[FECHA DE FACTURACIÓN]])&gt;PROVEEDORES[[#This Row],[PLAZO Días]],"PAGO VENCIDO")</f>
        <v>PAGO VENCIDO</v>
      </c>
      <c r="C1191" s="27">
        <f>+VLOOKUP(PROVEEDORES[[#This Row],[PROVEEDOR]],TERCEROS_INFO[#All],2,FALSE)</f>
        <v>30</v>
      </c>
      <c r="D1191" s="37">
        <f>+SUMIFS(PROVEEDORES[Total],PROVEEDORES[PROVEEDOR],PROVEEDORES[[#This Row],[PROVEEDOR]],PROVEEDORES[FECHA DE PAGO],"")</f>
        <v>6072997.5925500002</v>
      </c>
      <c r="E1191" s="37"/>
      <c r="F1191" s="108" t="str">
        <f>+VLOOKUP(PROVEEDORES[[#This Row],[PROVEEDOR]],TERCEROS_INFO[[PROVEEDOR]:[CORREO]],5,FALSE)</f>
        <v>angela.navas@hyrdistribuciones.com;girlesa.ruiz@servipilas.com;joriescobar64@gmail.com</v>
      </c>
      <c r="G1191" s="143">
        <v>44482</v>
      </c>
      <c r="H1191" s="38" t="s">
        <v>18</v>
      </c>
      <c r="I1191" s="30">
        <v>44435</v>
      </c>
      <c r="J1191" s="58">
        <v>1042278</v>
      </c>
      <c r="K1191" s="32">
        <v>3032560.8</v>
      </c>
      <c r="L1191" s="32"/>
      <c r="M1191" s="33">
        <f>(PROVEEDORES[[#This Row],[SUBTOTAL]]-PROVEEDORES[[#This Row],[descuento antes de IVA]])*VLOOKUP(PROVEEDORES[[#This Row],[PROVEEDOR]],TERCEROS_INFO[#All],3,FALSE)</f>
        <v>576186.55200000003</v>
      </c>
      <c r="N1191" s="34"/>
      <c r="O1191" s="33">
        <f>+PROVEEDORES[[#This Row],[Descuento sobre subtotal %]]*(PROVEEDORES[[#This Row],[SUBTOTAL]]-PROVEEDORES[[#This Row],[descuento antes de IVA]])</f>
        <v>0</v>
      </c>
      <c r="P11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91" s="33">
        <f>+(PROVEEDORES[[#This Row],[SUBTOTAL]]-PROVEEDORES[[#This Row],[descuento antes de IVA]])*PROVEEDORES[[#This Row],[Rete Fuente %]]</f>
        <v>75814.02</v>
      </c>
      <c r="R1191" s="32">
        <f>+PROVEEDORES[[#This Row],[SUBTOTAL]]+PROVEEDORES[[#This Row],[IVA 19%]]-PROVEEDORES[[#This Row],[descuento antes de IVA]]-PROVEEDORES[[#This Row],[Descuento sobre subtotal $]]-PROVEEDORES[[#This Row],[Rete Fuente $]]</f>
        <v>3532933.3319999999</v>
      </c>
      <c r="S119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2" spans="1:19" ht="21.95" hidden="1" customHeight="1" x14ac:dyDescent="0.25">
      <c r="A1192" s="144" t="str">
        <f>+IF(PROVEEDORES[[#This Row],[FECHA DE PAGO]]=PROVEEDORES[[#This Row],[FECHA DE FACTURACIÓN]],"DE CONTADO","CRÉDITO")</f>
        <v>CRÉDITO</v>
      </c>
      <c r="B1192" s="70" t="str">
        <f>+IF((PROVEEDORES[[#This Row],[FECHA DE PAGO]]-PROVEEDORES[[#This Row],[FECHA DE FACTURACIÓN]])&gt;PROVEEDORES[[#This Row],[PLAZO Días]],"PAGO VENCIDO")</f>
        <v>PAGO VENCIDO</v>
      </c>
      <c r="C1192" s="27">
        <f>+VLOOKUP(PROVEEDORES[[#This Row],[PROVEEDOR]],TERCEROS_INFO[#All],2,FALSE)</f>
        <v>30</v>
      </c>
      <c r="D1192" s="37">
        <f>+SUMIFS(PROVEEDORES[Total],PROVEEDORES[PROVEEDOR],PROVEEDORES[[#This Row],[PROVEEDOR]],PROVEEDORES[FECHA DE PAGO],"")</f>
        <v>6072997.5925500002</v>
      </c>
      <c r="E1192" s="37"/>
      <c r="F1192" s="108" t="str">
        <f>+VLOOKUP(PROVEEDORES[[#This Row],[PROVEEDOR]],TERCEROS_INFO[[PROVEEDOR]:[CORREO]],5,FALSE)</f>
        <v>angela.navas@hyrdistribuciones.com;girlesa.ruiz@servipilas.com;joriescobar64@gmail.com</v>
      </c>
      <c r="G1192" s="143">
        <v>44488</v>
      </c>
      <c r="H1192" s="38" t="s">
        <v>18</v>
      </c>
      <c r="I1192" s="30">
        <v>44439</v>
      </c>
      <c r="J1192" s="58">
        <v>1042459</v>
      </c>
      <c r="K1192" s="32">
        <v>3346303.2</v>
      </c>
      <c r="L1192" s="32"/>
      <c r="M1192" s="33">
        <f>(PROVEEDORES[[#This Row],[SUBTOTAL]]-PROVEEDORES[[#This Row],[descuento antes de IVA]])*VLOOKUP(PROVEEDORES[[#This Row],[PROVEEDOR]],TERCEROS_INFO[#All],3,FALSE)</f>
        <v>635797.60800000001</v>
      </c>
      <c r="N1192" s="34"/>
      <c r="O1192" s="33">
        <f>+PROVEEDORES[[#This Row],[Descuento sobre subtotal %]]*(PROVEEDORES[[#This Row],[SUBTOTAL]]-PROVEEDORES[[#This Row],[descuento antes de IVA]])</f>
        <v>0</v>
      </c>
      <c r="P11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92" s="33">
        <f>+(PROVEEDORES[[#This Row],[SUBTOTAL]]-PROVEEDORES[[#This Row],[descuento antes de IVA]])*PROVEEDORES[[#This Row],[Rete Fuente %]]</f>
        <v>83657.580000000016</v>
      </c>
      <c r="R1192" s="32">
        <f>+PROVEEDORES[[#This Row],[SUBTOTAL]]+PROVEEDORES[[#This Row],[IVA 19%]]-PROVEEDORES[[#This Row],[descuento antes de IVA]]-PROVEEDORES[[#This Row],[Descuento sobre subtotal $]]-PROVEEDORES[[#This Row],[Rete Fuente $]]</f>
        <v>3898443.2280000001</v>
      </c>
      <c r="S1192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3" spans="1:19" ht="21.95" hidden="1" customHeight="1" x14ac:dyDescent="0.25">
      <c r="A1193" s="148" t="str">
        <f>+IF(PROVEEDORES[[#This Row],[FECHA DE PAGO]]=PROVEEDORES[[#This Row],[FECHA DE FACTURACIÓN]],"DE CONTADO","CRÉDITO")</f>
        <v>CRÉDITO</v>
      </c>
      <c r="B1193" s="70" t="str">
        <f>+IF((PROVEEDORES[[#This Row],[FECHA DE PAGO]]-PROVEEDORES[[#This Row],[FECHA DE FACTURACIÓN]])&gt;PROVEEDORES[[#This Row],[PLAZO Días]],"PAGO VENCIDO")</f>
        <v>PAGO VENCIDO</v>
      </c>
      <c r="C1193" s="27">
        <f>+VLOOKUP(PROVEEDORES[[#This Row],[PROVEEDOR]],TERCEROS_INFO[#All],2,FALSE)</f>
        <v>30</v>
      </c>
      <c r="D1193" s="37">
        <f>+SUMIFS(PROVEEDORES[Total],PROVEEDORES[PROVEEDOR],PROVEEDORES[[#This Row],[PROVEEDOR]],PROVEEDORES[FECHA DE PAGO],"")</f>
        <v>6072997.5925500002</v>
      </c>
      <c r="E1193" s="37"/>
      <c r="F1193" s="108" t="str">
        <f>+VLOOKUP(PROVEEDORES[[#This Row],[PROVEEDOR]],TERCEROS_INFO[[PROVEEDOR]:[CORREO]],5,FALSE)</f>
        <v>angela.navas@hyrdistribuciones.com;girlesa.ruiz@servipilas.com;joriescobar64@gmail.com</v>
      </c>
      <c r="G1193" s="143">
        <v>44488</v>
      </c>
      <c r="H1193" s="38" t="s">
        <v>18</v>
      </c>
      <c r="I1193" s="30">
        <v>44441</v>
      </c>
      <c r="J1193" s="58">
        <v>1042560</v>
      </c>
      <c r="K1193" s="32">
        <v>658286.4</v>
      </c>
      <c r="L1193" s="32"/>
      <c r="M1193" s="33">
        <f>(PROVEEDORES[[#This Row],[SUBTOTAL]]-PROVEEDORES[[#This Row],[descuento antes de IVA]])*VLOOKUP(PROVEEDORES[[#This Row],[PROVEEDOR]],TERCEROS_INFO[#All],3,FALSE)</f>
        <v>125074.41600000001</v>
      </c>
      <c r="N1193" s="34"/>
      <c r="O1193" s="33">
        <f>+PROVEEDORES[[#This Row],[Descuento sobre subtotal %]]*(PROVEEDORES[[#This Row],[SUBTOTAL]]-PROVEEDORES[[#This Row],[descuento antes de IVA]])</f>
        <v>0</v>
      </c>
      <c r="P11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93" s="33">
        <f>+(PROVEEDORES[[#This Row],[SUBTOTAL]]-PROVEEDORES[[#This Row],[descuento antes de IVA]])*PROVEEDORES[[#This Row],[Rete Fuente %]]</f>
        <v>0</v>
      </c>
      <c r="R1193" s="32">
        <f>+PROVEEDORES[[#This Row],[SUBTOTAL]]+PROVEEDORES[[#This Row],[IVA 19%]]-PROVEEDORES[[#This Row],[descuento antes de IVA]]-PROVEEDORES[[#This Row],[Descuento sobre subtotal $]]-PROVEEDORES[[#This Row],[Rete Fuente $]]</f>
        <v>783360.81599999999</v>
      </c>
      <c r="S1193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4" spans="1:19" ht="21.95" hidden="1" customHeight="1" x14ac:dyDescent="0.25">
      <c r="A1194" s="153" t="str">
        <f>+IF(PROVEEDORES[[#This Row],[FECHA DE PAGO]]=PROVEEDORES[[#This Row],[FECHA DE FACTURACIÓN]],"DE CONTADO","CRÉDITO")</f>
        <v>CRÉDITO</v>
      </c>
      <c r="B1194" s="70" t="str">
        <f>+IF((PROVEEDORES[[#This Row],[FECHA DE PAGO]]-PROVEEDORES[[#This Row],[FECHA DE FACTURACIÓN]])&gt;PROVEEDORES[[#This Row],[PLAZO Días]],"PAGO VENCIDO")</f>
        <v>PAGO VENCIDO</v>
      </c>
      <c r="C1194" s="27">
        <f>+VLOOKUP(PROVEEDORES[[#This Row],[PROVEEDOR]],TERCEROS_INFO[#All],2,FALSE)</f>
        <v>30</v>
      </c>
      <c r="D1194" s="37">
        <f>+SUMIFS(PROVEEDORES[Total],PROVEEDORES[PROVEEDOR],PROVEEDORES[[#This Row],[PROVEEDOR]],PROVEEDORES[FECHA DE PAGO],"")</f>
        <v>6072997.5925500002</v>
      </c>
      <c r="E1194" s="37"/>
      <c r="F1194" s="108" t="str">
        <f>+VLOOKUP(PROVEEDORES[[#This Row],[PROVEEDOR]],TERCEROS_INFO[[PROVEEDOR]:[CORREO]],5,FALSE)</f>
        <v>angela.navas@hyrdistribuciones.com;girlesa.ruiz@servipilas.com;joriescobar64@gmail.com</v>
      </c>
      <c r="G1194" s="143">
        <v>44488</v>
      </c>
      <c r="H1194" s="38" t="s">
        <v>18</v>
      </c>
      <c r="I1194" s="30">
        <v>44456</v>
      </c>
      <c r="J1194" s="58">
        <v>1043275</v>
      </c>
      <c r="K1194" s="32">
        <v>526630.07999999996</v>
      </c>
      <c r="L1194" s="32"/>
      <c r="M1194" s="33">
        <f>(PROVEEDORES[[#This Row],[SUBTOTAL]]-PROVEEDORES[[#This Row],[descuento antes de IVA]])*VLOOKUP(PROVEEDORES[[#This Row],[PROVEEDOR]],TERCEROS_INFO[#All],3,FALSE)</f>
        <v>100059.71519999999</v>
      </c>
      <c r="N1194" s="34"/>
      <c r="O1194" s="33">
        <f>+PROVEEDORES[[#This Row],[Descuento sobre subtotal %]]*(PROVEEDORES[[#This Row],[SUBTOTAL]]-PROVEEDORES[[#This Row],[descuento antes de IVA]])</f>
        <v>0</v>
      </c>
      <c r="P11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94" s="33">
        <f>+(PROVEEDORES[[#This Row],[SUBTOTAL]]-PROVEEDORES[[#This Row],[descuento antes de IVA]])*PROVEEDORES[[#This Row],[Rete Fuente %]]</f>
        <v>0</v>
      </c>
      <c r="R1194" s="32">
        <f>+PROVEEDORES[[#This Row],[SUBTOTAL]]+PROVEEDORES[[#This Row],[IVA 19%]]-PROVEEDORES[[#This Row],[descuento antes de IVA]]-PROVEEDORES[[#This Row],[Descuento sobre subtotal $]]-PROVEEDORES[[#This Row],[Rete Fuente $]]</f>
        <v>626689.79519999993</v>
      </c>
      <c r="S1194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5" spans="1:19" ht="21.95" hidden="1" customHeight="1" x14ac:dyDescent="0.25">
      <c r="A1195" s="161" t="str">
        <f>+IF(PROVEEDORES[[#This Row],[FECHA DE PAGO]]=PROVEEDORES[[#This Row],[FECHA DE FACTURACIÓN]],"DE CONTADO","CRÉDITO")</f>
        <v>CRÉDITO</v>
      </c>
      <c r="B1195" s="70" t="str">
        <f>+IF((PROVEEDORES[[#This Row],[FECHA DE PAGO]]-PROVEEDORES[[#This Row],[FECHA DE FACTURACIÓN]])&gt;PROVEEDORES[[#This Row],[PLAZO Días]],"PAGO VENCIDO")</f>
        <v>PAGO VENCIDO</v>
      </c>
      <c r="C1195" s="27">
        <f>+VLOOKUP(PROVEEDORES[[#This Row],[PROVEEDOR]],TERCEROS_INFO[#All],2,FALSE)</f>
        <v>30</v>
      </c>
      <c r="D1195" s="37">
        <f>+SUMIFS(PROVEEDORES[Total],PROVEEDORES[PROVEEDOR],PROVEEDORES[[#This Row],[PROVEEDOR]],PROVEEDORES[FECHA DE PAGO],"")</f>
        <v>6072997.5925500002</v>
      </c>
      <c r="E1195" s="37"/>
      <c r="F1195" s="108" t="str">
        <f>+VLOOKUP(PROVEEDORES[[#This Row],[PROVEEDOR]],TERCEROS_INFO[[PROVEEDOR]:[CORREO]],5,FALSE)</f>
        <v>angela.navas@hyrdistribuciones.com;girlesa.ruiz@servipilas.com;joriescobar64@gmail.com</v>
      </c>
      <c r="G1195" s="143">
        <v>44517</v>
      </c>
      <c r="H1195" s="38" t="s">
        <v>18</v>
      </c>
      <c r="I1195" s="30">
        <v>44462</v>
      </c>
      <c r="J1195" s="58" t="s">
        <v>954</v>
      </c>
      <c r="K1195" s="32">
        <v>-60000</v>
      </c>
      <c r="L1195" s="32"/>
      <c r="M1195" s="33">
        <v>0</v>
      </c>
      <c r="N1195" s="34"/>
      <c r="O1195" s="33">
        <f>+PROVEEDORES[[#This Row],[Descuento sobre subtotal %]]*(PROVEEDORES[[#This Row],[SUBTOTAL]]-PROVEEDORES[[#This Row],[descuento antes de IVA]])</f>
        <v>0</v>
      </c>
      <c r="P11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195" s="33">
        <f>+(PROVEEDORES[[#This Row],[SUBTOTAL]]-PROVEEDORES[[#This Row],[descuento antes de IVA]])*PROVEEDORES[[#This Row],[Rete Fuente %]]</f>
        <v>0</v>
      </c>
      <c r="R1195" s="32">
        <f>+PROVEEDORES[[#This Row],[SUBTOTAL]]+PROVEEDORES[[#This Row],[IVA 19%]]-PROVEEDORES[[#This Row],[descuento antes de IVA]]-PROVEEDORES[[#This Row],[Descuento sobre subtotal $]]-PROVEEDORES[[#This Row],[Rete Fuente $]]</f>
        <v>-60000</v>
      </c>
      <c r="S1195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6" spans="1:19" ht="21.95" hidden="1" customHeight="1" x14ac:dyDescent="0.25">
      <c r="A1196" s="154" t="str">
        <f>+IF(PROVEEDORES[[#This Row],[FECHA DE PAGO]]=PROVEEDORES[[#This Row],[FECHA DE FACTURACIÓN]],"DE CONTADO","CRÉDITO")</f>
        <v>CRÉDITO</v>
      </c>
      <c r="B1196" s="70" t="str">
        <f>+IF((PROVEEDORES[[#This Row],[FECHA DE PAGO]]-PROVEEDORES[[#This Row],[FECHA DE FACTURACIÓN]])&gt;PROVEEDORES[[#This Row],[PLAZO Días]],"PAGO VENCIDO")</f>
        <v>PAGO VENCIDO</v>
      </c>
      <c r="C1196" s="27">
        <f>+VLOOKUP(PROVEEDORES[[#This Row],[PROVEEDOR]],TERCEROS_INFO[#All],2,FALSE)</f>
        <v>30</v>
      </c>
      <c r="D1196" s="37">
        <f>+SUMIFS(PROVEEDORES[Total],PROVEEDORES[PROVEEDOR],PROVEEDORES[[#This Row],[PROVEEDOR]],PROVEEDORES[FECHA DE PAGO],"")</f>
        <v>6072997.5925500002</v>
      </c>
      <c r="E1196" s="37"/>
      <c r="F1196" s="108" t="str">
        <f>+VLOOKUP(PROVEEDORES[[#This Row],[PROVEEDOR]],TERCEROS_INFO[[PROVEEDOR]:[CORREO]],5,FALSE)</f>
        <v>angela.navas@hyrdistribuciones.com;girlesa.ruiz@servipilas.com;joriescobar64@gmail.com</v>
      </c>
      <c r="G1196" s="143">
        <v>44517</v>
      </c>
      <c r="H1196" s="38" t="s">
        <v>18</v>
      </c>
      <c r="I1196" s="30">
        <v>44467</v>
      </c>
      <c r="J1196" s="58">
        <v>1043661</v>
      </c>
      <c r="K1196" s="32">
        <v>1593286.4</v>
      </c>
      <c r="L1196" s="32"/>
      <c r="M1196" s="33">
        <f>(PROVEEDORES[[#This Row],[SUBTOTAL]]-PROVEEDORES[[#This Row],[descuento antes de IVA]])*VLOOKUP(PROVEEDORES[[#This Row],[PROVEEDOR]],TERCEROS_INFO[#All],3,FALSE)</f>
        <v>302724.41599999997</v>
      </c>
      <c r="N1196" s="34"/>
      <c r="O1196" s="33">
        <f>+PROVEEDORES[[#This Row],[Descuento sobre subtotal %]]*(PROVEEDORES[[#This Row],[SUBTOTAL]]-PROVEEDORES[[#This Row],[descuento antes de IVA]])</f>
        <v>0</v>
      </c>
      <c r="P11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96" s="33">
        <f>+(PROVEEDORES[[#This Row],[SUBTOTAL]]-PROVEEDORES[[#This Row],[descuento antes de IVA]])*PROVEEDORES[[#This Row],[Rete Fuente %]]</f>
        <v>39832.160000000003</v>
      </c>
      <c r="R1196" s="32">
        <f>+PROVEEDORES[[#This Row],[SUBTOTAL]]+PROVEEDORES[[#This Row],[IVA 19%]]-PROVEEDORES[[#This Row],[descuento antes de IVA]]-PROVEEDORES[[#This Row],[Descuento sobre subtotal $]]-PROVEEDORES[[#This Row],[Rete Fuente $]]</f>
        <v>1856178.656</v>
      </c>
      <c r="S1196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7" spans="1:19" ht="21.95" hidden="1" customHeight="1" x14ac:dyDescent="0.25">
      <c r="A1197" s="157" t="str">
        <f>+IF(PROVEEDORES[[#This Row],[FECHA DE PAGO]]=PROVEEDORES[[#This Row],[FECHA DE FACTURACIÓN]],"DE CONTADO","CRÉDITO")</f>
        <v>CRÉDITO</v>
      </c>
      <c r="B1197" s="70" t="str">
        <f>+IF((PROVEEDORES[[#This Row],[FECHA DE PAGO]]-PROVEEDORES[[#This Row],[FECHA DE FACTURACIÓN]])&gt;PROVEEDORES[[#This Row],[PLAZO Días]],"PAGO VENCIDO")</f>
        <v>PAGO VENCIDO</v>
      </c>
      <c r="C1197" s="27">
        <f>+VLOOKUP(PROVEEDORES[[#This Row],[PROVEEDOR]],TERCEROS_INFO[#All],2,FALSE)</f>
        <v>30</v>
      </c>
      <c r="D1197" s="37">
        <f>+SUMIFS(PROVEEDORES[Total],PROVEEDORES[PROVEEDOR],PROVEEDORES[[#This Row],[PROVEEDOR]],PROVEEDORES[FECHA DE PAGO],"")</f>
        <v>6072997.5925500002</v>
      </c>
      <c r="E1197" s="37"/>
      <c r="F1197" s="108" t="str">
        <f>+VLOOKUP(PROVEEDORES[[#This Row],[PROVEEDOR]],TERCEROS_INFO[[PROVEEDOR]:[CORREO]],5,FALSE)</f>
        <v>angela.navas@hyrdistribuciones.com;girlesa.ruiz@servipilas.com;joriescobar64@gmail.com</v>
      </c>
      <c r="G1197" s="143">
        <v>44523</v>
      </c>
      <c r="H1197" s="38" t="s">
        <v>18</v>
      </c>
      <c r="I1197" s="30">
        <v>44484</v>
      </c>
      <c r="J1197" s="58">
        <v>1044547</v>
      </c>
      <c r="K1197" s="32">
        <v>4632580.5599999996</v>
      </c>
      <c r="L1197" s="32"/>
      <c r="M1197" s="33">
        <f>(PROVEEDORES[[#This Row],[SUBTOTAL]]-PROVEEDORES[[#This Row],[descuento antes de IVA]])*VLOOKUP(PROVEEDORES[[#This Row],[PROVEEDOR]],TERCEROS_INFO[#All],3,FALSE)</f>
        <v>880190.30639999988</v>
      </c>
      <c r="N1197" s="34"/>
      <c r="O1197" s="33">
        <f>+PROVEEDORES[[#This Row],[Descuento sobre subtotal %]]*(PROVEEDORES[[#This Row],[SUBTOTAL]]-PROVEEDORES[[#This Row],[descuento antes de IVA]])</f>
        <v>0</v>
      </c>
      <c r="P11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97" s="33">
        <f>+(PROVEEDORES[[#This Row],[SUBTOTAL]]-PROVEEDORES[[#This Row],[descuento antes de IVA]])*PROVEEDORES[[#This Row],[Rete Fuente %]]</f>
        <v>115814.514</v>
      </c>
      <c r="R1197" s="32">
        <f>+PROVEEDORES[[#This Row],[SUBTOTAL]]+PROVEEDORES[[#This Row],[IVA 19%]]-PROVEEDORES[[#This Row],[descuento antes de IVA]]-PROVEEDORES[[#This Row],[Descuento sobre subtotal $]]-PROVEEDORES[[#This Row],[Rete Fuente $]]</f>
        <v>5396956.3523999993</v>
      </c>
      <c r="S1197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8" spans="1:19" ht="21.95" hidden="1" customHeight="1" x14ac:dyDescent="0.25">
      <c r="A1198" s="161" t="str">
        <f>+IF(PROVEEDORES[[#This Row],[FECHA DE PAGO]]=PROVEEDORES[[#This Row],[FECHA DE FACTURACIÓN]],"DE CONTADO","CRÉDITO")</f>
        <v>CRÉDITO</v>
      </c>
      <c r="B1198" s="70" t="str">
        <f>+IF((PROVEEDORES[[#This Row],[FECHA DE PAGO]]-PROVEEDORES[[#This Row],[FECHA DE FACTURACIÓN]])&gt;PROVEEDORES[[#This Row],[PLAZO Días]],"PAGO VENCIDO")</f>
        <v>PAGO VENCIDO</v>
      </c>
      <c r="C1198" s="27">
        <f>+VLOOKUP(PROVEEDORES[[#This Row],[PROVEEDOR]],TERCEROS_INFO[#All],2,FALSE)</f>
        <v>30</v>
      </c>
      <c r="D1198" s="37">
        <f>+SUMIFS(PROVEEDORES[Total],PROVEEDORES[PROVEEDOR],PROVEEDORES[[#This Row],[PROVEEDOR]],PROVEEDORES[FECHA DE PAGO],"")</f>
        <v>6072997.5925500002</v>
      </c>
      <c r="E1198" s="37"/>
      <c r="F1198" s="108" t="str">
        <f>+VLOOKUP(PROVEEDORES[[#This Row],[PROVEEDOR]],TERCEROS_INFO[[PROVEEDOR]:[CORREO]],5,FALSE)</f>
        <v>angela.navas@hyrdistribuciones.com;girlesa.ruiz@servipilas.com;joriescobar64@gmail.com</v>
      </c>
      <c r="G1198" s="143">
        <v>44543</v>
      </c>
      <c r="H1198" s="38" t="s">
        <v>18</v>
      </c>
      <c r="I1198" s="30">
        <v>44497</v>
      </c>
      <c r="J1198" s="58">
        <v>1045170</v>
      </c>
      <c r="K1198" s="32">
        <v>4549510.08</v>
      </c>
      <c r="L1198" s="32"/>
      <c r="M1198" s="33">
        <f>(PROVEEDORES[[#This Row],[SUBTOTAL]]-PROVEEDORES[[#This Row],[descuento antes de IVA]])*VLOOKUP(PROVEEDORES[[#This Row],[PROVEEDOR]],TERCEROS_INFO[#All],3,FALSE)</f>
        <v>864406.91520000005</v>
      </c>
      <c r="N1198" s="34"/>
      <c r="O1198" s="33">
        <f>+PROVEEDORES[[#This Row],[Descuento sobre subtotal %]]*(PROVEEDORES[[#This Row],[SUBTOTAL]]-PROVEEDORES[[#This Row],[descuento antes de IVA]])</f>
        <v>0</v>
      </c>
      <c r="P11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98" s="33">
        <f>+(PROVEEDORES[[#This Row],[SUBTOTAL]]-PROVEEDORES[[#This Row],[descuento antes de IVA]])*PROVEEDORES[[#This Row],[Rete Fuente %]]</f>
        <v>113737.75200000001</v>
      </c>
      <c r="R1198" s="32">
        <f>+PROVEEDORES[[#This Row],[SUBTOTAL]]+PROVEEDORES[[#This Row],[IVA 19%]]-PROVEEDORES[[#This Row],[descuento antes de IVA]]-PROVEEDORES[[#This Row],[Descuento sobre subtotal $]]-PROVEEDORES[[#This Row],[Rete Fuente $]]</f>
        <v>5300179.2431999994</v>
      </c>
      <c r="S1198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9" spans="1:19" ht="21.95" hidden="1" customHeight="1" x14ac:dyDescent="0.25">
      <c r="A1199" s="165" t="str">
        <f>+IF(PROVEEDORES[[#This Row],[FECHA DE PAGO]]=PROVEEDORES[[#This Row],[FECHA DE FACTURACIÓN]],"DE CONTADO","CRÉDITO")</f>
        <v>CRÉDITO</v>
      </c>
      <c r="B1199" s="70" t="str">
        <f>+IF((PROVEEDORES[[#This Row],[FECHA DE PAGO]]-PROVEEDORES[[#This Row],[FECHA DE FACTURACIÓN]])&gt;PROVEEDORES[[#This Row],[PLAZO Días]],"PAGO VENCIDO")</f>
        <v>PAGO VENCIDO</v>
      </c>
      <c r="C1199" s="27">
        <f>+VLOOKUP(PROVEEDORES[[#This Row],[PROVEEDOR]],TERCEROS_INFO[#All],2,FALSE)</f>
        <v>30</v>
      </c>
      <c r="D1199" s="37">
        <f>+SUMIFS(PROVEEDORES[Total],PROVEEDORES[PROVEEDOR],PROVEEDORES[[#This Row],[PROVEEDOR]],PROVEEDORES[FECHA DE PAGO],"")</f>
        <v>6072997.5925500002</v>
      </c>
      <c r="E1199" s="37"/>
      <c r="F1199" s="108" t="str">
        <f>+VLOOKUP(PROVEEDORES[[#This Row],[PROVEEDOR]],TERCEROS_INFO[[PROVEEDOR]:[CORREO]],5,FALSE)</f>
        <v>angela.navas@hyrdistribuciones.com;girlesa.ruiz@servipilas.com;joriescobar64@gmail.com</v>
      </c>
      <c r="G1199" s="143">
        <v>44552</v>
      </c>
      <c r="H1199" s="38" t="s">
        <v>18</v>
      </c>
      <c r="I1199" s="30">
        <v>44519</v>
      </c>
      <c r="J1199" s="58">
        <v>1046143</v>
      </c>
      <c r="K1199" s="32">
        <v>2166866.4</v>
      </c>
      <c r="L1199" s="32"/>
      <c r="M1199" s="33">
        <f>(PROVEEDORES[[#This Row],[SUBTOTAL]]-PROVEEDORES[[#This Row],[descuento antes de IVA]])*VLOOKUP(PROVEEDORES[[#This Row],[PROVEEDOR]],TERCEROS_INFO[#All],3,FALSE)</f>
        <v>411704.61599999998</v>
      </c>
      <c r="N1199" s="34"/>
      <c r="O1199" s="33">
        <f>+PROVEEDORES[[#This Row],[Descuento sobre subtotal %]]*(PROVEEDORES[[#This Row],[SUBTOTAL]]-PROVEEDORES[[#This Row],[descuento antes de IVA]])</f>
        <v>0</v>
      </c>
      <c r="P11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199" s="33">
        <f>+(PROVEEDORES[[#This Row],[SUBTOTAL]]-PROVEEDORES[[#This Row],[descuento antes de IVA]])*PROVEEDORES[[#This Row],[Rete Fuente %]]</f>
        <v>54171.66</v>
      </c>
      <c r="R1199" s="32">
        <f>+PROVEEDORES[[#This Row],[SUBTOTAL]]+PROVEEDORES[[#This Row],[IVA 19%]]-PROVEEDORES[[#This Row],[descuento antes de IVA]]-PROVEEDORES[[#This Row],[Descuento sobre subtotal $]]-PROVEEDORES[[#This Row],[Rete Fuente $]]</f>
        <v>2524399.3559999997</v>
      </c>
      <c r="S1199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0" spans="1:19" ht="21.95" hidden="1" customHeight="1" x14ac:dyDescent="0.25">
      <c r="A1200" s="167" t="str">
        <f>+IF(PROVEEDORES[[#This Row],[FECHA DE PAGO]]=PROVEEDORES[[#This Row],[FECHA DE FACTURACIÓN]],"DE CONTADO","CRÉDITO")</f>
        <v>CRÉDITO</v>
      </c>
      <c r="B1200" s="70" t="b">
        <f>+IF((PROVEEDORES[[#This Row],[FECHA DE PAGO]]-PROVEEDORES[[#This Row],[FECHA DE FACTURACIÓN]])&gt;PROVEEDORES[[#This Row],[PLAZO Días]],"PAGO VENCIDO")</f>
        <v>0</v>
      </c>
      <c r="C1200" s="27">
        <f>+VLOOKUP(PROVEEDORES[[#This Row],[PROVEEDOR]],TERCEROS_INFO[#All],2,FALSE)</f>
        <v>30</v>
      </c>
      <c r="D1200" s="37">
        <f>+SUMIFS(PROVEEDORES[Total],PROVEEDORES[PROVEEDOR],PROVEEDORES[[#This Row],[PROVEEDOR]],PROVEEDORES[FECHA DE PAGO],"")</f>
        <v>6072997.5925500002</v>
      </c>
      <c r="E1200" s="37"/>
      <c r="F1200" s="108" t="str">
        <f>+VLOOKUP(PROVEEDORES[[#This Row],[PROVEEDOR]],TERCEROS_INFO[[PROVEEDOR]:[CORREO]],5,FALSE)</f>
        <v>angela.navas@hyrdistribuciones.com;girlesa.ruiz@servipilas.com;joriescobar64@gmail.com</v>
      </c>
      <c r="G1200" s="143">
        <v>44558</v>
      </c>
      <c r="H1200" s="38" t="s">
        <v>18</v>
      </c>
      <c r="I1200" s="30">
        <v>44529</v>
      </c>
      <c r="J1200" s="58">
        <v>1046554</v>
      </c>
      <c r="K1200" s="32">
        <v>1627880</v>
      </c>
      <c r="L1200" s="32"/>
      <c r="M1200" s="33">
        <f>(PROVEEDORES[[#This Row],[SUBTOTAL]]-PROVEEDORES[[#This Row],[descuento antes de IVA]])*VLOOKUP(PROVEEDORES[[#This Row],[PROVEEDOR]],TERCEROS_INFO[#All],3,FALSE)</f>
        <v>309297.2</v>
      </c>
      <c r="N1200" s="34"/>
      <c r="O1200" s="33">
        <f>+PROVEEDORES[[#This Row],[Descuento sobre subtotal %]]*(PROVEEDORES[[#This Row],[SUBTOTAL]]-PROVEEDORES[[#This Row],[descuento antes de IVA]])</f>
        <v>0</v>
      </c>
      <c r="P12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200" s="33">
        <f>+(PROVEEDORES[[#This Row],[SUBTOTAL]]-PROVEEDORES[[#This Row],[descuento antes de IVA]])*PROVEEDORES[[#This Row],[Rete Fuente %]]</f>
        <v>40697</v>
      </c>
      <c r="R1200" s="32">
        <f>+PROVEEDORES[[#This Row],[SUBTOTAL]]+PROVEEDORES[[#This Row],[IVA 19%]]-PROVEEDORES[[#This Row],[descuento antes de IVA]]-PROVEEDORES[[#This Row],[Descuento sobre subtotal $]]-PROVEEDORES[[#This Row],[Rete Fuente $]]</f>
        <v>1896480.2</v>
      </c>
      <c r="S1200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1" spans="1:19" ht="21.95" hidden="1" customHeight="1" x14ac:dyDescent="0.25">
      <c r="A1201" s="35" t="str">
        <f>+IF(PROVEEDORES[[#This Row],[FECHA DE PAGO]]=PROVEEDORES[[#This Row],[FECHA DE FACTURACIÓN]],"DE CONTADO","CRÉDITO")</f>
        <v>CRÉDITO</v>
      </c>
      <c r="B1201" s="70" t="b">
        <f>+IF((PROVEEDORES[[#This Row],[FECHA DE PAGO]]-PROVEEDORES[[#This Row],[FECHA DE FACTURACIÓN]])&gt;PROVEEDORES[[#This Row],[PLAZO Días]],"PAGO VENCIDO")</f>
        <v>0</v>
      </c>
      <c r="C1201" s="27">
        <f>+VLOOKUP(PROVEEDORES[[#This Row],[PROVEEDOR]],TERCEROS_INFO[#All],2,FALSE)</f>
        <v>30</v>
      </c>
      <c r="D1201" s="37">
        <f>+SUMIFS(PROVEEDORES[Total],PROVEEDORES[PROVEEDOR],PROVEEDORES[[#This Row],[PROVEEDOR]],PROVEEDORES[FECHA DE PAGO],"")</f>
        <v>6072997.5925500002</v>
      </c>
      <c r="E1201" s="37"/>
      <c r="F1201" s="108" t="str">
        <f>+VLOOKUP(PROVEEDORES[[#This Row],[PROVEEDOR]],TERCEROS_INFO[[PROVEEDOR]:[CORREO]],5,FALSE)</f>
        <v>angela.navas@hyrdistribuciones.com;girlesa.ruiz@servipilas.com;joriescobar64@gmail.com</v>
      </c>
      <c r="G1201" s="143">
        <v>44558</v>
      </c>
      <c r="H1201" s="38" t="s">
        <v>18</v>
      </c>
      <c r="I1201" s="30">
        <v>44532</v>
      </c>
      <c r="J1201" s="58">
        <v>1046801</v>
      </c>
      <c r="K1201" s="32">
        <v>4441621.4400000004</v>
      </c>
      <c r="L1201" s="32"/>
      <c r="M1201" s="33">
        <f>(PROVEEDORES[[#This Row],[SUBTOTAL]]-PROVEEDORES[[#This Row],[descuento antes de IVA]])*VLOOKUP(PROVEEDORES[[#This Row],[PROVEEDOR]],TERCEROS_INFO[#All],3,FALSE)</f>
        <v>843908.07360000012</v>
      </c>
      <c r="N1201" s="34"/>
      <c r="O1201" s="33">
        <f>+PROVEEDORES[[#This Row],[Descuento sobre subtotal %]]*(PROVEEDORES[[#This Row],[SUBTOTAL]]-PROVEEDORES[[#This Row],[descuento antes de IVA]])</f>
        <v>0</v>
      </c>
      <c r="P12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201" s="33">
        <f>+(PROVEEDORES[[#This Row],[SUBTOTAL]]-PROVEEDORES[[#This Row],[descuento antes de IVA]])*PROVEEDORES[[#This Row],[Rete Fuente %]]</f>
        <v>111040.53600000002</v>
      </c>
      <c r="R1201" s="32">
        <f>+PROVEEDORES[[#This Row],[SUBTOTAL]]+PROVEEDORES[[#This Row],[IVA 19%]]-PROVEEDORES[[#This Row],[descuento antes de IVA]]-PROVEEDORES[[#This Row],[Descuento sobre subtotal $]]-PROVEEDORES[[#This Row],[Rete Fuente $]]</f>
        <v>5174488.9775999999</v>
      </c>
      <c r="S120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2" spans="1:19" ht="21.95" hidden="1" customHeight="1" x14ac:dyDescent="0.25">
      <c r="A1202" s="35" t="str">
        <f>+IF(PROVEEDORES[[#This Row],[FECHA DE PAGO]]=PROVEEDORES[[#This Row],[FECHA DE FACTURACIÓN]],"DE CONTADO","CRÉDITO")</f>
        <v>CRÉDITO</v>
      </c>
      <c r="B1202" s="70" t="b">
        <f>+IF((PROVEEDORES[[#This Row],[FECHA DE PAGO]]-PROVEEDORES[[#This Row],[FECHA DE FACTURACIÓN]])&gt;PROVEEDORES[[#This Row],[PLAZO Días]],"PAGO VENCIDO")</f>
        <v>0</v>
      </c>
      <c r="C1202" s="27">
        <f>+VLOOKUP(PROVEEDORES[[#This Row],[PROVEEDOR]],TERCEROS_INFO[#All],2,FALSE)</f>
        <v>30</v>
      </c>
      <c r="D1202" s="37">
        <f>+SUMIFS(PROVEEDORES[Total],PROVEEDORES[PROVEEDOR],PROVEEDORES[[#This Row],[PROVEEDOR]],PROVEEDORES[FECHA DE PAGO],"")</f>
        <v>6072997.5925500002</v>
      </c>
      <c r="E1202" s="37"/>
      <c r="F1202" s="108" t="str">
        <f>+VLOOKUP(PROVEEDORES[[#This Row],[PROVEEDOR]],TERCEROS_INFO[[PROVEEDOR]:[CORREO]],5,FALSE)</f>
        <v>angela.navas@hyrdistribuciones.com;girlesa.ruiz@servipilas.com;joriescobar64@gmail.com</v>
      </c>
      <c r="G1202" s="143">
        <v>44558</v>
      </c>
      <c r="H1202" s="38" t="s">
        <v>18</v>
      </c>
      <c r="I1202" s="30">
        <v>44532</v>
      </c>
      <c r="J1202" s="58">
        <v>1046843</v>
      </c>
      <c r="K1202" s="32">
        <v>164571.6</v>
      </c>
      <c r="L1202" s="32"/>
      <c r="M1202" s="33">
        <f>(PROVEEDORES[[#This Row],[SUBTOTAL]]-PROVEEDORES[[#This Row],[descuento antes de IVA]])*VLOOKUP(PROVEEDORES[[#This Row],[PROVEEDOR]],TERCEROS_INFO[#All],3,FALSE)</f>
        <v>31268.604000000003</v>
      </c>
      <c r="N1202" s="34"/>
      <c r="O1202" s="33">
        <f>+PROVEEDORES[[#This Row],[Descuento sobre subtotal %]]*(PROVEEDORES[[#This Row],[SUBTOTAL]]-PROVEEDORES[[#This Row],[descuento antes de IVA]])</f>
        <v>0</v>
      </c>
      <c r="P12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02" s="33">
        <f>+(PROVEEDORES[[#This Row],[SUBTOTAL]]-PROVEEDORES[[#This Row],[descuento antes de IVA]])*PROVEEDORES[[#This Row],[Rete Fuente %]]</f>
        <v>0</v>
      </c>
      <c r="R1202" s="32">
        <f>+PROVEEDORES[[#This Row],[SUBTOTAL]]+PROVEEDORES[[#This Row],[IVA 19%]]-PROVEEDORES[[#This Row],[descuento antes de IVA]]-PROVEEDORES[[#This Row],[Descuento sobre subtotal $]]-PROVEEDORES[[#This Row],[Rete Fuente $]]</f>
        <v>195840.204</v>
      </c>
      <c r="S120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3" spans="1:19" ht="21.95" hidden="1" customHeight="1" x14ac:dyDescent="0.25">
      <c r="A1203" s="35" t="str">
        <f>+IF(PROVEEDORES[[#This Row],[FECHA DE PAGO]]=PROVEEDORES[[#This Row],[FECHA DE FACTURACIÓN]],"DE CONTADO","CRÉDITO")</f>
        <v>CRÉDITO</v>
      </c>
      <c r="B1203" s="70" t="b">
        <f>+IF((PROVEEDORES[[#This Row],[FECHA DE PAGO]]-PROVEEDORES[[#This Row],[FECHA DE FACTURACIÓN]])&gt;PROVEEDORES[[#This Row],[PLAZO Días]],"PAGO VENCIDO")</f>
        <v>0</v>
      </c>
      <c r="C1203" s="27">
        <f>+VLOOKUP(PROVEEDORES[[#This Row],[PROVEEDOR]],TERCEROS_INFO[#All],2,FALSE)</f>
        <v>30</v>
      </c>
      <c r="D1203" s="37">
        <f>+SUMIFS(PROVEEDORES[Total],PROVEEDORES[PROVEEDOR],PROVEEDORES[[#This Row],[PROVEEDOR]],PROVEEDORES[FECHA DE PAGO],"")</f>
        <v>6072997.5925500002</v>
      </c>
      <c r="E1203" s="37"/>
      <c r="F1203" s="108" t="str">
        <f>+VLOOKUP(PROVEEDORES[[#This Row],[PROVEEDOR]],TERCEROS_INFO[[PROVEEDOR]:[CORREO]],5,FALSE)</f>
        <v>angela.navas@hyrdistribuciones.com;girlesa.ruiz@servipilas.com;joriescobar64@gmail.com</v>
      </c>
      <c r="G1203" s="143">
        <v>44558</v>
      </c>
      <c r="H1203" s="38" t="s">
        <v>18</v>
      </c>
      <c r="I1203" s="30">
        <v>44532</v>
      </c>
      <c r="J1203" s="58">
        <v>1046842</v>
      </c>
      <c r="K1203" s="32">
        <v>850000</v>
      </c>
      <c r="L1203" s="32"/>
      <c r="M1203" s="33">
        <f>(PROVEEDORES[[#This Row],[SUBTOTAL]]-PROVEEDORES[[#This Row],[descuento antes de IVA]])*VLOOKUP(PROVEEDORES[[#This Row],[PROVEEDOR]],TERCEROS_INFO[#All],3,FALSE)</f>
        <v>161500</v>
      </c>
      <c r="N1203" s="34"/>
      <c r="O1203" s="33">
        <f>+PROVEEDORES[[#This Row],[Descuento sobre subtotal %]]*(PROVEEDORES[[#This Row],[SUBTOTAL]]-PROVEEDORES[[#This Row],[descuento antes de IVA]])</f>
        <v>0</v>
      </c>
      <c r="P12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03" s="33">
        <f>+(PROVEEDORES[[#This Row],[SUBTOTAL]]-PROVEEDORES[[#This Row],[descuento antes de IVA]])*PROVEEDORES[[#This Row],[Rete Fuente %]]</f>
        <v>0</v>
      </c>
      <c r="R1203" s="32">
        <f>+PROVEEDORES[[#This Row],[SUBTOTAL]]+PROVEEDORES[[#This Row],[IVA 19%]]-PROVEEDORES[[#This Row],[descuento antes de IVA]]-PROVEEDORES[[#This Row],[Descuento sobre subtotal $]]-PROVEEDORES[[#This Row],[Rete Fuente $]]</f>
        <v>1011500</v>
      </c>
      <c r="S120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4" spans="1:19" ht="21.95" hidden="1" customHeight="1" x14ac:dyDescent="0.25">
      <c r="A1204" s="35" t="str">
        <f>+IF(PROVEEDORES[[#This Row],[FECHA DE PAGO]]=PROVEEDORES[[#This Row],[FECHA DE FACTURACIÓN]],"DE CONTADO","CRÉDITO")</f>
        <v>CRÉDITO</v>
      </c>
      <c r="B1204" s="70" t="b">
        <f>+IF((PROVEEDORES[[#This Row],[FECHA DE PAGO]]-PROVEEDORES[[#This Row],[FECHA DE FACTURACIÓN]])&gt;PROVEEDORES[[#This Row],[PLAZO Días]],"PAGO VENCIDO")</f>
        <v>0</v>
      </c>
      <c r="C1204" s="27">
        <f>+VLOOKUP(PROVEEDORES[[#This Row],[PROVEEDOR]],TERCEROS_INFO[#All],2,FALSE)</f>
        <v>30</v>
      </c>
      <c r="D1204" s="37">
        <f>+SUMIFS(PROVEEDORES[Total],PROVEEDORES[PROVEEDOR],PROVEEDORES[[#This Row],[PROVEEDOR]],PROVEEDORES[FECHA DE PAGO],"")</f>
        <v>6072997.5925500002</v>
      </c>
      <c r="E1204" s="37"/>
      <c r="F1204" s="108" t="str">
        <f>+VLOOKUP(PROVEEDORES[[#This Row],[PROVEEDOR]],TERCEROS_INFO[[PROVEEDOR]:[CORREO]],5,FALSE)</f>
        <v>angela.navas@hyrdistribuciones.com;girlesa.ruiz@servipilas.com;joriescobar64@gmail.com</v>
      </c>
      <c r="H1204" s="38" t="s">
        <v>18</v>
      </c>
      <c r="I1204" s="30">
        <v>44540</v>
      </c>
      <c r="J1204" s="58">
        <v>1047095</v>
      </c>
      <c r="K1204" s="32">
        <v>5212873.47</v>
      </c>
      <c r="L1204" s="32"/>
      <c r="M1204" s="33">
        <f>(PROVEEDORES[[#This Row],[SUBTOTAL]]-PROVEEDORES[[#This Row],[descuento antes de IVA]])*VLOOKUP(PROVEEDORES[[#This Row],[PROVEEDOR]],TERCEROS_INFO[#All],3,FALSE)</f>
        <v>990445.95929999999</v>
      </c>
      <c r="N1204" s="34"/>
      <c r="O1204" s="33">
        <f>+PROVEEDORES[[#This Row],[Descuento sobre subtotal %]]*(PROVEEDORES[[#This Row],[SUBTOTAL]]-PROVEEDORES[[#This Row],[descuento antes de IVA]])</f>
        <v>0</v>
      </c>
      <c r="P12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204" s="33">
        <f>+(PROVEEDORES[[#This Row],[SUBTOTAL]]-PROVEEDORES[[#This Row],[descuento antes de IVA]])*PROVEEDORES[[#This Row],[Rete Fuente %]]</f>
        <v>130321.83675</v>
      </c>
      <c r="R1204" s="32">
        <f>+PROVEEDORES[[#This Row],[SUBTOTAL]]+PROVEEDORES[[#This Row],[IVA 19%]]-PROVEEDORES[[#This Row],[descuento antes de IVA]]-PROVEEDORES[[#This Row],[Descuento sobre subtotal $]]-PROVEEDORES[[#This Row],[Rete Fuente $]]</f>
        <v>6072997.5925500002</v>
      </c>
      <c r="S1204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05" spans="1:19" ht="21.95" hidden="1" customHeight="1" x14ac:dyDescent="0.25">
      <c r="A1205" s="39" t="str">
        <f>+IF(PROVEEDORES[[#This Row],[FECHA DE PAGO]]=PROVEEDORES[[#This Row],[FECHA DE FACTURACIÓN]],"DE CONTADO","CRÉDITO")</f>
        <v>CRÉDITO</v>
      </c>
      <c r="B1205" s="67" t="str">
        <f>+IF((PROVEEDORES[[#This Row],[FECHA DE PAGO]]-PROVEEDORES[[#This Row],[FECHA DE FACTURACIÓN]])&gt;PROVEEDORES[[#This Row],[PLAZO Días]],"PAGO VENCIDO")</f>
        <v>PAGO VENCIDO</v>
      </c>
      <c r="C1205" s="27">
        <f>+VLOOKUP(PROVEEDORES[[#This Row],[PROVEEDOR]],TERCEROS_INFO[#All],2,FALSE)</f>
        <v>30</v>
      </c>
      <c r="D1205" s="37">
        <f>+SUMIFS(PROVEEDORES[Total],PROVEEDORES[PROVEEDOR],PROVEEDORES[[#This Row],[PROVEEDOR]],PROVEEDORES[FECHA DE PAGO],"")</f>
        <v>-12184.82</v>
      </c>
      <c r="E1205" s="37" t="s">
        <v>81</v>
      </c>
      <c r="F1205" s="108" t="str">
        <f>+VLOOKUP(PROVEEDORES[[#This Row],[PROVEEDOR]],TERCEROS_INFO[[PROVEEDOR]:[CORREO]],5,FALSE)</f>
        <v>cartera@jeway.com.co;girlesa.ruiz@servipilas.com;joriescobar64@gmail.com</v>
      </c>
      <c r="G1205" s="143">
        <v>44007</v>
      </c>
      <c r="H1205" s="38" t="s">
        <v>36</v>
      </c>
      <c r="I1205" s="30">
        <v>43871</v>
      </c>
      <c r="J1205" s="58" t="s">
        <v>1042</v>
      </c>
      <c r="K1205" s="32">
        <v>-149579.83193277312</v>
      </c>
      <c r="L1205" s="32"/>
      <c r="M1205" s="33">
        <f>(PROVEEDORES[[#This Row],[SUBTOTAL]]-PROVEEDORES[[#This Row],[descuento antes de IVA]])*VLOOKUP(PROVEEDORES[[#This Row],[PROVEEDOR]],TERCEROS_INFO[#All],3,FALSE)</f>
        <v>-28420.168067226892</v>
      </c>
      <c r="N1205" s="34"/>
      <c r="O1205" s="33">
        <f>+PROVEEDORES[[#This Row],[Descuento sobre subtotal %]]*(PROVEEDORES[[#This Row],[SUBTOTAL]]-PROVEEDORES[[#This Row],[descuento antes de IVA]])</f>
        <v>0</v>
      </c>
      <c r="P12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05" s="33">
        <f>+(PROVEEDORES[[#This Row],[SUBTOTAL]]-PROVEEDORES[[#This Row],[descuento antes de IVA]])*PROVEEDORES[[#This Row],[Rete Fuente %]]</f>
        <v>0</v>
      </c>
      <c r="R1205" s="32">
        <f>+PROVEEDORES[[#This Row],[SUBTOTAL]]+PROVEEDORES[[#This Row],[IVA 19%]]-PROVEEDORES[[#This Row],[descuento antes de IVA]]-PROVEEDORES[[#This Row],[Descuento sobre subtotal $]]-PROVEEDORES[[#This Row],[Rete Fuente $]]</f>
        <v>-178000</v>
      </c>
      <c r="S12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6" spans="1:19" ht="21.95" hidden="1" customHeight="1" x14ac:dyDescent="0.25">
      <c r="A1206" s="39" t="str">
        <f>+IF(PROVEEDORES[[#This Row],[FECHA DE PAGO]]=PROVEEDORES[[#This Row],[FECHA DE FACTURACIÓN]],"DE CONTADO","CRÉDITO")</f>
        <v>CRÉDITO</v>
      </c>
      <c r="B1206" s="67" t="b">
        <f>+IF((PROVEEDORES[[#This Row],[FECHA DE PAGO]]-PROVEEDORES[[#This Row],[FECHA DE FACTURACIÓN]])&gt;PROVEEDORES[[#This Row],[PLAZO Días]],"PAGO VENCIDO")</f>
        <v>0</v>
      </c>
      <c r="C1206" s="27">
        <f>+VLOOKUP(PROVEEDORES[[#This Row],[PROVEEDOR]],TERCEROS_INFO[#All],2,FALSE)</f>
        <v>30</v>
      </c>
      <c r="D1206" s="37">
        <f>+SUMIFS(PROVEEDORES[Total],PROVEEDORES[PROVEEDOR],PROVEEDORES[[#This Row],[PROVEEDOR]],PROVEEDORES[FECHA DE PAGO],"")</f>
        <v>-12184.82</v>
      </c>
      <c r="E1206" s="37"/>
      <c r="F1206" s="108" t="str">
        <f>+VLOOKUP(PROVEEDORES[[#This Row],[PROVEEDOR]],TERCEROS_INFO[[PROVEEDOR]:[CORREO]],5,FALSE)</f>
        <v>cartera@jeway.com.co;girlesa.ruiz@servipilas.com;joriescobar64@gmail.com</v>
      </c>
      <c r="G1206" s="143">
        <v>44007</v>
      </c>
      <c r="H1206" s="38" t="s">
        <v>36</v>
      </c>
      <c r="I1206" s="30">
        <v>43992</v>
      </c>
      <c r="J1206" s="58">
        <v>2807</v>
      </c>
      <c r="K1206" s="32">
        <v>271429.4117647059</v>
      </c>
      <c r="L1206" s="32"/>
      <c r="M1206" s="33">
        <f>(PROVEEDORES[[#This Row],[SUBTOTAL]]-PROVEEDORES[[#This Row],[descuento antes de IVA]])*VLOOKUP(PROVEEDORES[[#This Row],[PROVEEDOR]],TERCEROS_INFO[#All],3,FALSE)</f>
        <v>51571.588235294119</v>
      </c>
      <c r="N1206" s="34"/>
      <c r="O1206" s="33">
        <f>+PROVEEDORES[[#This Row],[Descuento sobre subtotal %]]*(PROVEEDORES[[#This Row],[SUBTOTAL]]-PROVEEDORES[[#This Row],[descuento antes de IVA]])</f>
        <v>0</v>
      </c>
      <c r="P12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06" s="33">
        <f>+(PROVEEDORES[[#This Row],[SUBTOTAL]]-PROVEEDORES[[#This Row],[descuento antes de IVA]])*PROVEEDORES[[#This Row],[Rete Fuente %]]</f>
        <v>0</v>
      </c>
      <c r="R1206" s="32">
        <f>+PROVEEDORES[[#This Row],[SUBTOTAL]]+PROVEEDORES[[#This Row],[IVA 19%]]-PROVEEDORES[[#This Row],[descuento antes de IVA]]-PROVEEDORES[[#This Row],[Descuento sobre subtotal $]]-PROVEEDORES[[#This Row],[Rete Fuente $]]</f>
        <v>323001</v>
      </c>
      <c r="S12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7" spans="1:19" ht="21.95" hidden="1" customHeight="1" x14ac:dyDescent="0.25">
      <c r="A1207" s="39" t="str">
        <f>+IF(PROVEEDORES[[#This Row],[FECHA DE PAGO]]=PROVEEDORES[[#This Row],[FECHA DE FACTURACIÓN]],"DE CONTADO","CRÉDITO")</f>
        <v>CRÉDITO</v>
      </c>
      <c r="B1207" s="67" t="b">
        <f>+IF((PROVEEDORES[[#This Row],[FECHA DE PAGO]]-PROVEEDORES[[#This Row],[FECHA DE FACTURACIÓN]])&gt;PROVEEDORES[[#This Row],[PLAZO Días]],"PAGO VENCIDO")</f>
        <v>0</v>
      </c>
      <c r="C1207" s="27">
        <f>+VLOOKUP(PROVEEDORES[[#This Row],[PROVEEDOR]],TERCEROS_INFO[#All],2,FALSE)</f>
        <v>30</v>
      </c>
      <c r="D1207" s="37">
        <f>+SUMIFS(PROVEEDORES[Total],PROVEEDORES[PROVEEDOR],PROVEEDORES[[#This Row],[PROVEEDOR]],PROVEEDORES[FECHA DE PAGO],"")</f>
        <v>-12184.82</v>
      </c>
      <c r="E1207" s="37"/>
      <c r="F1207" s="108" t="str">
        <f>+VLOOKUP(PROVEEDORES[[#This Row],[PROVEEDOR]],TERCEROS_INFO[[PROVEEDOR]:[CORREO]],5,FALSE)</f>
        <v>cartera@jeway.com.co;girlesa.ruiz@servipilas.com;joriescobar64@gmail.com</v>
      </c>
      <c r="G1207" s="143">
        <v>44053</v>
      </c>
      <c r="H1207" s="38" t="s">
        <v>36</v>
      </c>
      <c r="I1207" s="30">
        <v>44026</v>
      </c>
      <c r="J1207" s="58">
        <v>3017</v>
      </c>
      <c r="K1207" s="32">
        <v>353277.31092436978</v>
      </c>
      <c r="L1207" s="32"/>
      <c r="M1207" s="33">
        <f>(PROVEEDORES[[#This Row],[SUBTOTAL]]-PROVEEDORES[[#This Row],[descuento antes de IVA]])*VLOOKUP(PROVEEDORES[[#This Row],[PROVEEDOR]],TERCEROS_INFO[#All],3,FALSE)</f>
        <v>67122.68907563026</v>
      </c>
      <c r="N1207" s="34"/>
      <c r="O1207" s="33">
        <f>+PROVEEDORES[[#This Row],[Descuento sobre subtotal %]]*(PROVEEDORES[[#This Row],[SUBTOTAL]]-PROVEEDORES[[#This Row],[descuento antes de IVA]])</f>
        <v>0</v>
      </c>
      <c r="P12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07" s="33">
        <f>+(PROVEEDORES[[#This Row],[SUBTOTAL]]-PROVEEDORES[[#This Row],[descuento antes de IVA]])*PROVEEDORES[[#This Row],[Rete Fuente %]]</f>
        <v>0</v>
      </c>
      <c r="R1207" s="32">
        <f>+PROVEEDORES[[#This Row],[SUBTOTAL]]+PROVEEDORES[[#This Row],[IVA 19%]]-PROVEEDORES[[#This Row],[descuento antes de IVA]]-PROVEEDORES[[#This Row],[Descuento sobre subtotal $]]-PROVEEDORES[[#This Row],[Rete Fuente $]]</f>
        <v>420400.00000000006</v>
      </c>
      <c r="S12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8" spans="1:19" ht="21.95" hidden="1" customHeight="1" x14ac:dyDescent="0.25">
      <c r="A1208" s="39" t="str">
        <f>+IF(PROVEEDORES[[#This Row],[FECHA DE PAGO]]=PROVEEDORES[[#This Row],[FECHA DE FACTURACIÓN]],"DE CONTADO","CRÉDITO")</f>
        <v>CRÉDITO</v>
      </c>
      <c r="B1208" s="67" t="b">
        <f>+IF((PROVEEDORES[[#This Row],[FECHA DE PAGO]]-PROVEEDORES[[#This Row],[FECHA DE FACTURACIÓN]])&gt;PROVEEDORES[[#This Row],[PLAZO Días]],"PAGO VENCIDO")</f>
        <v>0</v>
      </c>
      <c r="C1208" s="27">
        <f>+VLOOKUP(PROVEEDORES[[#This Row],[PROVEEDOR]],TERCEROS_INFO[#All],2,FALSE)</f>
        <v>30</v>
      </c>
      <c r="D1208" s="37">
        <f>+SUMIFS(PROVEEDORES[Total],PROVEEDORES[PROVEEDOR],PROVEEDORES[[#This Row],[PROVEEDOR]],PROVEEDORES[FECHA DE PAGO],"")</f>
        <v>-12184.82</v>
      </c>
      <c r="E1208" s="37"/>
      <c r="F1208" s="108" t="str">
        <f>+VLOOKUP(PROVEEDORES[[#This Row],[PROVEEDOR]],TERCEROS_INFO[[PROVEEDOR]:[CORREO]],5,FALSE)</f>
        <v>cartera@jeway.com.co;girlesa.ruiz@servipilas.com;joriescobar64@gmail.com</v>
      </c>
      <c r="G1208" s="143">
        <v>44053</v>
      </c>
      <c r="H1208" s="38" t="s">
        <v>36</v>
      </c>
      <c r="I1208" s="30">
        <v>44039</v>
      </c>
      <c r="J1208" s="58" t="s">
        <v>110</v>
      </c>
      <c r="K1208" s="32">
        <v>-22605.042016806725</v>
      </c>
      <c r="L1208" s="32"/>
      <c r="M1208" s="33">
        <f>(PROVEEDORES[[#This Row],[SUBTOTAL]]-PROVEEDORES[[#This Row],[descuento antes de IVA]])*VLOOKUP(PROVEEDORES[[#This Row],[PROVEEDOR]],TERCEROS_INFO[#All],3,FALSE)</f>
        <v>-4294.9579831932779</v>
      </c>
      <c r="N1208" s="34"/>
      <c r="O1208" s="33">
        <f>+PROVEEDORES[[#This Row],[Descuento sobre subtotal %]]*(PROVEEDORES[[#This Row],[SUBTOTAL]]-PROVEEDORES[[#This Row],[descuento antes de IVA]])</f>
        <v>0</v>
      </c>
      <c r="P12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08" s="33">
        <f>+(PROVEEDORES[[#This Row],[SUBTOTAL]]-PROVEEDORES[[#This Row],[descuento antes de IVA]])*PROVEEDORES[[#This Row],[Rete Fuente %]]</f>
        <v>0</v>
      </c>
      <c r="R1208" s="32">
        <f>+PROVEEDORES[[#This Row],[SUBTOTAL]]+PROVEEDORES[[#This Row],[IVA 19%]]-PROVEEDORES[[#This Row],[descuento antes de IVA]]-PROVEEDORES[[#This Row],[Descuento sobre subtotal $]]-PROVEEDORES[[#This Row],[Rete Fuente $]]</f>
        <v>-26900.000000000004</v>
      </c>
      <c r="S12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9" spans="1:19" ht="21.95" hidden="1" customHeight="1" x14ac:dyDescent="0.25">
      <c r="A1209" s="39" t="str">
        <f>+IF(PROVEEDORES[[#This Row],[FECHA DE PAGO]]=PROVEEDORES[[#This Row],[FECHA DE FACTURACIÓN]],"DE CONTADO","CRÉDITO")</f>
        <v>CRÉDITO</v>
      </c>
      <c r="B1209" s="67" t="b">
        <f>+IF((PROVEEDORES[[#This Row],[FECHA DE PAGO]]-PROVEEDORES[[#This Row],[FECHA DE FACTURACIÓN]])&gt;PROVEEDORES[[#This Row],[PLAZO Días]],"PAGO VENCIDO")</f>
        <v>0</v>
      </c>
      <c r="C1209" s="27">
        <f>+VLOOKUP(PROVEEDORES[[#This Row],[PROVEEDOR]],TERCEROS_INFO[#All],2,FALSE)</f>
        <v>30</v>
      </c>
      <c r="D1209" s="37">
        <f>+SUMIFS(PROVEEDORES[Total],PROVEEDORES[PROVEEDOR],PROVEEDORES[[#This Row],[PROVEEDOR]],PROVEEDORES[FECHA DE PAGO],"")</f>
        <v>-12184.82</v>
      </c>
      <c r="E1209" s="37"/>
      <c r="F1209" s="108" t="str">
        <f>+VLOOKUP(PROVEEDORES[[#This Row],[PROVEEDOR]],TERCEROS_INFO[[PROVEEDOR]:[CORREO]],5,FALSE)</f>
        <v>cartera@jeway.com.co;girlesa.ruiz@servipilas.com;joriescobar64@gmail.com</v>
      </c>
      <c r="G1209" s="143">
        <v>44118</v>
      </c>
      <c r="H1209" s="38" t="s">
        <v>36</v>
      </c>
      <c r="I1209" s="30">
        <v>44092</v>
      </c>
      <c r="J1209" s="58">
        <v>3385</v>
      </c>
      <c r="K1209" s="32">
        <v>423529.4117647059</v>
      </c>
      <c r="L1209" s="32"/>
      <c r="M1209" s="33">
        <f>(PROVEEDORES[[#This Row],[SUBTOTAL]]-PROVEEDORES[[#This Row],[descuento antes de IVA]])*VLOOKUP(PROVEEDORES[[#This Row],[PROVEEDOR]],TERCEROS_INFO[#All],3,FALSE)</f>
        <v>80470.588235294126</v>
      </c>
      <c r="N1209" s="34"/>
      <c r="O1209" s="33">
        <f>+PROVEEDORES[[#This Row],[Descuento sobre subtotal %]]*(PROVEEDORES[[#This Row],[SUBTOTAL]]-PROVEEDORES[[#This Row],[descuento antes de IVA]])</f>
        <v>0</v>
      </c>
      <c r="P12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09" s="33">
        <f>+(PROVEEDORES[[#This Row],[SUBTOTAL]]-PROVEEDORES[[#This Row],[descuento antes de IVA]])*PROVEEDORES[[#This Row],[Rete Fuente %]]</f>
        <v>0</v>
      </c>
      <c r="R1209" s="32">
        <f>+PROVEEDORES[[#This Row],[SUBTOTAL]]+PROVEEDORES[[#This Row],[IVA 19%]]-PROVEEDORES[[#This Row],[descuento antes de IVA]]-PROVEEDORES[[#This Row],[Descuento sobre subtotal $]]-PROVEEDORES[[#This Row],[Rete Fuente $]]</f>
        <v>504000</v>
      </c>
      <c r="S12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0" spans="1:19" ht="21.95" hidden="1" customHeight="1" x14ac:dyDescent="0.25">
      <c r="A1210" s="39" t="str">
        <f>+IF(PROVEEDORES[[#This Row],[FECHA DE PAGO]]=PROVEEDORES[[#This Row],[FECHA DE FACTURACIÓN]],"DE CONTADO","CRÉDITO")</f>
        <v>CRÉDITO</v>
      </c>
      <c r="B1210" s="67" t="b">
        <f>+IF((PROVEEDORES[[#This Row],[FECHA DE PAGO]]-PROVEEDORES[[#This Row],[FECHA DE FACTURACIÓN]])&gt;PROVEEDORES[[#This Row],[PLAZO Días]],"PAGO VENCIDO")</f>
        <v>0</v>
      </c>
      <c r="C1210" s="27">
        <f>+VLOOKUP(PROVEEDORES[[#This Row],[PROVEEDOR]],TERCEROS_INFO[#All],2,FALSE)</f>
        <v>30</v>
      </c>
      <c r="D1210" s="37">
        <f>+SUMIFS(PROVEEDORES[Total],PROVEEDORES[PROVEEDOR],PROVEEDORES[[#This Row],[PROVEEDOR]],PROVEEDORES[FECHA DE PAGO],"")</f>
        <v>-12184.82</v>
      </c>
      <c r="E1210" s="37"/>
      <c r="F1210" s="108" t="str">
        <f>+VLOOKUP(PROVEEDORES[[#This Row],[PROVEEDOR]],TERCEROS_INFO[[PROVEEDOR]:[CORREO]],5,FALSE)</f>
        <v>cartera@jeway.com.co;girlesa.ruiz@servipilas.com;joriescobar64@gmail.com</v>
      </c>
      <c r="G1210" s="143">
        <v>44138</v>
      </c>
      <c r="H1210" s="38" t="s">
        <v>36</v>
      </c>
      <c r="I1210" s="30">
        <v>44123</v>
      </c>
      <c r="J1210" s="58">
        <v>3796</v>
      </c>
      <c r="K1210" s="32">
        <v>667562.18487394962</v>
      </c>
      <c r="L1210" s="32"/>
      <c r="M1210" s="33">
        <f>(PROVEEDORES[[#This Row],[SUBTOTAL]]-PROVEEDORES[[#This Row],[descuento antes de IVA]])*VLOOKUP(PROVEEDORES[[#This Row],[PROVEEDOR]],TERCEROS_INFO[#All],3,FALSE)</f>
        <v>126836.81512605042</v>
      </c>
      <c r="N1210" s="34"/>
      <c r="O1210" s="33">
        <f>+PROVEEDORES[[#This Row],[Descuento sobre subtotal %]]*(PROVEEDORES[[#This Row],[SUBTOTAL]]-PROVEEDORES[[#This Row],[descuento antes de IVA]])</f>
        <v>0</v>
      </c>
      <c r="P12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0" s="33">
        <f>+(PROVEEDORES[[#This Row],[SUBTOTAL]]-PROVEEDORES[[#This Row],[descuento antes de IVA]])*PROVEEDORES[[#This Row],[Rete Fuente %]]</f>
        <v>0</v>
      </c>
      <c r="R1210" s="32">
        <f>+PROVEEDORES[[#This Row],[SUBTOTAL]]+PROVEEDORES[[#This Row],[IVA 19%]]-PROVEEDORES[[#This Row],[descuento antes de IVA]]-PROVEEDORES[[#This Row],[Descuento sobre subtotal $]]-PROVEEDORES[[#This Row],[Rete Fuente $]]</f>
        <v>794399</v>
      </c>
      <c r="S12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1" spans="1:19" ht="21.95" hidden="1" customHeight="1" x14ac:dyDescent="0.25">
      <c r="A1211" s="88" t="str">
        <f>+IF(PROVEEDORES[[#This Row],[FECHA DE PAGO]]=PROVEEDORES[[#This Row],[FECHA DE FACTURACIÓN]],"DE CONTADO","CRÉDITO")</f>
        <v>CRÉDITO</v>
      </c>
      <c r="B1211" s="70" t="str">
        <f>+IF((PROVEEDORES[[#This Row],[FECHA DE PAGO]]-PROVEEDORES[[#This Row],[FECHA DE FACTURACIÓN]])&gt;PROVEEDORES[[#This Row],[PLAZO Días]],"PAGO VENCIDO")</f>
        <v>PAGO VENCIDO</v>
      </c>
      <c r="C1211" s="27">
        <f>+VLOOKUP(PROVEEDORES[[#This Row],[PROVEEDOR]],TERCEROS_INFO[#All],2,FALSE)</f>
        <v>30</v>
      </c>
      <c r="D1211" s="37">
        <f>+SUMIFS(PROVEEDORES[Total],PROVEEDORES[PROVEEDOR],PROVEEDORES[[#This Row],[PROVEEDOR]],PROVEEDORES[FECHA DE PAGO],"")</f>
        <v>-12184.82</v>
      </c>
      <c r="E1211" s="37"/>
      <c r="F1211" s="108" t="str">
        <f>+VLOOKUP(PROVEEDORES[[#This Row],[PROVEEDOR]],TERCEROS_INFO[[PROVEEDOR]:[CORREO]],5,FALSE)</f>
        <v>cartera@jeway.com.co;girlesa.ruiz@servipilas.com;joriescobar64@gmail.com</v>
      </c>
      <c r="G1211" s="143">
        <v>44298</v>
      </c>
      <c r="H1211" s="38" t="s">
        <v>36</v>
      </c>
      <c r="I1211" s="30">
        <v>44226</v>
      </c>
      <c r="J1211" s="58" t="s">
        <v>586</v>
      </c>
      <c r="K1211" s="32">
        <v>-52017</v>
      </c>
      <c r="L1211" s="32"/>
      <c r="M1211" s="33">
        <f>(PROVEEDORES[[#This Row],[SUBTOTAL]]-PROVEEDORES[[#This Row],[descuento antes de IVA]])*VLOOKUP(PROVEEDORES[[#This Row],[PROVEEDOR]],TERCEROS_INFO[#All],3,FALSE)</f>
        <v>-9883.23</v>
      </c>
      <c r="N1211" s="34"/>
      <c r="O1211" s="33">
        <f>+PROVEEDORES[[#This Row],[Descuento sobre subtotal %]]*(PROVEEDORES[[#This Row],[SUBTOTAL]]-PROVEEDORES[[#This Row],[descuento antes de IVA]])</f>
        <v>0</v>
      </c>
      <c r="P12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1" s="33">
        <f>+(PROVEEDORES[[#This Row],[SUBTOTAL]]-PROVEEDORES[[#This Row],[descuento antes de IVA]])*PROVEEDORES[[#This Row],[Rete Fuente %]]</f>
        <v>0</v>
      </c>
      <c r="R1211" s="32">
        <f>+PROVEEDORES[[#This Row],[SUBTOTAL]]+PROVEEDORES[[#This Row],[IVA 19%]]-PROVEEDORES[[#This Row],[descuento antes de IVA]]-PROVEEDORES[[#This Row],[Descuento sobre subtotal $]]-PROVEEDORES[[#This Row],[Rete Fuente $]]</f>
        <v>-61900.229999999996</v>
      </c>
      <c r="S1211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2" spans="1:19" ht="21.95" hidden="1" customHeight="1" x14ac:dyDescent="0.25">
      <c r="A1212" s="88" t="str">
        <f>+IF(PROVEEDORES[[#This Row],[FECHA DE PAGO]]=PROVEEDORES[[#This Row],[FECHA DE FACTURACIÓN]],"DE CONTADO","CRÉDITO")</f>
        <v>CRÉDITO</v>
      </c>
      <c r="B1212" s="70" t="b">
        <f>+IF((PROVEEDORES[[#This Row],[FECHA DE PAGO]]-PROVEEDORES[[#This Row],[FECHA DE FACTURACIÓN]])&gt;PROVEEDORES[[#This Row],[PLAZO Días]],"PAGO VENCIDO")</f>
        <v>0</v>
      </c>
      <c r="C1212" s="27">
        <f>+VLOOKUP(PROVEEDORES[[#This Row],[PROVEEDOR]],TERCEROS_INFO[#All],2,FALSE)</f>
        <v>30</v>
      </c>
      <c r="D1212" s="37">
        <f>+SUMIFS(PROVEEDORES[Total],PROVEEDORES[PROVEEDOR],PROVEEDORES[[#This Row],[PROVEEDOR]],PROVEEDORES[FECHA DE PAGO],"")</f>
        <v>-12184.82</v>
      </c>
      <c r="E1212" s="37"/>
      <c r="F1212" s="108" t="str">
        <f>+VLOOKUP(PROVEEDORES[[#This Row],[PROVEEDOR]],TERCEROS_INFO[[PROVEEDOR]:[CORREO]],5,FALSE)</f>
        <v>cartera@jeway.com.co;girlesa.ruiz@servipilas.com;joriescobar64@gmail.com</v>
      </c>
      <c r="G1212" s="143">
        <v>44298</v>
      </c>
      <c r="H1212" s="38" t="s">
        <v>36</v>
      </c>
      <c r="I1212" s="30">
        <v>44279</v>
      </c>
      <c r="J1212" s="58">
        <v>1313</v>
      </c>
      <c r="K1212" s="32">
        <v>880332</v>
      </c>
      <c r="L1212" s="32"/>
      <c r="M1212" s="33">
        <f>(PROVEEDORES[[#This Row],[SUBTOTAL]]-PROVEEDORES[[#This Row],[descuento antes de IVA]])*VLOOKUP(PROVEEDORES[[#This Row],[PROVEEDOR]],TERCEROS_INFO[#All],3,FALSE)</f>
        <v>167263.08000000002</v>
      </c>
      <c r="N1212" s="34"/>
      <c r="O1212" s="33">
        <f>+PROVEEDORES[[#This Row],[Descuento sobre subtotal %]]*(PROVEEDORES[[#This Row],[SUBTOTAL]]-PROVEEDORES[[#This Row],[descuento antes de IVA]])</f>
        <v>0</v>
      </c>
      <c r="P12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2" s="33">
        <f>+(PROVEEDORES[[#This Row],[SUBTOTAL]]-PROVEEDORES[[#This Row],[descuento antes de IVA]])*PROVEEDORES[[#This Row],[Rete Fuente %]]</f>
        <v>0</v>
      </c>
      <c r="R1212" s="32">
        <f>+PROVEEDORES[[#This Row],[SUBTOTAL]]+PROVEEDORES[[#This Row],[IVA 19%]]-PROVEEDORES[[#This Row],[descuento antes de IVA]]-PROVEEDORES[[#This Row],[Descuento sobre subtotal $]]-PROVEEDORES[[#This Row],[Rete Fuente $]]</f>
        <v>1047595.0800000001</v>
      </c>
      <c r="S121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3" spans="1:19" ht="21.95" hidden="1" customHeight="1" x14ac:dyDescent="0.25">
      <c r="A1213" s="35" t="str">
        <f>+IF(PROVEEDORES[[#This Row],[FECHA DE PAGO]]=PROVEEDORES[[#This Row],[FECHA DE FACTURACIÓN]],"DE CONTADO","CRÉDITO")</f>
        <v>CRÉDITO</v>
      </c>
      <c r="B1213" s="70" t="b">
        <f>+IF((PROVEEDORES[[#This Row],[FECHA DE PAGO]]-PROVEEDORES[[#This Row],[FECHA DE FACTURACIÓN]])&gt;PROVEEDORES[[#This Row],[PLAZO Días]],"PAGO VENCIDO")</f>
        <v>0</v>
      </c>
      <c r="C1213" s="27">
        <f>+VLOOKUP(PROVEEDORES[[#This Row],[PROVEEDOR]],TERCEROS_INFO[#All],2,FALSE)</f>
        <v>30</v>
      </c>
      <c r="D1213" s="37">
        <f>+SUMIFS(PROVEEDORES[Total],PROVEEDORES[PROVEEDOR],PROVEEDORES[[#This Row],[PROVEEDOR]],PROVEEDORES[FECHA DE PAGO],"")</f>
        <v>-12184.82</v>
      </c>
      <c r="E1213" s="37"/>
      <c r="F1213" s="108" t="str">
        <f>+VLOOKUP(PROVEEDORES[[#This Row],[PROVEEDOR]],TERCEROS_INFO[[PROVEEDOR]:[CORREO]],5,FALSE)</f>
        <v>cartera@jeway.com.co;girlesa.ruiz@servipilas.com;joriescobar64@gmail.com</v>
      </c>
      <c r="G1213" s="143">
        <v>44433</v>
      </c>
      <c r="H1213" s="38" t="s">
        <v>36</v>
      </c>
      <c r="I1213" s="30">
        <v>44406</v>
      </c>
      <c r="J1213" s="58">
        <v>2174</v>
      </c>
      <c r="K1213" s="32">
        <v>193122</v>
      </c>
      <c r="L1213" s="32"/>
      <c r="M1213" s="33">
        <f>(PROVEEDORES[[#This Row],[SUBTOTAL]]-PROVEEDORES[[#This Row],[descuento antes de IVA]])*VLOOKUP(PROVEEDORES[[#This Row],[PROVEEDOR]],TERCEROS_INFO[#All],3,FALSE)</f>
        <v>36693.18</v>
      </c>
      <c r="N1213" s="34"/>
      <c r="O1213" s="33">
        <f>+PROVEEDORES[[#This Row],[Descuento sobre subtotal %]]*(PROVEEDORES[[#This Row],[SUBTOTAL]]-PROVEEDORES[[#This Row],[descuento antes de IVA]])</f>
        <v>0</v>
      </c>
      <c r="P12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3" s="33">
        <f>+(PROVEEDORES[[#This Row],[SUBTOTAL]]-PROVEEDORES[[#This Row],[descuento antes de IVA]])*PROVEEDORES[[#This Row],[Rete Fuente %]]</f>
        <v>0</v>
      </c>
      <c r="R1213" s="32">
        <f>+PROVEEDORES[[#This Row],[SUBTOTAL]]+PROVEEDORES[[#This Row],[IVA 19%]]-PROVEEDORES[[#This Row],[descuento antes de IVA]]-PROVEEDORES[[#This Row],[Descuento sobre subtotal $]]-PROVEEDORES[[#This Row],[Rete Fuente $]]</f>
        <v>229815.18</v>
      </c>
      <c r="S121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4" spans="1:19" ht="21.95" hidden="1" customHeight="1" x14ac:dyDescent="0.25">
      <c r="A1214" s="142" t="str">
        <f>+IF(PROVEEDORES[[#This Row],[FECHA DE PAGO]]=PROVEEDORES[[#This Row],[FECHA DE FACTURACIÓN]],"DE CONTADO","CRÉDITO")</f>
        <v>CRÉDITO</v>
      </c>
      <c r="B1214" s="70" t="b">
        <f>+IF((PROVEEDORES[[#This Row],[FECHA DE PAGO]]-PROVEEDORES[[#This Row],[FECHA DE FACTURACIÓN]])&gt;PROVEEDORES[[#This Row],[PLAZO Días]],"PAGO VENCIDO")</f>
        <v>0</v>
      </c>
      <c r="C1214" s="27">
        <f>+VLOOKUP(PROVEEDORES[[#This Row],[PROVEEDOR]],TERCEROS_INFO[#All],2,FALSE)</f>
        <v>30</v>
      </c>
      <c r="D1214" s="37">
        <f>+SUMIFS(PROVEEDORES[Total],PROVEEDORES[PROVEEDOR],PROVEEDORES[[#This Row],[PROVEEDOR]],PROVEEDORES[FECHA DE PAGO],"")</f>
        <v>-12184.82</v>
      </c>
      <c r="E1214" s="37" t="s">
        <v>816</v>
      </c>
      <c r="F1214" s="108" t="str">
        <f>+VLOOKUP(PROVEEDORES[[#This Row],[PROVEEDOR]],TERCEROS_INFO[[PROVEEDOR]:[CORREO]],5,FALSE)</f>
        <v>cartera@jeway.com.co;girlesa.ruiz@servipilas.com;joriescobar64@gmail.com</v>
      </c>
      <c r="H1214" s="38" t="s">
        <v>36</v>
      </c>
      <c r="I1214" s="30">
        <v>44433</v>
      </c>
      <c r="J1214" s="58" t="s">
        <v>815</v>
      </c>
      <c r="K1214" s="32">
        <v>0</v>
      </c>
      <c r="L1214" s="32"/>
      <c r="M1214" s="33">
        <f>(PROVEEDORES[[#This Row],[SUBTOTAL]]-PROVEEDORES[[#This Row],[descuento antes de IVA]])*VLOOKUP(PROVEEDORES[[#This Row],[PROVEEDOR]],TERCEROS_INFO[#All],3,FALSE)</f>
        <v>0</v>
      </c>
      <c r="N1214" s="34"/>
      <c r="O1214" s="33">
        <f>+PROVEEDORES[[#This Row],[Descuento sobre subtotal %]]*(PROVEEDORES[[#This Row],[SUBTOTAL]]-PROVEEDORES[[#This Row],[descuento antes de IVA]])</f>
        <v>0</v>
      </c>
      <c r="P12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4" s="33">
        <f>+(PROVEEDORES[[#This Row],[SUBTOTAL]]-PROVEEDORES[[#This Row],[descuento antes de IVA]])*PROVEEDORES[[#This Row],[Rete Fuente %]]</f>
        <v>0</v>
      </c>
      <c r="R1214" s="32">
        <v>-12184.82</v>
      </c>
      <c r="S1214" s="142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15" spans="1:19" ht="21.95" hidden="1" customHeight="1" x14ac:dyDescent="0.25">
      <c r="A1215" s="39" t="str">
        <f>+IF(PROVEEDORES[[#This Row],[FECHA DE PAGO]]=PROVEEDORES[[#This Row],[FECHA DE FACTURACIÓN]],"DE CONTADO","CRÉDITO")</f>
        <v>CRÉDITO</v>
      </c>
      <c r="B1215" s="67" t="b">
        <f>+IF((PROVEEDORES[[#This Row],[FECHA DE PAGO]]-PROVEEDORES[[#This Row],[FECHA DE FACTURACIÓN]])&gt;PROVEEDORES[[#This Row],[PLAZO Días]],"PAGO VENCIDO")</f>
        <v>0</v>
      </c>
      <c r="C1215" s="27">
        <f>+VLOOKUP(PROVEEDORES[[#This Row],[PROVEEDOR]],TERCEROS_INFO[#All],2,FALSE)</f>
        <v>30</v>
      </c>
      <c r="D1215" s="37">
        <f>+SUMIFS(PROVEEDORES[Total],PROVEEDORES[PROVEEDOR],PROVEEDORES[[#This Row],[PROVEEDOR]],PROVEEDORES[FECHA DE PAGO],"")</f>
        <v>0</v>
      </c>
      <c r="E1215" s="37"/>
      <c r="F1215" s="108" t="str">
        <f>+VLOOKUP(PROVEEDORES[[#This Row],[PROVEEDOR]],TERCEROS_INFO[[PROVEEDOR]:[CORREO]],5,FALSE)</f>
        <v>vromero@flashinternational.us;girlesa.ruiz@servipilas.com;joriescobar64@gmail.com</v>
      </c>
      <c r="G1215" s="143">
        <v>44053</v>
      </c>
      <c r="H1215" s="38" t="s">
        <v>109</v>
      </c>
      <c r="I1215" s="30">
        <v>44035</v>
      </c>
      <c r="J1215" s="58" t="s">
        <v>105</v>
      </c>
      <c r="K1215" s="32">
        <v>1482000</v>
      </c>
      <c r="L1215" s="32"/>
      <c r="M1215" s="33">
        <f>(PROVEEDORES[[#This Row],[SUBTOTAL]]-PROVEEDORES[[#This Row],[descuento antes de IVA]])*VLOOKUP(PROVEEDORES[[#This Row],[PROVEEDOR]],TERCEROS_INFO[#All],3,FALSE)</f>
        <v>0</v>
      </c>
      <c r="N1215" s="34"/>
      <c r="O1215" s="33">
        <f>+PROVEEDORES[[#This Row],[Descuento sobre subtotal %]]*(PROVEEDORES[[#This Row],[SUBTOTAL]]-PROVEEDORES[[#This Row],[descuento antes de IVA]])</f>
        <v>0</v>
      </c>
      <c r="P12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5" s="33">
        <f>+(PROVEEDORES[[#This Row],[SUBTOTAL]]-PROVEEDORES[[#This Row],[descuento antes de IVA]])*PROVEEDORES[[#This Row],[Rete Fuente %]]</f>
        <v>0</v>
      </c>
      <c r="R1215" s="32">
        <f>+PROVEEDORES[[#This Row],[SUBTOTAL]]+PROVEEDORES[[#This Row],[IVA 19%]]-PROVEEDORES[[#This Row],[descuento antes de IVA]]-PROVEEDORES[[#This Row],[Descuento sobre subtotal $]]-PROVEEDORES[[#This Row],[Rete Fuente $]]</f>
        <v>1482000</v>
      </c>
      <c r="S12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6" spans="1:19" ht="21.95" hidden="1" customHeight="1" x14ac:dyDescent="0.25">
      <c r="A1216" s="39" t="str">
        <f>+IF(PROVEEDORES[[#This Row],[FECHA DE PAGO]]=PROVEEDORES[[#This Row],[FECHA DE FACTURACIÓN]],"DE CONTADO","CRÉDITO")</f>
        <v>CRÉDITO</v>
      </c>
      <c r="B1216" s="67" t="b">
        <f>+IF((PROVEEDORES[[#This Row],[FECHA DE PAGO]]-PROVEEDORES[[#This Row],[FECHA DE FACTURACIÓN]])&gt;PROVEEDORES[[#This Row],[PLAZO Días]],"PAGO VENCIDO")</f>
        <v>0</v>
      </c>
      <c r="C1216" s="27">
        <f>+VLOOKUP(PROVEEDORES[[#This Row],[PROVEEDOR]],TERCEROS_INFO[#All],2,FALSE)</f>
        <v>30</v>
      </c>
      <c r="D1216" s="37">
        <f>+SUMIFS(PROVEEDORES[Total],PROVEEDORES[PROVEEDOR],PROVEEDORES[[#This Row],[PROVEEDOR]],PROVEEDORES[FECHA DE PAGO],"")</f>
        <v>0</v>
      </c>
      <c r="E1216" s="37"/>
      <c r="F1216" s="108" t="str">
        <f>+VLOOKUP(PROVEEDORES[[#This Row],[PROVEEDOR]],TERCEROS_INFO[[PROVEEDOR]:[CORREO]],5,FALSE)</f>
        <v>vromero@flashinternational.us;girlesa.ruiz@servipilas.com;joriescobar64@gmail.com</v>
      </c>
      <c r="G1216" s="143">
        <v>44053</v>
      </c>
      <c r="H1216" s="38" t="s">
        <v>109</v>
      </c>
      <c r="I1216" s="30">
        <v>44035</v>
      </c>
      <c r="J1216" s="58" t="s">
        <v>108</v>
      </c>
      <c r="K1216" s="32">
        <v>1689000</v>
      </c>
      <c r="L1216" s="32"/>
      <c r="M1216" s="33">
        <f>(PROVEEDORES[[#This Row],[SUBTOTAL]]-PROVEEDORES[[#This Row],[descuento antes de IVA]])*VLOOKUP(PROVEEDORES[[#This Row],[PROVEEDOR]],TERCEROS_INFO[#All],3,FALSE)</f>
        <v>0</v>
      </c>
      <c r="N1216" s="34"/>
      <c r="O1216" s="33">
        <f>+PROVEEDORES[[#This Row],[Descuento sobre subtotal %]]*(PROVEEDORES[[#This Row],[SUBTOTAL]]-PROVEEDORES[[#This Row],[descuento antes de IVA]])</f>
        <v>0</v>
      </c>
      <c r="P12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6" s="33">
        <f>+(PROVEEDORES[[#This Row],[SUBTOTAL]]-PROVEEDORES[[#This Row],[descuento antes de IVA]])*PROVEEDORES[[#This Row],[Rete Fuente %]]</f>
        <v>0</v>
      </c>
      <c r="R1216" s="32">
        <f>+PROVEEDORES[[#This Row],[SUBTOTAL]]+PROVEEDORES[[#This Row],[IVA 19%]]-PROVEEDORES[[#This Row],[descuento antes de IVA]]-PROVEEDORES[[#This Row],[Descuento sobre subtotal $]]-PROVEEDORES[[#This Row],[Rete Fuente $]]</f>
        <v>1689000</v>
      </c>
      <c r="S12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7" spans="1:19" ht="21.95" hidden="1" customHeight="1" x14ac:dyDescent="0.25">
      <c r="A1217" s="140" t="str">
        <f>+IF(PROVEEDORES[[#This Row],[FECHA DE PAGO]]=PROVEEDORES[[#This Row],[FECHA DE FACTURACIÓN]],"DE CONTADO","CRÉDITO")</f>
        <v>CRÉDITO</v>
      </c>
      <c r="B1217" s="70" t="b">
        <f>+IF((PROVEEDORES[[#This Row],[FECHA DE PAGO]]-PROVEEDORES[[#This Row],[FECHA DE FACTURACIÓN]])&gt;PROVEEDORES[[#This Row],[PLAZO Días]],"PAGO VENCIDO")</f>
        <v>0</v>
      </c>
      <c r="C1217" s="27">
        <f>+VLOOKUP(PROVEEDORES[[#This Row],[PROVEEDOR]],TERCEROS_INFO[#All],2,FALSE)</f>
        <v>30</v>
      </c>
      <c r="D1217" s="37">
        <f>+SUMIFS(PROVEEDORES[Total],PROVEEDORES[PROVEEDOR],PROVEEDORES[[#This Row],[PROVEEDOR]],PROVEEDORES[FECHA DE PAGO],"")</f>
        <v>0</v>
      </c>
      <c r="E1217" s="37"/>
      <c r="F1217" s="108" t="str">
        <f>+VLOOKUP(PROVEEDORES[[#This Row],[PROVEEDOR]],TERCEROS_INFO[[PROVEEDOR]:[CORREO]],5,FALSE)</f>
        <v>??;girlesa.ruiz@servipilas.com;joriescobar64@gmail.com</v>
      </c>
      <c r="G1217" s="143">
        <v>44419</v>
      </c>
      <c r="H1217" s="38" t="s">
        <v>778</v>
      </c>
      <c r="I1217" s="30">
        <v>44410</v>
      </c>
      <c r="J1217" s="58" t="s">
        <v>780</v>
      </c>
      <c r="K1217" s="32">
        <v>1490000</v>
      </c>
      <c r="L1217" s="32"/>
      <c r="M1217" s="33">
        <f>(PROVEEDORES[[#This Row],[SUBTOTAL]]-PROVEEDORES[[#This Row],[descuento antes de IVA]])*VLOOKUP(PROVEEDORES[[#This Row],[PROVEEDOR]],TERCEROS_INFO[#All],3,FALSE)</f>
        <v>0</v>
      </c>
      <c r="N1217" s="34"/>
      <c r="O1217" s="33">
        <f>+PROVEEDORES[[#This Row],[Descuento sobre subtotal %]]*(PROVEEDORES[[#This Row],[SUBTOTAL]]-PROVEEDORES[[#This Row],[descuento antes de IVA]])</f>
        <v>0</v>
      </c>
      <c r="P12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7" s="33">
        <f>+(PROVEEDORES[[#This Row],[SUBTOTAL]]-PROVEEDORES[[#This Row],[descuento antes de IVA]])*PROVEEDORES[[#This Row],[Rete Fuente %]]</f>
        <v>0</v>
      </c>
      <c r="R1217" s="32">
        <f>+PROVEEDORES[[#This Row],[SUBTOTAL]]+PROVEEDORES[[#This Row],[IVA 19%]]-PROVEEDORES[[#This Row],[descuento antes de IVA]]-PROVEEDORES[[#This Row],[Descuento sobre subtotal $]]-PROVEEDORES[[#This Row],[Rete Fuente $]]</f>
        <v>1490000</v>
      </c>
      <c r="S1217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8" spans="1:19" ht="21.95" hidden="1" customHeight="1" x14ac:dyDescent="0.25">
      <c r="A1218" s="39" t="str">
        <f>+IF(PROVEEDORES[[#This Row],[FECHA DE PAGO]]=PROVEEDORES[[#This Row],[FECHA DE FACTURACIÓN]],"DE CONTADO","CRÉDITO")</f>
        <v>CRÉDITO</v>
      </c>
      <c r="B1218" s="67" t="b">
        <f>+IF((PROVEEDORES[[#This Row],[FECHA DE PAGO]]-PROVEEDORES[[#This Row],[FECHA DE FACTURACIÓN]])&gt;PROVEEDORES[[#This Row],[PLAZO Días]],"PAGO VENCIDO")</f>
        <v>0</v>
      </c>
      <c r="C1218" s="27">
        <f>+VLOOKUP(PROVEEDORES[[#This Row],[PROVEEDOR]],TERCEROS_INFO[#All],2,FALSE)</f>
        <v>30</v>
      </c>
      <c r="D1218" s="37">
        <f>+SUMIFS(PROVEEDORES[Total],PROVEEDORES[PROVEEDOR],PROVEEDORES[[#This Row],[PROVEEDOR]],PROVEEDORES[FECHA DE PAGO],"")</f>
        <v>0</v>
      </c>
      <c r="E1218" s="37"/>
      <c r="F1218" s="108" t="str">
        <f>+VLOOKUP(PROVEEDORES[[#This Row],[PROVEEDOR]],TERCEROS_INFO[[PROVEEDOR]:[CORREO]],5,FALSE)</f>
        <v/>
      </c>
      <c r="G1218" s="143">
        <v>44147</v>
      </c>
      <c r="H1218" s="38" t="s">
        <v>326</v>
      </c>
      <c r="I1218" s="30">
        <v>44146</v>
      </c>
      <c r="J1218" s="58" t="s">
        <v>179</v>
      </c>
      <c r="K1218" s="32">
        <v>3610000</v>
      </c>
      <c r="L1218" s="32"/>
      <c r="M1218" s="33">
        <f>(PROVEEDORES[[#This Row],[SUBTOTAL]]-PROVEEDORES[[#This Row],[descuento antes de IVA]])*VLOOKUP(PROVEEDORES[[#This Row],[PROVEEDOR]],TERCEROS_INFO[#All],3,FALSE)</f>
        <v>0</v>
      </c>
      <c r="N1218" s="34"/>
      <c r="O1218" s="33">
        <f>+PROVEEDORES[[#This Row],[Descuento sobre subtotal %]]*(PROVEEDORES[[#This Row],[SUBTOTAL]]-PROVEEDORES[[#This Row],[descuento antes de IVA]])</f>
        <v>0</v>
      </c>
      <c r="P12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8" s="33">
        <f>+(PROVEEDORES[[#This Row],[SUBTOTAL]]-PROVEEDORES[[#This Row],[descuento antes de IVA]])*PROVEEDORES[[#This Row],[Rete Fuente %]]</f>
        <v>0</v>
      </c>
      <c r="R1218" s="32">
        <f>+PROVEEDORES[[#This Row],[SUBTOTAL]]+PROVEEDORES[[#This Row],[IVA 19%]]-PROVEEDORES[[#This Row],[descuento antes de IVA]]-PROVEEDORES[[#This Row],[Descuento sobre subtotal $]]-PROVEEDORES[[#This Row],[Rete Fuente $]]</f>
        <v>3610000</v>
      </c>
      <c r="S12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9" spans="1:19" ht="21.95" hidden="1" customHeight="1" x14ac:dyDescent="0.25">
      <c r="A1219" s="88" t="str">
        <f>+IF(PROVEEDORES[[#This Row],[FECHA DE PAGO]]=PROVEEDORES[[#This Row],[FECHA DE FACTURACIÓN]],"DE CONTADO","CRÉDITO")</f>
        <v>CRÉDITO</v>
      </c>
      <c r="B1219" s="70" t="b">
        <f>+IF((PROVEEDORES[[#This Row],[FECHA DE PAGO]]-PROVEEDORES[[#This Row],[FECHA DE FACTURACIÓN]])&gt;PROVEEDORES[[#This Row],[PLAZO Días]],"PAGO VENCIDO")</f>
        <v>0</v>
      </c>
      <c r="C1219" s="27">
        <f>+VLOOKUP(PROVEEDORES[[#This Row],[PROVEEDOR]],TERCEROS_INFO[#All],2,FALSE)</f>
        <v>30</v>
      </c>
      <c r="D1219" s="37">
        <f>+SUMIFS(PROVEEDORES[Total],PROVEEDORES[PROVEEDOR],PROVEEDORES[[#This Row],[PROVEEDOR]],PROVEEDORES[FECHA DE PAGO],"")</f>
        <v>0</v>
      </c>
      <c r="E1219" s="37"/>
      <c r="F1219" s="108" t="str">
        <f>+VLOOKUP(PROVEEDORES[[#This Row],[PROVEEDOR]],TERCEROS_INFO[[PROVEEDOR]:[CORREO]],5,FALSE)</f>
        <v/>
      </c>
      <c r="G1219" s="143">
        <v>44286</v>
      </c>
      <c r="H1219" s="38" t="s">
        <v>326</v>
      </c>
      <c r="I1219" s="30">
        <v>44284</v>
      </c>
      <c r="J1219" s="58" t="s">
        <v>588</v>
      </c>
      <c r="K1219" s="32">
        <f>1011000+363000</f>
        <v>1374000</v>
      </c>
      <c r="L1219" s="32"/>
      <c r="M1219" s="33">
        <f>(PROVEEDORES[[#This Row],[SUBTOTAL]]-PROVEEDORES[[#This Row],[descuento antes de IVA]])*VLOOKUP(PROVEEDORES[[#This Row],[PROVEEDOR]],TERCEROS_INFO[#All],3,FALSE)</f>
        <v>0</v>
      </c>
      <c r="N1219" s="34"/>
      <c r="O1219" s="33">
        <f>+PROVEEDORES[[#This Row],[Descuento sobre subtotal %]]*(PROVEEDORES[[#This Row],[SUBTOTAL]]-PROVEEDORES[[#This Row],[descuento antes de IVA]])</f>
        <v>0</v>
      </c>
      <c r="P12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19" s="33">
        <f>+(PROVEEDORES[[#This Row],[SUBTOTAL]]-PROVEEDORES[[#This Row],[descuento antes de IVA]])*PROVEEDORES[[#This Row],[Rete Fuente %]]</f>
        <v>0</v>
      </c>
      <c r="R1219" s="32">
        <f>+PROVEEDORES[[#This Row],[SUBTOTAL]]+PROVEEDORES[[#This Row],[IVA 19%]]-PROVEEDORES[[#This Row],[descuento antes de IVA]]-PROVEEDORES[[#This Row],[Descuento sobre subtotal $]]-PROVEEDORES[[#This Row],[Rete Fuente $]]</f>
        <v>1374000</v>
      </c>
      <c r="S121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0" spans="1:19" ht="21.95" hidden="1" customHeight="1" x14ac:dyDescent="0.25">
      <c r="A1220" s="39" t="str">
        <f>+IF(PROVEEDORES[[#This Row],[FECHA DE PAGO]]=PROVEEDORES[[#This Row],[FECHA DE FACTURACIÓN]],"DE CONTADO","CRÉDITO")</f>
        <v>CRÉDITO</v>
      </c>
      <c r="B1220" s="67" t="b">
        <f>+IF((PROVEEDORES[[#This Row],[FECHA DE PAGO]]-PROVEEDORES[[#This Row],[FECHA DE FACTURACIÓN]])&gt;PROVEEDORES[[#This Row],[PLAZO Días]],"PAGO VENCIDO")</f>
        <v>0</v>
      </c>
      <c r="C1220" s="27">
        <f>+VLOOKUP(PROVEEDORES[[#This Row],[PROVEEDOR]],TERCEROS_INFO[#All],2,FALSE)</f>
        <v>30</v>
      </c>
      <c r="D1220" s="37">
        <f>+SUMIFS(PROVEEDORES[Total],PROVEEDORES[PROVEEDOR],PROVEEDORES[[#This Row],[PROVEEDOR]],PROVEEDORES[FECHA DE PAGO],"")</f>
        <v>0</v>
      </c>
      <c r="E1220" s="37"/>
      <c r="F1220" s="108" t="str">
        <f>+VLOOKUP(PROVEEDORES[[#This Row],[PROVEEDOR]],TERCEROS_INFO[[PROVEEDOR]:[CORREO]],5,FALSE)</f>
        <v/>
      </c>
      <c r="G1220" s="143">
        <v>44053</v>
      </c>
      <c r="H1220" s="38" t="s">
        <v>114</v>
      </c>
      <c r="I1220" s="30">
        <v>44052</v>
      </c>
      <c r="J1220" s="58" t="s">
        <v>115</v>
      </c>
      <c r="K1220" s="32">
        <v>708000</v>
      </c>
      <c r="L1220" s="32"/>
      <c r="M1220" s="33">
        <f>(PROVEEDORES[[#This Row],[SUBTOTAL]]-PROVEEDORES[[#This Row],[descuento antes de IVA]])*VLOOKUP(PROVEEDORES[[#This Row],[PROVEEDOR]],TERCEROS_INFO[#All],3,FALSE)</f>
        <v>0</v>
      </c>
      <c r="N1220" s="34"/>
      <c r="O1220" s="33">
        <f>+PROVEEDORES[[#This Row],[Descuento sobre subtotal %]]*(PROVEEDORES[[#This Row],[SUBTOTAL]]-PROVEEDORES[[#This Row],[descuento antes de IVA]])</f>
        <v>0</v>
      </c>
      <c r="P12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0" s="33">
        <f>+(PROVEEDORES[[#This Row],[SUBTOTAL]]-PROVEEDORES[[#This Row],[descuento antes de IVA]])*PROVEEDORES[[#This Row],[Rete Fuente %]]</f>
        <v>0</v>
      </c>
      <c r="R1220" s="32">
        <f>+PROVEEDORES[[#This Row],[SUBTOTAL]]+PROVEEDORES[[#This Row],[IVA 19%]]-PROVEEDORES[[#This Row],[descuento antes de IVA]]-PROVEEDORES[[#This Row],[Descuento sobre subtotal $]]-PROVEEDORES[[#This Row],[Rete Fuente $]]</f>
        <v>708000</v>
      </c>
      <c r="S12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1" spans="1:19" ht="21.95" hidden="1" customHeight="1" x14ac:dyDescent="0.25">
      <c r="A1221" s="39" t="str">
        <f>+IF(PROVEEDORES[[#This Row],[FECHA DE PAGO]]=PROVEEDORES[[#This Row],[FECHA DE FACTURACIÓN]],"DE CONTADO","CRÉDITO")</f>
        <v>CRÉDITO</v>
      </c>
      <c r="B1221" s="67" t="b">
        <f>+IF((PROVEEDORES[[#This Row],[FECHA DE PAGO]]-PROVEEDORES[[#This Row],[FECHA DE FACTURACIÓN]])&gt;PROVEEDORES[[#This Row],[PLAZO Días]],"PAGO VENCIDO")</f>
        <v>0</v>
      </c>
      <c r="C1221" s="27">
        <f>+VLOOKUP(PROVEEDORES[[#This Row],[PROVEEDOR]],TERCEROS_INFO[#All],2,FALSE)</f>
        <v>30</v>
      </c>
      <c r="D1221" s="37">
        <f>+SUMIFS(PROVEEDORES[Total],PROVEEDORES[PROVEEDOR],PROVEEDORES[[#This Row],[PROVEEDOR]],PROVEEDORES[FECHA DE PAGO],"")</f>
        <v>0</v>
      </c>
      <c r="E1221" s="37"/>
      <c r="F1221" s="108" t="str">
        <f>+VLOOKUP(PROVEEDORES[[#This Row],[PROVEEDOR]],TERCEROS_INFO[[PROVEEDOR]:[CORREO]],5,FALSE)</f>
        <v/>
      </c>
      <c r="G1221" s="143">
        <v>44053</v>
      </c>
      <c r="H1221" s="38" t="s">
        <v>114</v>
      </c>
      <c r="I1221" s="30">
        <v>44052</v>
      </c>
      <c r="J1221" s="58" t="s">
        <v>116</v>
      </c>
      <c r="K1221" s="32">
        <v>1853000</v>
      </c>
      <c r="L1221" s="32"/>
      <c r="M1221" s="33">
        <f>(PROVEEDORES[[#This Row],[SUBTOTAL]]-PROVEEDORES[[#This Row],[descuento antes de IVA]])*VLOOKUP(PROVEEDORES[[#This Row],[PROVEEDOR]],TERCEROS_INFO[#All],3,FALSE)</f>
        <v>0</v>
      </c>
      <c r="N1221" s="34"/>
      <c r="O1221" s="33">
        <f>+PROVEEDORES[[#This Row],[Descuento sobre subtotal %]]*(PROVEEDORES[[#This Row],[SUBTOTAL]]-PROVEEDORES[[#This Row],[descuento antes de IVA]])</f>
        <v>0</v>
      </c>
      <c r="P12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1" s="33">
        <f>+(PROVEEDORES[[#This Row],[SUBTOTAL]]-PROVEEDORES[[#This Row],[descuento antes de IVA]])*PROVEEDORES[[#This Row],[Rete Fuente %]]</f>
        <v>0</v>
      </c>
      <c r="R1221" s="32">
        <f>+PROVEEDORES[[#This Row],[SUBTOTAL]]+PROVEEDORES[[#This Row],[IVA 19%]]-PROVEEDORES[[#This Row],[descuento antes de IVA]]-PROVEEDORES[[#This Row],[Descuento sobre subtotal $]]-PROVEEDORES[[#This Row],[Rete Fuente $]]</f>
        <v>1853000</v>
      </c>
      <c r="S12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2" spans="1:19" ht="21.95" hidden="1" customHeight="1" x14ac:dyDescent="0.25">
      <c r="A1222" s="119" t="str">
        <f>+IF(PROVEEDORES[[#This Row],[FECHA DE PAGO]]=PROVEEDORES[[#This Row],[FECHA DE FACTURACIÓN]],"DE CONTADO","CRÉDITO")</f>
        <v>CRÉDITO</v>
      </c>
      <c r="B1222" s="70" t="b">
        <f>+IF((PROVEEDORES[[#This Row],[FECHA DE PAGO]]-PROVEEDORES[[#This Row],[FECHA DE FACTURACIÓN]])&gt;PROVEEDORES[[#This Row],[PLAZO Días]],"PAGO VENCIDO")</f>
        <v>0</v>
      </c>
      <c r="C1222" s="27">
        <f>+VLOOKUP(PROVEEDORES[[#This Row],[PROVEEDOR]],TERCEROS_INFO[#All],2,FALSE)</f>
        <v>10</v>
      </c>
      <c r="D1222" s="37">
        <f>+SUMIFS(PROVEEDORES[Total],PROVEEDORES[PROVEEDOR],PROVEEDORES[[#This Row],[PROVEEDOR]],PROVEEDORES[FECHA DE PAGO],"")</f>
        <v>0</v>
      </c>
      <c r="E1222" s="37"/>
      <c r="F1222" s="108">
        <f>+VLOOKUP(PROVEEDORES[[#This Row],[PROVEEDOR]],TERCEROS_INFO[[PROVEEDOR]:[CORREO]],5,FALSE)</f>
        <v>0</v>
      </c>
      <c r="G1222" s="143">
        <v>44355</v>
      </c>
      <c r="H1222" s="38" t="s">
        <v>701</v>
      </c>
      <c r="I1222" s="30">
        <v>44354</v>
      </c>
      <c r="J1222" s="58">
        <v>282538</v>
      </c>
      <c r="K1222" s="32">
        <f>1142000+1046000</f>
        <v>2188000</v>
      </c>
      <c r="L1222" s="32"/>
      <c r="M1222" s="33">
        <f>(PROVEEDORES[[#This Row],[SUBTOTAL]]-PROVEEDORES[[#This Row],[descuento antes de IVA]])*VLOOKUP(PROVEEDORES[[#This Row],[PROVEEDOR]],TERCEROS_INFO[#All],3,FALSE)</f>
        <v>0</v>
      </c>
      <c r="N1222" s="34"/>
      <c r="O1222" s="33">
        <f>+PROVEEDORES[[#This Row],[Descuento sobre subtotal %]]*(PROVEEDORES[[#This Row],[SUBTOTAL]]-PROVEEDORES[[#This Row],[descuento antes de IVA]])</f>
        <v>0</v>
      </c>
      <c r="P12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2" s="33">
        <f>+(PROVEEDORES[[#This Row],[SUBTOTAL]]-PROVEEDORES[[#This Row],[descuento antes de IVA]])*PROVEEDORES[[#This Row],[Rete Fuente %]]</f>
        <v>0</v>
      </c>
      <c r="R1222" s="32">
        <f>+PROVEEDORES[[#This Row],[SUBTOTAL]]+PROVEEDORES[[#This Row],[IVA 19%]]-PROVEEDORES[[#This Row],[descuento antes de IVA]]-PROVEEDORES[[#This Row],[Descuento sobre subtotal $]]-PROVEEDORES[[#This Row],[Rete Fuente $]]</f>
        <v>2188000</v>
      </c>
      <c r="S1222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3" spans="1:19" ht="21.95" hidden="1" customHeight="1" x14ac:dyDescent="0.25">
      <c r="A1223" s="129" t="str">
        <f>+IF(PROVEEDORES[[#This Row],[FECHA DE PAGO]]=PROVEEDORES[[#This Row],[FECHA DE FACTURACIÓN]],"DE CONTADO","CRÉDITO")</f>
        <v>CRÉDITO</v>
      </c>
      <c r="B1223" s="70" t="b">
        <f>+IF((PROVEEDORES[[#This Row],[FECHA DE PAGO]]-PROVEEDORES[[#This Row],[FECHA DE FACTURACIÓN]])&gt;PROVEEDORES[[#This Row],[PLAZO Días]],"PAGO VENCIDO")</f>
        <v>0</v>
      </c>
      <c r="C1223" s="27">
        <f>+VLOOKUP(PROVEEDORES[[#This Row],[PROVEEDOR]],TERCEROS_INFO[#All],2,FALSE)</f>
        <v>10</v>
      </c>
      <c r="D1223" s="37">
        <f>+SUMIFS(PROVEEDORES[Total],PROVEEDORES[PROVEEDOR],PROVEEDORES[[#This Row],[PROVEEDOR]],PROVEEDORES[FECHA DE PAGO],"")</f>
        <v>0</v>
      </c>
      <c r="E1223" s="37"/>
      <c r="F1223" s="108">
        <f>+VLOOKUP(PROVEEDORES[[#This Row],[PROVEEDOR]],TERCEROS_INFO[[PROVEEDOR]:[CORREO]],5,FALSE)</f>
        <v>0</v>
      </c>
      <c r="G1223" s="143">
        <v>44379</v>
      </c>
      <c r="H1223" s="38" t="s">
        <v>701</v>
      </c>
      <c r="I1223" s="30">
        <v>44378</v>
      </c>
      <c r="J1223" s="58" t="s">
        <v>744</v>
      </c>
      <c r="K1223" s="32">
        <f>765000+1095000</f>
        <v>1860000</v>
      </c>
      <c r="L1223" s="32"/>
      <c r="M1223" s="33">
        <f>(PROVEEDORES[[#This Row],[SUBTOTAL]]-PROVEEDORES[[#This Row],[descuento antes de IVA]])*VLOOKUP(PROVEEDORES[[#This Row],[PROVEEDOR]],TERCEROS_INFO[#All],3,FALSE)</f>
        <v>0</v>
      </c>
      <c r="N1223" s="34"/>
      <c r="O1223" s="33">
        <f>+PROVEEDORES[[#This Row],[Descuento sobre subtotal %]]*(PROVEEDORES[[#This Row],[SUBTOTAL]]-PROVEEDORES[[#This Row],[descuento antes de IVA]])</f>
        <v>0</v>
      </c>
      <c r="P12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3" s="33">
        <f>+(PROVEEDORES[[#This Row],[SUBTOTAL]]-PROVEEDORES[[#This Row],[descuento antes de IVA]])*PROVEEDORES[[#This Row],[Rete Fuente %]]</f>
        <v>0</v>
      </c>
      <c r="R1223" s="32">
        <f>+PROVEEDORES[[#This Row],[SUBTOTAL]]+PROVEEDORES[[#This Row],[IVA 19%]]-PROVEEDORES[[#This Row],[descuento antes de IVA]]-PROVEEDORES[[#This Row],[Descuento sobre subtotal $]]-PROVEEDORES[[#This Row],[Rete Fuente $]]</f>
        <v>1860000</v>
      </c>
      <c r="S1223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4" spans="1:19" ht="21.95" hidden="1" customHeight="1" x14ac:dyDescent="0.25">
      <c r="A1224" s="39" t="str">
        <f>+IF(PROVEEDORES[[#This Row],[FECHA DE PAGO]]=PROVEEDORES[[#This Row],[FECHA DE FACTURACIÓN]],"DE CONTADO","CRÉDITO")</f>
        <v>CRÉDITO</v>
      </c>
      <c r="B1224" s="67" t="b">
        <f>+IF((PROVEEDORES[[#This Row],[FECHA DE PAGO]]-PROVEEDORES[[#This Row],[FECHA DE FACTURACIÓN]])&gt;PROVEEDORES[[#This Row],[PLAZO Días]],"PAGO VENCIDO")</f>
        <v>0</v>
      </c>
      <c r="C1224" s="27">
        <f>+VLOOKUP(PROVEEDORES[[#This Row],[PROVEEDOR]],TERCEROS_INFO[#All],2,FALSE)</f>
        <v>30</v>
      </c>
      <c r="D1224" s="37">
        <f>+SUMIFS(PROVEEDORES[Total],PROVEEDORES[PROVEEDOR],PROVEEDORES[[#This Row],[PROVEEDOR]],PROVEEDORES[FECHA DE PAGO],"")</f>
        <v>0</v>
      </c>
      <c r="E1224" s="37"/>
      <c r="F1224" s="108" t="str">
        <f>+VLOOKUP(PROVEEDORES[[#This Row],[PROVEEDOR]],TERCEROS_INFO[[PROVEEDOR]:[CORREO]],5,FALSE)</f>
        <v/>
      </c>
      <c r="G1224" s="143">
        <v>43998</v>
      </c>
      <c r="H1224" s="38" t="s">
        <v>83</v>
      </c>
      <c r="I1224" s="30">
        <v>43997</v>
      </c>
      <c r="J1224" s="58" t="s">
        <v>82</v>
      </c>
      <c r="K1224" s="32">
        <v>4276000</v>
      </c>
      <c r="L1224" s="32"/>
      <c r="M1224" s="33">
        <f>(PROVEEDORES[[#This Row],[SUBTOTAL]]-PROVEEDORES[[#This Row],[descuento antes de IVA]])*VLOOKUP(PROVEEDORES[[#This Row],[PROVEEDOR]],TERCEROS_INFO[#All],3,FALSE)</f>
        <v>0</v>
      </c>
      <c r="N1224" s="34"/>
      <c r="O1224" s="33">
        <f>+PROVEEDORES[[#This Row],[Descuento sobre subtotal %]]*(PROVEEDORES[[#This Row],[SUBTOTAL]]-PROVEEDORES[[#This Row],[descuento antes de IVA]])</f>
        <v>0</v>
      </c>
      <c r="P12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4" s="33">
        <f>+(PROVEEDORES[[#This Row],[SUBTOTAL]]-PROVEEDORES[[#This Row],[descuento antes de IVA]])*PROVEEDORES[[#This Row],[Rete Fuente %]]</f>
        <v>0</v>
      </c>
      <c r="R1224" s="32">
        <f>+PROVEEDORES[[#This Row],[SUBTOTAL]]+PROVEEDORES[[#This Row],[IVA 19%]]-PROVEEDORES[[#This Row],[descuento antes de IVA]]-PROVEEDORES[[#This Row],[Descuento sobre subtotal $]]-PROVEEDORES[[#This Row],[Rete Fuente $]]</f>
        <v>4276000</v>
      </c>
      <c r="S12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5" spans="1:19" ht="21.95" hidden="1" customHeight="1" x14ac:dyDescent="0.25">
      <c r="A1225" s="39" t="str">
        <f>+IF(PROVEEDORES[[#This Row],[FECHA DE PAGO]]=PROVEEDORES[[#This Row],[FECHA DE FACTURACIÓN]],"DE CONTADO","CRÉDITO")</f>
        <v>CRÉDITO</v>
      </c>
      <c r="B1225" s="67" t="b">
        <f>+IF((PROVEEDORES[[#This Row],[FECHA DE PAGO]]-PROVEEDORES[[#This Row],[FECHA DE FACTURACIÓN]])&gt;PROVEEDORES[[#This Row],[PLAZO Días]],"PAGO VENCIDO")</f>
        <v>0</v>
      </c>
      <c r="C1225" s="27">
        <f>+VLOOKUP(PROVEEDORES[[#This Row],[PROVEEDOR]],TERCEROS_INFO[#All],2,FALSE)</f>
        <v>30</v>
      </c>
      <c r="D1225" s="37">
        <f>+SUMIFS(PROVEEDORES[Total],PROVEEDORES[PROVEEDOR],PROVEEDORES[[#This Row],[PROVEEDOR]],PROVEEDORES[FECHA DE PAGO],"")</f>
        <v>0</v>
      </c>
      <c r="E1225" s="37" t="s">
        <v>361</v>
      </c>
      <c r="F1225" s="108" t="str">
        <f>+VLOOKUP(PROVEEDORES[[#This Row],[PROVEEDOR]],TERCEROS_INFO[[PROVEEDOR]:[CORREO]],5,FALSE)</f>
        <v>vromero@flashinternational.us;girlesa.ruiz@servipilas.com;joriescobar64@gmail.com</v>
      </c>
      <c r="G1225" s="143">
        <v>44071</v>
      </c>
      <c r="H1225" s="38" t="s">
        <v>387</v>
      </c>
      <c r="I1225" s="30">
        <v>44057</v>
      </c>
      <c r="J1225" s="58">
        <v>2088</v>
      </c>
      <c r="K1225" s="32">
        <v>933000</v>
      </c>
      <c r="L1225" s="32"/>
      <c r="M1225" s="33">
        <f>(PROVEEDORES[[#This Row],[SUBTOTAL]]-PROVEEDORES[[#This Row],[descuento antes de IVA]])*VLOOKUP(PROVEEDORES[[#This Row],[PROVEEDOR]],TERCEROS_INFO[#All],3,FALSE)</f>
        <v>0</v>
      </c>
      <c r="N1225" s="34"/>
      <c r="O1225" s="33">
        <f>+PROVEEDORES[[#This Row],[Descuento sobre subtotal %]]*(PROVEEDORES[[#This Row],[SUBTOTAL]]-PROVEEDORES[[#This Row],[descuento antes de IVA]])</f>
        <v>0</v>
      </c>
      <c r="P12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5" s="33">
        <f>+(PROVEEDORES[[#This Row],[SUBTOTAL]]-PROVEEDORES[[#This Row],[descuento antes de IVA]])*PROVEEDORES[[#This Row],[Rete Fuente %]]</f>
        <v>0</v>
      </c>
      <c r="R1225" s="32">
        <f>+PROVEEDORES[[#This Row],[SUBTOTAL]]+PROVEEDORES[[#This Row],[IVA 19%]]-PROVEEDORES[[#This Row],[descuento antes de IVA]]-PROVEEDORES[[#This Row],[Descuento sobre subtotal $]]-PROVEEDORES[[#This Row],[Rete Fuente $]]</f>
        <v>933000</v>
      </c>
      <c r="S12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6" spans="1:19" ht="21.95" hidden="1" customHeight="1" x14ac:dyDescent="0.25">
      <c r="A1226" s="39" t="str">
        <f>+IF(PROVEEDORES[[#This Row],[FECHA DE PAGO]]=PROVEEDORES[[#This Row],[FECHA DE FACTURACIÓN]],"DE CONTADO","CRÉDITO")</f>
        <v>CRÉDITO</v>
      </c>
      <c r="B1226" s="67" t="b">
        <f>+IF((PROVEEDORES[[#This Row],[FECHA DE PAGO]]-PROVEEDORES[[#This Row],[FECHA DE FACTURACIÓN]])&gt;PROVEEDORES[[#This Row],[PLAZO Días]],"PAGO VENCIDO")</f>
        <v>0</v>
      </c>
      <c r="C1226" s="27">
        <f>+VLOOKUP(PROVEEDORES[[#This Row],[PROVEEDOR]],TERCEROS_INFO[#All],2,FALSE)</f>
        <v>30</v>
      </c>
      <c r="D1226" s="37">
        <f>+SUMIFS(PROVEEDORES[Total],PROVEEDORES[PROVEEDOR],PROVEEDORES[[#This Row],[PROVEEDOR]],PROVEEDORES[FECHA DE PAGO],"")</f>
        <v>0</v>
      </c>
      <c r="E1226" s="37" t="s">
        <v>361</v>
      </c>
      <c r="F1226" s="108" t="str">
        <f>+VLOOKUP(PROVEEDORES[[#This Row],[PROVEEDOR]],TERCEROS_INFO[[PROVEEDOR]:[CORREO]],5,FALSE)</f>
        <v>vromero@flashinternational.us;girlesa.ruiz@servipilas.com;joriescobar64@gmail.com</v>
      </c>
      <c r="G1226" s="143">
        <v>44071</v>
      </c>
      <c r="H1226" s="38" t="s">
        <v>123</v>
      </c>
      <c r="I1226" s="30">
        <v>44056</v>
      </c>
      <c r="J1226" s="58" t="s">
        <v>122</v>
      </c>
      <c r="K1226" s="32">
        <v>1379000</v>
      </c>
      <c r="L1226" s="32"/>
      <c r="M1226" s="33">
        <f>(PROVEEDORES[[#This Row],[SUBTOTAL]]-PROVEEDORES[[#This Row],[descuento antes de IVA]])*VLOOKUP(PROVEEDORES[[#This Row],[PROVEEDOR]],TERCEROS_INFO[#All],3,FALSE)</f>
        <v>0</v>
      </c>
      <c r="N1226" s="34"/>
      <c r="O1226" s="33">
        <f>+PROVEEDORES[[#This Row],[Descuento sobre subtotal %]]*(PROVEEDORES[[#This Row],[SUBTOTAL]]-PROVEEDORES[[#This Row],[descuento antes de IVA]])</f>
        <v>0</v>
      </c>
      <c r="P12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6" s="33">
        <f>+(PROVEEDORES[[#This Row],[SUBTOTAL]]-PROVEEDORES[[#This Row],[descuento antes de IVA]])*PROVEEDORES[[#This Row],[Rete Fuente %]]</f>
        <v>0</v>
      </c>
      <c r="R1226" s="32">
        <f>+PROVEEDORES[[#This Row],[SUBTOTAL]]+PROVEEDORES[[#This Row],[IVA 19%]]-PROVEEDORES[[#This Row],[descuento antes de IVA]]-PROVEEDORES[[#This Row],[Descuento sobre subtotal $]]-PROVEEDORES[[#This Row],[Rete Fuente $]]</f>
        <v>1379000</v>
      </c>
      <c r="S122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7" spans="1:19" ht="21.95" hidden="1" customHeight="1" x14ac:dyDescent="0.25">
      <c r="A1227" s="39" t="str">
        <f>+IF(PROVEEDORES[[#This Row],[FECHA DE PAGO]]=PROVEEDORES[[#This Row],[FECHA DE FACTURACIÓN]],"DE CONTADO","CRÉDITO")</f>
        <v>CRÉDITO</v>
      </c>
      <c r="B1227" s="67" t="b">
        <f>+IF((PROVEEDORES[[#This Row],[FECHA DE PAGO]]-PROVEEDORES[[#This Row],[FECHA DE FACTURACIÓN]])&gt;PROVEEDORES[[#This Row],[PLAZO Días]],"PAGO VENCIDO")</f>
        <v>0</v>
      </c>
      <c r="C1227" s="27">
        <f>+VLOOKUP(PROVEEDORES[[#This Row],[PROVEEDOR]],TERCEROS_INFO[#All],2,FALSE)</f>
        <v>30</v>
      </c>
      <c r="D1227" s="37">
        <f>+SUMIFS(PROVEEDORES[Total],PROVEEDORES[PROVEEDOR],PROVEEDORES[[#This Row],[PROVEEDOR]],PROVEEDORES[FECHA DE PAGO],"")</f>
        <v>0</v>
      </c>
      <c r="E1227" s="37"/>
      <c r="F1227" s="108" t="str">
        <f>+VLOOKUP(PROVEEDORES[[#This Row],[PROVEEDOR]],TERCEROS_INFO[[PROVEEDOR]:[CORREO]],5,FALSE)</f>
        <v>vromero@flashinternational.us;girlesa.ruiz@servipilas.com;joriescobar64@gmail.com</v>
      </c>
      <c r="G1227" s="143">
        <v>44089</v>
      </c>
      <c r="H1227" s="38" t="s">
        <v>327</v>
      </c>
      <c r="I1227" s="30">
        <v>44085</v>
      </c>
      <c r="J1227" s="58" t="s">
        <v>140</v>
      </c>
      <c r="K1227" s="32">
        <v>1568000</v>
      </c>
      <c r="L1227" s="32"/>
      <c r="M1227" s="33">
        <f>(PROVEEDORES[[#This Row],[SUBTOTAL]]-PROVEEDORES[[#This Row],[descuento antes de IVA]])*VLOOKUP(PROVEEDORES[[#This Row],[PROVEEDOR]],TERCEROS_INFO[#All],3,FALSE)</f>
        <v>0</v>
      </c>
      <c r="N1227" s="34"/>
      <c r="O1227" s="33">
        <f>+PROVEEDORES[[#This Row],[Descuento sobre subtotal %]]*(PROVEEDORES[[#This Row],[SUBTOTAL]]-PROVEEDORES[[#This Row],[descuento antes de IVA]])</f>
        <v>0</v>
      </c>
      <c r="P12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7" s="33">
        <f>+(PROVEEDORES[[#This Row],[SUBTOTAL]]-PROVEEDORES[[#This Row],[descuento antes de IVA]])*PROVEEDORES[[#This Row],[Rete Fuente %]]</f>
        <v>0</v>
      </c>
      <c r="R1227" s="32">
        <f>+PROVEEDORES[[#This Row],[SUBTOTAL]]+PROVEEDORES[[#This Row],[IVA 19%]]-PROVEEDORES[[#This Row],[descuento antes de IVA]]-PROVEEDORES[[#This Row],[Descuento sobre subtotal $]]-PROVEEDORES[[#This Row],[Rete Fuente $]]</f>
        <v>1568000</v>
      </c>
      <c r="S122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8" spans="1:19" ht="21.95" hidden="1" customHeight="1" x14ac:dyDescent="0.25">
      <c r="A1228" s="39" t="str">
        <f>+IF(PROVEEDORES[[#This Row],[FECHA DE PAGO]]=PROVEEDORES[[#This Row],[FECHA DE FACTURACIÓN]],"DE CONTADO","CRÉDITO")</f>
        <v>CRÉDITO</v>
      </c>
      <c r="B1228" s="67" t="b">
        <f>+IF((PROVEEDORES[[#This Row],[FECHA DE PAGO]]-PROVEEDORES[[#This Row],[FECHA DE FACTURACIÓN]])&gt;PROVEEDORES[[#This Row],[PLAZO Días]],"PAGO VENCIDO")</f>
        <v>0</v>
      </c>
      <c r="C1228" s="27">
        <f>+VLOOKUP(PROVEEDORES[[#This Row],[PROVEEDOR]],TERCEROS_INFO[#All],2,FALSE)</f>
        <v>30</v>
      </c>
      <c r="D1228" s="37">
        <f>+SUMIFS(PROVEEDORES[Total],PROVEEDORES[PROVEEDOR],PROVEEDORES[[#This Row],[PROVEEDOR]],PROVEEDORES[FECHA DE PAGO],"")</f>
        <v>0</v>
      </c>
      <c r="E1228" s="37"/>
      <c r="F1228" s="108" t="str">
        <f>+VLOOKUP(PROVEEDORES[[#This Row],[PROVEEDOR]],TERCEROS_INFO[[PROVEEDOR]:[CORREO]],5,FALSE)</f>
        <v/>
      </c>
      <c r="G1228" s="143">
        <v>43897</v>
      </c>
      <c r="H1228" s="38" t="s">
        <v>61</v>
      </c>
      <c r="I1228" s="30">
        <v>43896</v>
      </c>
      <c r="J1228" s="58">
        <v>1614636</v>
      </c>
      <c r="K1228" s="32">
        <v>10304000</v>
      </c>
      <c r="L1228" s="32"/>
      <c r="M1228" s="33">
        <f>(PROVEEDORES[[#This Row],[SUBTOTAL]]-PROVEEDORES[[#This Row],[descuento antes de IVA]])*VLOOKUP(PROVEEDORES[[#This Row],[PROVEEDOR]],TERCEROS_INFO[#All],3,FALSE)</f>
        <v>0</v>
      </c>
      <c r="N1228" s="34"/>
      <c r="O1228" s="33">
        <f>+PROVEEDORES[[#This Row],[Descuento sobre subtotal %]]*(PROVEEDORES[[#This Row],[SUBTOTAL]]-PROVEEDORES[[#This Row],[descuento antes de IVA]])</f>
        <v>0</v>
      </c>
      <c r="P12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8" s="33">
        <f>+(PROVEEDORES[[#This Row],[SUBTOTAL]]-PROVEEDORES[[#This Row],[descuento antes de IVA]])*PROVEEDORES[[#This Row],[Rete Fuente %]]</f>
        <v>0</v>
      </c>
      <c r="R1228" s="32">
        <f>+PROVEEDORES[[#This Row],[SUBTOTAL]]+PROVEEDORES[[#This Row],[IVA 19%]]-PROVEEDORES[[#This Row],[descuento antes de IVA]]-PROVEEDORES[[#This Row],[Descuento sobre subtotal $]]-PROVEEDORES[[#This Row],[Rete Fuente $]]</f>
        <v>10304000</v>
      </c>
      <c r="S122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9" spans="1:19" ht="21.95" hidden="1" customHeight="1" x14ac:dyDescent="0.25">
      <c r="A1229" s="39" t="str">
        <f>+IF(PROVEEDORES[[#This Row],[FECHA DE PAGO]]=PROVEEDORES[[#This Row],[FECHA DE FACTURACIÓN]],"DE CONTADO","CRÉDITO")</f>
        <v>DE CONTADO</v>
      </c>
      <c r="B1229" s="67" t="b">
        <f>+IF((PROVEEDORES[[#This Row],[FECHA DE PAGO]]-PROVEEDORES[[#This Row],[FECHA DE FACTURACIÓN]])&gt;PROVEEDORES[[#This Row],[PLAZO Días]],"PAGO VENCIDO")</f>
        <v>0</v>
      </c>
      <c r="C1229" s="27">
        <f>+VLOOKUP(PROVEEDORES[[#This Row],[PROVEEDOR]],TERCEROS_INFO[#All],2,FALSE)</f>
        <v>30</v>
      </c>
      <c r="D1229" s="37">
        <f>+SUMIFS(PROVEEDORES[Total],PROVEEDORES[PROVEEDOR],PROVEEDORES[[#This Row],[PROVEEDOR]],PROVEEDORES[FECHA DE PAGO],"")</f>
        <v>0</v>
      </c>
      <c r="E1229" s="37"/>
      <c r="F1229" s="108" t="str">
        <f>+VLOOKUP(PROVEEDORES[[#This Row],[PROVEEDOR]],TERCEROS_INFO[[PROVEEDOR]:[CORREO]],5,FALSE)</f>
        <v/>
      </c>
      <c r="G1229" s="143">
        <v>44147</v>
      </c>
      <c r="H1229" s="38" t="s">
        <v>61</v>
      </c>
      <c r="I1229" s="30">
        <v>44147</v>
      </c>
      <c r="J1229" s="58">
        <v>52880</v>
      </c>
      <c r="K1229" s="32">
        <v>16052000</v>
      </c>
      <c r="L1229" s="32"/>
      <c r="M1229" s="33">
        <f>(PROVEEDORES[[#This Row],[SUBTOTAL]]-PROVEEDORES[[#This Row],[descuento antes de IVA]])*VLOOKUP(PROVEEDORES[[#This Row],[PROVEEDOR]],TERCEROS_INFO[#All],3,FALSE)</f>
        <v>0</v>
      </c>
      <c r="N1229" s="34"/>
      <c r="O1229" s="33">
        <f>+PROVEEDORES[[#This Row],[Descuento sobre subtotal %]]*(PROVEEDORES[[#This Row],[SUBTOTAL]]-PROVEEDORES[[#This Row],[descuento antes de IVA]])</f>
        <v>0</v>
      </c>
      <c r="P12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29" s="33">
        <f>+(PROVEEDORES[[#This Row],[SUBTOTAL]]-PROVEEDORES[[#This Row],[descuento antes de IVA]])*PROVEEDORES[[#This Row],[Rete Fuente %]]</f>
        <v>0</v>
      </c>
      <c r="R1229" s="32">
        <f>+PROVEEDORES[[#This Row],[SUBTOTAL]]+PROVEEDORES[[#This Row],[IVA 19%]]-PROVEEDORES[[#This Row],[descuento antes de IVA]]-PROVEEDORES[[#This Row],[Descuento sobre subtotal $]]-PROVEEDORES[[#This Row],[Rete Fuente $]]</f>
        <v>16052000</v>
      </c>
      <c r="S122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0" spans="1:19" ht="21.95" hidden="1" customHeight="1" x14ac:dyDescent="0.25">
      <c r="A1230" s="39" t="str">
        <f>+IF(PROVEEDORES[[#This Row],[FECHA DE PAGO]]=PROVEEDORES[[#This Row],[FECHA DE FACTURACIÓN]],"DE CONTADO","CRÉDITO")</f>
        <v>CRÉDITO</v>
      </c>
      <c r="B1230" s="67" t="b">
        <f>+IF((PROVEEDORES[[#This Row],[FECHA DE PAGO]]-PROVEEDORES[[#This Row],[FECHA DE FACTURACIÓN]])&gt;PROVEEDORES[[#This Row],[PLAZO Días]],"PAGO VENCIDO")</f>
        <v>0</v>
      </c>
      <c r="C1230" s="27">
        <f>+VLOOKUP(PROVEEDORES[[#This Row],[PROVEEDOR]],TERCEROS_INFO[#All],2,FALSE)</f>
        <v>30</v>
      </c>
      <c r="D1230" s="37">
        <f>+SUMIFS(PROVEEDORES[Total],PROVEEDORES[PROVEEDOR],PROVEEDORES[[#This Row],[PROVEEDOR]],PROVEEDORES[FECHA DE PAGO],"")</f>
        <v>0</v>
      </c>
      <c r="E1230" s="37"/>
      <c r="F1230" s="108" t="str">
        <f>+VLOOKUP(PROVEEDORES[[#This Row],[PROVEEDOR]],TERCEROS_INFO[[PROVEEDOR]:[CORREO]],5,FALSE)</f>
        <v/>
      </c>
      <c r="G1230" s="143">
        <v>44189</v>
      </c>
      <c r="H1230" s="38" t="s">
        <v>61</v>
      </c>
      <c r="I1230" s="30">
        <v>44188</v>
      </c>
      <c r="J1230" s="58">
        <v>53263</v>
      </c>
      <c r="K1230" s="32">
        <v>13489000</v>
      </c>
      <c r="L1230" s="32"/>
      <c r="M1230" s="33">
        <f>(PROVEEDORES[[#This Row],[SUBTOTAL]]-PROVEEDORES[[#This Row],[descuento antes de IVA]])*VLOOKUP(PROVEEDORES[[#This Row],[PROVEEDOR]],TERCEROS_INFO[#All],3,FALSE)</f>
        <v>0</v>
      </c>
      <c r="N1230" s="34"/>
      <c r="O1230" s="33">
        <f>+PROVEEDORES[[#This Row],[Descuento sobre subtotal %]]*(PROVEEDORES[[#This Row],[SUBTOTAL]]-PROVEEDORES[[#This Row],[descuento antes de IVA]])</f>
        <v>0</v>
      </c>
      <c r="P12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0" s="33">
        <f>+(PROVEEDORES[[#This Row],[SUBTOTAL]]-PROVEEDORES[[#This Row],[descuento antes de IVA]])*PROVEEDORES[[#This Row],[Rete Fuente %]]</f>
        <v>0</v>
      </c>
      <c r="R1230" s="32">
        <f>+PROVEEDORES[[#This Row],[SUBTOTAL]]+PROVEEDORES[[#This Row],[IVA 19%]]-PROVEEDORES[[#This Row],[descuento antes de IVA]]-PROVEEDORES[[#This Row],[Descuento sobre subtotal $]]-PROVEEDORES[[#This Row],[Rete Fuente $]]</f>
        <v>13489000</v>
      </c>
      <c r="S123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1" spans="1:19" ht="21.95" hidden="1" customHeight="1" x14ac:dyDescent="0.25">
      <c r="A1231" s="102" t="str">
        <f>+IF(PROVEEDORES[[#This Row],[FECHA DE PAGO]]=PROVEEDORES[[#This Row],[FECHA DE FACTURACIÓN]],"DE CONTADO","CRÉDITO")</f>
        <v>CRÉDITO</v>
      </c>
      <c r="B1231" s="70" t="b">
        <f>+IF((PROVEEDORES[[#This Row],[FECHA DE PAGO]]-PROVEEDORES[[#This Row],[FECHA DE FACTURACIÓN]])&gt;PROVEEDORES[[#This Row],[PLAZO Días]],"PAGO VENCIDO")</f>
        <v>0</v>
      </c>
      <c r="C1231" s="27">
        <f>+VLOOKUP(PROVEEDORES[[#This Row],[PROVEEDOR]],TERCEROS_INFO[#All],2,FALSE)</f>
        <v>30</v>
      </c>
      <c r="D1231" s="37">
        <f>+SUMIFS(PROVEEDORES[Total],PROVEEDORES[PROVEEDOR],PROVEEDORES[[#This Row],[PROVEEDOR]],PROVEEDORES[FECHA DE PAGO],"")</f>
        <v>0</v>
      </c>
      <c r="E1231" s="37"/>
      <c r="F1231" s="108" t="str">
        <f>+VLOOKUP(PROVEEDORES[[#This Row],[PROVEEDOR]],TERCEROS_INFO[[PROVEEDOR]:[CORREO]],5,FALSE)</f>
        <v/>
      </c>
      <c r="G1231" s="143">
        <v>44302</v>
      </c>
      <c r="H1231" s="57" t="s">
        <v>61</v>
      </c>
      <c r="I1231" s="30">
        <v>44301</v>
      </c>
      <c r="J1231" s="58">
        <v>53922</v>
      </c>
      <c r="K1231" s="32">
        <f>5290000+87000</f>
        <v>5377000</v>
      </c>
      <c r="L1231" s="32"/>
      <c r="M1231" s="33">
        <f>(PROVEEDORES[[#This Row],[SUBTOTAL]]-PROVEEDORES[[#This Row],[descuento antes de IVA]])*VLOOKUP(PROVEEDORES[[#This Row],[PROVEEDOR]],TERCEROS_INFO[#All],3,FALSE)</f>
        <v>0</v>
      </c>
      <c r="N1231" s="34"/>
      <c r="O1231" s="33">
        <f>+PROVEEDORES[[#This Row],[Descuento sobre subtotal %]]*(PROVEEDORES[[#This Row],[SUBTOTAL]]-PROVEEDORES[[#This Row],[descuento antes de IVA]])</f>
        <v>0</v>
      </c>
      <c r="P12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1" s="33">
        <f>+(PROVEEDORES[[#This Row],[SUBTOTAL]]-PROVEEDORES[[#This Row],[descuento antes de IVA]])*PROVEEDORES[[#This Row],[Rete Fuente %]]</f>
        <v>0</v>
      </c>
      <c r="R1231" s="32">
        <f>+PROVEEDORES[[#This Row],[SUBTOTAL]]+PROVEEDORES[[#This Row],[IVA 19%]]-PROVEEDORES[[#This Row],[descuento antes de IVA]]-PROVEEDORES[[#This Row],[Descuento sobre subtotal $]]-PROVEEDORES[[#This Row],[Rete Fuente $]]</f>
        <v>5377000</v>
      </c>
      <c r="S1231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2" spans="1:19" ht="21.95" hidden="1" customHeight="1" x14ac:dyDescent="0.25">
      <c r="A1232" s="133" t="str">
        <f>+IF(PROVEEDORES[[#This Row],[FECHA DE PAGO]]=PROVEEDORES[[#This Row],[FECHA DE FACTURACIÓN]],"DE CONTADO","CRÉDITO")</f>
        <v>CRÉDITO</v>
      </c>
      <c r="B1232" s="70" t="b">
        <f>+IF((PROVEEDORES[[#This Row],[FECHA DE PAGO]]-PROVEEDORES[[#This Row],[FECHA DE FACTURACIÓN]])&gt;PROVEEDORES[[#This Row],[PLAZO Días]],"PAGO VENCIDO")</f>
        <v>0</v>
      </c>
      <c r="C1232" s="27">
        <f>+VLOOKUP(PROVEEDORES[[#This Row],[PROVEEDOR]],TERCEROS_INFO[#All],2,FALSE)</f>
        <v>30</v>
      </c>
      <c r="D1232" s="37">
        <f>+SUMIFS(PROVEEDORES[Total],PROVEEDORES[PROVEEDOR],PROVEEDORES[[#This Row],[PROVEEDOR]],PROVEEDORES[FECHA DE PAGO],"")</f>
        <v>0</v>
      </c>
      <c r="E1232" s="37"/>
      <c r="F1232" s="108" t="str">
        <f>+VLOOKUP(PROVEEDORES[[#This Row],[PROVEEDOR]],TERCEROS_INFO[[PROVEEDOR]:[CORREO]],5,FALSE)</f>
        <v/>
      </c>
      <c r="G1232" s="143">
        <v>44393</v>
      </c>
      <c r="H1232" s="57" t="s">
        <v>61</v>
      </c>
      <c r="I1232" s="30">
        <v>44391</v>
      </c>
      <c r="J1232" s="58">
        <v>54504</v>
      </c>
      <c r="K1232" s="32">
        <f>13067000+110000</f>
        <v>13177000</v>
      </c>
      <c r="L1232" s="32"/>
      <c r="M1232" s="33">
        <f>(PROVEEDORES[[#This Row],[SUBTOTAL]]-PROVEEDORES[[#This Row],[descuento antes de IVA]])*VLOOKUP(PROVEEDORES[[#This Row],[PROVEEDOR]],TERCEROS_INFO[#All],3,FALSE)</f>
        <v>0</v>
      </c>
      <c r="N1232" s="34"/>
      <c r="O1232" s="33">
        <f>+PROVEEDORES[[#This Row],[Descuento sobre subtotal %]]*(PROVEEDORES[[#This Row],[SUBTOTAL]]-PROVEEDORES[[#This Row],[descuento antes de IVA]])</f>
        <v>0</v>
      </c>
      <c r="P12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2" s="33">
        <f>+(PROVEEDORES[[#This Row],[SUBTOTAL]]-PROVEEDORES[[#This Row],[descuento antes de IVA]])*PROVEEDORES[[#This Row],[Rete Fuente %]]</f>
        <v>0</v>
      </c>
      <c r="R1232" s="32">
        <f>+PROVEEDORES[[#This Row],[SUBTOTAL]]+PROVEEDORES[[#This Row],[IVA 19%]]-PROVEEDORES[[#This Row],[descuento antes de IVA]]-PROVEEDORES[[#This Row],[Descuento sobre subtotal $]]-PROVEEDORES[[#This Row],[Rete Fuente $]]</f>
        <v>13177000</v>
      </c>
      <c r="S1232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3" spans="1:19" ht="21.95" hidden="1" customHeight="1" x14ac:dyDescent="0.25">
      <c r="A1233" s="161" t="str">
        <f>+IF(PROVEEDORES[[#This Row],[FECHA DE PAGO]]=PROVEEDORES[[#This Row],[FECHA DE FACTURACIÓN]],"DE CONTADO","CRÉDITO")</f>
        <v>CRÉDITO</v>
      </c>
      <c r="B1233" s="70" t="b">
        <f>+IF((PROVEEDORES[[#This Row],[FECHA DE PAGO]]-PROVEEDORES[[#This Row],[FECHA DE FACTURACIÓN]])&gt;PROVEEDORES[[#This Row],[PLAZO Días]],"PAGO VENCIDO")</f>
        <v>0</v>
      </c>
      <c r="C1233" s="27">
        <f>+VLOOKUP(PROVEEDORES[[#This Row],[PROVEEDOR]],TERCEROS_INFO[#All],2,FALSE)</f>
        <v>30</v>
      </c>
      <c r="D1233" s="37">
        <f>+SUMIFS(PROVEEDORES[Total],PROVEEDORES[PROVEEDOR],PROVEEDORES[[#This Row],[PROVEEDOR]],PROVEEDORES[FECHA DE PAGO],"")</f>
        <v>0</v>
      </c>
      <c r="E1233" s="37"/>
      <c r="F1233" s="108" t="str">
        <f>+VLOOKUP(PROVEEDORES[[#This Row],[PROVEEDOR]],TERCEROS_INFO[[PROVEEDOR]:[CORREO]],5,FALSE)</f>
        <v/>
      </c>
      <c r="G1233" s="143">
        <v>44502</v>
      </c>
      <c r="H1233" s="57" t="s">
        <v>61</v>
      </c>
      <c r="I1233" s="30">
        <v>44501</v>
      </c>
      <c r="J1233" s="58">
        <v>55161</v>
      </c>
      <c r="K1233" s="32">
        <f>217000+7548000+407000</f>
        <v>8172000</v>
      </c>
      <c r="L1233" s="32"/>
      <c r="M1233" s="33">
        <f>(PROVEEDORES[[#This Row],[SUBTOTAL]]-PROVEEDORES[[#This Row],[descuento antes de IVA]])*VLOOKUP(PROVEEDORES[[#This Row],[PROVEEDOR]],TERCEROS_INFO[#All],3,FALSE)</f>
        <v>0</v>
      </c>
      <c r="N1233" s="34"/>
      <c r="O1233" s="33">
        <f>+PROVEEDORES[[#This Row],[Descuento sobre subtotal %]]*(PROVEEDORES[[#This Row],[SUBTOTAL]]-PROVEEDORES[[#This Row],[descuento antes de IVA]])</f>
        <v>0</v>
      </c>
      <c r="P12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3" s="33">
        <f>+(PROVEEDORES[[#This Row],[SUBTOTAL]]-PROVEEDORES[[#This Row],[descuento antes de IVA]])*PROVEEDORES[[#This Row],[Rete Fuente %]]</f>
        <v>0</v>
      </c>
      <c r="R1233" s="32">
        <f>+PROVEEDORES[[#This Row],[SUBTOTAL]]+PROVEEDORES[[#This Row],[IVA 19%]]-PROVEEDORES[[#This Row],[descuento antes de IVA]]-PROVEEDORES[[#This Row],[Descuento sobre subtotal $]]-PROVEEDORES[[#This Row],[Rete Fuente $]]</f>
        <v>8172000</v>
      </c>
      <c r="S1233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4" spans="1:19" ht="21.95" hidden="1" customHeight="1" x14ac:dyDescent="0.25">
      <c r="A1234" s="35" t="str">
        <f>+IF(PROVEEDORES[[#This Row],[FECHA DE PAGO]]=PROVEEDORES[[#This Row],[FECHA DE FACTURACIÓN]],"DE CONTADO","CRÉDITO")</f>
        <v>CRÉDITO</v>
      </c>
      <c r="B1234" s="70" t="b">
        <f>+IF((PROVEEDORES[[#This Row],[FECHA DE PAGO]]-PROVEEDORES[[#This Row],[FECHA DE FACTURACIÓN]])&gt;PROVEEDORES[[#This Row],[PLAZO Días]],"PAGO VENCIDO")</f>
        <v>0</v>
      </c>
      <c r="C1234" s="27">
        <f>+VLOOKUP(PROVEEDORES[[#This Row],[PROVEEDOR]],TERCEROS_INFO[#All],2,FALSE)</f>
        <v>30</v>
      </c>
      <c r="D1234" s="37">
        <f>+SUMIFS(PROVEEDORES[Total],PROVEEDORES[PROVEEDOR],PROVEEDORES[[#This Row],[PROVEEDOR]],PROVEEDORES[FECHA DE PAGO],"")</f>
        <v>0</v>
      </c>
      <c r="E1234" s="37"/>
      <c r="F1234" s="108" t="str">
        <f>+VLOOKUP(PROVEEDORES[[#This Row],[PROVEEDOR]],TERCEROS_INFO[[PROVEEDOR]:[CORREO]],5,FALSE)</f>
        <v/>
      </c>
      <c r="G1234" s="143">
        <v>44543</v>
      </c>
      <c r="H1234" s="57" t="s">
        <v>61</v>
      </c>
      <c r="I1234" s="30">
        <v>44542</v>
      </c>
      <c r="J1234" s="58">
        <v>55546</v>
      </c>
      <c r="K1234" s="32">
        <f>9790000+4929000+190000</f>
        <v>14909000</v>
      </c>
      <c r="L1234" s="32"/>
      <c r="M1234" s="33">
        <f>(PROVEEDORES[[#This Row],[SUBTOTAL]]-PROVEEDORES[[#This Row],[descuento antes de IVA]])*VLOOKUP(PROVEEDORES[[#This Row],[PROVEEDOR]],TERCEROS_INFO[#All],3,FALSE)</f>
        <v>0</v>
      </c>
      <c r="N1234" s="34"/>
      <c r="O1234" s="33">
        <f>+PROVEEDORES[[#This Row],[Descuento sobre subtotal %]]*(PROVEEDORES[[#This Row],[SUBTOTAL]]-PROVEEDORES[[#This Row],[descuento antes de IVA]])</f>
        <v>0</v>
      </c>
      <c r="P12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4" s="33">
        <f>+(PROVEEDORES[[#This Row],[SUBTOTAL]]-PROVEEDORES[[#This Row],[descuento antes de IVA]])*PROVEEDORES[[#This Row],[Rete Fuente %]]</f>
        <v>0</v>
      </c>
      <c r="R1234" s="32">
        <f>+PROVEEDORES[[#This Row],[SUBTOTAL]]+PROVEEDORES[[#This Row],[IVA 19%]]-PROVEEDORES[[#This Row],[descuento antes de IVA]]-PROVEEDORES[[#This Row],[Descuento sobre subtotal $]]-PROVEEDORES[[#This Row],[Rete Fuente $]]</f>
        <v>14909000</v>
      </c>
      <c r="S123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5" spans="1:19" ht="21.95" hidden="1" customHeight="1" x14ac:dyDescent="0.25">
      <c r="A1235" s="39" t="str">
        <f>+IF(PROVEEDORES[[#This Row],[FECHA DE PAGO]]=PROVEEDORES[[#This Row],[FECHA DE FACTURACIÓN]],"DE CONTADO","CRÉDITO")</f>
        <v>DE CONTADO</v>
      </c>
      <c r="B1235" s="67" t="b">
        <f>+IF((PROVEEDORES[[#This Row],[FECHA DE PAGO]]-PROVEEDORES[[#This Row],[FECHA DE FACTURACIÓN]])&gt;PROVEEDORES[[#This Row],[PLAZO Días]],"PAGO VENCIDO")</f>
        <v>0</v>
      </c>
      <c r="C1235" s="27">
        <f>+VLOOKUP(PROVEEDORES[[#This Row],[PROVEEDOR]],TERCEROS_INFO[#All],2,FALSE)</f>
        <v>30</v>
      </c>
      <c r="D1235" s="37">
        <f>+SUMIFS(PROVEEDORES[Total],PROVEEDORES[PROVEEDOR],PROVEEDORES[[#This Row],[PROVEEDOR]],PROVEEDORES[FECHA DE PAGO],"")</f>
        <v>0</v>
      </c>
      <c r="E1235" s="37" t="s">
        <v>362</v>
      </c>
      <c r="F1235" s="108" t="str">
        <f>+VLOOKUP(PROVEEDORES[[#This Row],[PROVEEDOR]],TERCEROS_INFO[[PROVEEDOR]:[CORREO]],5,FALSE)</f>
        <v/>
      </c>
      <c r="G1235" s="143">
        <v>43920</v>
      </c>
      <c r="H1235" s="38" t="s">
        <v>59</v>
      </c>
      <c r="I1235" s="30">
        <v>43920</v>
      </c>
      <c r="J1235" s="58">
        <v>1614636</v>
      </c>
      <c r="K1235" s="32">
        <v>1522000</v>
      </c>
      <c r="L1235" s="32"/>
      <c r="M1235" s="33">
        <f>(PROVEEDORES[[#This Row],[SUBTOTAL]]-PROVEEDORES[[#This Row],[descuento antes de IVA]])*VLOOKUP(PROVEEDORES[[#This Row],[PROVEEDOR]],TERCEROS_INFO[#All],3,FALSE)</f>
        <v>0</v>
      </c>
      <c r="N1235" s="34"/>
      <c r="O1235" s="33">
        <f>+PROVEEDORES[[#This Row],[Descuento sobre subtotal %]]*(PROVEEDORES[[#This Row],[SUBTOTAL]]-PROVEEDORES[[#This Row],[descuento antes de IVA]])</f>
        <v>0</v>
      </c>
      <c r="P12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5" s="33">
        <f>+(PROVEEDORES[[#This Row],[SUBTOTAL]]-PROVEEDORES[[#This Row],[descuento antes de IVA]])*PROVEEDORES[[#This Row],[Rete Fuente %]]</f>
        <v>0</v>
      </c>
      <c r="R1235" s="32">
        <f>+PROVEEDORES[[#This Row],[SUBTOTAL]]+PROVEEDORES[[#This Row],[IVA 19%]]-PROVEEDORES[[#This Row],[descuento antes de IVA]]-PROVEEDORES[[#This Row],[Descuento sobre subtotal $]]-PROVEEDORES[[#This Row],[Rete Fuente $]]</f>
        <v>1522000</v>
      </c>
      <c r="S123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6" spans="1:19" ht="21.95" hidden="1" customHeight="1" x14ac:dyDescent="0.25">
      <c r="A1236" s="153" t="str">
        <f>+IF(PROVEEDORES[[#This Row],[FECHA DE PAGO]]=PROVEEDORES[[#This Row],[FECHA DE FACTURACIÓN]],"DE CONTADO","CRÉDITO")</f>
        <v>CRÉDITO</v>
      </c>
      <c r="B1236" s="70" t="b">
        <f>+IF((PROVEEDORES[[#This Row],[FECHA DE PAGO]]-PROVEEDORES[[#This Row],[FECHA DE FACTURACIÓN]])&gt;PROVEEDORES[[#This Row],[PLAZO Días]],"PAGO VENCIDO")</f>
        <v>0</v>
      </c>
      <c r="C1236" s="27">
        <f>+VLOOKUP(PROVEEDORES[[#This Row],[PROVEEDOR]],TERCEROS_INFO[#All],2,FALSE)</f>
        <v>30</v>
      </c>
      <c r="D1236" s="37">
        <f>+SUMIFS(PROVEEDORES[Total],PROVEEDORES[PROVEEDOR],PROVEEDORES[[#This Row],[PROVEEDOR]],PROVEEDORES[FECHA DE PAGO],"")</f>
        <v>0</v>
      </c>
      <c r="E1236" s="37"/>
      <c r="F1236" s="108" t="str">
        <f>+VLOOKUP(PROVEEDORES[[#This Row],[PROVEEDOR]],TERCEROS_INFO[[PROVEEDOR]:[CORREO]],5,FALSE)</f>
        <v/>
      </c>
      <c r="G1236" s="143">
        <v>44460</v>
      </c>
      <c r="H1236" s="38" t="s">
        <v>59</v>
      </c>
      <c r="I1236" s="30">
        <v>44459</v>
      </c>
      <c r="J1236" s="58">
        <v>284978</v>
      </c>
      <c r="K1236" s="32">
        <f>2194000+425000</f>
        <v>2619000</v>
      </c>
      <c r="L1236" s="32"/>
      <c r="M1236" s="33">
        <f>(PROVEEDORES[[#This Row],[SUBTOTAL]]-PROVEEDORES[[#This Row],[descuento antes de IVA]])*VLOOKUP(PROVEEDORES[[#This Row],[PROVEEDOR]],TERCEROS_INFO[#All],3,FALSE)</f>
        <v>0</v>
      </c>
      <c r="N1236" s="34"/>
      <c r="O1236" s="33">
        <f>+PROVEEDORES[[#This Row],[Descuento sobre subtotal %]]*(PROVEEDORES[[#This Row],[SUBTOTAL]]-PROVEEDORES[[#This Row],[descuento antes de IVA]])</f>
        <v>0</v>
      </c>
      <c r="P12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6" s="33">
        <f>+(PROVEEDORES[[#This Row],[SUBTOTAL]]-PROVEEDORES[[#This Row],[descuento antes de IVA]])*PROVEEDORES[[#This Row],[Rete Fuente %]]</f>
        <v>0</v>
      </c>
      <c r="R1236" s="32">
        <f>+PROVEEDORES[[#This Row],[SUBTOTAL]]+PROVEEDORES[[#This Row],[IVA 19%]]-PROVEEDORES[[#This Row],[descuento antes de IVA]]-PROVEEDORES[[#This Row],[Descuento sobre subtotal $]]-PROVEEDORES[[#This Row],[Rete Fuente $]]</f>
        <v>2619000</v>
      </c>
      <c r="S1236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7" spans="1:19" ht="21.95" hidden="1" customHeight="1" x14ac:dyDescent="0.25">
      <c r="A1237" s="157" t="str">
        <f>+IF(PROVEEDORES[[#This Row],[FECHA DE PAGO]]=PROVEEDORES[[#This Row],[FECHA DE FACTURACIÓN]],"DE CONTADO","CRÉDITO")</f>
        <v>CRÉDITO</v>
      </c>
      <c r="B1237" s="70" t="b">
        <f>+IF((PROVEEDORES[[#This Row],[FECHA DE PAGO]]-PROVEEDORES[[#This Row],[FECHA DE FACTURACIÓN]])&gt;PROVEEDORES[[#This Row],[PLAZO Días]],"PAGO VENCIDO")</f>
        <v>0</v>
      </c>
      <c r="C1237" s="27">
        <f>+VLOOKUP(PROVEEDORES[[#This Row],[PROVEEDOR]],TERCEROS_INFO[#All],2,FALSE)</f>
        <v>30</v>
      </c>
      <c r="D1237" s="37">
        <f>+SUMIFS(PROVEEDORES[Total],PROVEEDORES[PROVEEDOR],PROVEEDORES[[#This Row],[PROVEEDOR]],PROVEEDORES[FECHA DE PAGO],"")</f>
        <v>0</v>
      </c>
      <c r="E1237" s="37"/>
      <c r="F1237" s="108" t="str">
        <f>+VLOOKUP(PROVEEDORES[[#This Row],[PROVEEDOR]],TERCEROS_INFO[[PROVEEDOR]:[CORREO]],5,FALSE)</f>
        <v/>
      </c>
      <c r="G1237" s="143">
        <v>44489</v>
      </c>
      <c r="H1237" s="38" t="s">
        <v>59</v>
      </c>
      <c r="I1237" s="30">
        <v>44488</v>
      </c>
      <c r="J1237" s="58">
        <v>285851</v>
      </c>
      <c r="K1237" s="32">
        <v>1531000</v>
      </c>
      <c r="L1237" s="32"/>
      <c r="M1237" s="33">
        <f>(PROVEEDORES[[#This Row],[SUBTOTAL]]-PROVEEDORES[[#This Row],[descuento antes de IVA]])*VLOOKUP(PROVEEDORES[[#This Row],[PROVEEDOR]],TERCEROS_INFO[#All],3,FALSE)</f>
        <v>0</v>
      </c>
      <c r="N1237" s="34"/>
      <c r="O1237" s="33">
        <f>+PROVEEDORES[[#This Row],[Descuento sobre subtotal %]]*(PROVEEDORES[[#This Row],[SUBTOTAL]]-PROVEEDORES[[#This Row],[descuento antes de IVA]])</f>
        <v>0</v>
      </c>
      <c r="P12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7" s="33">
        <f>+(PROVEEDORES[[#This Row],[SUBTOTAL]]-PROVEEDORES[[#This Row],[descuento antes de IVA]])*PROVEEDORES[[#This Row],[Rete Fuente %]]</f>
        <v>0</v>
      </c>
      <c r="R1237" s="32">
        <f>+PROVEEDORES[[#This Row],[SUBTOTAL]]+PROVEEDORES[[#This Row],[IVA 19%]]-PROVEEDORES[[#This Row],[descuento antes de IVA]]-PROVEEDORES[[#This Row],[Descuento sobre subtotal $]]-PROVEEDORES[[#This Row],[Rete Fuente $]]</f>
        <v>1531000</v>
      </c>
      <c r="S1237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8" spans="1:19" ht="21.95" hidden="1" customHeight="1" x14ac:dyDescent="0.25">
      <c r="A1238" s="157" t="str">
        <f>+IF(PROVEEDORES[[#This Row],[FECHA DE PAGO]]=PROVEEDORES[[#This Row],[FECHA DE FACTURACIÓN]],"DE CONTADO","CRÉDITO")</f>
        <v>CRÉDITO</v>
      </c>
      <c r="B1238" s="70" t="b">
        <f>+IF((PROVEEDORES[[#This Row],[FECHA DE PAGO]]-PROVEEDORES[[#This Row],[FECHA DE FACTURACIÓN]])&gt;PROVEEDORES[[#This Row],[PLAZO Días]],"PAGO VENCIDO")</f>
        <v>0</v>
      </c>
      <c r="C1238" s="27">
        <f>+VLOOKUP(PROVEEDORES[[#This Row],[PROVEEDOR]],TERCEROS_INFO[#All],2,FALSE)</f>
        <v>30</v>
      </c>
      <c r="D1238" s="37">
        <f>+SUMIFS(PROVEEDORES[Total],PROVEEDORES[PROVEEDOR],PROVEEDORES[[#This Row],[PROVEEDOR]],PROVEEDORES[FECHA DE PAGO],"")</f>
        <v>0</v>
      </c>
      <c r="E1238" s="37"/>
      <c r="F1238" s="108" t="str">
        <f>+VLOOKUP(PROVEEDORES[[#This Row],[PROVEEDOR]],TERCEROS_INFO[[PROVEEDOR]:[CORREO]],5,FALSE)</f>
        <v/>
      </c>
      <c r="G1238" s="143">
        <v>44494</v>
      </c>
      <c r="H1238" s="38" t="s">
        <v>59</v>
      </c>
      <c r="I1238" s="30">
        <v>44493</v>
      </c>
      <c r="J1238" s="58">
        <v>285759</v>
      </c>
      <c r="K1238" s="32">
        <f>4675000+81000+91000</f>
        <v>4847000</v>
      </c>
      <c r="L1238" s="32"/>
      <c r="M1238" s="33">
        <f>(PROVEEDORES[[#This Row],[SUBTOTAL]]-PROVEEDORES[[#This Row],[descuento antes de IVA]])*VLOOKUP(PROVEEDORES[[#This Row],[PROVEEDOR]],TERCEROS_INFO[#All],3,FALSE)</f>
        <v>0</v>
      </c>
      <c r="N1238" s="34"/>
      <c r="O1238" s="33">
        <f>+PROVEEDORES[[#This Row],[Descuento sobre subtotal %]]*(PROVEEDORES[[#This Row],[SUBTOTAL]]-PROVEEDORES[[#This Row],[descuento antes de IVA]])</f>
        <v>0</v>
      </c>
      <c r="P12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8" s="33">
        <f>+(PROVEEDORES[[#This Row],[SUBTOTAL]]-PROVEEDORES[[#This Row],[descuento antes de IVA]])*PROVEEDORES[[#This Row],[Rete Fuente %]]</f>
        <v>0</v>
      </c>
      <c r="R1238" s="32">
        <f>+PROVEEDORES[[#This Row],[SUBTOTAL]]+PROVEEDORES[[#This Row],[IVA 19%]]-PROVEEDORES[[#This Row],[descuento antes de IVA]]-PROVEEDORES[[#This Row],[Descuento sobre subtotal $]]-PROVEEDORES[[#This Row],[Rete Fuente $]]</f>
        <v>4847000</v>
      </c>
      <c r="S1238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9" spans="1:19" ht="21.95" hidden="1" customHeight="1" x14ac:dyDescent="0.25">
      <c r="A1239" s="35" t="str">
        <f>+IF(PROVEEDORES[[#This Row],[FECHA DE PAGO]]=PROVEEDORES[[#This Row],[FECHA DE FACTURACIÓN]],"DE CONTADO","CRÉDITO")</f>
        <v>CRÉDITO</v>
      </c>
      <c r="B1239" s="70" t="b">
        <f>+IF((PROVEEDORES[[#This Row],[FECHA DE PAGO]]-PROVEEDORES[[#This Row],[FECHA DE FACTURACIÓN]])&gt;PROVEEDORES[[#This Row],[PLAZO Días]],"PAGO VENCIDO")</f>
        <v>0</v>
      </c>
      <c r="C1239" s="27">
        <f>+VLOOKUP(PROVEEDORES[[#This Row],[PROVEEDOR]],TERCEROS_INFO[#All],2,FALSE)</f>
        <v>30</v>
      </c>
      <c r="D1239" s="37">
        <f>+SUMIFS(PROVEEDORES[Total],PROVEEDORES[PROVEEDOR],PROVEEDORES[[#This Row],[PROVEEDOR]],PROVEEDORES[FECHA DE PAGO],"")</f>
        <v>0</v>
      </c>
      <c r="E1239" s="37"/>
      <c r="F1239" s="108" t="str">
        <f>+VLOOKUP(PROVEEDORES[[#This Row],[PROVEEDOR]],TERCEROS_INFO[[PROVEEDOR]:[CORREO]],5,FALSE)</f>
        <v/>
      </c>
      <c r="G1239" s="143">
        <v>44537</v>
      </c>
      <c r="H1239" s="38" t="s">
        <v>59</v>
      </c>
      <c r="I1239" s="30">
        <v>44536</v>
      </c>
      <c r="J1239" s="58">
        <v>286942</v>
      </c>
      <c r="K1239" s="32">
        <v>2175000</v>
      </c>
      <c r="L1239" s="32"/>
      <c r="M1239" s="33">
        <f>(PROVEEDORES[[#This Row],[SUBTOTAL]]-PROVEEDORES[[#This Row],[descuento antes de IVA]])*VLOOKUP(PROVEEDORES[[#This Row],[PROVEEDOR]],TERCEROS_INFO[#All],3,FALSE)</f>
        <v>0</v>
      </c>
      <c r="N1239" s="34"/>
      <c r="O1239" s="33">
        <f>+PROVEEDORES[[#This Row],[Descuento sobre subtotal %]]*(PROVEEDORES[[#This Row],[SUBTOTAL]]-PROVEEDORES[[#This Row],[descuento antes de IVA]])</f>
        <v>0</v>
      </c>
      <c r="P12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39" s="33">
        <f>+(PROVEEDORES[[#This Row],[SUBTOTAL]]-PROVEEDORES[[#This Row],[descuento antes de IVA]])*PROVEEDORES[[#This Row],[Rete Fuente %]]</f>
        <v>0</v>
      </c>
      <c r="R1239" s="32">
        <f>+PROVEEDORES[[#This Row],[SUBTOTAL]]+PROVEEDORES[[#This Row],[IVA 19%]]-PROVEEDORES[[#This Row],[descuento antes de IVA]]-PROVEEDORES[[#This Row],[Descuento sobre subtotal $]]-PROVEEDORES[[#This Row],[Rete Fuente $]]</f>
        <v>2175000</v>
      </c>
      <c r="S123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0" spans="1:19" ht="21.95" hidden="1" customHeight="1" x14ac:dyDescent="0.25">
      <c r="A1240" s="39" t="str">
        <f>+IF(PROVEEDORES[[#This Row],[FECHA DE PAGO]]=PROVEEDORES[[#This Row],[FECHA DE FACTURACIÓN]],"DE CONTADO","CRÉDITO")</f>
        <v>DE CONTADO</v>
      </c>
      <c r="B1240" s="67" t="b">
        <f>+IF((PROVEEDORES[[#This Row],[FECHA DE PAGO]]-PROVEEDORES[[#This Row],[FECHA DE FACTURACIÓN]])&gt;PROVEEDORES[[#This Row],[PLAZO Días]],"PAGO VENCIDO")</f>
        <v>0</v>
      </c>
      <c r="C1240" s="27">
        <f>+VLOOKUP(PROVEEDORES[[#This Row],[PROVEEDOR]],TERCEROS_INFO[#All],2,FALSE)</f>
        <v>30</v>
      </c>
      <c r="D1240" s="37">
        <f>+SUMIFS(PROVEEDORES[Total],PROVEEDORES[PROVEEDOR],PROVEEDORES[[#This Row],[PROVEEDOR]],PROVEEDORES[FECHA DE PAGO],"")</f>
        <v>0</v>
      </c>
      <c r="E1240" s="37" t="s">
        <v>363</v>
      </c>
      <c r="F1240" s="108" t="str">
        <f>+VLOOKUP(PROVEEDORES[[#This Row],[PROVEEDOR]],TERCEROS_INFO[[PROVEEDOR]:[CORREO]],5,FALSE)</f>
        <v>BRIGHTSIDELED2019@gmail.com;girlesa.ruiz@servipilas.com;joriescobar64@gmail.com</v>
      </c>
      <c r="G1240" s="143">
        <v>44021</v>
      </c>
      <c r="H1240" s="38" t="s">
        <v>90</v>
      </c>
      <c r="I1240" s="30">
        <v>44021</v>
      </c>
      <c r="J1240" s="58">
        <v>18</v>
      </c>
      <c r="K1240" s="32">
        <v>1251000</v>
      </c>
      <c r="L1240" s="32"/>
      <c r="M1240" s="33">
        <f>(PROVEEDORES[[#This Row],[SUBTOTAL]]-PROVEEDORES[[#This Row],[descuento antes de IVA]])*VLOOKUP(PROVEEDORES[[#This Row],[PROVEEDOR]],TERCEROS_INFO[#All],3,FALSE)</f>
        <v>237690</v>
      </c>
      <c r="N1240" s="34"/>
      <c r="O1240" s="33">
        <f>+PROVEEDORES[[#This Row],[Descuento sobre subtotal %]]*(PROVEEDORES[[#This Row],[SUBTOTAL]]-PROVEEDORES[[#This Row],[descuento antes de IVA]])</f>
        <v>0</v>
      </c>
      <c r="P12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240" s="33">
        <f>+(PROVEEDORES[[#This Row],[SUBTOTAL]]-PROVEEDORES[[#This Row],[descuento antes de IVA]])*PROVEEDORES[[#This Row],[Rete Fuente %]]</f>
        <v>31275</v>
      </c>
      <c r="R1240" s="32">
        <f>+PROVEEDORES[[#This Row],[SUBTOTAL]]+PROVEEDORES[[#This Row],[IVA 19%]]-PROVEEDORES[[#This Row],[descuento antes de IVA]]-PROVEEDORES[[#This Row],[Descuento sobre subtotal $]]-PROVEEDORES[[#This Row],[Rete Fuente $]]</f>
        <v>1457415</v>
      </c>
      <c r="S12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1" spans="1:19" ht="21.95" hidden="1" customHeight="1" x14ac:dyDescent="0.25">
      <c r="A1241" s="129" t="str">
        <f>+IF(PROVEEDORES[[#This Row],[FECHA DE PAGO]]=PROVEEDORES[[#This Row],[FECHA DE FACTURACIÓN]],"DE CONTADO","CRÉDITO")</f>
        <v>CRÉDITO</v>
      </c>
      <c r="B1241" s="70" t="str">
        <f>+IF((PROVEEDORES[[#This Row],[FECHA DE PAGO]]-PROVEEDORES[[#This Row],[FECHA DE FACTURACIÓN]])&gt;PROVEEDORES[[#This Row],[PLAZO Días]],"PAGO VENCIDO")</f>
        <v>PAGO VENCIDO</v>
      </c>
      <c r="C1241" s="27">
        <f>+VLOOKUP(PROVEEDORES[[#This Row],[PROVEEDOR]],TERCEROS_INFO[#All],2,FALSE)</f>
        <v>30</v>
      </c>
      <c r="D1241" s="37">
        <f>+SUMIFS(PROVEEDORES[Total],PROVEEDORES[PROVEEDOR],PROVEEDORES[[#This Row],[PROVEEDOR]],PROVEEDORES[FECHA DE PAGO],"")</f>
        <v>0</v>
      </c>
      <c r="E1241" s="37"/>
      <c r="F1241" s="108" t="str">
        <f>+VLOOKUP(PROVEEDORES[[#This Row],[PROVEEDOR]],TERCEROS_INFO[[PROVEEDOR]:[CORREO]],5,FALSE)</f>
        <v>BRIGHTSIDELED2019@gmail.com;girlesa.ruiz@servipilas.com;joriescobar64@gmail.com</v>
      </c>
      <c r="G1241" s="143">
        <v>44403</v>
      </c>
      <c r="H1241" s="57" t="s">
        <v>90</v>
      </c>
      <c r="I1241" s="30">
        <v>44368</v>
      </c>
      <c r="J1241" s="58">
        <v>66</v>
      </c>
      <c r="K1241" s="32">
        <v>1592437</v>
      </c>
      <c r="L1241" s="32"/>
      <c r="M1241" s="33">
        <f>(PROVEEDORES[[#This Row],[SUBTOTAL]]-PROVEEDORES[[#This Row],[descuento antes de IVA]])*VLOOKUP(PROVEEDORES[[#This Row],[PROVEEDOR]],TERCEROS_INFO[#All],3,FALSE)</f>
        <v>302563.03000000003</v>
      </c>
      <c r="N1241" s="34"/>
      <c r="O1241" s="33">
        <f>+PROVEEDORES[[#This Row],[Descuento sobre subtotal %]]*(PROVEEDORES[[#This Row],[SUBTOTAL]]-PROVEEDORES[[#This Row],[descuento antes de IVA]])</f>
        <v>0</v>
      </c>
      <c r="P12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241" s="33">
        <f>+(PROVEEDORES[[#This Row],[SUBTOTAL]]-PROVEEDORES[[#This Row],[descuento antes de IVA]])*PROVEEDORES[[#This Row],[Rete Fuente %]]</f>
        <v>39810.925000000003</v>
      </c>
      <c r="R1241" s="32">
        <f>+PROVEEDORES[[#This Row],[SUBTOTAL]]+PROVEEDORES[[#This Row],[IVA 19%]]-PROVEEDORES[[#This Row],[descuento antes de IVA]]-PROVEEDORES[[#This Row],[Descuento sobre subtotal $]]-PROVEEDORES[[#This Row],[Rete Fuente $]]</f>
        <v>1855189.105</v>
      </c>
      <c r="S1241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2" spans="1:19" ht="21.95" hidden="1" customHeight="1" x14ac:dyDescent="0.25">
      <c r="A1242" s="39" t="str">
        <f>+IF(PROVEEDORES[[#This Row],[FECHA DE PAGO]]=PROVEEDORES[[#This Row],[FECHA DE FACTURACIÓN]],"DE CONTADO","CRÉDITO")</f>
        <v>CRÉDITO</v>
      </c>
      <c r="B1242" s="67" t="b">
        <f>+IF((PROVEEDORES[[#This Row],[FECHA DE PAGO]]-PROVEEDORES[[#This Row],[FECHA DE FACTURACIÓN]])&gt;PROVEEDORES[[#This Row],[PLAZO Días]],"PAGO VENCIDO")</f>
        <v>0</v>
      </c>
      <c r="C1242" s="27">
        <f>+VLOOKUP(PROVEEDORES[[#This Row],[PROVEEDOR]],TERCEROS_INFO[#All],2,FALSE)</f>
        <v>30</v>
      </c>
      <c r="D1242" s="37">
        <f>+SUMIFS(PROVEEDORES[Total],PROVEEDORES[PROVEEDOR],PROVEEDORES[[#This Row],[PROVEEDOR]],PROVEEDORES[FECHA DE PAGO],"")</f>
        <v>-37730</v>
      </c>
      <c r="E1242" s="37"/>
      <c r="F1242" s="108" t="str">
        <f>+VLOOKUP(PROVEEDORES[[#This Row],[PROVEEDOR]],TERCEROS_INFO[[PROVEEDOR]:[CORREO]],5,FALSE)</f>
        <v>CARLOSARCILAMENSAJERIA@gmail.com;girlesa.ruiz@servipilas.com;joriescobar64@gmail.com</v>
      </c>
      <c r="G1242" s="143">
        <v>43861</v>
      </c>
      <c r="H1242" s="38" t="s">
        <v>383</v>
      </c>
      <c r="I1242" s="30">
        <v>43837</v>
      </c>
      <c r="J1242" s="58">
        <v>233</v>
      </c>
      <c r="K1242" s="32">
        <v>97000</v>
      </c>
      <c r="L1242" s="32"/>
      <c r="M1242" s="33">
        <f>(PROVEEDORES[[#This Row],[SUBTOTAL]]-PROVEEDORES[[#This Row],[descuento antes de IVA]])*VLOOKUP(PROVEEDORES[[#This Row],[PROVEEDOR]],TERCEROS_INFO[#All],3,FALSE)</f>
        <v>0</v>
      </c>
      <c r="N1242" s="34"/>
      <c r="O1242" s="33">
        <f>+PROVEEDORES[[#This Row],[Descuento sobre subtotal %]]*(PROVEEDORES[[#This Row],[SUBTOTAL]]-PROVEEDORES[[#This Row],[descuento antes de IVA]])</f>
        <v>0</v>
      </c>
      <c r="P12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42" s="33">
        <f>+(PROVEEDORES[[#This Row],[SUBTOTAL]]-PROVEEDORES[[#This Row],[descuento antes de IVA]])*PROVEEDORES[[#This Row],[Rete Fuente %]]</f>
        <v>0</v>
      </c>
      <c r="R1242" s="32">
        <f>+PROVEEDORES[[#This Row],[SUBTOTAL]]+PROVEEDORES[[#This Row],[IVA 19%]]-PROVEEDORES[[#This Row],[descuento antes de IVA]]-PROVEEDORES[[#This Row],[Descuento sobre subtotal $]]-PROVEEDORES[[#This Row],[Rete Fuente $]]</f>
        <v>97000</v>
      </c>
      <c r="S12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3" spans="1:19" ht="21.95" hidden="1" customHeight="1" x14ac:dyDescent="0.25">
      <c r="A1243" s="39" t="str">
        <f>+IF(PROVEEDORES[[#This Row],[FECHA DE PAGO]]=PROVEEDORES[[#This Row],[FECHA DE FACTURACIÓN]],"DE CONTADO","CRÉDITO")</f>
        <v>DE CONTADO</v>
      </c>
      <c r="B1243" s="67" t="b">
        <f>+IF((PROVEEDORES[[#This Row],[FECHA DE PAGO]]-PROVEEDORES[[#This Row],[FECHA DE FACTURACIÓN]])&gt;PROVEEDORES[[#This Row],[PLAZO Días]],"PAGO VENCIDO")</f>
        <v>0</v>
      </c>
      <c r="C1243" s="27">
        <f>+VLOOKUP(PROVEEDORES[[#This Row],[PROVEEDOR]],TERCEROS_INFO[#All],2,FALSE)</f>
        <v>30</v>
      </c>
      <c r="D1243" s="37">
        <f>+SUMIFS(PROVEEDORES[Total],PROVEEDORES[PROVEEDOR],PROVEEDORES[[#This Row],[PROVEEDOR]],PROVEEDORES[FECHA DE PAGO],"")</f>
        <v>-37730</v>
      </c>
      <c r="E1243" s="37"/>
      <c r="F1243" s="108" t="str">
        <f>+VLOOKUP(PROVEEDORES[[#This Row],[PROVEEDOR]],TERCEROS_INFO[[PROVEEDOR]:[CORREO]],5,FALSE)</f>
        <v>CARLOSARCILAMENSAJERIA@gmail.com;girlesa.ruiz@servipilas.com;joriescobar64@gmail.com</v>
      </c>
      <c r="G1243" s="143">
        <v>43892</v>
      </c>
      <c r="H1243" s="38" t="s">
        <v>383</v>
      </c>
      <c r="I1243" s="30">
        <v>43892</v>
      </c>
      <c r="J1243" s="58">
        <v>1614636</v>
      </c>
      <c r="K1243" s="32">
        <v>155000</v>
      </c>
      <c r="L1243" s="32"/>
      <c r="M1243" s="33">
        <v>29450</v>
      </c>
      <c r="N1243" s="34"/>
      <c r="O1243" s="33">
        <f>+PROVEEDORES[[#This Row],[Descuento sobre subtotal %]]*(PROVEEDORES[[#This Row],[SUBTOTAL]]-PROVEEDORES[[#This Row],[descuento antes de IVA]])</f>
        <v>0</v>
      </c>
      <c r="P12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43" s="33">
        <f>+(PROVEEDORES[[#This Row],[SUBTOTAL]]-PROVEEDORES[[#This Row],[descuento antes de IVA]])*PROVEEDORES[[#This Row],[Rete Fuente %]]</f>
        <v>1550</v>
      </c>
      <c r="R1243" s="32">
        <f>+PROVEEDORES[[#This Row],[SUBTOTAL]]+PROVEEDORES[[#This Row],[IVA 19%]]-PROVEEDORES[[#This Row],[descuento antes de IVA]]-PROVEEDORES[[#This Row],[Descuento sobre subtotal $]]-PROVEEDORES[[#This Row],[Rete Fuente $]]</f>
        <v>182900</v>
      </c>
      <c r="S12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4" spans="1:19" ht="21.95" hidden="1" customHeight="1" x14ac:dyDescent="0.25">
      <c r="A1244" s="39" t="str">
        <f>+IF(PROVEEDORES[[#This Row],[FECHA DE PAGO]]=PROVEEDORES[[#This Row],[FECHA DE FACTURACIÓN]],"DE CONTADO","CRÉDITO")</f>
        <v>DE CONTADO</v>
      </c>
      <c r="B1244" s="67" t="b">
        <f>+IF((PROVEEDORES[[#This Row],[FECHA DE PAGO]]-PROVEEDORES[[#This Row],[FECHA DE FACTURACIÓN]])&gt;PROVEEDORES[[#This Row],[PLAZO Días]],"PAGO VENCIDO")</f>
        <v>0</v>
      </c>
      <c r="C1244" s="27">
        <f>+VLOOKUP(PROVEEDORES[[#This Row],[PROVEEDOR]],TERCEROS_INFO[#All],2,FALSE)</f>
        <v>30</v>
      </c>
      <c r="D1244" s="37">
        <f>+SUMIFS(PROVEEDORES[Total],PROVEEDORES[PROVEEDOR],PROVEEDORES[[#This Row],[PROVEEDOR]],PROVEEDORES[FECHA DE PAGO],"")</f>
        <v>-37730</v>
      </c>
      <c r="E1244" s="37"/>
      <c r="F1244" s="108" t="str">
        <f>+VLOOKUP(PROVEEDORES[[#This Row],[PROVEEDOR]],TERCEROS_INFO[[PROVEEDOR]:[CORREO]],5,FALSE)</f>
        <v>CARLOSARCILAMENSAJERIA@gmail.com;girlesa.ruiz@servipilas.com;joriescobar64@gmail.com</v>
      </c>
      <c r="G1244" s="143">
        <v>43906</v>
      </c>
      <c r="H1244" s="38" t="s">
        <v>383</v>
      </c>
      <c r="I1244" s="30">
        <v>43906</v>
      </c>
      <c r="J1244" s="58">
        <v>1614636</v>
      </c>
      <c r="K1244" s="32">
        <v>90000</v>
      </c>
      <c r="L1244" s="32"/>
      <c r="M1244" s="33">
        <v>17100</v>
      </c>
      <c r="N1244" s="34"/>
      <c r="O1244" s="33">
        <f>+PROVEEDORES[[#This Row],[Descuento sobre subtotal %]]*(PROVEEDORES[[#This Row],[SUBTOTAL]]-PROVEEDORES[[#This Row],[descuento antes de IVA]])</f>
        <v>0</v>
      </c>
      <c r="P12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44" s="33">
        <f>+(PROVEEDORES[[#This Row],[SUBTOTAL]]-PROVEEDORES[[#This Row],[descuento antes de IVA]])*PROVEEDORES[[#This Row],[Rete Fuente %]]</f>
        <v>0</v>
      </c>
      <c r="R1244" s="32">
        <f>+PROVEEDORES[[#This Row],[SUBTOTAL]]+PROVEEDORES[[#This Row],[IVA 19%]]-PROVEEDORES[[#This Row],[descuento antes de IVA]]-PROVEEDORES[[#This Row],[Descuento sobre subtotal $]]-PROVEEDORES[[#This Row],[Rete Fuente $]]</f>
        <v>107100</v>
      </c>
      <c r="S12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5" spans="1:19" ht="21.95" hidden="1" customHeight="1" x14ac:dyDescent="0.25">
      <c r="A1245" s="39" t="str">
        <f>+IF(PROVEEDORES[[#This Row],[FECHA DE PAGO]]=PROVEEDORES[[#This Row],[FECHA DE FACTURACIÓN]],"DE CONTADO","CRÉDITO")</f>
        <v>CRÉDITO</v>
      </c>
      <c r="B1245" s="67" t="b">
        <f>+IF((PROVEEDORES[[#This Row],[FECHA DE PAGO]]-PROVEEDORES[[#This Row],[FECHA DE FACTURACIÓN]])&gt;PROVEEDORES[[#This Row],[PLAZO Días]],"PAGO VENCIDO")</f>
        <v>0</v>
      </c>
      <c r="C1245" s="27">
        <f>+VLOOKUP(PROVEEDORES[[#This Row],[PROVEEDOR]],TERCEROS_INFO[#All],2,FALSE)</f>
        <v>30</v>
      </c>
      <c r="D1245" s="37">
        <f>+SUMIFS(PROVEEDORES[Total],PROVEEDORES[PROVEEDOR],PROVEEDORES[[#This Row],[PROVEEDOR]],PROVEEDORES[FECHA DE PAGO],"")</f>
        <v>-37730</v>
      </c>
      <c r="E1245" s="37"/>
      <c r="F1245" s="108" t="str">
        <f>+VLOOKUP(PROVEEDORES[[#This Row],[PROVEEDOR]],TERCEROS_INFO[[PROVEEDOR]:[CORREO]],5,FALSE)</f>
        <v>CARLOSARCILAMENSAJERIA@gmail.com;girlesa.ruiz@servipilas.com;joriescobar64@gmail.com</v>
      </c>
      <c r="G1245" s="143">
        <v>43924</v>
      </c>
      <c r="H1245" s="38" t="s">
        <v>383</v>
      </c>
      <c r="I1245" s="30">
        <v>43923</v>
      </c>
      <c r="J1245" s="58">
        <v>1614636</v>
      </c>
      <c r="K1245" s="32">
        <v>610000</v>
      </c>
      <c r="L1245" s="32"/>
      <c r="M1245" s="33">
        <v>115900</v>
      </c>
      <c r="N1245" s="34"/>
      <c r="O1245" s="33">
        <f>+PROVEEDORES[[#This Row],[Descuento sobre subtotal %]]*(PROVEEDORES[[#This Row],[SUBTOTAL]]-PROVEEDORES[[#This Row],[descuento antes de IVA]])</f>
        <v>0</v>
      </c>
      <c r="P12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45" s="33">
        <f>+(PROVEEDORES[[#This Row],[SUBTOTAL]]-PROVEEDORES[[#This Row],[descuento antes de IVA]])*PROVEEDORES[[#This Row],[Rete Fuente %]]</f>
        <v>6100</v>
      </c>
      <c r="R1245" s="32">
        <f>+PROVEEDORES[[#This Row],[SUBTOTAL]]+PROVEEDORES[[#This Row],[IVA 19%]]-PROVEEDORES[[#This Row],[descuento antes de IVA]]-PROVEEDORES[[#This Row],[Descuento sobre subtotal $]]-PROVEEDORES[[#This Row],[Rete Fuente $]]</f>
        <v>719800</v>
      </c>
      <c r="S12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6" spans="1:19" ht="21.95" hidden="1" customHeight="1" x14ac:dyDescent="0.25">
      <c r="A1246" s="39" t="str">
        <f>+IF(PROVEEDORES[[#This Row],[FECHA DE PAGO]]=PROVEEDORES[[#This Row],[FECHA DE FACTURACIÓN]],"DE CONTADO","CRÉDITO")</f>
        <v>CRÉDITO</v>
      </c>
      <c r="B1246" s="67" t="b">
        <f>+IF((PROVEEDORES[[#This Row],[FECHA DE PAGO]]-PROVEEDORES[[#This Row],[FECHA DE FACTURACIÓN]])&gt;PROVEEDORES[[#This Row],[PLAZO Días]],"PAGO VENCIDO")</f>
        <v>0</v>
      </c>
      <c r="C1246" s="27">
        <f>+VLOOKUP(PROVEEDORES[[#This Row],[PROVEEDOR]],TERCEROS_INFO[#All],2,FALSE)</f>
        <v>30</v>
      </c>
      <c r="D1246" s="37">
        <f>+SUMIFS(PROVEEDORES[Total],PROVEEDORES[PROVEEDOR],PROVEEDORES[[#This Row],[PROVEEDOR]],PROVEEDORES[FECHA DE PAGO],"")</f>
        <v>-37730</v>
      </c>
      <c r="E1246" s="37"/>
      <c r="F1246" s="108" t="str">
        <f>+VLOOKUP(PROVEEDORES[[#This Row],[PROVEEDOR]],TERCEROS_INFO[[PROVEEDOR]:[CORREO]],5,FALSE)</f>
        <v>CARLOSARCILAMENSAJERIA@gmail.com;girlesa.ruiz@servipilas.com;joriescobar64@gmail.com</v>
      </c>
      <c r="G1246" s="143">
        <v>43938</v>
      </c>
      <c r="H1246" s="38" t="s">
        <v>383</v>
      </c>
      <c r="I1246" s="30">
        <v>43937</v>
      </c>
      <c r="J1246" s="58">
        <v>267</v>
      </c>
      <c r="K1246" s="32">
        <v>911000</v>
      </c>
      <c r="L1246" s="32"/>
      <c r="M1246" s="33">
        <v>173090</v>
      </c>
      <c r="N1246" s="34"/>
      <c r="O1246" s="33">
        <f>+PROVEEDORES[[#This Row],[Descuento sobre subtotal %]]*(PROVEEDORES[[#This Row],[SUBTOTAL]]-PROVEEDORES[[#This Row],[descuento antes de IVA]])</f>
        <v>0</v>
      </c>
      <c r="P12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46" s="33">
        <f>+(PROVEEDORES[[#This Row],[SUBTOTAL]]-PROVEEDORES[[#This Row],[descuento antes de IVA]])*PROVEEDORES[[#This Row],[Rete Fuente %]]</f>
        <v>9110</v>
      </c>
      <c r="R1246" s="32">
        <f>+PROVEEDORES[[#This Row],[SUBTOTAL]]+PROVEEDORES[[#This Row],[IVA 19%]]-PROVEEDORES[[#This Row],[descuento antes de IVA]]-PROVEEDORES[[#This Row],[Descuento sobre subtotal $]]-PROVEEDORES[[#This Row],[Rete Fuente $]]</f>
        <v>1074980</v>
      </c>
      <c r="S12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7" spans="1:19" ht="21.95" hidden="1" customHeight="1" x14ac:dyDescent="0.25">
      <c r="A1247" s="39" t="str">
        <f>+IF(PROVEEDORES[[#This Row],[FECHA DE PAGO]]=PROVEEDORES[[#This Row],[FECHA DE FACTURACIÓN]],"DE CONTADO","CRÉDITO")</f>
        <v>CRÉDITO</v>
      </c>
      <c r="B1247" s="67" t="b">
        <f>+IF((PROVEEDORES[[#This Row],[FECHA DE PAGO]]-PROVEEDORES[[#This Row],[FECHA DE FACTURACIÓN]])&gt;PROVEEDORES[[#This Row],[PLAZO Días]],"PAGO VENCIDO")</f>
        <v>0</v>
      </c>
      <c r="C1247" s="27">
        <f>+VLOOKUP(PROVEEDORES[[#This Row],[PROVEEDOR]],TERCEROS_INFO[#All],2,FALSE)</f>
        <v>30</v>
      </c>
      <c r="D1247" s="37">
        <f>+SUMIFS(PROVEEDORES[Total],PROVEEDORES[PROVEEDOR],PROVEEDORES[[#This Row],[PROVEEDOR]],PROVEEDORES[FECHA DE PAGO],"")</f>
        <v>-37730</v>
      </c>
      <c r="E1247" s="37"/>
      <c r="F1247" s="108" t="str">
        <f>+VLOOKUP(PROVEEDORES[[#This Row],[PROVEEDOR]],TERCEROS_INFO[[PROVEEDOR]:[CORREO]],5,FALSE)</f>
        <v>CARLOSARCILAMENSAJERIA@gmail.com;girlesa.ruiz@servipilas.com;joriescobar64@gmail.com</v>
      </c>
      <c r="G1247" s="143">
        <v>43938</v>
      </c>
      <c r="H1247" s="38" t="s">
        <v>383</v>
      </c>
      <c r="I1247" s="30">
        <v>43937</v>
      </c>
      <c r="J1247" s="58">
        <v>268</v>
      </c>
      <c r="K1247" s="32">
        <v>900000</v>
      </c>
      <c r="L1247" s="32"/>
      <c r="M1247" s="33">
        <v>171000</v>
      </c>
      <c r="N1247" s="34"/>
      <c r="O1247" s="33">
        <f>+PROVEEDORES[[#This Row],[Descuento sobre subtotal %]]*(PROVEEDORES[[#This Row],[SUBTOTAL]]-PROVEEDORES[[#This Row],[descuento antes de IVA]])</f>
        <v>0</v>
      </c>
      <c r="P12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47" s="33">
        <f>+(PROVEEDORES[[#This Row],[SUBTOTAL]]-PROVEEDORES[[#This Row],[descuento antes de IVA]])*PROVEEDORES[[#This Row],[Rete Fuente %]]</f>
        <v>9000</v>
      </c>
      <c r="R1247" s="32">
        <f>+PROVEEDORES[[#This Row],[SUBTOTAL]]+PROVEEDORES[[#This Row],[IVA 19%]]-PROVEEDORES[[#This Row],[descuento antes de IVA]]-PROVEEDORES[[#This Row],[Descuento sobre subtotal $]]-PROVEEDORES[[#This Row],[Rete Fuente $]]</f>
        <v>1062000</v>
      </c>
      <c r="S12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8" spans="1:19" ht="21.95" hidden="1" customHeight="1" x14ac:dyDescent="0.25">
      <c r="A1248" s="39" t="str">
        <f>+IF(PROVEEDORES[[#This Row],[FECHA DE PAGO]]=PROVEEDORES[[#This Row],[FECHA DE FACTURACIÓN]],"DE CONTADO","CRÉDITO")</f>
        <v>CRÉDITO</v>
      </c>
      <c r="B1248" s="67" t="b">
        <f>+IF((PROVEEDORES[[#This Row],[FECHA DE PAGO]]-PROVEEDORES[[#This Row],[FECHA DE FACTURACIÓN]])&gt;PROVEEDORES[[#This Row],[PLAZO Días]],"PAGO VENCIDO")</f>
        <v>0</v>
      </c>
      <c r="C1248" s="27">
        <f>+VLOOKUP(PROVEEDORES[[#This Row],[PROVEEDOR]],TERCEROS_INFO[#All],2,FALSE)</f>
        <v>30</v>
      </c>
      <c r="D1248" s="37">
        <f>+SUMIFS(PROVEEDORES[Total],PROVEEDORES[PROVEEDOR],PROVEEDORES[[#This Row],[PROVEEDOR]],PROVEEDORES[FECHA DE PAGO],"")</f>
        <v>-37730</v>
      </c>
      <c r="E1248" s="37"/>
      <c r="F1248" s="108" t="str">
        <f>+VLOOKUP(PROVEEDORES[[#This Row],[PROVEEDOR]],TERCEROS_INFO[[PROVEEDOR]:[CORREO]],5,FALSE)</f>
        <v>CARLOSARCILAMENSAJERIA@gmail.com;girlesa.ruiz@servipilas.com;joriescobar64@gmail.com</v>
      </c>
      <c r="G1248" s="143">
        <v>43956</v>
      </c>
      <c r="H1248" s="38" t="s">
        <v>383</v>
      </c>
      <c r="I1248" s="30">
        <v>43955</v>
      </c>
      <c r="J1248" s="58">
        <v>269</v>
      </c>
      <c r="K1248" s="32">
        <v>900000</v>
      </c>
      <c r="L1248" s="32"/>
      <c r="M1248" s="33">
        <v>171000</v>
      </c>
      <c r="N1248" s="34"/>
      <c r="O1248" s="33">
        <f>+PROVEEDORES[[#This Row],[Descuento sobre subtotal %]]*(PROVEEDORES[[#This Row],[SUBTOTAL]]-PROVEEDORES[[#This Row],[descuento antes de IVA]])</f>
        <v>0</v>
      </c>
      <c r="P12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48" s="33">
        <f>+(PROVEEDORES[[#This Row],[SUBTOTAL]]-PROVEEDORES[[#This Row],[descuento antes de IVA]])*PROVEEDORES[[#This Row],[Rete Fuente %]]</f>
        <v>9000</v>
      </c>
      <c r="R1248" s="32">
        <f>+PROVEEDORES[[#This Row],[SUBTOTAL]]+PROVEEDORES[[#This Row],[IVA 19%]]-PROVEEDORES[[#This Row],[descuento antes de IVA]]-PROVEEDORES[[#This Row],[Descuento sobre subtotal $]]-PROVEEDORES[[#This Row],[Rete Fuente $]]</f>
        <v>1062000</v>
      </c>
      <c r="S12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9" spans="1:19" ht="21.95" hidden="1" customHeight="1" x14ac:dyDescent="0.25">
      <c r="A1249" s="39" t="str">
        <f>+IF(PROVEEDORES[[#This Row],[FECHA DE PAGO]]=PROVEEDORES[[#This Row],[FECHA DE FACTURACIÓN]],"DE CONTADO","CRÉDITO")</f>
        <v>CRÉDITO</v>
      </c>
      <c r="B1249" s="67" t="b">
        <f>+IF((PROVEEDORES[[#This Row],[FECHA DE PAGO]]-PROVEEDORES[[#This Row],[FECHA DE FACTURACIÓN]])&gt;PROVEEDORES[[#This Row],[PLAZO Días]],"PAGO VENCIDO")</f>
        <v>0</v>
      </c>
      <c r="C1249" s="27">
        <f>+VLOOKUP(PROVEEDORES[[#This Row],[PROVEEDOR]],TERCEROS_INFO[#All],2,FALSE)</f>
        <v>30</v>
      </c>
      <c r="D1249" s="37">
        <f>+SUMIFS(PROVEEDORES[Total],PROVEEDORES[PROVEEDOR],PROVEEDORES[[#This Row],[PROVEEDOR]],PROVEEDORES[FECHA DE PAGO],"")</f>
        <v>-37730</v>
      </c>
      <c r="E1249" s="37"/>
      <c r="F1249" s="108" t="str">
        <f>+VLOOKUP(PROVEEDORES[[#This Row],[PROVEEDOR]],TERCEROS_INFO[[PROVEEDOR]:[CORREO]],5,FALSE)</f>
        <v>CARLOSARCILAMENSAJERIA@gmail.com;girlesa.ruiz@servipilas.com;joriescobar64@gmail.com</v>
      </c>
      <c r="G1249" s="143">
        <v>43956</v>
      </c>
      <c r="H1249" s="38" t="s">
        <v>383</v>
      </c>
      <c r="I1249" s="30">
        <v>43955</v>
      </c>
      <c r="J1249" s="58">
        <v>271</v>
      </c>
      <c r="K1249" s="32">
        <v>900000</v>
      </c>
      <c r="L1249" s="32"/>
      <c r="M1249" s="33">
        <v>171000</v>
      </c>
      <c r="N1249" s="34"/>
      <c r="O1249" s="33">
        <f>+PROVEEDORES[[#This Row],[Descuento sobre subtotal %]]*(PROVEEDORES[[#This Row],[SUBTOTAL]]-PROVEEDORES[[#This Row],[descuento antes de IVA]])</f>
        <v>0</v>
      </c>
      <c r="P12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49" s="33">
        <f>+(PROVEEDORES[[#This Row],[SUBTOTAL]]-PROVEEDORES[[#This Row],[descuento antes de IVA]])*PROVEEDORES[[#This Row],[Rete Fuente %]]</f>
        <v>9000</v>
      </c>
      <c r="R1249" s="32">
        <f>+PROVEEDORES[[#This Row],[SUBTOTAL]]+PROVEEDORES[[#This Row],[IVA 19%]]-PROVEEDORES[[#This Row],[descuento antes de IVA]]-PROVEEDORES[[#This Row],[Descuento sobre subtotal $]]-PROVEEDORES[[#This Row],[Rete Fuente $]]</f>
        <v>1062000</v>
      </c>
      <c r="S124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0" spans="1:19" ht="21.95" hidden="1" customHeight="1" x14ac:dyDescent="0.25">
      <c r="A1250" s="39" t="str">
        <f>+IF(PROVEEDORES[[#This Row],[FECHA DE PAGO]]=PROVEEDORES[[#This Row],[FECHA DE FACTURACIÓN]],"DE CONTADO","CRÉDITO")</f>
        <v>CRÉDITO</v>
      </c>
      <c r="B1250" s="67" t="b">
        <f>+IF((PROVEEDORES[[#This Row],[FECHA DE PAGO]]-PROVEEDORES[[#This Row],[FECHA DE FACTURACIÓN]])&gt;PROVEEDORES[[#This Row],[PLAZO Días]],"PAGO VENCIDO")</f>
        <v>0</v>
      </c>
      <c r="C1250" s="27">
        <f>+VLOOKUP(PROVEEDORES[[#This Row],[PROVEEDOR]],TERCEROS_INFO[#All],2,FALSE)</f>
        <v>30</v>
      </c>
      <c r="D1250" s="37">
        <f>+SUMIFS(PROVEEDORES[Total],PROVEEDORES[PROVEEDOR],PROVEEDORES[[#This Row],[PROVEEDOR]],PROVEEDORES[FECHA DE PAGO],"")</f>
        <v>-37730</v>
      </c>
      <c r="E1250" s="37"/>
      <c r="F1250" s="108" t="str">
        <f>+VLOOKUP(PROVEEDORES[[#This Row],[PROVEEDOR]],TERCEROS_INFO[[PROVEEDOR]:[CORREO]],5,FALSE)</f>
        <v>CARLOSARCILAMENSAJERIA@gmail.com;girlesa.ruiz@servipilas.com;joriescobar64@gmail.com</v>
      </c>
      <c r="G1250" s="143">
        <v>43956</v>
      </c>
      <c r="H1250" s="38" t="s">
        <v>383</v>
      </c>
      <c r="I1250" s="30">
        <v>43955</v>
      </c>
      <c r="J1250" s="58">
        <v>273</v>
      </c>
      <c r="K1250" s="32">
        <v>795000</v>
      </c>
      <c r="L1250" s="32"/>
      <c r="M1250" s="33">
        <v>151050</v>
      </c>
      <c r="N1250" s="34"/>
      <c r="O1250" s="33">
        <f>+PROVEEDORES[[#This Row],[Descuento sobre subtotal %]]*(PROVEEDORES[[#This Row],[SUBTOTAL]]-PROVEEDORES[[#This Row],[descuento antes de IVA]])</f>
        <v>0</v>
      </c>
      <c r="P12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0" s="33">
        <f>+(PROVEEDORES[[#This Row],[SUBTOTAL]]-PROVEEDORES[[#This Row],[descuento antes de IVA]])*PROVEEDORES[[#This Row],[Rete Fuente %]]</f>
        <v>7950</v>
      </c>
      <c r="R1250" s="32">
        <f>+PROVEEDORES[[#This Row],[SUBTOTAL]]+PROVEEDORES[[#This Row],[IVA 19%]]-PROVEEDORES[[#This Row],[descuento antes de IVA]]-PROVEEDORES[[#This Row],[Descuento sobre subtotal $]]-PROVEEDORES[[#This Row],[Rete Fuente $]]</f>
        <v>938100</v>
      </c>
      <c r="S125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1" spans="1:19" ht="21.95" hidden="1" customHeight="1" x14ac:dyDescent="0.25">
      <c r="A1251" s="39" t="str">
        <f>+IF(PROVEEDORES[[#This Row],[FECHA DE PAGO]]=PROVEEDORES[[#This Row],[FECHA DE FACTURACIÓN]],"DE CONTADO","CRÉDITO")</f>
        <v>CRÉDITO</v>
      </c>
      <c r="B1251" s="67" t="b">
        <f>+IF((PROVEEDORES[[#This Row],[FECHA DE PAGO]]-PROVEEDORES[[#This Row],[FECHA DE FACTURACIÓN]])&gt;PROVEEDORES[[#This Row],[PLAZO Días]],"PAGO VENCIDO")</f>
        <v>0</v>
      </c>
      <c r="C1251" s="27">
        <f>+VLOOKUP(PROVEEDORES[[#This Row],[PROVEEDOR]],TERCEROS_INFO[#All],2,FALSE)</f>
        <v>30</v>
      </c>
      <c r="D1251" s="37">
        <f>+SUMIFS(PROVEEDORES[Total],PROVEEDORES[PROVEEDOR],PROVEEDORES[[#This Row],[PROVEEDOR]],PROVEEDORES[FECHA DE PAGO],"")</f>
        <v>-37730</v>
      </c>
      <c r="E1251" s="37"/>
      <c r="F1251" s="108" t="str">
        <f>+VLOOKUP(PROVEEDORES[[#This Row],[PROVEEDOR]],TERCEROS_INFO[[PROVEEDOR]:[CORREO]],5,FALSE)</f>
        <v>CARLOSARCILAMENSAJERIA@gmail.com;girlesa.ruiz@servipilas.com;joriescobar64@gmail.com</v>
      </c>
      <c r="G1251" s="143">
        <v>43986</v>
      </c>
      <c r="H1251" s="38" t="s">
        <v>383</v>
      </c>
      <c r="I1251" s="30">
        <v>43966</v>
      </c>
      <c r="J1251" s="58">
        <v>277</v>
      </c>
      <c r="K1251" s="32">
        <v>800000</v>
      </c>
      <c r="L1251" s="32"/>
      <c r="M1251" s="33">
        <v>152000</v>
      </c>
      <c r="N1251" s="34"/>
      <c r="O1251" s="33">
        <f>+PROVEEDORES[[#This Row],[Descuento sobre subtotal %]]*(PROVEEDORES[[#This Row],[SUBTOTAL]]-PROVEEDORES[[#This Row],[descuento antes de IVA]])</f>
        <v>0</v>
      </c>
      <c r="P12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1" s="33">
        <f>+(PROVEEDORES[[#This Row],[SUBTOTAL]]-PROVEEDORES[[#This Row],[descuento antes de IVA]])*PROVEEDORES[[#This Row],[Rete Fuente %]]</f>
        <v>8000</v>
      </c>
      <c r="R1251" s="32">
        <f>+PROVEEDORES[[#This Row],[SUBTOTAL]]+PROVEEDORES[[#This Row],[IVA 19%]]-PROVEEDORES[[#This Row],[descuento antes de IVA]]-PROVEEDORES[[#This Row],[Descuento sobre subtotal $]]-PROVEEDORES[[#This Row],[Rete Fuente $]]</f>
        <v>944000</v>
      </c>
      <c r="S12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2" spans="1:19" ht="21.95" hidden="1" customHeight="1" x14ac:dyDescent="0.25">
      <c r="A1252" s="39" t="str">
        <f>+IF(PROVEEDORES[[#This Row],[FECHA DE PAGO]]=PROVEEDORES[[#This Row],[FECHA DE FACTURACIÓN]],"DE CONTADO","CRÉDITO")</f>
        <v>CRÉDITO</v>
      </c>
      <c r="B1252" s="67" t="b">
        <f>+IF((PROVEEDORES[[#This Row],[FECHA DE PAGO]]-PROVEEDORES[[#This Row],[FECHA DE FACTURACIÓN]])&gt;PROVEEDORES[[#This Row],[PLAZO Días]],"PAGO VENCIDO")</f>
        <v>0</v>
      </c>
      <c r="C1252" s="27">
        <f>+VLOOKUP(PROVEEDORES[[#This Row],[PROVEEDOR]],TERCEROS_INFO[#All],2,FALSE)</f>
        <v>30</v>
      </c>
      <c r="D1252" s="37">
        <f>+SUMIFS(PROVEEDORES[Total],PROVEEDORES[PROVEEDOR],PROVEEDORES[[#This Row],[PROVEEDOR]],PROVEEDORES[FECHA DE PAGO],"")</f>
        <v>-37730</v>
      </c>
      <c r="E1252" s="37"/>
      <c r="F1252" s="108" t="str">
        <f>+VLOOKUP(PROVEEDORES[[#This Row],[PROVEEDOR]],TERCEROS_INFO[[PROVEEDOR]:[CORREO]],5,FALSE)</f>
        <v>CARLOSARCILAMENSAJERIA@gmail.com;girlesa.ruiz@servipilas.com;joriescobar64@gmail.com</v>
      </c>
      <c r="G1252" s="143">
        <v>43986</v>
      </c>
      <c r="H1252" s="38" t="s">
        <v>383</v>
      </c>
      <c r="I1252" s="30">
        <v>43966</v>
      </c>
      <c r="J1252" s="58">
        <v>278</v>
      </c>
      <c r="K1252" s="32">
        <v>819000</v>
      </c>
      <c r="L1252" s="32"/>
      <c r="M1252" s="33">
        <v>155610</v>
      </c>
      <c r="N1252" s="34"/>
      <c r="O1252" s="33">
        <f>+PROVEEDORES[[#This Row],[Descuento sobre subtotal %]]*(PROVEEDORES[[#This Row],[SUBTOTAL]]-PROVEEDORES[[#This Row],[descuento antes de IVA]])</f>
        <v>0</v>
      </c>
      <c r="P12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2" s="33">
        <f>+(PROVEEDORES[[#This Row],[SUBTOTAL]]-PROVEEDORES[[#This Row],[descuento antes de IVA]])*PROVEEDORES[[#This Row],[Rete Fuente %]]</f>
        <v>8190</v>
      </c>
      <c r="R1252" s="32">
        <f>+PROVEEDORES[[#This Row],[SUBTOTAL]]+PROVEEDORES[[#This Row],[IVA 19%]]-PROVEEDORES[[#This Row],[descuento antes de IVA]]-PROVEEDORES[[#This Row],[Descuento sobre subtotal $]]-PROVEEDORES[[#This Row],[Rete Fuente $]]</f>
        <v>966420</v>
      </c>
      <c r="S125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3" spans="1:19" ht="21.95" hidden="1" customHeight="1" x14ac:dyDescent="0.25">
      <c r="A1253" s="39" t="str">
        <f>+IF(PROVEEDORES[[#This Row],[FECHA DE PAGO]]=PROVEEDORES[[#This Row],[FECHA DE FACTURACIÓN]],"DE CONTADO","CRÉDITO")</f>
        <v>CRÉDITO</v>
      </c>
      <c r="B1253" s="67" t="b">
        <f>+IF((PROVEEDORES[[#This Row],[FECHA DE PAGO]]-PROVEEDORES[[#This Row],[FECHA DE FACTURACIÓN]])&gt;PROVEEDORES[[#This Row],[PLAZO Días]],"PAGO VENCIDO")</f>
        <v>0</v>
      </c>
      <c r="C1253" s="27">
        <f>+VLOOKUP(PROVEEDORES[[#This Row],[PROVEEDOR]],TERCEROS_INFO[#All],2,FALSE)</f>
        <v>30</v>
      </c>
      <c r="D1253" s="37">
        <f>+SUMIFS(PROVEEDORES[Total],PROVEEDORES[PROVEEDOR],PROVEEDORES[[#This Row],[PROVEEDOR]],PROVEEDORES[FECHA DE PAGO],"")</f>
        <v>-37730</v>
      </c>
      <c r="E1253" s="37"/>
      <c r="F1253" s="108" t="str">
        <f>+VLOOKUP(PROVEEDORES[[#This Row],[PROVEEDOR]],TERCEROS_INFO[[PROVEEDOR]:[CORREO]],5,FALSE)</f>
        <v>CARLOSARCILAMENSAJERIA@gmail.com;girlesa.ruiz@servipilas.com;joriescobar64@gmail.com</v>
      </c>
      <c r="G1253" s="143">
        <v>43985</v>
      </c>
      <c r="H1253" s="38" t="s">
        <v>383</v>
      </c>
      <c r="I1253" s="30">
        <v>43983</v>
      </c>
      <c r="J1253" s="58">
        <v>283</v>
      </c>
      <c r="K1253" s="32">
        <v>800000</v>
      </c>
      <c r="L1253" s="32"/>
      <c r="M1253" s="33">
        <v>152000</v>
      </c>
      <c r="N1253" s="34"/>
      <c r="O1253" s="33">
        <f>+PROVEEDORES[[#This Row],[Descuento sobre subtotal %]]*(PROVEEDORES[[#This Row],[SUBTOTAL]]-PROVEEDORES[[#This Row],[descuento antes de IVA]])</f>
        <v>0</v>
      </c>
      <c r="P12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3" s="33">
        <f>+(PROVEEDORES[[#This Row],[SUBTOTAL]]-PROVEEDORES[[#This Row],[descuento antes de IVA]])*PROVEEDORES[[#This Row],[Rete Fuente %]]</f>
        <v>8000</v>
      </c>
      <c r="R1253" s="32">
        <f>+PROVEEDORES[[#This Row],[SUBTOTAL]]+PROVEEDORES[[#This Row],[IVA 19%]]-PROVEEDORES[[#This Row],[descuento antes de IVA]]-PROVEEDORES[[#This Row],[Descuento sobre subtotal $]]-PROVEEDORES[[#This Row],[Rete Fuente $]]</f>
        <v>944000</v>
      </c>
      <c r="S125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4" spans="1:19" ht="21.95" hidden="1" customHeight="1" x14ac:dyDescent="0.25">
      <c r="A1254" s="39" t="str">
        <f>+IF(PROVEEDORES[[#This Row],[FECHA DE PAGO]]=PROVEEDORES[[#This Row],[FECHA DE FACTURACIÓN]],"DE CONTADO","CRÉDITO")</f>
        <v>CRÉDITO</v>
      </c>
      <c r="B1254" s="67" t="b">
        <f>+IF((PROVEEDORES[[#This Row],[FECHA DE PAGO]]-PROVEEDORES[[#This Row],[FECHA DE FACTURACIÓN]])&gt;PROVEEDORES[[#This Row],[PLAZO Días]],"PAGO VENCIDO")</f>
        <v>0</v>
      </c>
      <c r="C1254" s="27">
        <f>+VLOOKUP(PROVEEDORES[[#This Row],[PROVEEDOR]],TERCEROS_INFO[#All],2,FALSE)</f>
        <v>30</v>
      </c>
      <c r="D1254" s="37">
        <f>+SUMIFS(PROVEEDORES[Total],PROVEEDORES[PROVEEDOR],PROVEEDORES[[#This Row],[PROVEEDOR]],PROVEEDORES[FECHA DE PAGO],"")</f>
        <v>-37730</v>
      </c>
      <c r="E1254" s="37"/>
      <c r="F1254" s="108" t="str">
        <f>+VLOOKUP(PROVEEDORES[[#This Row],[PROVEEDOR]],TERCEROS_INFO[[PROVEEDOR]:[CORREO]],5,FALSE)</f>
        <v>CARLOSARCILAMENSAJERIA@gmail.com;girlesa.ruiz@servipilas.com;joriescobar64@gmail.com</v>
      </c>
      <c r="G1254" s="143">
        <v>43985</v>
      </c>
      <c r="H1254" s="38" t="s">
        <v>383</v>
      </c>
      <c r="I1254" s="30">
        <v>43983</v>
      </c>
      <c r="J1254" s="58">
        <v>287</v>
      </c>
      <c r="K1254" s="32">
        <v>717000</v>
      </c>
      <c r="L1254" s="32"/>
      <c r="M1254" s="33">
        <v>136230</v>
      </c>
      <c r="N1254" s="34"/>
      <c r="O1254" s="33">
        <f>+PROVEEDORES[[#This Row],[Descuento sobre subtotal %]]*(PROVEEDORES[[#This Row],[SUBTOTAL]]-PROVEEDORES[[#This Row],[descuento antes de IVA]])</f>
        <v>0</v>
      </c>
      <c r="P12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4" s="33">
        <f>+(PROVEEDORES[[#This Row],[SUBTOTAL]]-PROVEEDORES[[#This Row],[descuento antes de IVA]])*PROVEEDORES[[#This Row],[Rete Fuente %]]</f>
        <v>7170</v>
      </c>
      <c r="R1254" s="32">
        <f>+PROVEEDORES[[#This Row],[SUBTOTAL]]+PROVEEDORES[[#This Row],[IVA 19%]]-PROVEEDORES[[#This Row],[descuento antes de IVA]]-PROVEEDORES[[#This Row],[Descuento sobre subtotal $]]-PROVEEDORES[[#This Row],[Rete Fuente $]]</f>
        <v>846060</v>
      </c>
      <c r="S125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5" spans="1:19" ht="21.95" hidden="1" customHeight="1" x14ac:dyDescent="0.25">
      <c r="A1255" s="39" t="str">
        <f>+IF(PROVEEDORES[[#This Row],[FECHA DE PAGO]]=PROVEEDORES[[#This Row],[FECHA DE FACTURACIÓN]],"DE CONTADO","CRÉDITO")</f>
        <v>CRÉDITO</v>
      </c>
      <c r="B1255" s="67" t="b">
        <f>+IF((PROVEEDORES[[#This Row],[FECHA DE PAGO]]-PROVEEDORES[[#This Row],[FECHA DE FACTURACIÓN]])&gt;PROVEEDORES[[#This Row],[PLAZO Días]],"PAGO VENCIDO")</f>
        <v>0</v>
      </c>
      <c r="C1255" s="27">
        <f>+VLOOKUP(PROVEEDORES[[#This Row],[PROVEEDOR]],TERCEROS_INFO[#All],2,FALSE)</f>
        <v>30</v>
      </c>
      <c r="D1255" s="37">
        <f>+SUMIFS(PROVEEDORES[Total],PROVEEDORES[PROVEEDOR],PROVEEDORES[[#This Row],[PROVEEDOR]],PROVEEDORES[FECHA DE PAGO],"")</f>
        <v>-37730</v>
      </c>
      <c r="E1255" s="37"/>
      <c r="F1255" s="108" t="str">
        <f>+VLOOKUP(PROVEEDORES[[#This Row],[PROVEEDOR]],TERCEROS_INFO[[PROVEEDOR]:[CORREO]],5,FALSE)</f>
        <v>CARLOSARCILAMENSAJERIA@gmail.com;girlesa.ruiz@servipilas.com;joriescobar64@gmail.com</v>
      </c>
      <c r="G1255" s="143">
        <v>44001</v>
      </c>
      <c r="H1255" s="38" t="s">
        <v>383</v>
      </c>
      <c r="I1255" s="30">
        <v>43998</v>
      </c>
      <c r="J1255" s="58">
        <v>292</v>
      </c>
      <c r="K1255" s="32">
        <v>608000</v>
      </c>
      <c r="L1255" s="32"/>
      <c r="M1255" s="33">
        <v>115520</v>
      </c>
      <c r="N1255" s="34"/>
      <c r="O1255" s="33">
        <f>+PROVEEDORES[[#This Row],[Descuento sobre subtotal %]]*(PROVEEDORES[[#This Row],[SUBTOTAL]]-PROVEEDORES[[#This Row],[descuento antes de IVA]])</f>
        <v>0</v>
      </c>
      <c r="P12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5" s="33">
        <f>+(PROVEEDORES[[#This Row],[SUBTOTAL]]-PROVEEDORES[[#This Row],[descuento antes de IVA]])*PROVEEDORES[[#This Row],[Rete Fuente %]]</f>
        <v>6080</v>
      </c>
      <c r="R1255" s="32">
        <f>+PROVEEDORES[[#This Row],[SUBTOTAL]]+PROVEEDORES[[#This Row],[IVA 19%]]-PROVEEDORES[[#This Row],[descuento antes de IVA]]-PROVEEDORES[[#This Row],[Descuento sobre subtotal $]]-PROVEEDORES[[#This Row],[Rete Fuente $]]</f>
        <v>717440</v>
      </c>
      <c r="S125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6" spans="1:19" ht="21.95" hidden="1" customHeight="1" x14ac:dyDescent="0.25">
      <c r="A1256" s="39" t="str">
        <f>+IF(PROVEEDORES[[#This Row],[FECHA DE PAGO]]=PROVEEDORES[[#This Row],[FECHA DE FACTURACIÓN]],"DE CONTADO","CRÉDITO")</f>
        <v>CRÉDITO</v>
      </c>
      <c r="B1256" s="67" t="b">
        <f>+IF((PROVEEDORES[[#This Row],[FECHA DE PAGO]]-PROVEEDORES[[#This Row],[FECHA DE FACTURACIÓN]])&gt;PROVEEDORES[[#This Row],[PLAZO Días]],"PAGO VENCIDO")</f>
        <v>0</v>
      </c>
      <c r="C1256" s="27">
        <f>+VLOOKUP(PROVEEDORES[[#This Row],[PROVEEDOR]],TERCEROS_INFO[#All],2,FALSE)</f>
        <v>30</v>
      </c>
      <c r="D1256" s="37">
        <f>+SUMIFS(PROVEEDORES[Total],PROVEEDORES[PROVEEDOR],PROVEEDORES[[#This Row],[PROVEEDOR]],PROVEEDORES[FECHA DE PAGO],"")</f>
        <v>-37730</v>
      </c>
      <c r="E1256" s="37"/>
      <c r="F1256" s="108" t="str">
        <f>+VLOOKUP(PROVEEDORES[[#This Row],[PROVEEDOR]],TERCEROS_INFO[[PROVEEDOR]:[CORREO]],5,FALSE)</f>
        <v>CARLOSARCILAMENSAJERIA@gmail.com;girlesa.ruiz@servipilas.com;joriescobar64@gmail.com</v>
      </c>
      <c r="G1256" s="143">
        <v>44013</v>
      </c>
      <c r="H1256" s="38" t="s">
        <v>383</v>
      </c>
      <c r="I1256" s="30">
        <v>44012</v>
      </c>
      <c r="J1256" s="58">
        <v>297</v>
      </c>
      <c r="K1256" s="32">
        <v>526000</v>
      </c>
      <c r="L1256" s="32"/>
      <c r="M1256" s="33">
        <v>99940</v>
      </c>
      <c r="N1256" s="34"/>
      <c r="O1256" s="33">
        <f>+PROVEEDORES[[#This Row],[Descuento sobre subtotal %]]*(PROVEEDORES[[#This Row],[SUBTOTAL]]-PROVEEDORES[[#This Row],[descuento antes de IVA]])</f>
        <v>0</v>
      </c>
      <c r="P12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6" s="33">
        <f>+(PROVEEDORES[[#This Row],[SUBTOTAL]]-PROVEEDORES[[#This Row],[descuento antes de IVA]])*PROVEEDORES[[#This Row],[Rete Fuente %]]</f>
        <v>5260</v>
      </c>
      <c r="R1256" s="32">
        <f>+PROVEEDORES[[#This Row],[SUBTOTAL]]+PROVEEDORES[[#This Row],[IVA 19%]]-PROVEEDORES[[#This Row],[descuento antes de IVA]]-PROVEEDORES[[#This Row],[Descuento sobre subtotal $]]-PROVEEDORES[[#This Row],[Rete Fuente $]]</f>
        <v>620680</v>
      </c>
      <c r="S125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7" spans="1:19" ht="21.95" hidden="1" customHeight="1" x14ac:dyDescent="0.25">
      <c r="A1257" s="39" t="str">
        <f>+IF(PROVEEDORES[[#This Row],[FECHA DE PAGO]]=PROVEEDORES[[#This Row],[FECHA DE FACTURACIÓN]],"DE CONTADO","CRÉDITO")</f>
        <v>CRÉDITO</v>
      </c>
      <c r="B1257" s="67" t="b">
        <f>+IF((PROVEEDORES[[#This Row],[FECHA DE PAGO]]-PROVEEDORES[[#This Row],[FECHA DE FACTURACIÓN]])&gt;PROVEEDORES[[#This Row],[PLAZO Días]],"PAGO VENCIDO")</f>
        <v>0</v>
      </c>
      <c r="C1257" s="27">
        <f>+VLOOKUP(PROVEEDORES[[#This Row],[PROVEEDOR]],TERCEROS_INFO[#All],2,FALSE)</f>
        <v>30</v>
      </c>
      <c r="D1257" s="37">
        <f>+SUMIFS(PROVEEDORES[Total],PROVEEDORES[PROVEEDOR],PROVEEDORES[[#This Row],[PROVEEDOR]],PROVEEDORES[FECHA DE PAGO],"")</f>
        <v>-37730</v>
      </c>
      <c r="E1257" s="37"/>
      <c r="F1257" s="108" t="str">
        <f>+VLOOKUP(PROVEEDORES[[#This Row],[PROVEEDOR]],TERCEROS_INFO[[PROVEEDOR]:[CORREO]],5,FALSE)</f>
        <v>CARLOSARCILAMENSAJERIA@gmail.com;girlesa.ruiz@servipilas.com;joriescobar64@gmail.com</v>
      </c>
      <c r="G1257" s="143">
        <v>44034</v>
      </c>
      <c r="H1257" s="38" t="s">
        <v>383</v>
      </c>
      <c r="I1257" s="30">
        <v>44028</v>
      </c>
      <c r="J1257" s="58">
        <v>305</v>
      </c>
      <c r="K1257" s="32">
        <v>658000</v>
      </c>
      <c r="L1257" s="32"/>
      <c r="M1257" s="33">
        <v>125020</v>
      </c>
      <c r="N1257" s="34"/>
      <c r="O1257" s="33">
        <f>+PROVEEDORES[[#This Row],[Descuento sobre subtotal %]]*(PROVEEDORES[[#This Row],[SUBTOTAL]]-PROVEEDORES[[#This Row],[descuento antes de IVA]])</f>
        <v>0</v>
      </c>
      <c r="P12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7" s="33">
        <f>+(PROVEEDORES[[#This Row],[SUBTOTAL]]-PROVEEDORES[[#This Row],[descuento antes de IVA]])*PROVEEDORES[[#This Row],[Rete Fuente %]]</f>
        <v>6580</v>
      </c>
      <c r="R1257" s="32">
        <f>+PROVEEDORES[[#This Row],[SUBTOTAL]]+PROVEEDORES[[#This Row],[IVA 19%]]-PROVEEDORES[[#This Row],[descuento antes de IVA]]-PROVEEDORES[[#This Row],[Descuento sobre subtotal $]]-PROVEEDORES[[#This Row],[Rete Fuente $]]</f>
        <v>776440</v>
      </c>
      <c r="S125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8" spans="1:19" ht="21.95" hidden="1" customHeight="1" x14ac:dyDescent="0.25">
      <c r="A1258" s="39" t="str">
        <f>+IF(PROVEEDORES[[#This Row],[FECHA DE PAGO]]=PROVEEDORES[[#This Row],[FECHA DE FACTURACIÓN]],"DE CONTADO","CRÉDITO")</f>
        <v>CRÉDITO</v>
      </c>
      <c r="B1258" s="67" t="b">
        <f>+IF((PROVEEDORES[[#This Row],[FECHA DE PAGO]]-PROVEEDORES[[#This Row],[FECHA DE FACTURACIÓN]])&gt;PROVEEDORES[[#This Row],[PLAZO Días]],"PAGO VENCIDO")</f>
        <v>0</v>
      </c>
      <c r="C1258" s="27">
        <f>+VLOOKUP(PROVEEDORES[[#This Row],[PROVEEDOR]],TERCEROS_INFO[#All],2,FALSE)</f>
        <v>30</v>
      </c>
      <c r="D1258" s="37">
        <f>+SUMIFS(PROVEEDORES[Total],PROVEEDORES[PROVEEDOR],PROVEEDORES[[#This Row],[PROVEEDOR]],PROVEEDORES[FECHA DE PAGO],"")</f>
        <v>-37730</v>
      </c>
      <c r="E1258" s="37"/>
      <c r="F1258" s="108" t="str">
        <f>+VLOOKUP(PROVEEDORES[[#This Row],[PROVEEDOR]],TERCEROS_INFO[[PROVEEDOR]:[CORREO]],5,FALSE)</f>
        <v>CARLOSARCILAMENSAJERIA@gmail.com;girlesa.ruiz@servipilas.com;joriescobar64@gmail.com</v>
      </c>
      <c r="G1258" s="143">
        <v>44047</v>
      </c>
      <c r="H1258" s="38" t="s">
        <v>383</v>
      </c>
      <c r="I1258" s="30">
        <v>44046</v>
      </c>
      <c r="J1258" s="58">
        <v>312</v>
      </c>
      <c r="K1258" s="32">
        <v>579000</v>
      </c>
      <c r="L1258" s="32"/>
      <c r="M1258" s="33">
        <v>110010</v>
      </c>
      <c r="N1258" s="34"/>
      <c r="O1258" s="33">
        <f>+PROVEEDORES[[#This Row],[Descuento sobre subtotal %]]*(PROVEEDORES[[#This Row],[SUBTOTAL]]-PROVEEDORES[[#This Row],[descuento antes de IVA]])</f>
        <v>0</v>
      </c>
      <c r="P12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8" s="33">
        <f>+(PROVEEDORES[[#This Row],[SUBTOTAL]]-PROVEEDORES[[#This Row],[descuento antes de IVA]])*PROVEEDORES[[#This Row],[Rete Fuente %]]</f>
        <v>5790</v>
      </c>
      <c r="R1258" s="32">
        <f>+PROVEEDORES[[#This Row],[SUBTOTAL]]+PROVEEDORES[[#This Row],[IVA 19%]]-PROVEEDORES[[#This Row],[descuento antes de IVA]]-PROVEEDORES[[#This Row],[Descuento sobre subtotal $]]-PROVEEDORES[[#This Row],[Rete Fuente $]]</f>
        <v>683220</v>
      </c>
      <c r="S125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9" spans="1:19" ht="21.95" hidden="1" customHeight="1" x14ac:dyDescent="0.25">
      <c r="A1259" s="39" t="str">
        <f>+IF(PROVEEDORES[[#This Row],[FECHA DE PAGO]]=PROVEEDORES[[#This Row],[FECHA DE FACTURACIÓN]],"DE CONTADO","CRÉDITO")</f>
        <v>CRÉDITO</v>
      </c>
      <c r="B1259" s="67" t="b">
        <f>+IF((PROVEEDORES[[#This Row],[FECHA DE PAGO]]-PROVEEDORES[[#This Row],[FECHA DE FACTURACIÓN]])&gt;PROVEEDORES[[#This Row],[PLAZO Días]],"PAGO VENCIDO")</f>
        <v>0</v>
      </c>
      <c r="C1259" s="27">
        <f>+VLOOKUP(PROVEEDORES[[#This Row],[PROVEEDOR]],TERCEROS_INFO[#All],2,FALSE)</f>
        <v>30</v>
      </c>
      <c r="D1259" s="37">
        <f>+SUMIFS(PROVEEDORES[Total],PROVEEDORES[PROVEEDOR],PROVEEDORES[[#This Row],[PROVEEDOR]],PROVEEDORES[FECHA DE PAGO],"")</f>
        <v>-37730</v>
      </c>
      <c r="E1259" s="37"/>
      <c r="F1259" s="108" t="str">
        <f>+VLOOKUP(PROVEEDORES[[#This Row],[PROVEEDOR]],TERCEROS_INFO[[PROVEEDOR]:[CORREO]],5,FALSE)</f>
        <v>CARLOSARCILAMENSAJERIA@gmail.com;girlesa.ruiz@servipilas.com;joriescobar64@gmail.com</v>
      </c>
      <c r="G1259" s="143">
        <v>44070</v>
      </c>
      <c r="H1259" s="38" t="s">
        <v>383</v>
      </c>
      <c r="I1259" s="30">
        <v>44061</v>
      </c>
      <c r="J1259" s="58">
        <v>319</v>
      </c>
      <c r="K1259" s="32">
        <v>511000</v>
      </c>
      <c r="L1259" s="32"/>
      <c r="M1259" s="33">
        <v>97090</v>
      </c>
      <c r="N1259" s="34"/>
      <c r="O1259" s="33">
        <f>+PROVEEDORES[[#This Row],[Descuento sobre subtotal %]]*(PROVEEDORES[[#This Row],[SUBTOTAL]]-PROVEEDORES[[#This Row],[descuento antes de IVA]])</f>
        <v>0</v>
      </c>
      <c r="P12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59" s="33">
        <f>+(PROVEEDORES[[#This Row],[SUBTOTAL]]-PROVEEDORES[[#This Row],[descuento antes de IVA]])*PROVEEDORES[[#This Row],[Rete Fuente %]]</f>
        <v>5110</v>
      </c>
      <c r="R1259" s="32">
        <f>+PROVEEDORES[[#This Row],[SUBTOTAL]]+PROVEEDORES[[#This Row],[IVA 19%]]-PROVEEDORES[[#This Row],[descuento antes de IVA]]-PROVEEDORES[[#This Row],[Descuento sobre subtotal $]]-PROVEEDORES[[#This Row],[Rete Fuente $]]</f>
        <v>602980</v>
      </c>
      <c r="S125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0" spans="1:19" ht="21.95" hidden="1" customHeight="1" x14ac:dyDescent="0.25">
      <c r="A1260" s="39" t="str">
        <f>+IF(PROVEEDORES[[#This Row],[FECHA DE PAGO]]=PROVEEDORES[[#This Row],[FECHA DE FACTURACIÓN]],"DE CONTADO","CRÉDITO")</f>
        <v>CRÉDITO</v>
      </c>
      <c r="B1260" s="67" t="b">
        <f>+IF((PROVEEDORES[[#This Row],[FECHA DE PAGO]]-PROVEEDORES[[#This Row],[FECHA DE FACTURACIÓN]])&gt;PROVEEDORES[[#This Row],[PLAZO Días]],"PAGO VENCIDO")</f>
        <v>0</v>
      </c>
      <c r="C1260" s="27">
        <f>+VLOOKUP(PROVEEDORES[[#This Row],[PROVEEDOR]],TERCEROS_INFO[#All],2,FALSE)</f>
        <v>30</v>
      </c>
      <c r="D1260" s="37">
        <f>+SUMIFS(PROVEEDORES[Total],PROVEEDORES[PROVEEDOR],PROVEEDORES[[#This Row],[PROVEEDOR]],PROVEEDORES[FECHA DE PAGO],"")</f>
        <v>-37730</v>
      </c>
      <c r="E1260" s="37"/>
      <c r="F1260" s="108" t="str">
        <f>+VLOOKUP(PROVEEDORES[[#This Row],[PROVEEDOR]],TERCEROS_INFO[[PROVEEDOR]:[CORREO]],5,FALSE)</f>
        <v>CARLOSARCILAMENSAJERIA@gmail.com;girlesa.ruiz@servipilas.com;joriescobar64@gmail.com</v>
      </c>
      <c r="G1260" s="143">
        <v>44078</v>
      </c>
      <c r="H1260" s="38" t="s">
        <v>383</v>
      </c>
      <c r="I1260" s="30">
        <v>44075</v>
      </c>
      <c r="J1260" s="58">
        <v>3</v>
      </c>
      <c r="K1260" s="32">
        <v>443000</v>
      </c>
      <c r="L1260" s="32"/>
      <c r="M1260" s="33">
        <v>84170</v>
      </c>
      <c r="N1260" s="34"/>
      <c r="O1260" s="33">
        <f>+PROVEEDORES[[#This Row],[Descuento sobre subtotal %]]*(PROVEEDORES[[#This Row],[SUBTOTAL]]-PROVEEDORES[[#This Row],[descuento antes de IVA]])</f>
        <v>0</v>
      </c>
      <c r="P12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60" s="33">
        <f>+(PROVEEDORES[[#This Row],[SUBTOTAL]]-PROVEEDORES[[#This Row],[descuento antes de IVA]])*PROVEEDORES[[#This Row],[Rete Fuente %]]</f>
        <v>4430</v>
      </c>
      <c r="R1260" s="32">
        <f>+PROVEEDORES[[#This Row],[SUBTOTAL]]+PROVEEDORES[[#This Row],[IVA 19%]]-PROVEEDORES[[#This Row],[descuento antes de IVA]]-PROVEEDORES[[#This Row],[Descuento sobre subtotal $]]-PROVEEDORES[[#This Row],[Rete Fuente $]]</f>
        <v>522740</v>
      </c>
      <c r="S126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1" spans="1:19" ht="21.95" hidden="1" customHeight="1" x14ac:dyDescent="0.25">
      <c r="A1261" s="39" t="str">
        <f>+IF(PROVEEDORES[[#This Row],[FECHA DE PAGO]]=PROVEEDORES[[#This Row],[FECHA DE FACTURACIÓN]],"DE CONTADO","CRÉDITO")</f>
        <v>CRÉDITO</v>
      </c>
      <c r="B1261" s="67" t="b">
        <f>+IF((PROVEEDORES[[#This Row],[FECHA DE PAGO]]-PROVEEDORES[[#This Row],[FECHA DE FACTURACIÓN]])&gt;PROVEEDORES[[#This Row],[PLAZO Días]],"PAGO VENCIDO")</f>
        <v>0</v>
      </c>
      <c r="C1261" s="27">
        <f>+VLOOKUP(PROVEEDORES[[#This Row],[PROVEEDOR]],TERCEROS_INFO[#All],2,FALSE)</f>
        <v>30</v>
      </c>
      <c r="D1261" s="37">
        <f>+SUMIFS(PROVEEDORES[Total],PROVEEDORES[PROVEEDOR],PROVEEDORES[[#This Row],[PROVEEDOR]],PROVEEDORES[FECHA DE PAGO],"")</f>
        <v>-37730</v>
      </c>
      <c r="E1261" s="37"/>
      <c r="F1261" s="108" t="str">
        <f>+VLOOKUP(PROVEEDORES[[#This Row],[PROVEEDOR]],TERCEROS_INFO[[PROVEEDOR]:[CORREO]],5,FALSE)</f>
        <v>CARLOSARCILAMENSAJERIA@gmail.com;girlesa.ruiz@servipilas.com;joriescobar64@gmail.com</v>
      </c>
      <c r="G1261" s="143">
        <v>44099</v>
      </c>
      <c r="H1261" s="38" t="s">
        <v>383</v>
      </c>
      <c r="I1261" s="30">
        <v>44075</v>
      </c>
      <c r="J1261" s="58"/>
      <c r="K1261" s="32">
        <v>338000</v>
      </c>
      <c r="L1261" s="32"/>
      <c r="M1261" s="33">
        <v>64220</v>
      </c>
      <c r="N1261" s="34"/>
      <c r="O1261" s="33">
        <f>+PROVEEDORES[[#This Row],[Descuento sobre subtotal %]]*(PROVEEDORES[[#This Row],[SUBTOTAL]]-PROVEEDORES[[#This Row],[descuento antes de IVA]])</f>
        <v>0</v>
      </c>
      <c r="P12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61" s="33">
        <f>+(PROVEEDORES[[#This Row],[SUBTOTAL]]-PROVEEDORES[[#This Row],[descuento antes de IVA]])*PROVEEDORES[[#This Row],[Rete Fuente %]]</f>
        <v>3380</v>
      </c>
      <c r="R1261" s="32">
        <f>+PROVEEDORES[[#This Row],[SUBTOTAL]]+PROVEEDORES[[#This Row],[IVA 19%]]-PROVEEDORES[[#This Row],[descuento antes de IVA]]-PROVEEDORES[[#This Row],[Descuento sobre subtotal $]]-PROVEEDORES[[#This Row],[Rete Fuente $]]</f>
        <v>398840</v>
      </c>
      <c r="S126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2" spans="1:19" ht="21.95" hidden="1" customHeight="1" x14ac:dyDescent="0.25">
      <c r="A1262" s="39" t="str">
        <f>+IF(PROVEEDORES[[#This Row],[FECHA DE PAGO]]=PROVEEDORES[[#This Row],[FECHA DE FACTURACIÓN]],"DE CONTADO","CRÉDITO")</f>
        <v>CRÉDITO</v>
      </c>
      <c r="B1262" s="67" t="b">
        <f>+IF((PROVEEDORES[[#This Row],[FECHA DE PAGO]]-PROVEEDORES[[#This Row],[FECHA DE FACTURACIÓN]])&gt;PROVEEDORES[[#This Row],[PLAZO Días]],"PAGO VENCIDO")</f>
        <v>0</v>
      </c>
      <c r="C1262" s="27">
        <f>+VLOOKUP(PROVEEDORES[[#This Row],[PROVEEDOR]],TERCEROS_INFO[#All],2,FALSE)</f>
        <v>30</v>
      </c>
      <c r="D1262" s="37">
        <f>+SUMIFS(PROVEEDORES[Total],PROVEEDORES[PROVEEDOR],PROVEEDORES[[#This Row],[PROVEEDOR]],PROVEEDORES[FECHA DE PAGO],"")</f>
        <v>-37730</v>
      </c>
      <c r="E1262" s="37" t="s">
        <v>364</v>
      </c>
      <c r="F1262" s="108" t="str">
        <f>+VLOOKUP(PROVEEDORES[[#This Row],[PROVEEDOR]],TERCEROS_INFO[[PROVEEDOR]:[CORREO]],5,FALSE)</f>
        <v>CARLOSARCILAMENSAJERIA@gmail.com;girlesa.ruiz@servipilas.com;joriescobar64@gmail.com</v>
      </c>
      <c r="G1262" s="143">
        <v>44118</v>
      </c>
      <c r="H1262" s="38" t="s">
        <v>383</v>
      </c>
      <c r="I1262" s="30">
        <v>44099</v>
      </c>
      <c r="J1262" s="58"/>
      <c r="K1262" s="32">
        <v>-105000</v>
      </c>
      <c r="L1262" s="32"/>
      <c r="M1262" s="33">
        <v>-19950</v>
      </c>
      <c r="N1262" s="34"/>
      <c r="O1262" s="33">
        <f>+PROVEEDORES[[#This Row],[Descuento sobre subtotal %]]*(PROVEEDORES[[#This Row],[SUBTOTAL]]-PROVEEDORES[[#This Row],[descuento antes de IVA]])</f>
        <v>0</v>
      </c>
      <c r="P12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62" s="33">
        <f>+(PROVEEDORES[[#This Row],[SUBTOTAL]]-PROVEEDORES[[#This Row],[descuento antes de IVA]])*PROVEEDORES[[#This Row],[Rete Fuente %]]</f>
        <v>0</v>
      </c>
      <c r="R1262" s="32">
        <f>+PROVEEDORES[[#This Row],[SUBTOTAL]]+PROVEEDORES[[#This Row],[IVA 19%]]-PROVEEDORES[[#This Row],[descuento antes de IVA]]-PROVEEDORES[[#This Row],[Descuento sobre subtotal $]]-PROVEEDORES[[#This Row],[Rete Fuente $]]</f>
        <v>-124950</v>
      </c>
      <c r="S126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3" spans="1:19" ht="21.95" hidden="1" customHeight="1" x14ac:dyDescent="0.25">
      <c r="A1263" s="39" t="str">
        <f>+IF(PROVEEDORES[[#This Row],[FECHA DE PAGO]]=PROVEEDORES[[#This Row],[FECHA DE FACTURACIÓN]],"DE CONTADO","CRÉDITO")</f>
        <v>CRÉDITO</v>
      </c>
      <c r="B1263" s="67" t="b">
        <f>+IF((PROVEEDORES[[#This Row],[FECHA DE PAGO]]-PROVEEDORES[[#This Row],[FECHA DE FACTURACIÓN]])&gt;PROVEEDORES[[#This Row],[PLAZO Días]],"PAGO VENCIDO")</f>
        <v>0</v>
      </c>
      <c r="C1263" s="27">
        <f>+VLOOKUP(PROVEEDORES[[#This Row],[PROVEEDOR]],TERCEROS_INFO[#All],2,FALSE)</f>
        <v>30</v>
      </c>
      <c r="D1263" s="37">
        <f>+SUMIFS(PROVEEDORES[Total],PROVEEDORES[PROVEEDOR],PROVEEDORES[[#This Row],[PROVEEDOR]],PROVEEDORES[FECHA DE PAGO],"")</f>
        <v>-37730</v>
      </c>
      <c r="E1263" s="37"/>
      <c r="F1263" s="108" t="str">
        <f>+VLOOKUP(PROVEEDORES[[#This Row],[PROVEEDOR]],TERCEROS_INFO[[PROVEEDOR]:[CORREO]],5,FALSE)</f>
        <v>CARLOSARCILAMENSAJERIA@gmail.com;girlesa.ruiz@servipilas.com;joriescobar64@gmail.com</v>
      </c>
      <c r="G1263" s="143">
        <v>44118</v>
      </c>
      <c r="H1263" s="38" t="s">
        <v>383</v>
      </c>
      <c r="I1263" s="30">
        <v>44112</v>
      </c>
      <c r="J1263" s="58">
        <v>19</v>
      </c>
      <c r="K1263" s="32">
        <v>332000</v>
      </c>
      <c r="L1263" s="32"/>
      <c r="M1263" s="33">
        <v>63080</v>
      </c>
      <c r="N1263" s="34"/>
      <c r="O1263" s="33">
        <f>+PROVEEDORES[[#This Row],[Descuento sobre subtotal %]]*(PROVEEDORES[[#This Row],[SUBTOTAL]]-PROVEEDORES[[#This Row],[descuento antes de IVA]])</f>
        <v>0</v>
      </c>
      <c r="P12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63" s="33">
        <f>+(PROVEEDORES[[#This Row],[SUBTOTAL]]-PROVEEDORES[[#This Row],[descuento antes de IVA]])*PROVEEDORES[[#This Row],[Rete Fuente %]]</f>
        <v>3320</v>
      </c>
      <c r="R1263" s="32">
        <f>+PROVEEDORES[[#This Row],[SUBTOTAL]]+PROVEEDORES[[#This Row],[IVA 19%]]-PROVEEDORES[[#This Row],[descuento antes de IVA]]-PROVEEDORES[[#This Row],[Descuento sobre subtotal $]]-PROVEEDORES[[#This Row],[Rete Fuente $]]</f>
        <v>391760</v>
      </c>
      <c r="S126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4" spans="1:19" ht="21.95" hidden="1" customHeight="1" x14ac:dyDescent="0.25">
      <c r="A1264" s="39" t="str">
        <f>+IF(PROVEEDORES[[#This Row],[FECHA DE PAGO]]=PROVEEDORES[[#This Row],[FECHA DE FACTURACIÓN]],"DE CONTADO","CRÉDITO")</f>
        <v>CRÉDITO</v>
      </c>
      <c r="B1264" s="67" t="b">
        <f>+IF((PROVEEDORES[[#This Row],[FECHA DE PAGO]]-PROVEEDORES[[#This Row],[FECHA DE FACTURACIÓN]])&gt;PROVEEDORES[[#This Row],[PLAZO Días]],"PAGO VENCIDO")</f>
        <v>0</v>
      </c>
      <c r="C1264" s="27">
        <f>+VLOOKUP(PROVEEDORES[[#This Row],[PROVEEDOR]],TERCEROS_INFO[#All],2,FALSE)</f>
        <v>30</v>
      </c>
      <c r="D1264" s="37">
        <f>+SUMIFS(PROVEEDORES[Total],PROVEEDORES[PROVEEDOR],PROVEEDORES[[#This Row],[PROVEEDOR]],PROVEEDORES[FECHA DE PAGO],"")</f>
        <v>-37730</v>
      </c>
      <c r="E1264" s="37"/>
      <c r="F1264" s="108" t="str">
        <f>+VLOOKUP(PROVEEDORES[[#This Row],[PROVEEDOR]],TERCEROS_INFO[[PROVEEDOR]:[CORREO]],5,FALSE)</f>
        <v>CARLOSARCILAMENSAJERIA@gmail.com;girlesa.ruiz@servipilas.com;joriescobar64@gmail.com</v>
      </c>
      <c r="G1264" s="143">
        <v>44124</v>
      </c>
      <c r="H1264" s="38" t="s">
        <v>383</v>
      </c>
      <c r="I1264" s="30">
        <v>44123</v>
      </c>
      <c r="J1264" s="58">
        <v>24</v>
      </c>
      <c r="K1264" s="32">
        <v>243000</v>
      </c>
      <c r="L1264" s="32"/>
      <c r="M1264" s="33">
        <v>46170</v>
      </c>
      <c r="N1264" s="34"/>
      <c r="O1264" s="33">
        <f>+PROVEEDORES[[#This Row],[Descuento sobre subtotal %]]*(PROVEEDORES[[#This Row],[SUBTOTAL]]-PROVEEDORES[[#This Row],[descuento antes de IVA]])</f>
        <v>0</v>
      </c>
      <c r="P12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64" s="33">
        <f>+(PROVEEDORES[[#This Row],[SUBTOTAL]]-PROVEEDORES[[#This Row],[descuento antes de IVA]])*PROVEEDORES[[#This Row],[Rete Fuente %]]</f>
        <v>2430</v>
      </c>
      <c r="R1264" s="32">
        <f>+PROVEEDORES[[#This Row],[SUBTOTAL]]+PROVEEDORES[[#This Row],[IVA 19%]]-PROVEEDORES[[#This Row],[descuento antes de IVA]]-PROVEEDORES[[#This Row],[Descuento sobre subtotal $]]-PROVEEDORES[[#This Row],[Rete Fuente $]]</f>
        <v>286740</v>
      </c>
      <c r="S126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5" spans="1:19" ht="21.95" hidden="1" customHeight="1" x14ac:dyDescent="0.25">
      <c r="A1265" s="39" t="str">
        <f>+IF(PROVEEDORES[[#This Row],[FECHA DE PAGO]]=PROVEEDORES[[#This Row],[FECHA DE FACTURACIÓN]],"DE CONTADO","CRÉDITO")</f>
        <v>CRÉDITO</v>
      </c>
      <c r="B1265" s="67" t="b">
        <f>+IF((PROVEEDORES[[#This Row],[FECHA DE PAGO]]-PROVEEDORES[[#This Row],[FECHA DE FACTURACIÓN]])&gt;PROVEEDORES[[#This Row],[PLAZO Días]],"PAGO VENCIDO")</f>
        <v>0</v>
      </c>
      <c r="C1265" s="27">
        <f>+VLOOKUP(PROVEEDORES[[#This Row],[PROVEEDOR]],TERCEROS_INFO[#All],2,FALSE)</f>
        <v>30</v>
      </c>
      <c r="D1265" s="37">
        <f>+SUMIFS(PROVEEDORES[Total],PROVEEDORES[PROVEEDOR],PROVEEDORES[[#This Row],[PROVEEDOR]],PROVEEDORES[FECHA DE PAGO],"")</f>
        <v>-37730</v>
      </c>
      <c r="E1265" s="37"/>
      <c r="F1265" s="108" t="str">
        <f>+VLOOKUP(PROVEEDORES[[#This Row],[PROVEEDOR]],TERCEROS_INFO[[PROVEEDOR]:[CORREO]],5,FALSE)</f>
        <v>CARLOSARCILAMENSAJERIA@gmail.com;girlesa.ruiz@servipilas.com;joriescobar64@gmail.com</v>
      </c>
      <c r="G1265" s="143">
        <v>44146</v>
      </c>
      <c r="H1265" s="38" t="s">
        <v>383</v>
      </c>
      <c r="I1265" s="30">
        <v>44139</v>
      </c>
      <c r="J1265" s="58"/>
      <c r="K1265" s="32">
        <v>312000</v>
      </c>
      <c r="L1265" s="32"/>
      <c r="M1265" s="33">
        <v>59280</v>
      </c>
      <c r="N1265" s="34"/>
      <c r="O1265" s="33">
        <f>+PROVEEDORES[[#This Row],[Descuento sobre subtotal %]]*(PROVEEDORES[[#This Row],[SUBTOTAL]]-PROVEEDORES[[#This Row],[descuento antes de IVA]])</f>
        <v>0</v>
      </c>
      <c r="P12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65" s="33">
        <f>+(PROVEEDORES[[#This Row],[SUBTOTAL]]-PROVEEDORES[[#This Row],[descuento antes de IVA]])*PROVEEDORES[[#This Row],[Rete Fuente %]]</f>
        <v>3120</v>
      </c>
      <c r="R1265" s="32">
        <f>+PROVEEDORES[[#This Row],[SUBTOTAL]]+PROVEEDORES[[#This Row],[IVA 19%]]-PROVEEDORES[[#This Row],[descuento antes de IVA]]-PROVEEDORES[[#This Row],[Descuento sobre subtotal $]]-PROVEEDORES[[#This Row],[Rete Fuente $]]</f>
        <v>368160</v>
      </c>
      <c r="S126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6" spans="1:19" ht="21.95" hidden="1" customHeight="1" x14ac:dyDescent="0.25">
      <c r="A1266" s="39" t="str">
        <f>+IF(PROVEEDORES[[#This Row],[FECHA DE PAGO]]=PROVEEDORES[[#This Row],[FECHA DE FACTURACIÓN]],"DE CONTADO","CRÉDITO")</f>
        <v>CRÉDITO</v>
      </c>
      <c r="B1266" s="67" t="b">
        <f>+IF((PROVEEDORES[[#This Row],[FECHA DE PAGO]]-PROVEEDORES[[#This Row],[FECHA DE FACTURACIÓN]])&gt;PROVEEDORES[[#This Row],[PLAZO Días]],"PAGO VENCIDO")</f>
        <v>0</v>
      </c>
      <c r="C1266" s="27">
        <f>+VLOOKUP(PROVEEDORES[[#This Row],[PROVEEDOR]],TERCEROS_INFO[#All],2,FALSE)</f>
        <v>30</v>
      </c>
      <c r="D1266" s="37">
        <f>+SUMIFS(PROVEEDORES[Total],PROVEEDORES[PROVEEDOR],PROVEEDORES[[#This Row],[PROVEEDOR]],PROVEEDORES[FECHA DE PAGO],"")</f>
        <v>-37730</v>
      </c>
      <c r="E1266" s="37"/>
      <c r="F1266" s="108" t="str">
        <f>+VLOOKUP(PROVEEDORES[[#This Row],[PROVEEDOR]],TERCEROS_INFO[[PROVEEDOR]:[CORREO]],5,FALSE)</f>
        <v>CARLOSARCILAMENSAJERIA@gmail.com;girlesa.ruiz@servipilas.com;joriescobar64@gmail.com</v>
      </c>
      <c r="G1266" s="143">
        <v>44146</v>
      </c>
      <c r="H1266" s="38" t="s">
        <v>383</v>
      </c>
      <c r="I1266" s="30">
        <v>44141</v>
      </c>
      <c r="J1266" s="58"/>
      <c r="K1266" s="32">
        <v>245000</v>
      </c>
      <c r="L1266" s="32"/>
      <c r="M1266" s="33">
        <v>46550</v>
      </c>
      <c r="N1266" s="34"/>
      <c r="O1266" s="33">
        <f>+PROVEEDORES[[#This Row],[Descuento sobre subtotal %]]*(PROVEEDORES[[#This Row],[SUBTOTAL]]-PROVEEDORES[[#This Row],[descuento antes de IVA]])</f>
        <v>0</v>
      </c>
      <c r="P12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66" s="33">
        <f>+(PROVEEDORES[[#This Row],[SUBTOTAL]]-PROVEEDORES[[#This Row],[descuento antes de IVA]])*PROVEEDORES[[#This Row],[Rete Fuente %]]</f>
        <v>2450</v>
      </c>
      <c r="R1266" s="32">
        <f>+PROVEEDORES[[#This Row],[SUBTOTAL]]+PROVEEDORES[[#This Row],[IVA 19%]]-PROVEEDORES[[#This Row],[descuento antes de IVA]]-PROVEEDORES[[#This Row],[Descuento sobre subtotal $]]-PROVEEDORES[[#This Row],[Rete Fuente $]]</f>
        <v>289100</v>
      </c>
      <c r="S126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7" spans="1:19" ht="21.95" hidden="1" customHeight="1" x14ac:dyDescent="0.25">
      <c r="A1267" s="39" t="str">
        <f>+IF(PROVEEDORES[[#This Row],[FECHA DE PAGO]]=PROVEEDORES[[#This Row],[FECHA DE FACTURACIÓN]],"DE CONTADO","CRÉDITO")</f>
        <v>CRÉDITO</v>
      </c>
      <c r="B1267" s="67" t="b">
        <f>+IF((PROVEEDORES[[#This Row],[FECHA DE PAGO]]-PROVEEDORES[[#This Row],[FECHA DE FACTURACIÓN]])&gt;PROVEEDORES[[#This Row],[PLAZO Días]],"PAGO VENCIDO")</f>
        <v>0</v>
      </c>
      <c r="C1267" s="27">
        <f>+VLOOKUP(PROVEEDORES[[#This Row],[PROVEEDOR]],TERCEROS_INFO[#All],2,FALSE)</f>
        <v>30</v>
      </c>
      <c r="D1267" s="37">
        <f>+SUMIFS(PROVEEDORES[Total],PROVEEDORES[PROVEEDOR],PROVEEDORES[[#This Row],[PROVEEDOR]],PROVEEDORES[FECHA DE PAGO],"")</f>
        <v>-37730</v>
      </c>
      <c r="E1267" s="37"/>
      <c r="F1267" s="108" t="str">
        <f>+VLOOKUP(PROVEEDORES[[#This Row],[PROVEEDOR]],TERCEROS_INFO[[PROVEEDOR]:[CORREO]],5,FALSE)</f>
        <v>CARLOSARCILAMENSAJERIA@gmail.com;girlesa.ruiz@servipilas.com;joriescobar64@gmail.com</v>
      </c>
      <c r="G1267" s="143">
        <v>44155</v>
      </c>
      <c r="H1267" s="38" t="s">
        <v>383</v>
      </c>
      <c r="I1267" s="30">
        <v>44152</v>
      </c>
      <c r="J1267" s="58" t="s">
        <v>1089</v>
      </c>
      <c r="K1267" s="32">
        <v>154000</v>
      </c>
      <c r="L1267" s="32"/>
      <c r="M1267" s="33">
        <v>29260</v>
      </c>
      <c r="N1267" s="34"/>
      <c r="O1267" s="33">
        <f>+PROVEEDORES[[#This Row],[Descuento sobre subtotal %]]*(PROVEEDORES[[#This Row],[SUBTOTAL]]-PROVEEDORES[[#This Row],[descuento antes de IVA]])</f>
        <v>0</v>
      </c>
      <c r="P12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67" s="33">
        <f>+(PROVEEDORES[[#This Row],[SUBTOTAL]]-PROVEEDORES[[#This Row],[descuento antes de IVA]])*PROVEEDORES[[#This Row],[Rete Fuente %]]</f>
        <v>1540</v>
      </c>
      <c r="R1267" s="32">
        <f>+PROVEEDORES[[#This Row],[SUBTOTAL]]+PROVEEDORES[[#This Row],[IVA 19%]]-PROVEEDORES[[#This Row],[descuento antes de IVA]]-PROVEEDORES[[#This Row],[Descuento sobre subtotal $]]-PROVEEDORES[[#This Row],[Rete Fuente $]]</f>
        <v>181720</v>
      </c>
      <c r="S126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8" spans="1:19" ht="21.95" hidden="1" customHeight="1" x14ac:dyDescent="0.25">
      <c r="A1268" s="39" t="str">
        <f>+IF(PROVEEDORES[[#This Row],[FECHA DE PAGO]]=PROVEEDORES[[#This Row],[FECHA DE FACTURACIÓN]],"DE CONTADO","CRÉDITO")</f>
        <v>CRÉDITO</v>
      </c>
      <c r="B1268" s="67" t="b">
        <f>+IF((PROVEEDORES[[#This Row],[FECHA DE PAGO]]-PROVEEDORES[[#This Row],[FECHA DE FACTURACIÓN]])&gt;PROVEEDORES[[#This Row],[PLAZO Días]],"PAGO VENCIDO")</f>
        <v>0</v>
      </c>
      <c r="C1268" s="27">
        <f>+VLOOKUP(PROVEEDORES[[#This Row],[PROVEEDOR]],TERCEROS_INFO[#All],2,FALSE)</f>
        <v>30</v>
      </c>
      <c r="D1268" s="37">
        <f>+SUMIFS(PROVEEDORES[Total],PROVEEDORES[PROVEEDOR],PROVEEDORES[[#This Row],[PROVEEDOR]],PROVEEDORES[FECHA DE PAGO],"")</f>
        <v>-37730</v>
      </c>
      <c r="E1268" s="37"/>
      <c r="F1268" s="108" t="str">
        <f>+VLOOKUP(PROVEEDORES[[#This Row],[PROVEEDOR]],TERCEROS_INFO[[PROVEEDOR]:[CORREO]],5,FALSE)</f>
        <v>CARLOSARCILAMENSAJERIA@gmail.com;girlesa.ruiz@servipilas.com;joriescobar64@gmail.com</v>
      </c>
      <c r="G1268" s="143">
        <v>44154</v>
      </c>
      <c r="H1268" s="38" t="s">
        <v>383</v>
      </c>
      <c r="I1268" s="30">
        <v>44152</v>
      </c>
      <c r="J1268" s="58"/>
      <c r="K1268" s="32">
        <v>285000</v>
      </c>
      <c r="L1268" s="32"/>
      <c r="M1268" s="33">
        <v>54150</v>
      </c>
      <c r="N1268" s="34"/>
      <c r="O1268" s="33">
        <f>+PROVEEDORES[[#This Row],[Descuento sobre subtotal %]]*(PROVEEDORES[[#This Row],[SUBTOTAL]]-PROVEEDORES[[#This Row],[descuento antes de IVA]])</f>
        <v>0</v>
      </c>
      <c r="P12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68" s="33">
        <f>+(PROVEEDORES[[#This Row],[SUBTOTAL]]-PROVEEDORES[[#This Row],[descuento antes de IVA]])*PROVEEDORES[[#This Row],[Rete Fuente %]]</f>
        <v>2850</v>
      </c>
      <c r="R1268" s="32">
        <f>+PROVEEDORES[[#This Row],[SUBTOTAL]]+PROVEEDORES[[#This Row],[IVA 19%]]-PROVEEDORES[[#This Row],[descuento antes de IVA]]-PROVEEDORES[[#This Row],[Descuento sobre subtotal $]]-PROVEEDORES[[#This Row],[Rete Fuente $]]</f>
        <v>336300</v>
      </c>
      <c r="S126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9" spans="1:19" ht="21.95" hidden="1" customHeight="1" x14ac:dyDescent="0.25">
      <c r="A1269" s="39" t="str">
        <f>+IF(PROVEEDORES[[#This Row],[FECHA DE PAGO]]=PROVEEDORES[[#This Row],[FECHA DE FACTURACIÓN]],"DE CONTADO","CRÉDITO")</f>
        <v>CRÉDITO</v>
      </c>
      <c r="B1269" s="67" t="b">
        <f>+IF((PROVEEDORES[[#This Row],[FECHA DE PAGO]]-PROVEEDORES[[#This Row],[FECHA DE FACTURACIÓN]])&gt;PROVEEDORES[[#This Row],[PLAZO Días]],"PAGO VENCIDO")</f>
        <v>0</v>
      </c>
      <c r="C1269" s="27">
        <f>+VLOOKUP(PROVEEDORES[[#This Row],[PROVEEDOR]],TERCEROS_INFO[#All],2,FALSE)</f>
        <v>30</v>
      </c>
      <c r="D1269" s="37">
        <f>+SUMIFS(PROVEEDORES[Total],PROVEEDORES[PROVEEDOR],PROVEEDORES[[#This Row],[PROVEEDOR]],PROVEEDORES[FECHA DE PAGO],"")</f>
        <v>-37730</v>
      </c>
      <c r="E1269" s="37"/>
      <c r="F1269" s="108" t="str">
        <f>+VLOOKUP(PROVEEDORES[[#This Row],[PROVEEDOR]],TERCEROS_INFO[[PROVEEDOR]:[CORREO]],5,FALSE)</f>
        <v>CARLOSARCILAMENSAJERIA@gmail.com;girlesa.ruiz@servipilas.com;joriescobar64@gmail.com</v>
      </c>
      <c r="G1269" s="143">
        <v>44183</v>
      </c>
      <c r="H1269" s="38" t="s">
        <v>383</v>
      </c>
      <c r="I1269" s="30">
        <v>44182</v>
      </c>
      <c r="J1269" s="58"/>
      <c r="K1269" s="32">
        <v>296000</v>
      </c>
      <c r="L1269" s="32"/>
      <c r="M1269" s="33">
        <v>56240</v>
      </c>
      <c r="N1269" s="34"/>
      <c r="O1269" s="33">
        <f>+PROVEEDORES[[#This Row],[Descuento sobre subtotal %]]*(PROVEEDORES[[#This Row],[SUBTOTAL]]-PROVEEDORES[[#This Row],[descuento antes de IVA]])</f>
        <v>0</v>
      </c>
      <c r="P12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69" s="33">
        <f>+(PROVEEDORES[[#This Row],[SUBTOTAL]]-PROVEEDORES[[#This Row],[descuento antes de IVA]])*PROVEEDORES[[#This Row],[Rete Fuente %]]</f>
        <v>2960</v>
      </c>
      <c r="R1269" s="32">
        <f>+PROVEEDORES[[#This Row],[SUBTOTAL]]+PROVEEDORES[[#This Row],[IVA 19%]]-PROVEEDORES[[#This Row],[descuento antes de IVA]]-PROVEEDORES[[#This Row],[Descuento sobre subtotal $]]-PROVEEDORES[[#This Row],[Rete Fuente $]]</f>
        <v>349280</v>
      </c>
      <c r="S126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0" spans="1:19" ht="21.95" hidden="1" customHeight="1" x14ac:dyDescent="0.25">
      <c r="A1270" s="39" t="str">
        <f>+IF(PROVEEDORES[[#This Row],[FECHA DE PAGO]]=PROVEEDORES[[#This Row],[FECHA DE FACTURACIÓN]],"DE CONTADO","CRÉDITO")</f>
        <v>CRÉDITO</v>
      </c>
      <c r="B1270" s="67" t="b">
        <f>+IF((PROVEEDORES[[#This Row],[FECHA DE PAGO]]-PROVEEDORES[[#This Row],[FECHA DE FACTURACIÓN]])&gt;PROVEEDORES[[#This Row],[PLAZO Días]],"PAGO VENCIDO")</f>
        <v>0</v>
      </c>
      <c r="C1270" s="27">
        <f>+VLOOKUP(PROVEEDORES[[#This Row],[PROVEEDOR]],TERCEROS_INFO[#All],2,FALSE)</f>
        <v>30</v>
      </c>
      <c r="D1270" s="37">
        <f>+SUMIFS(PROVEEDORES[Total],PROVEEDORES[PROVEEDOR],PROVEEDORES[[#This Row],[PROVEEDOR]],PROVEEDORES[FECHA DE PAGO],"")</f>
        <v>-37730</v>
      </c>
      <c r="E1270" s="37"/>
      <c r="F1270" s="108" t="str">
        <f>+VLOOKUP(PROVEEDORES[[#This Row],[PROVEEDOR]],TERCEROS_INFO[[PROVEEDOR]:[CORREO]],5,FALSE)</f>
        <v>CARLOSARCILAMENSAJERIA@gmail.com;girlesa.ruiz@servipilas.com;joriescobar64@gmail.com</v>
      </c>
      <c r="G1270" s="143">
        <v>44187</v>
      </c>
      <c r="H1270" s="38" t="s">
        <v>383</v>
      </c>
      <c r="I1270" s="30">
        <v>44185</v>
      </c>
      <c r="J1270" s="58">
        <v>43</v>
      </c>
      <c r="K1270" s="32">
        <v>630498</v>
      </c>
      <c r="L1270" s="32"/>
      <c r="M1270" s="33">
        <v>119794.62</v>
      </c>
      <c r="N1270" s="34"/>
      <c r="O1270" s="33">
        <f>+PROVEEDORES[[#This Row],[Descuento sobre subtotal %]]*(PROVEEDORES[[#This Row],[SUBTOTAL]]-PROVEEDORES[[#This Row],[descuento antes de IVA]])</f>
        <v>0</v>
      </c>
      <c r="P12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70" s="33">
        <f>+(PROVEEDORES[[#This Row],[SUBTOTAL]]-PROVEEDORES[[#This Row],[descuento antes de IVA]])*PROVEEDORES[[#This Row],[Rete Fuente %]]</f>
        <v>6304.9800000000005</v>
      </c>
      <c r="R1270" s="32">
        <f>+PROVEEDORES[[#This Row],[SUBTOTAL]]+PROVEEDORES[[#This Row],[IVA 19%]]-PROVEEDORES[[#This Row],[descuento antes de IVA]]-PROVEEDORES[[#This Row],[Descuento sobre subtotal $]]-PROVEEDORES[[#This Row],[Rete Fuente $]]</f>
        <v>743987.64</v>
      </c>
      <c r="S127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1" spans="1:19" ht="21.95" hidden="1" customHeight="1" x14ac:dyDescent="0.25">
      <c r="A1271" s="39" t="str">
        <f>+IF(PROVEEDORES[[#This Row],[FECHA DE PAGO]]=PROVEEDORES[[#This Row],[FECHA DE FACTURACIÓN]],"DE CONTADO","CRÉDITO")</f>
        <v>CRÉDITO</v>
      </c>
      <c r="B1271" s="67" t="b">
        <f>+IF((PROVEEDORES[[#This Row],[FECHA DE PAGO]]-PROVEEDORES[[#This Row],[FECHA DE FACTURACIÓN]])&gt;PROVEEDORES[[#This Row],[PLAZO Días]],"PAGO VENCIDO")</f>
        <v>0</v>
      </c>
      <c r="C1271" s="27">
        <f>+VLOOKUP(PROVEEDORES[[#This Row],[PROVEEDOR]],TERCEROS_INFO[#All],2,FALSE)</f>
        <v>30</v>
      </c>
      <c r="D1271" s="37">
        <f>+SUMIFS(PROVEEDORES[Total],PROVEEDORES[PROVEEDOR],PROVEEDORES[[#This Row],[PROVEEDOR]],PROVEEDORES[FECHA DE PAGO],"")</f>
        <v>-37730</v>
      </c>
      <c r="E1271" s="37"/>
      <c r="F1271" s="108" t="str">
        <f>+VLOOKUP(PROVEEDORES[[#This Row],[PROVEEDOR]],TERCEROS_INFO[[PROVEEDOR]:[CORREO]],5,FALSE)</f>
        <v>CARLOSARCILAMENSAJERIA@gmail.com;girlesa.ruiz@servipilas.com;joriescobar64@gmail.com</v>
      </c>
      <c r="G1271" s="143">
        <v>44222</v>
      </c>
      <c r="H1271" s="38" t="s">
        <v>383</v>
      </c>
      <c r="I1271" s="30">
        <v>44216</v>
      </c>
      <c r="J1271" s="58">
        <v>57</v>
      </c>
      <c r="K1271" s="32">
        <v>133000</v>
      </c>
      <c r="L1271" s="32"/>
      <c r="M1271" s="33">
        <v>25270</v>
      </c>
      <c r="N1271" s="34"/>
      <c r="O1271" s="33">
        <f>+PROVEEDORES[[#This Row],[Descuento sobre subtotal %]]*(PROVEEDORES[[#This Row],[SUBTOTAL]]-PROVEEDORES[[#This Row],[descuento antes de IVA]])</f>
        <v>0</v>
      </c>
      <c r="P12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71" s="33">
        <f>+(PROVEEDORES[[#This Row],[SUBTOTAL]]-PROVEEDORES[[#This Row],[descuento antes de IVA]])*PROVEEDORES[[#This Row],[Rete Fuente %]]</f>
        <v>0</v>
      </c>
      <c r="R1271" s="32">
        <f>+PROVEEDORES[[#This Row],[SUBTOTAL]]+PROVEEDORES[[#This Row],[IVA 19%]]-PROVEEDORES[[#This Row],[descuento antes de IVA]]-PROVEEDORES[[#This Row],[Descuento sobre subtotal $]]-PROVEEDORES[[#This Row],[Rete Fuente $]]</f>
        <v>158270</v>
      </c>
      <c r="S127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2" spans="1:19" ht="21.95" hidden="1" customHeight="1" x14ac:dyDescent="0.25">
      <c r="A1272" s="39" t="str">
        <f>+IF(PROVEEDORES[[#This Row],[FECHA DE PAGO]]=PROVEEDORES[[#This Row],[FECHA DE FACTURACIÓN]],"DE CONTADO","CRÉDITO")</f>
        <v>CRÉDITO</v>
      </c>
      <c r="B1272" s="67" t="b">
        <f>+IF((PROVEEDORES[[#This Row],[FECHA DE PAGO]]-PROVEEDORES[[#This Row],[FECHA DE FACTURACIÓN]])&gt;PROVEEDORES[[#This Row],[PLAZO Días]],"PAGO VENCIDO")</f>
        <v>0</v>
      </c>
      <c r="C1272" s="27">
        <f>+VLOOKUP(PROVEEDORES[[#This Row],[PROVEEDOR]],TERCEROS_INFO[#All],2,FALSE)</f>
        <v>30</v>
      </c>
      <c r="D1272" s="37">
        <f>+SUMIFS(PROVEEDORES[Total],PROVEEDORES[PROVEEDOR],PROVEEDORES[[#This Row],[PROVEEDOR]],PROVEEDORES[FECHA DE PAGO],"")</f>
        <v>-37730</v>
      </c>
      <c r="E1272" s="37"/>
      <c r="F1272" s="108" t="str">
        <f>+VLOOKUP(PROVEEDORES[[#This Row],[PROVEEDOR]],TERCEROS_INFO[[PROVEEDOR]:[CORREO]],5,FALSE)</f>
        <v>CARLOSARCILAMENSAJERIA@gmail.com;girlesa.ruiz@servipilas.com;joriescobar64@gmail.com</v>
      </c>
      <c r="G1272" s="143">
        <v>44239</v>
      </c>
      <c r="H1272" s="38" t="s">
        <v>383</v>
      </c>
      <c r="I1272" s="30">
        <v>44228</v>
      </c>
      <c r="J1272" s="58">
        <v>66</v>
      </c>
      <c r="K1272" s="32">
        <v>144000</v>
      </c>
      <c r="L1272" s="32"/>
      <c r="M1272" s="33">
        <v>27360</v>
      </c>
      <c r="N1272" s="34"/>
      <c r="O1272" s="33">
        <f>+PROVEEDORES[[#This Row],[Descuento sobre subtotal %]]*(PROVEEDORES[[#This Row],[SUBTOTAL]]-PROVEEDORES[[#This Row],[descuento antes de IVA]])</f>
        <v>0</v>
      </c>
      <c r="P12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72" s="33">
        <f>+(PROVEEDORES[[#This Row],[SUBTOTAL]]-PROVEEDORES[[#This Row],[descuento antes de IVA]])*PROVEEDORES[[#This Row],[Rete Fuente %]]</f>
        <v>0</v>
      </c>
      <c r="R1272" s="32">
        <f>+PROVEEDORES[[#This Row],[SUBTOTAL]]+PROVEEDORES[[#This Row],[IVA 19%]]-PROVEEDORES[[#This Row],[descuento antes de IVA]]-PROVEEDORES[[#This Row],[Descuento sobre subtotal $]]-PROVEEDORES[[#This Row],[Rete Fuente $]]</f>
        <v>171360</v>
      </c>
      <c r="S127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3" spans="1:19" ht="21.95" hidden="1" customHeight="1" x14ac:dyDescent="0.25">
      <c r="A1273" s="88" t="str">
        <f>+IF(PROVEEDORES[[#This Row],[FECHA DE PAGO]]=PROVEEDORES[[#This Row],[FECHA DE FACTURACIÓN]],"DE CONTADO","CRÉDITO")</f>
        <v>CRÉDITO</v>
      </c>
      <c r="B1273" s="70" t="b">
        <f>+IF((PROVEEDORES[[#This Row],[FECHA DE PAGO]]-PROVEEDORES[[#This Row],[FECHA DE FACTURACIÓN]])&gt;PROVEEDORES[[#This Row],[PLAZO Días]],"PAGO VENCIDO")</f>
        <v>0</v>
      </c>
      <c r="C1273" s="27">
        <f>+VLOOKUP(PROVEEDORES[[#This Row],[PROVEEDOR]],TERCEROS_INFO[#All],2,FALSE)</f>
        <v>30</v>
      </c>
      <c r="D1273" s="37">
        <f>+SUMIFS(PROVEEDORES[Total],PROVEEDORES[PROVEEDOR],PROVEEDORES[[#This Row],[PROVEEDOR]],PROVEEDORES[FECHA DE PAGO],"")</f>
        <v>-37730</v>
      </c>
      <c r="E1273" s="37"/>
      <c r="F1273" s="108" t="str">
        <f>+VLOOKUP(PROVEEDORES[[#This Row],[PROVEEDOR]],TERCEROS_INFO[[PROVEEDOR]:[CORREO]],5,FALSE)</f>
        <v>CARLOSARCILAMENSAJERIA@gmail.com;girlesa.ruiz@servipilas.com;joriescobar64@gmail.com</v>
      </c>
      <c r="G1273" s="143">
        <v>44279</v>
      </c>
      <c r="H1273" s="38" t="s">
        <v>383</v>
      </c>
      <c r="I1273" s="30">
        <v>44273</v>
      </c>
      <c r="J1273" s="58">
        <v>78</v>
      </c>
      <c r="K1273" s="32">
        <v>396000</v>
      </c>
      <c r="L1273" s="32"/>
      <c r="M1273" s="33">
        <v>75240</v>
      </c>
      <c r="N1273" s="34"/>
      <c r="O1273" s="33">
        <f>+PROVEEDORES[[#This Row],[Descuento sobre subtotal %]]*(PROVEEDORES[[#This Row],[SUBTOTAL]]-PROVEEDORES[[#This Row],[descuento antes de IVA]])</f>
        <v>0</v>
      </c>
      <c r="P12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73" s="33">
        <f>+(PROVEEDORES[[#This Row],[SUBTOTAL]]-PROVEEDORES[[#This Row],[descuento antes de IVA]])*PROVEEDORES[[#This Row],[Rete Fuente %]]</f>
        <v>3960</v>
      </c>
      <c r="R1273" s="32">
        <f>+PROVEEDORES[[#This Row],[SUBTOTAL]]+PROVEEDORES[[#This Row],[IVA 19%]]-PROVEEDORES[[#This Row],[descuento antes de IVA]]-PROVEEDORES[[#This Row],[Descuento sobre subtotal $]]-PROVEEDORES[[#This Row],[Rete Fuente $]]</f>
        <v>467280</v>
      </c>
      <c r="S127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4" spans="1:19" ht="21.95" hidden="1" customHeight="1" x14ac:dyDescent="0.25">
      <c r="A1274" s="100" t="str">
        <f>+IF(PROVEEDORES[[#This Row],[FECHA DE PAGO]]=PROVEEDORES[[#This Row],[FECHA DE FACTURACIÓN]],"DE CONTADO","CRÉDITO")</f>
        <v>CRÉDITO</v>
      </c>
      <c r="B1274" s="70" t="b">
        <f>+IF((PROVEEDORES[[#This Row],[FECHA DE PAGO]]-PROVEEDORES[[#This Row],[FECHA DE FACTURACIÓN]])&gt;PROVEEDORES[[#This Row],[PLAZO Días]],"PAGO VENCIDO")</f>
        <v>0</v>
      </c>
      <c r="C1274" s="27">
        <f>+VLOOKUP(PROVEEDORES[[#This Row],[PROVEEDOR]],TERCEROS_INFO[#All],2,FALSE)</f>
        <v>30</v>
      </c>
      <c r="D1274" s="37">
        <f>+SUMIFS(PROVEEDORES[Total],PROVEEDORES[PROVEEDOR],PROVEEDORES[[#This Row],[PROVEEDOR]],PROVEEDORES[FECHA DE PAGO],"")</f>
        <v>-37730</v>
      </c>
      <c r="E1274" s="37"/>
      <c r="F1274" s="108" t="str">
        <f>+VLOOKUP(PROVEEDORES[[#This Row],[PROVEEDOR]],TERCEROS_INFO[[PROVEEDOR]:[CORREO]],5,FALSE)</f>
        <v>CARLOSARCILAMENSAJERIA@gmail.com;girlesa.ruiz@servipilas.com;joriescobar64@gmail.com</v>
      </c>
      <c r="G1274" s="143">
        <v>44292</v>
      </c>
      <c r="H1274" s="38" t="s">
        <v>383</v>
      </c>
      <c r="I1274" s="30">
        <v>44290</v>
      </c>
      <c r="J1274" s="58">
        <v>82</v>
      </c>
      <c r="K1274" s="32">
        <v>320000</v>
      </c>
      <c r="L1274" s="32"/>
      <c r="M1274" s="33">
        <v>60800</v>
      </c>
      <c r="N1274" s="34"/>
      <c r="O1274" s="33">
        <f>+PROVEEDORES[[#This Row],[Descuento sobre subtotal %]]*(PROVEEDORES[[#This Row],[SUBTOTAL]]-PROVEEDORES[[#This Row],[descuento antes de IVA]])</f>
        <v>0</v>
      </c>
      <c r="P12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74" s="33">
        <f>+(PROVEEDORES[[#This Row],[SUBTOTAL]]-PROVEEDORES[[#This Row],[descuento antes de IVA]])*PROVEEDORES[[#This Row],[Rete Fuente %]]</f>
        <v>3200</v>
      </c>
      <c r="R1274" s="32">
        <f>+PROVEEDORES[[#This Row],[SUBTOTAL]]+PROVEEDORES[[#This Row],[IVA 19%]]-PROVEEDORES[[#This Row],[descuento antes de IVA]]-PROVEEDORES[[#This Row],[Descuento sobre subtotal $]]-PROVEEDORES[[#This Row],[Rete Fuente $]]</f>
        <v>377600</v>
      </c>
      <c r="S1274" s="10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5" spans="1:19" ht="21.95" hidden="1" customHeight="1" x14ac:dyDescent="0.25">
      <c r="A1275" s="35" t="str">
        <f>+IF(PROVEEDORES[[#This Row],[FECHA DE PAGO]]=PROVEEDORES[[#This Row],[FECHA DE FACTURACIÓN]],"DE CONTADO","CRÉDITO")</f>
        <v>CRÉDITO</v>
      </c>
      <c r="B1275" s="70" t="b">
        <f>+IF((PROVEEDORES[[#This Row],[FECHA DE PAGO]]-PROVEEDORES[[#This Row],[FECHA DE FACTURACIÓN]])&gt;PROVEEDORES[[#This Row],[PLAZO Días]],"PAGO VENCIDO")</f>
        <v>0</v>
      </c>
      <c r="C1275" s="27">
        <f>+VLOOKUP(PROVEEDORES[[#This Row],[PROVEEDOR]],TERCEROS_INFO[#All],2,FALSE)</f>
        <v>30</v>
      </c>
      <c r="D1275" s="37">
        <f>+SUMIFS(PROVEEDORES[Total],PROVEEDORES[PROVEEDOR],PROVEEDORES[[#This Row],[PROVEEDOR]],PROVEEDORES[FECHA DE PAGO],"")</f>
        <v>-37730</v>
      </c>
      <c r="E1275" s="37"/>
      <c r="F1275" s="108" t="str">
        <f>+VLOOKUP(PROVEEDORES[[#This Row],[PROVEEDOR]],TERCEROS_INFO[[PROVEEDOR]:[CORREO]],5,FALSE)</f>
        <v>CARLOSARCILAMENSAJERIA@gmail.com;girlesa.ruiz@servipilas.com;joriescobar64@gmail.com</v>
      </c>
      <c r="G1275" s="143">
        <v>44319</v>
      </c>
      <c r="H1275" s="38" t="s">
        <v>383</v>
      </c>
      <c r="I1275" s="30">
        <v>44318</v>
      </c>
      <c r="J1275" s="58">
        <v>91</v>
      </c>
      <c r="K1275" s="32">
        <v>557000</v>
      </c>
      <c r="L1275" s="32"/>
      <c r="M1275" s="33">
        <v>105830</v>
      </c>
      <c r="N1275" s="34"/>
      <c r="O1275" s="33">
        <f>+PROVEEDORES[[#This Row],[Descuento sobre subtotal %]]*(PROVEEDORES[[#This Row],[SUBTOTAL]]-PROVEEDORES[[#This Row],[descuento antes de IVA]])</f>
        <v>0</v>
      </c>
      <c r="P12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75" s="33">
        <f>+(PROVEEDORES[[#This Row],[SUBTOTAL]]-PROVEEDORES[[#This Row],[descuento antes de IVA]])*PROVEEDORES[[#This Row],[Rete Fuente %]]</f>
        <v>5570</v>
      </c>
      <c r="R1275" s="32">
        <f>+PROVEEDORES[[#This Row],[SUBTOTAL]]+PROVEEDORES[[#This Row],[IVA 19%]]-PROVEEDORES[[#This Row],[descuento antes de IVA]]-PROVEEDORES[[#This Row],[Descuento sobre subtotal $]]-PROVEEDORES[[#This Row],[Rete Fuente $]]</f>
        <v>657260</v>
      </c>
      <c r="S127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6" spans="1:19" ht="21.95" hidden="1" customHeight="1" x14ac:dyDescent="0.25">
      <c r="A1276" s="111" t="str">
        <f>+IF(PROVEEDORES[[#This Row],[FECHA DE PAGO]]=PROVEEDORES[[#This Row],[FECHA DE FACTURACIÓN]],"DE CONTADO","CRÉDITO")</f>
        <v>CRÉDITO</v>
      </c>
      <c r="B1276" s="70" t="b">
        <f>+IF((PROVEEDORES[[#This Row],[FECHA DE PAGO]]-PROVEEDORES[[#This Row],[FECHA DE FACTURACIÓN]])&gt;PROVEEDORES[[#This Row],[PLAZO Días]],"PAGO VENCIDO")</f>
        <v>0</v>
      </c>
      <c r="C1276" s="27">
        <f>+VLOOKUP(PROVEEDORES[[#This Row],[PROVEEDOR]],TERCEROS_INFO[#All],2,FALSE)</f>
        <v>30</v>
      </c>
      <c r="D1276" s="37">
        <f>+SUMIFS(PROVEEDORES[Total],PROVEEDORES[PROVEEDOR],PROVEEDORES[[#This Row],[PROVEEDOR]],PROVEEDORES[FECHA DE PAGO],"")</f>
        <v>-37730</v>
      </c>
      <c r="E1276" s="37"/>
      <c r="F1276" s="108" t="str">
        <f>+VLOOKUP(PROVEEDORES[[#This Row],[PROVEEDOR]],TERCEROS_INFO[[PROVEEDOR]:[CORREO]],5,FALSE)</f>
        <v>CARLOSARCILAMENSAJERIA@gmail.com;girlesa.ruiz@servipilas.com;joriescobar64@gmail.com</v>
      </c>
      <c r="G1276" s="143">
        <v>44341</v>
      </c>
      <c r="H1276" s="38" t="s">
        <v>383</v>
      </c>
      <c r="I1276" s="30">
        <v>44339</v>
      </c>
      <c r="J1276" s="58">
        <v>102</v>
      </c>
      <c r="K1276" s="32">
        <v>637000</v>
      </c>
      <c r="L1276" s="32"/>
      <c r="M1276" s="33">
        <v>121030</v>
      </c>
      <c r="N1276" s="34"/>
      <c r="O1276" s="33">
        <f>+PROVEEDORES[[#This Row],[Descuento sobre subtotal %]]*(PROVEEDORES[[#This Row],[SUBTOTAL]]-PROVEEDORES[[#This Row],[descuento antes de IVA]])</f>
        <v>0</v>
      </c>
      <c r="P12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76" s="33">
        <f>+(PROVEEDORES[[#This Row],[SUBTOTAL]]-PROVEEDORES[[#This Row],[descuento antes de IVA]])*PROVEEDORES[[#This Row],[Rete Fuente %]]</f>
        <v>6370</v>
      </c>
      <c r="R1276" s="32">
        <f>+PROVEEDORES[[#This Row],[SUBTOTAL]]+PROVEEDORES[[#This Row],[IVA 19%]]-PROVEEDORES[[#This Row],[descuento antes de IVA]]-PROVEEDORES[[#This Row],[Descuento sobre subtotal $]]-PROVEEDORES[[#This Row],[Rete Fuente $]]</f>
        <v>751660</v>
      </c>
      <c r="S1276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7" spans="1:19" ht="21.95" hidden="1" customHeight="1" x14ac:dyDescent="0.25">
      <c r="A1277" s="124" t="str">
        <f>+IF(PROVEEDORES[[#This Row],[FECHA DE PAGO]]=PROVEEDORES[[#This Row],[FECHA DE FACTURACIÓN]],"DE CONTADO","CRÉDITO")</f>
        <v>CRÉDITO</v>
      </c>
      <c r="B1277" s="70" t="b">
        <f>+IF((PROVEEDORES[[#This Row],[FECHA DE PAGO]]-PROVEEDORES[[#This Row],[FECHA DE FACTURACIÓN]])&gt;PROVEEDORES[[#This Row],[PLAZO Días]],"PAGO VENCIDO")</f>
        <v>0</v>
      </c>
      <c r="C1277" s="27">
        <f>+VLOOKUP(PROVEEDORES[[#This Row],[PROVEEDOR]],TERCEROS_INFO[#All],2,FALSE)</f>
        <v>30</v>
      </c>
      <c r="D1277" s="37">
        <f>+SUMIFS(PROVEEDORES[Total],PROVEEDORES[PROVEEDOR],PROVEEDORES[[#This Row],[PROVEEDOR]],PROVEEDORES[FECHA DE PAGO],"")</f>
        <v>-37730</v>
      </c>
      <c r="E1277" s="37"/>
      <c r="F1277" s="108" t="str">
        <f>+VLOOKUP(PROVEEDORES[[#This Row],[PROVEEDOR]],TERCEROS_INFO[[PROVEEDOR]:[CORREO]],5,FALSE)</f>
        <v>CARLOSARCILAMENSAJERIA@gmail.com;girlesa.ruiz@servipilas.com;joriescobar64@gmail.com</v>
      </c>
      <c r="G1277" s="143">
        <v>44363</v>
      </c>
      <c r="H1277" s="38" t="s">
        <v>383</v>
      </c>
      <c r="I1277" s="30">
        <v>44361</v>
      </c>
      <c r="J1277" s="58">
        <v>106</v>
      </c>
      <c r="K1277" s="32">
        <v>359000</v>
      </c>
      <c r="L1277" s="32"/>
      <c r="M1277" s="33">
        <v>68210</v>
      </c>
      <c r="N1277" s="34"/>
      <c r="O1277" s="33">
        <f>+PROVEEDORES[[#This Row],[Descuento sobre subtotal %]]*(PROVEEDORES[[#This Row],[SUBTOTAL]]-PROVEEDORES[[#This Row],[descuento antes de IVA]])</f>
        <v>0</v>
      </c>
      <c r="P12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77" s="33">
        <f>+(PROVEEDORES[[#This Row],[SUBTOTAL]]-PROVEEDORES[[#This Row],[descuento antes de IVA]])*PROVEEDORES[[#This Row],[Rete Fuente %]]</f>
        <v>3590</v>
      </c>
      <c r="R1277" s="32">
        <f>+PROVEEDORES[[#This Row],[SUBTOTAL]]+PROVEEDORES[[#This Row],[IVA 19%]]-PROVEEDORES[[#This Row],[descuento antes de IVA]]-PROVEEDORES[[#This Row],[Descuento sobre subtotal $]]-PROVEEDORES[[#This Row],[Rete Fuente $]]</f>
        <v>423620</v>
      </c>
      <c r="S1277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8" spans="1:19" ht="21.95" hidden="1" customHeight="1" x14ac:dyDescent="0.25">
      <c r="A1278" s="35" t="str">
        <f>+IF(PROVEEDORES[[#This Row],[FECHA DE PAGO]]=PROVEEDORES[[#This Row],[FECHA DE FACTURACIÓN]],"DE CONTADO","CRÉDITO")</f>
        <v>CRÉDITO</v>
      </c>
      <c r="B1278" s="70" t="b">
        <f>+IF((PROVEEDORES[[#This Row],[FECHA DE PAGO]]-PROVEEDORES[[#This Row],[FECHA DE FACTURACIÓN]])&gt;PROVEEDORES[[#This Row],[PLAZO Días]],"PAGO VENCIDO")</f>
        <v>0</v>
      </c>
      <c r="C1278" s="27">
        <f>+VLOOKUP(PROVEEDORES[[#This Row],[PROVEEDOR]],TERCEROS_INFO[#All],2,FALSE)</f>
        <v>30</v>
      </c>
      <c r="D1278" s="37">
        <f>+SUMIFS(PROVEEDORES[Total],PROVEEDORES[PROVEEDOR],PROVEEDORES[[#This Row],[PROVEEDOR]],PROVEEDORES[FECHA DE PAGO],"")</f>
        <v>-37730</v>
      </c>
      <c r="E1278" s="37"/>
      <c r="F1278" s="108" t="str">
        <f>+VLOOKUP(PROVEEDORES[[#This Row],[PROVEEDOR]],TERCEROS_INFO[[PROVEEDOR]:[CORREO]],5,FALSE)</f>
        <v>CARLOSARCILAMENSAJERIA@gmail.com;girlesa.ruiz@servipilas.com;joriescobar64@gmail.com</v>
      </c>
      <c r="G1278" s="143">
        <v>44385</v>
      </c>
      <c r="H1278" s="38" t="s">
        <v>383</v>
      </c>
      <c r="I1278" s="30">
        <v>44380</v>
      </c>
      <c r="J1278" s="58">
        <v>112</v>
      </c>
      <c r="K1278" s="32">
        <v>341000</v>
      </c>
      <c r="L1278" s="32"/>
      <c r="M1278" s="33">
        <v>64790</v>
      </c>
      <c r="N1278" s="34"/>
      <c r="O1278" s="33">
        <f>+PROVEEDORES[[#This Row],[Descuento sobre subtotal %]]*(PROVEEDORES[[#This Row],[SUBTOTAL]]-PROVEEDORES[[#This Row],[descuento antes de IVA]])</f>
        <v>0</v>
      </c>
      <c r="P12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78" s="33">
        <f>+(PROVEEDORES[[#This Row],[SUBTOTAL]]-PROVEEDORES[[#This Row],[descuento antes de IVA]])*PROVEEDORES[[#This Row],[Rete Fuente %]]</f>
        <v>3410</v>
      </c>
      <c r="R1278" s="32">
        <f>+PROVEEDORES[[#This Row],[SUBTOTAL]]+PROVEEDORES[[#This Row],[IVA 19%]]-PROVEEDORES[[#This Row],[descuento antes de IVA]]-PROVEEDORES[[#This Row],[Descuento sobre subtotal $]]-PROVEEDORES[[#This Row],[Rete Fuente $]]</f>
        <v>402380</v>
      </c>
      <c r="S127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9" spans="1:19" ht="21.95" hidden="1" customHeight="1" x14ac:dyDescent="0.25">
      <c r="A1279" s="35" t="str">
        <f>+IF(PROVEEDORES[[#This Row],[FECHA DE PAGO]]=PROVEEDORES[[#This Row],[FECHA DE FACTURACIÓN]],"DE CONTADO","CRÉDITO")</f>
        <v>CRÉDITO</v>
      </c>
      <c r="B1279" s="70" t="b">
        <f>+IF((PROVEEDORES[[#This Row],[FECHA DE PAGO]]-PROVEEDORES[[#This Row],[FECHA DE FACTURACIÓN]])&gt;PROVEEDORES[[#This Row],[PLAZO Días]],"PAGO VENCIDO")</f>
        <v>0</v>
      </c>
      <c r="C1279" s="27">
        <f>+VLOOKUP(PROVEEDORES[[#This Row],[PROVEEDOR]],TERCEROS_INFO[#All],2,FALSE)</f>
        <v>30</v>
      </c>
      <c r="D1279" s="37">
        <f>+SUMIFS(PROVEEDORES[Total],PROVEEDORES[PROVEEDOR],PROVEEDORES[[#This Row],[PROVEEDOR]],PROVEEDORES[FECHA DE PAGO],"")</f>
        <v>-37730</v>
      </c>
      <c r="E1279" s="37"/>
      <c r="F1279" s="108" t="str">
        <f>+VLOOKUP(PROVEEDORES[[#This Row],[PROVEEDOR]],TERCEROS_INFO[[PROVEEDOR]:[CORREO]],5,FALSE)</f>
        <v>CARLOSARCILAMENSAJERIA@gmail.com;girlesa.ruiz@servipilas.com;joriescobar64@gmail.com</v>
      </c>
      <c r="G1279" s="143">
        <v>44418</v>
      </c>
      <c r="H1279" s="38" t="s">
        <v>383</v>
      </c>
      <c r="I1279" s="30">
        <v>44409</v>
      </c>
      <c r="J1279" s="58">
        <v>120</v>
      </c>
      <c r="K1279" s="32">
        <v>535000</v>
      </c>
      <c r="L1279" s="32"/>
      <c r="M1279" s="33">
        <v>101650</v>
      </c>
      <c r="N1279" s="34"/>
      <c r="O1279" s="33">
        <f>+PROVEEDORES[[#This Row],[Descuento sobre subtotal %]]*(PROVEEDORES[[#This Row],[SUBTOTAL]]-PROVEEDORES[[#This Row],[descuento antes de IVA]])</f>
        <v>0</v>
      </c>
      <c r="P12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79" s="33">
        <f>+(PROVEEDORES[[#This Row],[SUBTOTAL]]-PROVEEDORES[[#This Row],[descuento antes de IVA]])*PROVEEDORES[[#This Row],[Rete Fuente %]]</f>
        <v>5350</v>
      </c>
      <c r="R1279" s="32">
        <f>+PROVEEDORES[[#This Row],[SUBTOTAL]]+PROVEEDORES[[#This Row],[IVA 19%]]-PROVEEDORES[[#This Row],[descuento antes de IVA]]-PROVEEDORES[[#This Row],[Descuento sobre subtotal $]]-PROVEEDORES[[#This Row],[Rete Fuente $]]</f>
        <v>631300</v>
      </c>
      <c r="S127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0" spans="1:19" ht="21.95" hidden="1" customHeight="1" x14ac:dyDescent="0.25">
      <c r="A1280" s="151" t="str">
        <f>+IF(PROVEEDORES[[#This Row],[FECHA DE PAGO]]=PROVEEDORES[[#This Row],[FECHA DE FACTURACIÓN]],"DE CONTADO","CRÉDITO")</f>
        <v>CRÉDITO</v>
      </c>
      <c r="B1280" s="70" t="b">
        <f>+IF((PROVEEDORES[[#This Row],[FECHA DE PAGO]]-PROVEEDORES[[#This Row],[FECHA DE FACTURACIÓN]])&gt;PROVEEDORES[[#This Row],[PLAZO Días]],"PAGO VENCIDO")</f>
        <v>0</v>
      </c>
      <c r="C1280" s="27">
        <f>+VLOOKUP(PROVEEDORES[[#This Row],[PROVEEDOR]],TERCEROS_INFO[#All],2,FALSE)</f>
        <v>30</v>
      </c>
      <c r="D1280" s="37">
        <f>+SUMIFS(PROVEEDORES[Total],PROVEEDORES[PROVEEDOR],PROVEEDORES[[#This Row],[PROVEEDOR]],PROVEEDORES[FECHA DE PAGO],"")</f>
        <v>-37730</v>
      </c>
      <c r="E1280" s="37"/>
      <c r="F1280" s="108" t="str">
        <f>+VLOOKUP(PROVEEDORES[[#This Row],[PROVEEDOR]],TERCEROS_INFO[[PROVEEDOR]:[CORREO]],5,FALSE)</f>
        <v>CARLOSARCILAMENSAJERIA@gmail.com;girlesa.ruiz@servipilas.com;joriescobar64@gmail.com</v>
      </c>
      <c r="G1280" s="143">
        <v>44459</v>
      </c>
      <c r="H1280" s="38" t="s">
        <v>383</v>
      </c>
      <c r="I1280" s="30">
        <v>44453</v>
      </c>
      <c r="J1280" s="58">
        <v>135</v>
      </c>
      <c r="K1280" s="32">
        <v>592000</v>
      </c>
      <c r="L1280" s="32"/>
      <c r="M1280" s="33">
        <v>112480</v>
      </c>
      <c r="N1280" s="34"/>
      <c r="O1280" s="33">
        <f>+PROVEEDORES[[#This Row],[Descuento sobre subtotal %]]*(PROVEEDORES[[#This Row],[SUBTOTAL]]-PROVEEDORES[[#This Row],[descuento antes de IVA]])</f>
        <v>0</v>
      </c>
      <c r="P12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80" s="33">
        <f>+(PROVEEDORES[[#This Row],[SUBTOTAL]]-PROVEEDORES[[#This Row],[descuento antes de IVA]])*PROVEEDORES[[#This Row],[Rete Fuente %]]</f>
        <v>5920</v>
      </c>
      <c r="R1280" s="32">
        <f>+PROVEEDORES[[#This Row],[SUBTOTAL]]+PROVEEDORES[[#This Row],[IVA 19%]]-PROVEEDORES[[#This Row],[descuento antes de IVA]]-PROVEEDORES[[#This Row],[Descuento sobre subtotal $]]-PROVEEDORES[[#This Row],[Rete Fuente $]]</f>
        <v>698560</v>
      </c>
      <c r="S1280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1" spans="1:19" ht="21.95" hidden="1" customHeight="1" x14ac:dyDescent="0.25">
      <c r="A1281" s="157" t="str">
        <f>+IF(PROVEEDORES[[#This Row],[FECHA DE PAGO]]=PROVEEDORES[[#This Row],[FECHA DE FACTURACIÓN]],"DE CONTADO","CRÉDITO")</f>
        <v>CRÉDITO</v>
      </c>
      <c r="B1281" s="70" t="b">
        <f>+IF((PROVEEDORES[[#This Row],[FECHA DE PAGO]]-PROVEEDORES[[#This Row],[FECHA DE FACTURACIÓN]])&gt;PROVEEDORES[[#This Row],[PLAZO Días]],"PAGO VENCIDO")</f>
        <v>0</v>
      </c>
      <c r="C1281" s="27">
        <f>+VLOOKUP(PROVEEDORES[[#This Row],[PROVEEDOR]],TERCEROS_INFO[#All],2,FALSE)</f>
        <v>30</v>
      </c>
      <c r="D1281" s="37">
        <f>+SUMIFS(PROVEEDORES[Total],PROVEEDORES[PROVEEDOR],PROVEEDORES[[#This Row],[PROVEEDOR]],PROVEEDORES[FECHA DE PAGO],"")</f>
        <v>-37730</v>
      </c>
      <c r="E1281" s="37"/>
      <c r="F1281" s="108" t="str">
        <f>+VLOOKUP(PROVEEDORES[[#This Row],[PROVEEDOR]],TERCEROS_INFO[[PROVEEDOR]:[CORREO]],5,FALSE)</f>
        <v>CARLOSARCILAMENSAJERIA@gmail.com;girlesa.ruiz@servipilas.com;joriescobar64@gmail.com</v>
      </c>
      <c r="G1281" s="143">
        <v>44491</v>
      </c>
      <c r="H1281" s="38" t="s">
        <v>383</v>
      </c>
      <c r="I1281" s="30">
        <v>44488</v>
      </c>
      <c r="J1281" s="58">
        <v>151</v>
      </c>
      <c r="K1281" s="32">
        <v>740000</v>
      </c>
      <c r="L1281" s="32"/>
      <c r="M1281" s="33">
        <v>140600</v>
      </c>
      <c r="N1281" s="34"/>
      <c r="O1281" s="33">
        <f>+PROVEEDORES[[#This Row],[Descuento sobre subtotal %]]*(PROVEEDORES[[#This Row],[SUBTOTAL]]-PROVEEDORES[[#This Row],[descuento antes de IVA]])</f>
        <v>0</v>
      </c>
      <c r="P12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81" s="33">
        <f>+(PROVEEDORES[[#This Row],[SUBTOTAL]]-PROVEEDORES[[#This Row],[descuento antes de IVA]])*PROVEEDORES[[#This Row],[Rete Fuente %]]</f>
        <v>7400</v>
      </c>
      <c r="R1281" s="32">
        <f>+PROVEEDORES[[#This Row],[SUBTOTAL]]+PROVEEDORES[[#This Row],[IVA 19%]]-PROVEEDORES[[#This Row],[descuento antes de IVA]]-PROVEEDORES[[#This Row],[Descuento sobre subtotal $]]-PROVEEDORES[[#This Row],[Rete Fuente $]]</f>
        <v>873200</v>
      </c>
      <c r="S1281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2" spans="1:19" ht="21.95" hidden="1" customHeight="1" x14ac:dyDescent="0.25">
      <c r="A1282" s="35" t="str">
        <f>+IF(PROVEEDORES[[#This Row],[FECHA DE PAGO]]=PROVEEDORES[[#This Row],[FECHA DE FACTURACIÓN]],"DE CONTADO","CRÉDITO")</f>
        <v>CRÉDITO</v>
      </c>
      <c r="B1282" s="70" t="b">
        <f>+IF((PROVEEDORES[[#This Row],[FECHA DE PAGO]]-PROVEEDORES[[#This Row],[FECHA DE FACTURACIÓN]])&gt;PROVEEDORES[[#This Row],[PLAZO Días]],"PAGO VENCIDO")</f>
        <v>0</v>
      </c>
      <c r="C1282" s="27">
        <f>+VLOOKUP(PROVEEDORES[[#This Row],[PROVEEDOR]],TERCEROS_INFO[#All],2,FALSE)</f>
        <v>30</v>
      </c>
      <c r="D1282" s="37">
        <f>+SUMIFS(PROVEEDORES[Total],PROVEEDORES[PROVEEDOR],PROVEEDORES[[#This Row],[PROVEEDOR]],PROVEEDORES[FECHA DE PAGO],"")</f>
        <v>-37730</v>
      </c>
      <c r="E1282" s="37"/>
      <c r="F1282" s="108" t="str">
        <f>+VLOOKUP(PROVEEDORES[[#This Row],[PROVEEDOR]],TERCEROS_INFO[[PROVEEDOR]:[CORREO]],5,FALSE)</f>
        <v>CARLOSARCILAMENSAJERIA@gmail.com;girlesa.ruiz@servipilas.com;joriescobar64@gmail.com</v>
      </c>
      <c r="G1282" s="143">
        <v>44510</v>
      </c>
      <c r="H1282" s="38" t="s">
        <v>383</v>
      </c>
      <c r="I1282" s="30">
        <v>44508</v>
      </c>
      <c r="J1282" s="58">
        <v>159</v>
      </c>
      <c r="K1282" s="32">
        <v>624000</v>
      </c>
      <c r="L1282" s="32"/>
      <c r="M1282" s="33">
        <v>0</v>
      </c>
      <c r="N1282" s="34"/>
      <c r="O1282" s="33">
        <f>+PROVEEDORES[[#This Row],[Descuento sobre subtotal %]]*(PROVEEDORES[[#This Row],[SUBTOTAL]]-PROVEEDORES[[#This Row],[descuento antes de IVA]])</f>
        <v>0</v>
      </c>
      <c r="P12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82" s="33">
        <f>+(PROVEEDORES[[#This Row],[SUBTOTAL]]-PROVEEDORES[[#This Row],[descuento antes de IVA]])*PROVEEDORES[[#This Row],[Rete Fuente %]]</f>
        <v>6240</v>
      </c>
      <c r="R1282" s="32">
        <f>+PROVEEDORES[[#This Row],[SUBTOTAL]]+PROVEEDORES[[#This Row],[IVA 19%]]-PROVEEDORES[[#This Row],[descuento antes de IVA]]-PROVEEDORES[[#This Row],[Descuento sobre subtotal $]]-PROVEEDORES[[#This Row],[Rete Fuente $]]</f>
        <v>617760</v>
      </c>
      <c r="S128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3" spans="1:19" ht="21.95" hidden="1" customHeight="1" x14ac:dyDescent="0.25">
      <c r="A1283" s="35" t="str">
        <f>+IF(PROVEEDORES[[#This Row],[FECHA DE PAGO]]=PROVEEDORES[[#This Row],[FECHA DE FACTURACIÓN]],"DE CONTADO","CRÉDITO")</f>
        <v>CRÉDITO</v>
      </c>
      <c r="B1283" s="70" t="b">
        <f>+IF((PROVEEDORES[[#This Row],[FECHA DE PAGO]]-PROVEEDORES[[#This Row],[FECHA DE FACTURACIÓN]])&gt;PROVEEDORES[[#This Row],[PLAZO Días]],"PAGO VENCIDO")</f>
        <v>0</v>
      </c>
      <c r="C1283" s="27">
        <f>+VLOOKUP(PROVEEDORES[[#This Row],[PROVEEDOR]],TERCEROS_INFO[#All],2,FALSE)</f>
        <v>30</v>
      </c>
      <c r="D1283" s="37">
        <f>+SUMIFS(PROVEEDORES[Total],PROVEEDORES[PROVEEDOR],PROVEEDORES[[#This Row],[PROVEEDOR]],PROVEEDORES[FECHA DE PAGO],"")</f>
        <v>-37730</v>
      </c>
      <c r="E1283" s="37"/>
      <c r="F1283" s="108" t="str">
        <f>+VLOOKUP(PROVEEDORES[[#This Row],[PROVEEDOR]],TERCEROS_INFO[[PROVEEDOR]:[CORREO]],5,FALSE)</f>
        <v>CARLOSARCILAMENSAJERIA@gmail.com;girlesa.ruiz@servipilas.com;joriescobar64@gmail.com</v>
      </c>
      <c r="G1283" s="143">
        <v>44543</v>
      </c>
      <c r="H1283" s="38" t="s">
        <v>383</v>
      </c>
      <c r="I1283" s="30">
        <v>44536</v>
      </c>
      <c r="J1283" s="58">
        <v>176</v>
      </c>
      <c r="K1283" s="32">
        <v>767000</v>
      </c>
      <c r="L1283" s="32"/>
      <c r="M1283" s="33">
        <v>0</v>
      </c>
      <c r="N1283" s="34"/>
      <c r="O1283" s="33">
        <f>+PROVEEDORES[[#This Row],[Descuento sobre subtotal %]]*(PROVEEDORES[[#This Row],[SUBTOTAL]]-PROVEEDORES[[#This Row],[descuento antes de IVA]])</f>
        <v>0</v>
      </c>
      <c r="P12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283" s="33">
        <f>+(PROVEEDORES[[#This Row],[SUBTOTAL]]-PROVEEDORES[[#This Row],[descuento antes de IVA]])*PROVEEDORES[[#This Row],[Rete Fuente %]]</f>
        <v>7670</v>
      </c>
      <c r="R1283" s="32">
        <f>+PROVEEDORES[[#This Row],[SUBTOTAL]]+PROVEEDORES[[#This Row],[IVA 19%]]-PROVEEDORES[[#This Row],[descuento antes de IVA]]-PROVEEDORES[[#This Row],[Descuento sobre subtotal $]]-PROVEEDORES[[#This Row],[Rete Fuente $]]</f>
        <v>759330</v>
      </c>
      <c r="S128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4" spans="1:19" ht="21.95" hidden="1" customHeight="1" x14ac:dyDescent="0.25">
      <c r="A1284" s="169" t="str">
        <f>+IF(PROVEEDORES[[#This Row],[FECHA DE PAGO]]=PROVEEDORES[[#This Row],[FECHA DE FACTURACIÓN]],"DE CONTADO","CRÉDITO")</f>
        <v>CRÉDITO</v>
      </c>
      <c r="B1284" s="70" t="b">
        <f>+IF((PROVEEDORES[[#This Row],[FECHA DE PAGO]]-PROVEEDORES[[#This Row],[FECHA DE FACTURACIÓN]])&gt;PROVEEDORES[[#This Row],[PLAZO Días]],"PAGO VENCIDO")</f>
        <v>0</v>
      </c>
      <c r="C1284" s="27">
        <f>+VLOOKUP(PROVEEDORES[[#This Row],[PROVEEDOR]],TERCEROS_INFO[#All],2,FALSE)</f>
        <v>30</v>
      </c>
      <c r="D1284" s="37">
        <f>+SUMIFS(PROVEEDORES[Total],PROVEEDORES[PROVEEDOR],PROVEEDORES[[#This Row],[PROVEEDOR]],PROVEEDORES[FECHA DE PAGO],"")</f>
        <v>-37730</v>
      </c>
      <c r="E1284" s="37"/>
      <c r="F1284" s="108" t="str">
        <f>+VLOOKUP(PROVEEDORES[[#This Row],[PROVEEDOR]],TERCEROS_INFO[[PROVEEDOR]:[CORREO]],5,FALSE)</f>
        <v>CARLOSARCILAMENSAJERIA@gmail.com;girlesa.ruiz@servipilas.com;joriescobar64@gmail.com</v>
      </c>
      <c r="G1284" s="143">
        <v>44554</v>
      </c>
      <c r="H1284" s="38" t="s">
        <v>383</v>
      </c>
      <c r="I1284" s="30">
        <v>44551</v>
      </c>
      <c r="J1284" s="58">
        <v>186</v>
      </c>
      <c r="K1284" s="32">
        <v>135000</v>
      </c>
      <c r="L1284" s="32"/>
      <c r="M1284" s="33">
        <v>0</v>
      </c>
      <c r="N1284" s="34"/>
      <c r="O1284" s="33">
        <f>+PROVEEDORES[[#This Row],[Descuento sobre subtotal %]]*(PROVEEDORES[[#This Row],[SUBTOTAL]]-PROVEEDORES[[#This Row],[descuento antes de IVA]])</f>
        <v>0</v>
      </c>
      <c r="P12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84" s="33">
        <f>+(PROVEEDORES[[#This Row],[SUBTOTAL]]-PROVEEDORES[[#This Row],[descuento antes de IVA]])*PROVEEDORES[[#This Row],[Rete Fuente %]]</f>
        <v>0</v>
      </c>
      <c r="R1284" s="32">
        <f>+PROVEEDORES[[#This Row],[SUBTOTAL]]+PROVEEDORES[[#This Row],[IVA 19%]]-PROVEEDORES[[#This Row],[descuento antes de IVA]]-PROVEEDORES[[#This Row],[Descuento sobre subtotal $]]-PROVEEDORES[[#This Row],[Rete Fuente $]]</f>
        <v>135000</v>
      </c>
      <c r="S1284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5" spans="1:19" ht="21.95" hidden="1" customHeight="1" x14ac:dyDescent="0.25">
      <c r="A1285" s="35" t="str">
        <f>+IF(PROVEEDORES[[#This Row],[FECHA DE PAGO]]=PROVEEDORES[[#This Row],[FECHA DE FACTURACIÓN]],"DE CONTADO","CRÉDITO")</f>
        <v>CRÉDITO</v>
      </c>
      <c r="B1285" s="70" t="b">
        <f>+IF((PROVEEDORES[[#This Row],[FECHA DE PAGO]]-PROVEEDORES[[#This Row],[FECHA DE FACTURACIÓN]])&gt;PROVEEDORES[[#This Row],[PLAZO Días]],"PAGO VENCIDO")</f>
        <v>0</v>
      </c>
      <c r="C1285" s="27">
        <f>+VLOOKUP(PROVEEDORES[[#This Row],[PROVEEDOR]],TERCEROS_INFO[#All],2,FALSE)</f>
        <v>30</v>
      </c>
      <c r="D1285" s="37">
        <f>+SUMIFS(PROVEEDORES[Total],PROVEEDORES[PROVEEDOR],PROVEEDORES[[#This Row],[PROVEEDOR]],PROVEEDORES[FECHA DE PAGO],"")</f>
        <v>-37730</v>
      </c>
      <c r="E1285" s="37"/>
      <c r="F1285" s="108" t="str">
        <f>+VLOOKUP(PROVEEDORES[[#This Row],[PROVEEDOR]],TERCEROS_INFO[[PROVEEDOR]:[CORREO]],5,FALSE)</f>
        <v>CARLOSARCILAMENSAJERIA@gmail.com;girlesa.ruiz@servipilas.com;joriescobar64@gmail.com</v>
      </c>
      <c r="G1285" s="143">
        <v>44567</v>
      </c>
      <c r="H1285" s="38" t="s">
        <v>383</v>
      </c>
      <c r="I1285" s="30">
        <v>44565</v>
      </c>
      <c r="J1285" s="58">
        <v>192</v>
      </c>
      <c r="K1285" s="32">
        <v>135000</v>
      </c>
      <c r="L1285" s="32"/>
      <c r="M1285" s="33">
        <v>0</v>
      </c>
      <c r="N1285" s="34"/>
      <c r="O1285" s="33">
        <f>+PROVEEDORES[[#This Row],[Descuento sobre subtotal %]]*(PROVEEDORES[[#This Row],[SUBTOTAL]]-PROVEEDORES[[#This Row],[descuento antes de IVA]])</f>
        <v>0</v>
      </c>
      <c r="P12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85" s="33">
        <f>+(PROVEEDORES[[#This Row],[SUBTOTAL]]-PROVEEDORES[[#This Row],[descuento antes de IVA]])*PROVEEDORES[[#This Row],[Rete Fuente %]]</f>
        <v>0</v>
      </c>
      <c r="R1285" s="32">
        <f>+PROVEEDORES[[#This Row],[SUBTOTAL]]+PROVEEDORES[[#This Row],[IVA 19%]]-PROVEEDORES[[#This Row],[descuento antes de IVA]]-PROVEEDORES[[#This Row],[Descuento sobre subtotal $]]-PROVEEDORES[[#This Row],[Rete Fuente $]]</f>
        <v>135000</v>
      </c>
      <c r="S128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6" spans="1:19" ht="21.95" hidden="1" customHeight="1" x14ac:dyDescent="0.25">
      <c r="A1286" s="39" t="str">
        <f>+IF(PROVEEDORES[[#This Row],[FECHA DE PAGO]]=PROVEEDORES[[#This Row],[FECHA DE FACTURACIÓN]],"DE CONTADO","CRÉDITO")</f>
        <v>CRÉDITO</v>
      </c>
      <c r="B1286" s="67" t="str">
        <f>+IF((PROVEEDORES[[#This Row],[FECHA DE PAGO]]-PROVEEDORES[[#This Row],[FECHA DE FACTURACIÓN]])&gt;PROVEEDORES[[#This Row],[PLAZO Días]],"PAGO VENCIDO")</f>
        <v>PAGO VENCIDO</v>
      </c>
      <c r="C1286" s="27">
        <f>+VLOOKUP(PROVEEDORES[[#This Row],[PROVEEDOR]],TERCEROS_INFO[#All],2,FALSE)</f>
        <v>30</v>
      </c>
      <c r="D1286" s="37">
        <f>+SUMIFS(PROVEEDORES[Total],PROVEEDORES[PROVEEDOR],PROVEEDORES[[#This Row],[PROVEEDOR]],PROVEEDORES[FECHA DE PAGO],"")</f>
        <v>0</v>
      </c>
      <c r="E1286" s="37"/>
      <c r="F1286" s="108" t="str">
        <f>+VLOOKUP(PROVEEDORES[[#This Row],[PROVEEDOR]],TERCEROS_INFO[[PROVEEDOR]:[CORREO]],5,FALSE)</f>
        <v>ventas@ismartsas.com;girlesa.ruiz@servipilas.com;joriescobar64@gmail.com</v>
      </c>
      <c r="G1286" s="143">
        <v>43901</v>
      </c>
      <c r="H1286" s="38" t="s">
        <v>52</v>
      </c>
      <c r="I1286" s="30">
        <v>43851</v>
      </c>
      <c r="J1286" s="58">
        <v>10056</v>
      </c>
      <c r="K1286" s="32">
        <v>345000</v>
      </c>
      <c r="L1286" s="32"/>
      <c r="M1286" s="33">
        <f>(PROVEEDORES[[#This Row],[SUBTOTAL]]-PROVEEDORES[[#This Row],[descuento antes de IVA]])*VLOOKUP(PROVEEDORES[[#This Row],[PROVEEDOR]],TERCEROS_INFO[#All],3,FALSE)</f>
        <v>65550</v>
      </c>
      <c r="N1286" s="34"/>
      <c r="O1286" s="33">
        <f>+PROVEEDORES[[#This Row],[Descuento sobre subtotal %]]*(PROVEEDORES[[#This Row],[SUBTOTAL]]-PROVEEDORES[[#This Row],[descuento antes de IVA]])</f>
        <v>0</v>
      </c>
      <c r="P12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86" s="33">
        <f>+(PROVEEDORES[[#This Row],[SUBTOTAL]]-PROVEEDORES[[#This Row],[descuento antes de IVA]])*PROVEEDORES[[#This Row],[Rete Fuente %]]</f>
        <v>0</v>
      </c>
      <c r="R1286" s="32">
        <f>+PROVEEDORES[[#This Row],[SUBTOTAL]]+PROVEEDORES[[#This Row],[IVA 19%]]-PROVEEDORES[[#This Row],[descuento antes de IVA]]-PROVEEDORES[[#This Row],[Descuento sobre subtotal $]]-PROVEEDORES[[#This Row],[Rete Fuente $]]</f>
        <v>410550</v>
      </c>
      <c r="S128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7" spans="1:19" ht="21.95" hidden="1" customHeight="1" x14ac:dyDescent="0.25">
      <c r="A1287" s="39" t="str">
        <f>+IF(PROVEEDORES[[#This Row],[FECHA DE PAGO]]=PROVEEDORES[[#This Row],[FECHA DE FACTURACIÓN]],"DE CONTADO","CRÉDITO")</f>
        <v>CRÉDITO</v>
      </c>
      <c r="B1287" s="67" t="b">
        <f>+IF((PROVEEDORES[[#This Row],[FECHA DE PAGO]]-PROVEEDORES[[#This Row],[FECHA DE FACTURACIÓN]])&gt;PROVEEDORES[[#This Row],[PLAZO Días]],"PAGO VENCIDO")</f>
        <v>0</v>
      </c>
      <c r="C1287" s="27">
        <f>+VLOOKUP(PROVEEDORES[[#This Row],[PROVEEDOR]],TERCEROS_INFO[#All],2,FALSE)</f>
        <v>30</v>
      </c>
      <c r="D1287" s="37">
        <f>+SUMIFS(PROVEEDORES[Total],PROVEEDORES[PROVEEDOR],PROVEEDORES[[#This Row],[PROVEEDOR]],PROVEEDORES[FECHA DE PAGO],"")</f>
        <v>0</v>
      </c>
      <c r="E1287" s="37"/>
      <c r="F1287" s="108" t="str">
        <f>+VLOOKUP(PROVEEDORES[[#This Row],[PROVEEDOR]],TERCEROS_INFO[[PROVEEDOR]:[CORREO]],5,FALSE)</f>
        <v>ventas@ismartsas.com;girlesa.ruiz@servipilas.com;joriescobar64@gmail.com</v>
      </c>
      <c r="G1287" s="143">
        <v>43901</v>
      </c>
      <c r="H1287" s="38" t="s">
        <v>52</v>
      </c>
      <c r="I1287" s="30">
        <v>43875</v>
      </c>
      <c r="J1287" s="58">
        <v>10777</v>
      </c>
      <c r="K1287" s="32">
        <v>380000</v>
      </c>
      <c r="L1287" s="32"/>
      <c r="M1287" s="33">
        <f>(PROVEEDORES[[#This Row],[SUBTOTAL]]-PROVEEDORES[[#This Row],[descuento antes de IVA]])*VLOOKUP(PROVEEDORES[[#This Row],[PROVEEDOR]],TERCEROS_INFO[#All],3,FALSE)</f>
        <v>72200</v>
      </c>
      <c r="N1287" s="34"/>
      <c r="O1287" s="33">
        <f>+PROVEEDORES[[#This Row],[Descuento sobre subtotal %]]*(PROVEEDORES[[#This Row],[SUBTOTAL]]-PROVEEDORES[[#This Row],[descuento antes de IVA]])</f>
        <v>0</v>
      </c>
      <c r="P12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87" s="33">
        <f>+(PROVEEDORES[[#This Row],[SUBTOTAL]]-PROVEEDORES[[#This Row],[descuento antes de IVA]])*PROVEEDORES[[#This Row],[Rete Fuente %]]</f>
        <v>0</v>
      </c>
      <c r="R1287" s="32">
        <f>+PROVEEDORES[[#This Row],[SUBTOTAL]]+PROVEEDORES[[#This Row],[IVA 19%]]-PROVEEDORES[[#This Row],[descuento antes de IVA]]-PROVEEDORES[[#This Row],[Descuento sobre subtotal $]]-PROVEEDORES[[#This Row],[Rete Fuente $]]</f>
        <v>452200</v>
      </c>
      <c r="S128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8" spans="1:19" ht="21.95" hidden="1" customHeight="1" x14ac:dyDescent="0.25">
      <c r="A1288" s="39" t="str">
        <f>+IF(PROVEEDORES[[#This Row],[FECHA DE PAGO]]=PROVEEDORES[[#This Row],[FECHA DE FACTURACIÓN]],"DE CONTADO","CRÉDITO")</f>
        <v>CRÉDITO</v>
      </c>
      <c r="B1288" s="67" t="str">
        <f>+IF((PROVEEDORES[[#This Row],[FECHA DE PAGO]]-PROVEEDORES[[#This Row],[FECHA DE FACTURACIÓN]])&gt;PROVEEDORES[[#This Row],[PLAZO Días]],"PAGO VENCIDO")</f>
        <v>PAGO VENCIDO</v>
      </c>
      <c r="C1288" s="27">
        <f>+VLOOKUP(PROVEEDORES[[#This Row],[PROVEEDOR]],TERCEROS_INFO[#All],2,FALSE)</f>
        <v>30</v>
      </c>
      <c r="D1288" s="37">
        <f>+SUMIFS(PROVEEDORES[Total],PROVEEDORES[PROVEEDOR],PROVEEDORES[[#This Row],[PROVEEDOR]],PROVEEDORES[FECHA DE PAGO],"")</f>
        <v>0</v>
      </c>
      <c r="E1288" s="37"/>
      <c r="F1288" s="108" t="str">
        <f>+VLOOKUP(PROVEEDORES[[#This Row],[PROVEEDOR]],TERCEROS_INFO[[PROVEEDOR]:[CORREO]],5,FALSE)</f>
        <v>ventas@ismartsas.com;girlesa.ruiz@servipilas.com;joriescobar64@gmail.com</v>
      </c>
      <c r="G1288" s="143">
        <v>44124</v>
      </c>
      <c r="H1288" s="38" t="s">
        <v>52</v>
      </c>
      <c r="I1288" s="30">
        <v>44086</v>
      </c>
      <c r="J1288" s="58">
        <v>22596</v>
      </c>
      <c r="K1288" s="32">
        <v>860400</v>
      </c>
      <c r="L1288" s="32"/>
      <c r="M1288" s="33">
        <f>(PROVEEDORES[[#This Row],[SUBTOTAL]]-PROVEEDORES[[#This Row],[descuento antes de IVA]])*VLOOKUP(PROVEEDORES[[#This Row],[PROVEEDOR]],TERCEROS_INFO[#All],3,FALSE)</f>
        <v>163476</v>
      </c>
      <c r="N1288" s="34"/>
      <c r="O1288" s="33">
        <f>+PROVEEDORES[[#This Row],[Descuento sobre subtotal %]]*(PROVEEDORES[[#This Row],[SUBTOTAL]]-PROVEEDORES[[#This Row],[descuento antes de IVA]])</f>
        <v>0</v>
      </c>
      <c r="P12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88" s="33">
        <f>+(PROVEEDORES[[#This Row],[SUBTOTAL]]-PROVEEDORES[[#This Row],[descuento antes de IVA]])*PROVEEDORES[[#This Row],[Rete Fuente %]]</f>
        <v>0</v>
      </c>
      <c r="R1288" s="32">
        <f>+PROVEEDORES[[#This Row],[SUBTOTAL]]+PROVEEDORES[[#This Row],[IVA 19%]]-PROVEEDORES[[#This Row],[descuento antes de IVA]]-PROVEEDORES[[#This Row],[Descuento sobre subtotal $]]-PROVEEDORES[[#This Row],[Rete Fuente $]]</f>
        <v>1023876</v>
      </c>
      <c r="S128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89" spans="1:19" ht="21.95" hidden="1" customHeight="1" x14ac:dyDescent="0.25">
      <c r="A1289" s="39" t="str">
        <f>+IF(PROVEEDORES[[#This Row],[FECHA DE PAGO]]=PROVEEDORES[[#This Row],[FECHA DE FACTURACIÓN]],"DE CONTADO","CRÉDITO")</f>
        <v>CRÉDITO</v>
      </c>
      <c r="B1289" s="67" t="str">
        <f>+IF((PROVEEDORES[[#This Row],[FECHA DE PAGO]]-PROVEEDORES[[#This Row],[FECHA DE FACTURACIÓN]])&gt;PROVEEDORES[[#This Row],[PLAZO Días]],"PAGO VENCIDO")</f>
        <v>PAGO VENCIDO</v>
      </c>
      <c r="C1289" s="27">
        <f>+VLOOKUP(PROVEEDORES[[#This Row],[PROVEEDOR]],TERCEROS_INFO[#All],2,FALSE)</f>
        <v>30</v>
      </c>
      <c r="D1289" s="37">
        <f>+SUMIFS(PROVEEDORES[Total],PROVEEDORES[PROVEEDOR],PROVEEDORES[[#This Row],[PROVEEDOR]],PROVEEDORES[FECHA DE PAGO],"")</f>
        <v>0</v>
      </c>
      <c r="E1289" s="37"/>
      <c r="F1289" s="108" t="str">
        <f>+VLOOKUP(PROVEEDORES[[#This Row],[PROVEEDOR]],TERCEROS_INFO[[PROVEEDOR]:[CORREO]],5,FALSE)</f>
        <v>ventas@ismartsas.com;girlesa.ruiz@servipilas.com;joriescobar64@gmail.com</v>
      </c>
      <c r="G1289" s="143">
        <v>44180</v>
      </c>
      <c r="H1289" s="38" t="s">
        <v>52</v>
      </c>
      <c r="I1289" s="30">
        <v>44127</v>
      </c>
      <c r="J1289" s="58">
        <v>23684</v>
      </c>
      <c r="K1289" s="32">
        <v>144000</v>
      </c>
      <c r="L1289" s="32"/>
      <c r="M1289" s="33">
        <f>(PROVEEDORES[[#This Row],[SUBTOTAL]]-PROVEEDORES[[#This Row],[descuento antes de IVA]])*VLOOKUP(PROVEEDORES[[#This Row],[PROVEEDOR]],TERCEROS_INFO[#All],3,FALSE)</f>
        <v>27360</v>
      </c>
      <c r="N1289" s="34"/>
      <c r="O1289" s="33">
        <f>+PROVEEDORES[[#This Row],[Descuento sobre subtotal %]]*(PROVEEDORES[[#This Row],[SUBTOTAL]]-PROVEEDORES[[#This Row],[descuento antes de IVA]])</f>
        <v>0</v>
      </c>
      <c r="P12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89" s="33">
        <f>+(PROVEEDORES[[#This Row],[SUBTOTAL]]-PROVEEDORES[[#This Row],[descuento antes de IVA]])*PROVEEDORES[[#This Row],[Rete Fuente %]]</f>
        <v>0</v>
      </c>
      <c r="R1289" s="32">
        <f>+PROVEEDORES[[#This Row],[SUBTOTAL]]+PROVEEDORES[[#This Row],[IVA 19%]]-PROVEEDORES[[#This Row],[descuento antes de IVA]]-PROVEEDORES[[#This Row],[Descuento sobre subtotal $]]-PROVEEDORES[[#This Row],[Rete Fuente $]]</f>
        <v>171360</v>
      </c>
      <c r="S12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0" spans="1:19" ht="21.95" hidden="1" customHeight="1" x14ac:dyDescent="0.25">
      <c r="A1290" s="39" t="str">
        <f>+IF(PROVEEDORES[[#This Row],[FECHA DE PAGO]]=PROVEEDORES[[#This Row],[FECHA DE FACTURACIÓN]],"DE CONTADO","CRÉDITO")</f>
        <v>CRÉDITO</v>
      </c>
      <c r="B1290" s="67" t="str">
        <f>+IF((PROVEEDORES[[#This Row],[FECHA DE PAGO]]-PROVEEDORES[[#This Row],[FECHA DE FACTURACIÓN]])&gt;PROVEEDORES[[#This Row],[PLAZO Días]],"PAGO VENCIDO")</f>
        <v>PAGO VENCIDO</v>
      </c>
      <c r="C1290" s="27">
        <f>+VLOOKUP(PROVEEDORES[[#This Row],[PROVEEDOR]],TERCEROS_INFO[#All],2,FALSE)</f>
        <v>30</v>
      </c>
      <c r="D1290" s="37">
        <f>+SUMIFS(PROVEEDORES[Total],PROVEEDORES[PROVEEDOR],PROVEEDORES[[#This Row],[PROVEEDOR]],PROVEEDORES[FECHA DE PAGO],"")</f>
        <v>0</v>
      </c>
      <c r="E1290" s="37"/>
      <c r="F1290" s="108" t="str">
        <f>+VLOOKUP(PROVEEDORES[[#This Row],[PROVEEDOR]],TERCEROS_INFO[[PROVEEDOR]:[CORREO]],5,FALSE)</f>
        <v>ventas@ismartsas.com;girlesa.ruiz@servipilas.com;joriescobar64@gmail.com</v>
      </c>
      <c r="G1290" s="143">
        <v>44187</v>
      </c>
      <c r="H1290" s="38" t="s">
        <v>52</v>
      </c>
      <c r="I1290" s="30">
        <v>44139</v>
      </c>
      <c r="J1290" s="58">
        <v>23976</v>
      </c>
      <c r="K1290" s="32">
        <v>534320.16806722688</v>
      </c>
      <c r="L1290" s="32"/>
      <c r="M1290" s="33">
        <f>(PROVEEDORES[[#This Row],[SUBTOTAL]]-PROVEEDORES[[#This Row],[descuento antes de IVA]])*VLOOKUP(PROVEEDORES[[#This Row],[PROVEEDOR]],TERCEROS_INFO[#All],3,FALSE)</f>
        <v>101520.83193277312</v>
      </c>
      <c r="N1290" s="34"/>
      <c r="O1290" s="33">
        <f>+PROVEEDORES[[#This Row],[Descuento sobre subtotal %]]*(PROVEEDORES[[#This Row],[SUBTOTAL]]-PROVEEDORES[[#This Row],[descuento antes de IVA]])</f>
        <v>0</v>
      </c>
      <c r="P12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90" s="33">
        <f>+(PROVEEDORES[[#This Row],[SUBTOTAL]]-PROVEEDORES[[#This Row],[descuento antes de IVA]])*PROVEEDORES[[#This Row],[Rete Fuente %]]</f>
        <v>0</v>
      </c>
      <c r="R1290" s="32">
        <f>+PROVEEDORES[[#This Row],[SUBTOTAL]]+PROVEEDORES[[#This Row],[IVA 19%]]-PROVEEDORES[[#This Row],[descuento antes de IVA]]-PROVEEDORES[[#This Row],[Descuento sobre subtotal $]]-PROVEEDORES[[#This Row],[Rete Fuente $]]</f>
        <v>635841</v>
      </c>
      <c r="S129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1" spans="1:19" ht="21.95" hidden="1" customHeight="1" x14ac:dyDescent="0.25">
      <c r="A1291" s="66" t="str">
        <f>+IF(PROVEEDORES[[#This Row],[FECHA DE PAGO]]=PROVEEDORES[[#This Row],[FECHA DE FACTURACIÓN]],"DE CONTADO","CRÉDITO")</f>
        <v>CRÉDITO</v>
      </c>
      <c r="B1291" s="68" t="str">
        <f>+IF((PROVEEDORES[[#This Row],[FECHA DE PAGO]]-PROVEEDORES[[#This Row],[FECHA DE FACTURACIÓN]])&gt;PROVEEDORES[[#This Row],[PLAZO Días]],"PAGO VENCIDO")</f>
        <v>PAGO VENCIDO</v>
      </c>
      <c r="C1291" s="27">
        <f>+VLOOKUP(PROVEEDORES[[#This Row],[PROVEEDOR]],TERCEROS_INFO[#All],2,FALSE)</f>
        <v>30</v>
      </c>
      <c r="D1291" s="37">
        <f>+SUMIFS(PROVEEDORES[Total],PROVEEDORES[PROVEEDOR],PROVEEDORES[[#This Row],[PROVEEDOR]],PROVEEDORES[FECHA DE PAGO],"")</f>
        <v>0</v>
      </c>
      <c r="E1291" s="37"/>
      <c r="F1291" s="108" t="str">
        <f>+VLOOKUP(PROVEEDORES[[#This Row],[PROVEEDOR]],TERCEROS_INFO[[PROVEEDOR]:[CORREO]],5,FALSE)</f>
        <v>ventas@ismartsas.com;girlesa.ruiz@servipilas.com;joriescobar64@gmail.com</v>
      </c>
      <c r="G1291" s="143">
        <v>44298</v>
      </c>
      <c r="H1291" s="38" t="s">
        <v>52</v>
      </c>
      <c r="I1291" s="30">
        <v>44235</v>
      </c>
      <c r="J1291" s="58">
        <v>25994</v>
      </c>
      <c r="K1291" s="32">
        <v>484254</v>
      </c>
      <c r="L1291" s="32"/>
      <c r="M1291" s="33">
        <f>(PROVEEDORES[[#This Row],[SUBTOTAL]]-PROVEEDORES[[#This Row],[descuento antes de IVA]])*VLOOKUP(PROVEEDORES[[#This Row],[PROVEEDOR]],TERCEROS_INFO[#All],3,FALSE)</f>
        <v>92008.26</v>
      </c>
      <c r="N1291" s="34"/>
      <c r="O1291" s="33">
        <f>+PROVEEDORES[[#This Row],[Descuento sobre subtotal %]]*(PROVEEDORES[[#This Row],[SUBTOTAL]]-PROVEEDORES[[#This Row],[descuento antes de IVA]])</f>
        <v>0</v>
      </c>
      <c r="P12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91" s="33">
        <f>+(PROVEEDORES[[#This Row],[SUBTOTAL]]-PROVEEDORES[[#This Row],[descuento antes de IVA]])*PROVEEDORES[[#This Row],[Rete Fuente %]]</f>
        <v>0</v>
      </c>
      <c r="R1291" s="32">
        <f>+PROVEEDORES[[#This Row],[SUBTOTAL]]+PROVEEDORES[[#This Row],[IVA 19%]]-PROVEEDORES[[#This Row],[descuento antes de IVA]]-PROVEEDORES[[#This Row],[Descuento sobre subtotal $]]-PROVEEDORES[[#This Row],[Rete Fuente $]]</f>
        <v>576262.26</v>
      </c>
      <c r="S1291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2" spans="1:19" ht="21.95" hidden="1" customHeight="1" x14ac:dyDescent="0.25">
      <c r="A1292" s="88" t="str">
        <f>+IF(PROVEEDORES[[#This Row],[FECHA DE PAGO]]=PROVEEDORES[[#This Row],[FECHA DE FACTURACIÓN]],"DE CONTADO","CRÉDITO")</f>
        <v>CRÉDITO</v>
      </c>
      <c r="B1292" s="70" t="str">
        <f>+IF((PROVEEDORES[[#This Row],[FECHA DE PAGO]]-PROVEEDORES[[#This Row],[FECHA DE FACTURACIÓN]])&gt;PROVEEDORES[[#This Row],[PLAZO Días]],"PAGO VENCIDO")</f>
        <v>PAGO VENCIDO</v>
      </c>
      <c r="C1292" s="27">
        <f>+VLOOKUP(PROVEEDORES[[#This Row],[PROVEEDOR]],TERCEROS_INFO[#All],2,FALSE)</f>
        <v>30</v>
      </c>
      <c r="D1292" s="37">
        <f>+SUMIFS(PROVEEDORES[Total],PROVEEDORES[PROVEEDOR],PROVEEDORES[[#This Row],[PROVEEDOR]],PROVEEDORES[FECHA DE PAGO],"")</f>
        <v>0</v>
      </c>
      <c r="E1292" s="37"/>
      <c r="F1292" s="108" t="str">
        <f>+VLOOKUP(PROVEEDORES[[#This Row],[PROVEEDOR]],TERCEROS_INFO[[PROVEEDOR]:[CORREO]],5,FALSE)</f>
        <v>ventas@ismartsas.com;girlesa.ruiz@servipilas.com;joriescobar64@gmail.com</v>
      </c>
      <c r="G1292" s="143">
        <v>44298</v>
      </c>
      <c r="H1292" s="38" t="s">
        <v>52</v>
      </c>
      <c r="I1292" s="30">
        <v>44252</v>
      </c>
      <c r="J1292" s="58">
        <v>26574</v>
      </c>
      <c r="K1292" s="32">
        <v>812350</v>
      </c>
      <c r="L1292" s="32"/>
      <c r="M1292" s="33">
        <f>(PROVEEDORES[[#This Row],[SUBTOTAL]]-PROVEEDORES[[#This Row],[descuento antes de IVA]])*VLOOKUP(PROVEEDORES[[#This Row],[PROVEEDOR]],TERCEROS_INFO[#All],3,FALSE)</f>
        <v>154346.5</v>
      </c>
      <c r="N1292" s="34"/>
      <c r="O1292" s="33">
        <f>+PROVEEDORES[[#This Row],[Descuento sobre subtotal %]]*(PROVEEDORES[[#This Row],[SUBTOTAL]]-PROVEEDORES[[#This Row],[descuento antes de IVA]])</f>
        <v>0</v>
      </c>
      <c r="P12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92" s="33">
        <f>+(PROVEEDORES[[#This Row],[SUBTOTAL]]-PROVEEDORES[[#This Row],[descuento antes de IVA]])*PROVEEDORES[[#This Row],[Rete Fuente %]]</f>
        <v>0</v>
      </c>
      <c r="R1292" s="32">
        <f>+PROVEEDORES[[#This Row],[SUBTOTAL]]+PROVEEDORES[[#This Row],[IVA 19%]]-PROVEEDORES[[#This Row],[descuento antes de IVA]]-PROVEEDORES[[#This Row],[Descuento sobre subtotal $]]-PROVEEDORES[[#This Row],[Rete Fuente $]]</f>
        <v>966696.5</v>
      </c>
      <c r="S129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3" spans="1:19" ht="21.95" hidden="1" customHeight="1" x14ac:dyDescent="0.25">
      <c r="A1293" s="88" t="str">
        <f>+IF(PROVEEDORES[[#This Row],[FECHA DE PAGO]]=PROVEEDORES[[#This Row],[FECHA DE FACTURACIÓN]],"DE CONTADO","CRÉDITO")</f>
        <v>CRÉDITO</v>
      </c>
      <c r="B1293" s="70" t="str">
        <f>+IF((PROVEEDORES[[#This Row],[FECHA DE PAGO]]-PROVEEDORES[[#This Row],[FECHA DE FACTURACIÓN]])&gt;PROVEEDORES[[#This Row],[PLAZO Días]],"PAGO VENCIDO")</f>
        <v>PAGO VENCIDO</v>
      </c>
      <c r="C1293" s="27">
        <f>+VLOOKUP(PROVEEDORES[[#This Row],[PROVEEDOR]],TERCEROS_INFO[#All],2,FALSE)</f>
        <v>30</v>
      </c>
      <c r="D1293" s="37">
        <f>+SUMIFS(PROVEEDORES[Total],PROVEEDORES[PROVEEDOR],PROVEEDORES[[#This Row],[PROVEEDOR]],PROVEEDORES[FECHA DE PAGO],"")</f>
        <v>0</v>
      </c>
      <c r="E1293" s="37"/>
      <c r="F1293" s="108" t="str">
        <f>+VLOOKUP(PROVEEDORES[[#This Row],[PROVEEDOR]],TERCEROS_INFO[[PROVEEDOR]:[CORREO]],5,FALSE)</f>
        <v>ventas@ismartsas.com;girlesa.ruiz@servipilas.com;joriescobar64@gmail.com</v>
      </c>
      <c r="G1293" s="143">
        <v>44298</v>
      </c>
      <c r="H1293" s="38" t="s">
        <v>52</v>
      </c>
      <c r="I1293" s="30">
        <v>44267</v>
      </c>
      <c r="J1293" s="58" t="s">
        <v>533</v>
      </c>
      <c r="K1293" s="32">
        <v>-60000</v>
      </c>
      <c r="L1293" s="32"/>
      <c r="M1293" s="33">
        <f>(PROVEEDORES[[#This Row],[SUBTOTAL]]-PROVEEDORES[[#This Row],[descuento antes de IVA]])*VLOOKUP(PROVEEDORES[[#This Row],[PROVEEDOR]],TERCEROS_INFO[#All],3,FALSE)</f>
        <v>-11400</v>
      </c>
      <c r="N1293" s="34"/>
      <c r="O1293" s="33">
        <f>+PROVEEDORES[[#This Row],[Descuento sobre subtotal %]]*(PROVEEDORES[[#This Row],[SUBTOTAL]]-PROVEEDORES[[#This Row],[descuento antes de IVA]])</f>
        <v>0</v>
      </c>
      <c r="P12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93" s="33">
        <f>+(PROVEEDORES[[#This Row],[SUBTOTAL]]-PROVEEDORES[[#This Row],[descuento antes de IVA]])*PROVEEDORES[[#This Row],[Rete Fuente %]]</f>
        <v>0</v>
      </c>
      <c r="R1293" s="32">
        <f>+PROVEEDORES[[#This Row],[SUBTOTAL]]+PROVEEDORES[[#This Row],[IVA 19%]]-PROVEEDORES[[#This Row],[descuento antes de IVA]]-PROVEEDORES[[#This Row],[Descuento sobre subtotal $]]-PROVEEDORES[[#This Row],[Rete Fuente $]]</f>
        <v>-71400</v>
      </c>
      <c r="S129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4" spans="1:19" ht="21.95" hidden="1" customHeight="1" x14ac:dyDescent="0.25">
      <c r="A1294" s="111" t="str">
        <f>+IF(PROVEEDORES[[#This Row],[FECHA DE PAGO]]=PROVEEDORES[[#This Row],[FECHA DE FACTURACIÓN]],"DE CONTADO","CRÉDITO")</f>
        <v>CRÉDITO</v>
      </c>
      <c r="B1294" s="70" t="str">
        <f>+IF((PROVEEDORES[[#This Row],[FECHA DE PAGO]]-PROVEEDORES[[#This Row],[FECHA DE FACTURACIÓN]])&gt;PROVEEDORES[[#This Row],[PLAZO Días]],"PAGO VENCIDO")</f>
        <v>PAGO VENCIDO</v>
      </c>
      <c r="C1294" s="27">
        <f>+VLOOKUP(PROVEEDORES[[#This Row],[PROVEEDOR]],TERCEROS_INFO[#All],2,FALSE)</f>
        <v>30</v>
      </c>
      <c r="D1294" s="37">
        <f>+SUMIFS(PROVEEDORES[Total],PROVEEDORES[PROVEEDOR],PROVEEDORES[[#This Row],[PROVEEDOR]],PROVEEDORES[FECHA DE PAGO],"")</f>
        <v>0</v>
      </c>
      <c r="E1294" s="37"/>
      <c r="F1294" s="108" t="str">
        <f>+VLOOKUP(PROVEEDORES[[#This Row],[PROVEEDOR]],TERCEROS_INFO[[PROVEEDOR]:[CORREO]],5,FALSE)</f>
        <v>ventas@ismartsas.com;girlesa.ruiz@servipilas.com;joriescobar64@gmail.com</v>
      </c>
      <c r="G1294" s="143">
        <v>44370</v>
      </c>
      <c r="H1294" s="38" t="s">
        <v>52</v>
      </c>
      <c r="I1294" s="30">
        <v>44328</v>
      </c>
      <c r="J1294" s="58">
        <v>28312</v>
      </c>
      <c r="K1294" s="32">
        <v>377400</v>
      </c>
      <c r="L1294" s="32"/>
      <c r="M1294" s="33">
        <f>(PROVEEDORES[[#This Row],[SUBTOTAL]]-PROVEEDORES[[#This Row],[descuento antes de IVA]])*VLOOKUP(PROVEEDORES[[#This Row],[PROVEEDOR]],TERCEROS_INFO[#All],3,FALSE)</f>
        <v>71706</v>
      </c>
      <c r="N1294" s="34"/>
      <c r="O1294" s="33">
        <f>+PROVEEDORES[[#This Row],[Descuento sobre subtotal %]]*(PROVEEDORES[[#This Row],[SUBTOTAL]]-PROVEEDORES[[#This Row],[descuento antes de IVA]])</f>
        <v>0</v>
      </c>
      <c r="P12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94" s="33">
        <f>+(PROVEEDORES[[#This Row],[SUBTOTAL]]-PROVEEDORES[[#This Row],[descuento antes de IVA]])*PROVEEDORES[[#This Row],[Rete Fuente %]]</f>
        <v>0</v>
      </c>
      <c r="R1294" s="32">
        <f>+PROVEEDORES[[#This Row],[SUBTOTAL]]+PROVEEDORES[[#This Row],[IVA 19%]]-PROVEEDORES[[#This Row],[descuento antes de IVA]]-PROVEEDORES[[#This Row],[Descuento sobre subtotal $]]-PROVEEDORES[[#This Row],[Rete Fuente $]]</f>
        <v>449106</v>
      </c>
      <c r="S1294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5" spans="1:19" ht="21.95" hidden="1" customHeight="1" x14ac:dyDescent="0.25">
      <c r="A1295" s="124" t="str">
        <f>+IF(PROVEEDORES[[#This Row],[FECHA DE PAGO]]=PROVEEDORES[[#This Row],[FECHA DE FACTURACIÓN]],"DE CONTADO","CRÉDITO")</f>
        <v>CRÉDITO</v>
      </c>
      <c r="B1295" s="70" t="str">
        <f>+IF((PROVEEDORES[[#This Row],[FECHA DE PAGO]]-PROVEEDORES[[#This Row],[FECHA DE FACTURACIÓN]])&gt;PROVEEDORES[[#This Row],[PLAZO Días]],"PAGO VENCIDO")</f>
        <v>PAGO VENCIDO</v>
      </c>
      <c r="C1295" s="27">
        <f>+VLOOKUP(PROVEEDORES[[#This Row],[PROVEEDOR]],TERCEROS_INFO[#All],2,FALSE)</f>
        <v>30</v>
      </c>
      <c r="D1295" s="37">
        <f>+SUMIFS(PROVEEDORES[Total],PROVEEDORES[PROVEEDOR],PROVEEDORES[[#This Row],[PROVEEDOR]],PROVEEDORES[FECHA DE PAGO],"")</f>
        <v>0</v>
      </c>
      <c r="E1295" s="37"/>
      <c r="F1295" s="108" t="str">
        <f>+VLOOKUP(PROVEEDORES[[#This Row],[PROVEEDOR]],TERCEROS_INFO[[PROVEEDOR]:[CORREO]],5,FALSE)</f>
        <v>ventas@ismartsas.com;girlesa.ruiz@servipilas.com;joriescobar64@gmail.com</v>
      </c>
      <c r="G1295" s="143">
        <v>44403</v>
      </c>
      <c r="H1295" s="38" t="s">
        <v>52</v>
      </c>
      <c r="I1295" s="30">
        <v>44352</v>
      </c>
      <c r="J1295" s="58">
        <v>28795</v>
      </c>
      <c r="K1295" s="32">
        <v>910879</v>
      </c>
      <c r="L1295" s="32"/>
      <c r="M1295" s="33">
        <f>(PROVEEDORES[[#This Row],[SUBTOTAL]]-PROVEEDORES[[#This Row],[descuento antes de IVA]])*VLOOKUP(PROVEEDORES[[#This Row],[PROVEEDOR]],TERCEROS_INFO[#All],3,FALSE)</f>
        <v>173067.01</v>
      </c>
      <c r="N1295" s="34"/>
      <c r="O1295" s="33">
        <f>+PROVEEDORES[[#This Row],[Descuento sobre subtotal %]]*(PROVEEDORES[[#This Row],[SUBTOTAL]]-PROVEEDORES[[#This Row],[descuento antes de IVA]])</f>
        <v>0</v>
      </c>
      <c r="P12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95" s="33">
        <f>+(PROVEEDORES[[#This Row],[SUBTOTAL]]-PROVEEDORES[[#This Row],[descuento antes de IVA]])*PROVEEDORES[[#This Row],[Rete Fuente %]]</f>
        <v>0</v>
      </c>
      <c r="R1295" s="32">
        <f>+PROVEEDORES[[#This Row],[SUBTOTAL]]+PROVEEDORES[[#This Row],[IVA 19%]]-PROVEEDORES[[#This Row],[descuento antes de IVA]]-PROVEEDORES[[#This Row],[Descuento sobre subtotal $]]-PROVEEDORES[[#This Row],[Rete Fuente $]]</f>
        <v>1083946.01</v>
      </c>
      <c r="S1295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6" spans="1:19" ht="21.95" hidden="1" customHeight="1" x14ac:dyDescent="0.25">
      <c r="A1296" s="129" t="str">
        <f>+IF(PROVEEDORES[[#This Row],[FECHA DE PAGO]]=PROVEEDORES[[#This Row],[FECHA DE FACTURACIÓN]],"DE CONTADO","CRÉDITO")</f>
        <v>CRÉDITO</v>
      </c>
      <c r="B1296" s="70" t="str">
        <f>+IF((PROVEEDORES[[#This Row],[FECHA DE PAGO]]-PROVEEDORES[[#This Row],[FECHA DE FACTURACIÓN]])&gt;PROVEEDORES[[#This Row],[PLAZO Días]],"PAGO VENCIDO")</f>
        <v>PAGO VENCIDO</v>
      </c>
      <c r="C1296" s="27">
        <f>+VLOOKUP(PROVEEDORES[[#This Row],[PROVEEDOR]],TERCEROS_INFO[#All],2,FALSE)</f>
        <v>30</v>
      </c>
      <c r="D1296" s="37">
        <f>+SUMIFS(PROVEEDORES[Total],PROVEEDORES[PROVEEDOR],PROVEEDORES[[#This Row],[PROVEEDOR]],PROVEEDORES[FECHA DE PAGO],"")</f>
        <v>0</v>
      </c>
      <c r="E1296" s="37"/>
      <c r="F1296" s="108" t="str">
        <f>+VLOOKUP(PROVEEDORES[[#This Row],[PROVEEDOR]],TERCEROS_INFO[[PROVEEDOR]:[CORREO]],5,FALSE)</f>
        <v>ventas@ismartsas.com;girlesa.ruiz@servipilas.com;joriescobar64@gmail.com</v>
      </c>
      <c r="G1296" s="143">
        <v>44403</v>
      </c>
      <c r="H1296" s="38" t="s">
        <v>52</v>
      </c>
      <c r="I1296" s="30">
        <v>44352</v>
      </c>
      <c r="J1296" s="58" t="s">
        <v>731</v>
      </c>
      <c r="K1296" s="32">
        <v>-42300</v>
      </c>
      <c r="L1296" s="32"/>
      <c r="M1296" s="33">
        <f>(PROVEEDORES[[#This Row],[SUBTOTAL]]-PROVEEDORES[[#This Row],[descuento antes de IVA]])*VLOOKUP(PROVEEDORES[[#This Row],[PROVEEDOR]],TERCEROS_INFO[#All],3,FALSE)</f>
        <v>-8037</v>
      </c>
      <c r="N1296" s="34"/>
      <c r="O1296" s="33">
        <f>+PROVEEDORES[[#This Row],[Descuento sobre subtotal %]]*(PROVEEDORES[[#This Row],[SUBTOTAL]]-PROVEEDORES[[#This Row],[descuento antes de IVA]])</f>
        <v>0</v>
      </c>
      <c r="P12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96" s="33">
        <f>+(PROVEEDORES[[#This Row],[SUBTOTAL]]-PROVEEDORES[[#This Row],[descuento antes de IVA]])*PROVEEDORES[[#This Row],[Rete Fuente %]]</f>
        <v>0</v>
      </c>
      <c r="R1296" s="32">
        <f>+PROVEEDORES[[#This Row],[SUBTOTAL]]+PROVEEDORES[[#This Row],[IVA 19%]]-PROVEEDORES[[#This Row],[descuento antes de IVA]]-PROVEEDORES[[#This Row],[Descuento sobre subtotal $]]-PROVEEDORES[[#This Row],[Rete Fuente $]]</f>
        <v>-50337</v>
      </c>
      <c r="S1296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7" spans="1:19" ht="21.95" hidden="1" customHeight="1" x14ac:dyDescent="0.25">
      <c r="A1297" s="141" t="str">
        <f>+IF(PROVEEDORES[[#This Row],[FECHA DE PAGO]]=PROVEEDORES[[#This Row],[FECHA DE FACTURACIÓN]],"DE CONTADO","CRÉDITO")</f>
        <v>CRÉDITO</v>
      </c>
      <c r="B1297" s="70" t="str">
        <f>+IF((PROVEEDORES[[#This Row],[FECHA DE PAGO]]-PROVEEDORES[[#This Row],[FECHA DE FACTURACIÓN]])&gt;PROVEEDORES[[#This Row],[PLAZO Días]],"PAGO VENCIDO")</f>
        <v>PAGO VENCIDO</v>
      </c>
      <c r="C1297" s="27">
        <f>+VLOOKUP(PROVEEDORES[[#This Row],[PROVEEDOR]],TERCEROS_INFO[#All],2,FALSE)</f>
        <v>30</v>
      </c>
      <c r="D1297" s="37">
        <f>+SUMIFS(PROVEEDORES[Total],PROVEEDORES[PROVEEDOR],PROVEEDORES[[#This Row],[PROVEEDOR]],PROVEEDORES[FECHA DE PAGO],"")</f>
        <v>0</v>
      </c>
      <c r="E1297" s="37"/>
      <c r="F1297" s="108" t="str">
        <f>+VLOOKUP(PROVEEDORES[[#This Row],[PROVEEDOR]],TERCEROS_INFO[[PROVEEDOR]:[CORREO]],5,FALSE)</f>
        <v>ventas@ismartsas.com;girlesa.ruiz@servipilas.com;joriescobar64@gmail.com</v>
      </c>
      <c r="G1297" s="143">
        <v>44452</v>
      </c>
      <c r="H1297" s="38" t="s">
        <v>52</v>
      </c>
      <c r="I1297" s="30">
        <v>44417</v>
      </c>
      <c r="J1297" s="58">
        <v>30483</v>
      </c>
      <c r="K1297" s="32">
        <v>1054338</v>
      </c>
      <c r="L1297" s="32"/>
      <c r="M1297" s="33">
        <f>(PROVEEDORES[[#This Row],[SUBTOTAL]]-PROVEEDORES[[#This Row],[descuento antes de IVA]])*VLOOKUP(PROVEEDORES[[#This Row],[PROVEEDOR]],TERCEROS_INFO[#All],3,FALSE)</f>
        <v>200324.22</v>
      </c>
      <c r="N1297" s="34"/>
      <c r="O1297" s="33">
        <f>+PROVEEDORES[[#This Row],[Descuento sobre subtotal %]]*(PROVEEDORES[[#This Row],[SUBTOTAL]]-PROVEEDORES[[#This Row],[descuento antes de IVA]])</f>
        <v>0</v>
      </c>
      <c r="P12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297" s="33">
        <f>+(PROVEEDORES[[#This Row],[SUBTOTAL]]-PROVEEDORES[[#This Row],[descuento antes de IVA]])*PROVEEDORES[[#This Row],[Rete Fuente %]]</f>
        <v>26358.45</v>
      </c>
      <c r="R1297" s="32">
        <f>+PROVEEDORES[[#This Row],[SUBTOTAL]]+PROVEEDORES[[#This Row],[IVA 19%]]-PROVEEDORES[[#This Row],[descuento antes de IVA]]-PROVEEDORES[[#This Row],[Descuento sobre subtotal $]]-PROVEEDORES[[#This Row],[Rete Fuente $]]</f>
        <v>1228303.77</v>
      </c>
      <c r="S1297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8" spans="1:19" ht="21.95" hidden="1" customHeight="1" x14ac:dyDescent="0.25">
      <c r="A1298" s="155" t="str">
        <f>+IF(PROVEEDORES[[#This Row],[FECHA DE PAGO]]=PROVEEDORES[[#This Row],[FECHA DE FACTURACIÓN]],"DE CONTADO","CRÉDITO")</f>
        <v>CRÉDITO</v>
      </c>
      <c r="B1298" s="70" t="str">
        <f>+IF((PROVEEDORES[[#This Row],[FECHA DE PAGO]]-PROVEEDORES[[#This Row],[FECHA DE FACTURACIÓN]])&gt;PROVEEDORES[[#This Row],[PLAZO Días]],"PAGO VENCIDO")</f>
        <v>PAGO VENCIDO</v>
      </c>
      <c r="C1298" s="27">
        <f>+VLOOKUP(PROVEEDORES[[#This Row],[PROVEEDOR]],TERCEROS_INFO[#All],2,FALSE)</f>
        <v>30</v>
      </c>
      <c r="D1298" s="37">
        <f>+SUMIFS(PROVEEDORES[Total],PROVEEDORES[PROVEEDOR],PROVEEDORES[[#This Row],[PROVEEDOR]],PROVEEDORES[FECHA DE PAGO],"")</f>
        <v>0</v>
      </c>
      <c r="E1298" s="37"/>
      <c r="F1298" s="108" t="str">
        <f>+VLOOKUP(PROVEEDORES[[#This Row],[PROVEEDOR]],TERCEROS_INFO[[PROVEEDOR]:[CORREO]],5,FALSE)</f>
        <v>ventas@ismartsas.com;girlesa.ruiz@servipilas.com;joriescobar64@gmail.com</v>
      </c>
      <c r="G1298" s="143">
        <v>44533</v>
      </c>
      <c r="H1298" s="38" t="s">
        <v>52</v>
      </c>
      <c r="I1298" s="30">
        <v>44474</v>
      </c>
      <c r="J1298" s="58">
        <v>32109</v>
      </c>
      <c r="K1298" s="32">
        <v>1524544</v>
      </c>
      <c r="L1298" s="32"/>
      <c r="M1298" s="33">
        <f>(PROVEEDORES[[#This Row],[SUBTOTAL]]-PROVEEDORES[[#This Row],[descuento antes de IVA]])*VLOOKUP(PROVEEDORES[[#This Row],[PROVEEDOR]],TERCEROS_INFO[#All],3,FALSE)</f>
        <v>289663.35999999999</v>
      </c>
      <c r="N1298" s="34"/>
      <c r="O1298" s="33">
        <f>+PROVEEDORES[[#This Row],[Descuento sobre subtotal %]]*(PROVEEDORES[[#This Row],[SUBTOTAL]]-PROVEEDORES[[#This Row],[descuento antes de IVA]])</f>
        <v>0</v>
      </c>
      <c r="P12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298" s="33">
        <f>+(PROVEEDORES[[#This Row],[SUBTOTAL]]-PROVEEDORES[[#This Row],[descuento antes de IVA]])*PROVEEDORES[[#This Row],[Rete Fuente %]]</f>
        <v>38113.599999999999</v>
      </c>
      <c r="R1298" s="32">
        <f>+PROVEEDORES[[#This Row],[SUBTOTAL]]+PROVEEDORES[[#This Row],[IVA 19%]]-PROVEEDORES[[#This Row],[descuento antes de IVA]]-PROVEEDORES[[#This Row],[Descuento sobre subtotal $]]-PROVEEDORES[[#This Row],[Rete Fuente $]]</f>
        <v>1776093.7599999998</v>
      </c>
      <c r="S1298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99" spans="1:19" ht="21.95" hidden="1" customHeight="1" x14ac:dyDescent="0.25">
      <c r="A1299" s="167" t="str">
        <f>+IF(PROVEEDORES[[#This Row],[FECHA DE PAGO]]=PROVEEDORES[[#This Row],[FECHA DE FACTURACIÓN]],"DE CONTADO","CRÉDITO")</f>
        <v>CRÉDITO</v>
      </c>
      <c r="B1299" s="70" t="str">
        <f>+IF((PROVEEDORES[[#This Row],[FECHA DE PAGO]]-PROVEEDORES[[#This Row],[FECHA DE FACTURACIÓN]])&gt;PROVEEDORES[[#This Row],[PLAZO Días]],"PAGO VENCIDO")</f>
        <v>PAGO VENCIDO</v>
      </c>
      <c r="C1299" s="27">
        <f>+VLOOKUP(PROVEEDORES[[#This Row],[PROVEEDOR]],TERCEROS_INFO[#All],2,FALSE)</f>
        <v>30</v>
      </c>
      <c r="D1299" s="37">
        <f>+SUMIFS(PROVEEDORES[Total],PROVEEDORES[PROVEEDOR],PROVEEDORES[[#This Row],[PROVEEDOR]],PROVEEDORES[FECHA DE PAGO],"")</f>
        <v>0</v>
      </c>
      <c r="E1299" s="37"/>
      <c r="F1299" s="108" t="str">
        <f>+VLOOKUP(PROVEEDORES[[#This Row],[PROVEEDOR]],TERCEROS_INFO[[PROVEEDOR]:[CORREO]],5,FALSE)</f>
        <v>ventas@ismartsas.com;girlesa.ruiz@servipilas.com;joriescobar64@gmail.com</v>
      </c>
      <c r="G1299" s="143">
        <v>44558</v>
      </c>
      <c r="H1299" s="38" t="s">
        <v>52</v>
      </c>
      <c r="I1299" s="30">
        <v>44527</v>
      </c>
      <c r="J1299" s="58">
        <v>33548</v>
      </c>
      <c r="K1299" s="32">
        <v>1057979</v>
      </c>
      <c r="L1299" s="32"/>
      <c r="M1299" s="33">
        <f>(PROVEEDORES[[#This Row],[SUBTOTAL]]-PROVEEDORES[[#This Row],[descuento antes de IVA]])*VLOOKUP(PROVEEDORES[[#This Row],[PROVEEDOR]],TERCEROS_INFO[#All],3,FALSE)</f>
        <v>201016.01</v>
      </c>
      <c r="N1299" s="34"/>
      <c r="O1299" s="33">
        <f>+PROVEEDORES[[#This Row],[Descuento sobre subtotal %]]*(PROVEEDORES[[#This Row],[SUBTOTAL]]-PROVEEDORES[[#This Row],[descuento antes de IVA]])</f>
        <v>0</v>
      </c>
      <c r="P12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299" s="33">
        <f>+(PROVEEDORES[[#This Row],[SUBTOTAL]]-PROVEEDORES[[#This Row],[descuento antes de IVA]])*PROVEEDORES[[#This Row],[Rete Fuente %]]</f>
        <v>26449.475000000002</v>
      </c>
      <c r="R1299" s="32">
        <f>+PROVEEDORES[[#This Row],[SUBTOTAL]]+PROVEEDORES[[#This Row],[IVA 19%]]-PROVEEDORES[[#This Row],[descuento antes de IVA]]-PROVEEDORES[[#This Row],[Descuento sobre subtotal $]]-PROVEEDORES[[#This Row],[Rete Fuente $]]</f>
        <v>1232545.5349999999</v>
      </c>
      <c r="S1299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0" spans="1:19" ht="21.95" hidden="1" customHeight="1" x14ac:dyDescent="0.25">
      <c r="A1300" s="35" t="str">
        <f>+IF(PROVEEDORES[[#This Row],[FECHA DE PAGO]]=PROVEEDORES[[#This Row],[FECHA DE FACTURACIÓN]],"DE CONTADO","CRÉDITO")</f>
        <v>CRÉDITO</v>
      </c>
      <c r="B1300" s="70" t="b">
        <f>+IF((PROVEEDORES[[#This Row],[FECHA DE PAGO]]-PROVEEDORES[[#This Row],[FECHA DE FACTURACIÓN]])&gt;PROVEEDORES[[#This Row],[PLAZO Días]],"PAGO VENCIDO")</f>
        <v>0</v>
      </c>
      <c r="C1300" s="27">
        <f>+VLOOKUP(PROVEEDORES[[#This Row],[PROVEEDOR]],TERCEROS_INFO[#All],2,FALSE)</f>
        <v>30</v>
      </c>
      <c r="D1300" s="37">
        <f>+SUMIFS(PROVEEDORES[Total],PROVEEDORES[PROVEEDOR],PROVEEDORES[[#This Row],[PROVEEDOR]],PROVEEDORES[FECHA DE PAGO],"")</f>
        <v>0</v>
      </c>
      <c r="E1300" s="37"/>
      <c r="F1300" s="108" t="str">
        <f>+VLOOKUP(PROVEEDORES[[#This Row],[PROVEEDOR]],TERCEROS_INFO[[PROVEEDOR]:[CORREO]],5,FALSE)</f>
        <v>ventas@ismartsas.com;girlesa.ruiz@servipilas.com;joriescobar64@gmail.com</v>
      </c>
      <c r="G1300" s="143">
        <v>44558</v>
      </c>
      <c r="H1300" s="38" t="s">
        <v>52</v>
      </c>
      <c r="I1300" s="30">
        <v>44541</v>
      </c>
      <c r="J1300" s="58">
        <v>33923</v>
      </c>
      <c r="K1300" s="32">
        <v>766609</v>
      </c>
      <c r="L1300" s="32"/>
      <c r="M1300" s="33">
        <f>(PROVEEDORES[[#This Row],[SUBTOTAL]]-PROVEEDORES[[#This Row],[descuento antes de IVA]])*VLOOKUP(PROVEEDORES[[#This Row],[PROVEEDOR]],TERCEROS_INFO[#All],3,FALSE)</f>
        <v>145655.71</v>
      </c>
      <c r="N1300" s="34"/>
      <c r="O1300" s="33">
        <f>+PROVEEDORES[[#This Row],[Descuento sobre subtotal %]]*(PROVEEDORES[[#This Row],[SUBTOTAL]]-PROVEEDORES[[#This Row],[descuento antes de IVA]])</f>
        <v>0</v>
      </c>
      <c r="P13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00" s="33">
        <f>+(PROVEEDORES[[#This Row],[SUBTOTAL]]-PROVEEDORES[[#This Row],[descuento antes de IVA]])*PROVEEDORES[[#This Row],[Rete Fuente %]]</f>
        <v>0</v>
      </c>
      <c r="R1300" s="32">
        <f>+PROVEEDORES[[#This Row],[SUBTOTAL]]+PROVEEDORES[[#This Row],[IVA 19%]]-PROVEEDORES[[#This Row],[descuento antes de IVA]]-PROVEEDORES[[#This Row],[Descuento sobre subtotal $]]-PROVEEDORES[[#This Row],[Rete Fuente $]]</f>
        <v>912264.71</v>
      </c>
      <c r="S130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1" spans="1:19" ht="21.95" hidden="1" customHeight="1" x14ac:dyDescent="0.25">
      <c r="A1301" s="39" t="str">
        <f>+IF(PROVEEDORES[[#This Row],[FECHA DE PAGO]]=PROVEEDORES[[#This Row],[FECHA DE FACTURACIÓN]],"DE CONTADO","CRÉDITO")</f>
        <v>CRÉDITO</v>
      </c>
      <c r="B1301" s="67" t="str">
        <f>+IF((PROVEEDORES[[#This Row],[FECHA DE PAGO]]-PROVEEDORES[[#This Row],[FECHA DE FACTURACIÓN]])&gt;PROVEEDORES[[#This Row],[PLAZO Días]],"PAGO VENCIDO")</f>
        <v>PAGO VENCIDO</v>
      </c>
      <c r="C1301" s="27">
        <f>+VLOOKUP(PROVEEDORES[[#This Row],[PROVEEDOR]],TERCEROS_INFO[#All],2,FALSE)</f>
        <v>30</v>
      </c>
      <c r="D1301" s="37">
        <f>+SUMIFS(PROVEEDORES[Total],PROVEEDORES[PROVEEDOR],PROVEEDORES[[#This Row],[PROVEEDOR]],PROVEEDORES[FECHA DE PAGO],"")</f>
        <v>0</v>
      </c>
      <c r="E1301" s="37"/>
      <c r="F1301" s="108" t="str">
        <f>+VLOOKUP(PROVEEDORES[[#This Row],[PROVEEDOR]],TERCEROS_INFO[[PROVEEDOR]:[CORREO]],5,FALSE)</f>
        <v>jarlysas@gmail.com;o.clockinternational@gmail.com;girlesa.ruiz@servipilas.com;joriescobar64@gmail.com</v>
      </c>
      <c r="G1301" s="143">
        <v>44182</v>
      </c>
      <c r="H1301" s="38" t="s">
        <v>501</v>
      </c>
      <c r="I1301" s="30">
        <v>44147</v>
      </c>
      <c r="J1301" s="58">
        <v>11</v>
      </c>
      <c r="K1301" s="32">
        <v>5652600</v>
      </c>
      <c r="L1301" s="32"/>
      <c r="M1301" s="33">
        <f>(PROVEEDORES[[#This Row],[SUBTOTAL]]-PROVEEDORES[[#This Row],[descuento antes de IVA]])*VLOOKUP(PROVEEDORES[[#This Row],[PROVEEDOR]],TERCEROS_INFO[#All],3,FALSE)</f>
        <v>1073994</v>
      </c>
      <c r="N1301" s="34">
        <v>8.6670487917064706E-2</v>
      </c>
      <c r="O1301" s="33">
        <f>+PROVEEDORES[[#This Row],[Descuento sobre subtotal %]]*(PROVEEDORES[[#This Row],[SUBTOTAL]]-PROVEEDORES[[#This Row],[descuento antes de IVA]])</f>
        <v>489913.59999999998</v>
      </c>
      <c r="P13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01" s="33">
        <f>+(PROVEEDORES[[#This Row],[SUBTOTAL]]-PROVEEDORES[[#This Row],[descuento antes de IVA]])*PROVEEDORES[[#This Row],[Rete Fuente %]]</f>
        <v>141315</v>
      </c>
      <c r="R1301" s="32">
        <f>+PROVEEDORES[[#This Row],[SUBTOTAL]]+PROVEEDORES[[#This Row],[IVA 19%]]-PROVEEDORES[[#This Row],[descuento antes de IVA]]-PROVEEDORES[[#This Row],[Descuento sobre subtotal $]]-PROVEEDORES[[#This Row],[Rete Fuente $]]</f>
        <v>6095365.4000000004</v>
      </c>
      <c r="S130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2" spans="1:19" ht="21.95" hidden="1" customHeight="1" x14ac:dyDescent="0.25">
      <c r="A1302" s="39" t="str">
        <f>+IF(PROVEEDORES[[#This Row],[FECHA DE PAGO]]=PROVEEDORES[[#This Row],[FECHA DE FACTURACIÓN]],"DE CONTADO","CRÉDITO")</f>
        <v>CRÉDITO</v>
      </c>
      <c r="B1302" s="67" t="str">
        <f>+IF((PROVEEDORES[[#This Row],[FECHA DE PAGO]]-PROVEEDORES[[#This Row],[FECHA DE FACTURACIÓN]])&gt;PROVEEDORES[[#This Row],[PLAZO Días]],"PAGO VENCIDO")</f>
        <v>PAGO VENCIDO</v>
      </c>
      <c r="C1302" s="27">
        <f>+VLOOKUP(PROVEEDORES[[#This Row],[PROVEEDOR]],TERCEROS_INFO[#All],2,FALSE)</f>
        <v>30</v>
      </c>
      <c r="D1302" s="37">
        <f>+SUMIFS(PROVEEDORES[Total],PROVEEDORES[PROVEEDOR],PROVEEDORES[[#This Row],[PROVEEDOR]],PROVEEDORES[FECHA DE PAGO],"")</f>
        <v>0</v>
      </c>
      <c r="E1302" s="37"/>
      <c r="F1302" s="108" t="str">
        <f>+VLOOKUP(PROVEEDORES[[#This Row],[PROVEEDOR]],TERCEROS_INFO[[PROVEEDOR]:[CORREO]],5,FALSE)</f>
        <v>jarlysas@gmail.com;o.clockinternational@gmail.com;girlesa.ruiz@servipilas.com;joriescobar64@gmail.com</v>
      </c>
      <c r="G1302" s="143">
        <v>44182</v>
      </c>
      <c r="H1302" s="38" t="s">
        <v>501</v>
      </c>
      <c r="I1302" s="30">
        <v>44147</v>
      </c>
      <c r="J1302" s="58">
        <v>12</v>
      </c>
      <c r="K1302" s="32">
        <v>5679300</v>
      </c>
      <c r="L1302" s="32"/>
      <c r="M1302" s="33">
        <f>(PROVEEDORES[[#This Row],[SUBTOTAL]]-PROVEEDORES[[#This Row],[descuento antes de IVA]])*VLOOKUP(PROVEEDORES[[#This Row],[PROVEEDOR]],TERCEROS_INFO[#All],3,FALSE)</f>
        <v>1079067</v>
      </c>
      <c r="N1302" s="34">
        <v>1.4332752275808638E-3</v>
      </c>
      <c r="O1302" s="33">
        <f>+PROVEEDORES[[#This Row],[Descuento sobre subtotal %]]*(PROVEEDORES[[#This Row],[SUBTOTAL]]-PROVEEDORES[[#This Row],[descuento antes de IVA]])</f>
        <v>8140</v>
      </c>
      <c r="P13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02" s="33">
        <f>+(PROVEEDORES[[#This Row],[SUBTOTAL]]-PROVEEDORES[[#This Row],[descuento antes de IVA]])*PROVEEDORES[[#This Row],[Rete Fuente %]]</f>
        <v>141982.5</v>
      </c>
      <c r="R1302" s="32">
        <f>+PROVEEDORES[[#This Row],[SUBTOTAL]]+PROVEEDORES[[#This Row],[IVA 19%]]-PROVEEDORES[[#This Row],[descuento antes de IVA]]-PROVEEDORES[[#This Row],[Descuento sobre subtotal $]]-PROVEEDORES[[#This Row],[Rete Fuente $]]</f>
        <v>6608244.5</v>
      </c>
      <c r="S130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3" spans="1:19" ht="21.95" hidden="1" customHeight="1" x14ac:dyDescent="0.25">
      <c r="A1303" s="39" t="str">
        <f>+IF(PROVEEDORES[[#This Row],[FECHA DE PAGO]]=PROVEEDORES[[#This Row],[FECHA DE FACTURACIÓN]],"DE CONTADO","CRÉDITO")</f>
        <v>CRÉDITO</v>
      </c>
      <c r="B1303" s="67" t="str">
        <f>+IF((PROVEEDORES[[#This Row],[FECHA DE PAGO]]-PROVEEDORES[[#This Row],[FECHA DE FACTURACIÓN]])&gt;PROVEEDORES[[#This Row],[PLAZO Días]],"PAGO VENCIDO")</f>
        <v>PAGO VENCIDO</v>
      </c>
      <c r="C1303" s="27">
        <f>+VLOOKUP(PROVEEDORES[[#This Row],[PROVEEDOR]],TERCEROS_INFO[#All],2,FALSE)</f>
        <v>30</v>
      </c>
      <c r="D1303" s="37">
        <f>+SUMIFS(PROVEEDORES[Total],PROVEEDORES[PROVEEDOR],PROVEEDORES[[#This Row],[PROVEEDOR]],PROVEEDORES[FECHA DE PAGO],"")</f>
        <v>0</v>
      </c>
      <c r="E1303" s="37"/>
      <c r="F1303" s="108" t="str">
        <f>+VLOOKUP(PROVEEDORES[[#This Row],[PROVEEDOR]],TERCEROS_INFO[[PROVEEDOR]:[CORREO]],5,FALSE)</f>
        <v>jarlysas@gmail.com;o.clockinternational@gmail.com;girlesa.ruiz@servipilas.com;joriescobar64@gmail.com</v>
      </c>
      <c r="G1303" s="143">
        <v>44182</v>
      </c>
      <c r="H1303" s="38" t="s">
        <v>501</v>
      </c>
      <c r="I1303" s="30">
        <v>44147</v>
      </c>
      <c r="J1303" s="58">
        <v>13</v>
      </c>
      <c r="K1303" s="32">
        <v>3998500</v>
      </c>
      <c r="L1303" s="32"/>
      <c r="M1303" s="33">
        <f>(PROVEEDORES[[#This Row],[SUBTOTAL]]-PROVEEDORES[[#This Row],[descuento antes de IVA]])*VLOOKUP(PROVEEDORES[[#This Row],[PROVEEDOR]],TERCEROS_INFO[#All],3,FALSE)</f>
        <v>759715</v>
      </c>
      <c r="N1303" s="34">
        <v>0.1527856946354883</v>
      </c>
      <c r="O1303" s="33">
        <f>+PROVEEDORES[[#This Row],[Descuento sobre subtotal %]]*(PROVEEDORES[[#This Row],[SUBTOTAL]]-PROVEEDORES[[#This Row],[descuento antes de IVA]])</f>
        <v>610913.6</v>
      </c>
      <c r="P13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03" s="33">
        <f>+(PROVEEDORES[[#This Row],[SUBTOTAL]]-PROVEEDORES[[#This Row],[descuento antes de IVA]])*PROVEEDORES[[#This Row],[Rete Fuente %]]</f>
        <v>99962.5</v>
      </c>
      <c r="R1303" s="32">
        <f>+PROVEEDORES[[#This Row],[SUBTOTAL]]+PROVEEDORES[[#This Row],[IVA 19%]]-PROVEEDORES[[#This Row],[descuento antes de IVA]]-PROVEEDORES[[#This Row],[Descuento sobre subtotal $]]-PROVEEDORES[[#This Row],[Rete Fuente $]]</f>
        <v>4047338.9</v>
      </c>
      <c r="S130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4" spans="1:19" ht="21.95" hidden="1" customHeight="1" x14ac:dyDescent="0.25">
      <c r="A1304" s="39" t="str">
        <f>+IF(PROVEEDORES[[#This Row],[FECHA DE PAGO]]=PROVEEDORES[[#This Row],[FECHA DE FACTURACIÓN]],"DE CONTADO","CRÉDITO")</f>
        <v>CRÉDITO</v>
      </c>
      <c r="B1304" s="67" t="str">
        <f>+IF((PROVEEDORES[[#This Row],[FECHA DE PAGO]]-PROVEEDORES[[#This Row],[FECHA DE FACTURACIÓN]])&gt;PROVEEDORES[[#This Row],[PLAZO Días]],"PAGO VENCIDO")</f>
        <v>PAGO VENCIDO</v>
      </c>
      <c r="C1304" s="27">
        <f>+VLOOKUP(PROVEEDORES[[#This Row],[PROVEEDOR]],TERCEROS_INFO[#All],2,FALSE)</f>
        <v>30</v>
      </c>
      <c r="D1304" s="37">
        <f>+SUMIFS(PROVEEDORES[Total],PROVEEDORES[PROVEEDOR],PROVEEDORES[[#This Row],[PROVEEDOR]],PROVEEDORES[FECHA DE PAGO],"")</f>
        <v>0</v>
      </c>
      <c r="E1304" s="37"/>
      <c r="F1304" s="108" t="str">
        <f>+VLOOKUP(PROVEEDORES[[#This Row],[PROVEEDOR]],TERCEROS_INFO[[PROVEEDOR]:[CORREO]],5,FALSE)</f>
        <v>jarlysas@gmail.com;o.clockinternational@gmail.com;girlesa.ruiz@servipilas.com;joriescobar64@gmail.com</v>
      </c>
      <c r="G1304" s="143">
        <v>44182</v>
      </c>
      <c r="H1304" s="38" t="s">
        <v>501</v>
      </c>
      <c r="I1304" s="30">
        <v>44147</v>
      </c>
      <c r="J1304" s="58">
        <v>14</v>
      </c>
      <c r="K1304" s="32">
        <v>5567200</v>
      </c>
      <c r="L1304" s="32"/>
      <c r="M1304" s="33">
        <f>(PROVEEDORES[[#This Row],[SUBTOTAL]]-PROVEEDORES[[#This Row],[descuento antes de IVA]])*VLOOKUP(PROVEEDORES[[#This Row],[PROVEEDOR]],TERCEROS_INFO[#All],3,FALSE)</f>
        <v>1057768</v>
      </c>
      <c r="N1304" s="34">
        <v>4.3932030464147155E-2</v>
      </c>
      <c r="O1304" s="33">
        <f>+PROVEEDORES[[#This Row],[Descuento sobre subtotal %]]*(PROVEEDORES[[#This Row],[SUBTOTAL]]-PROVEEDORES[[#This Row],[descuento antes de IVA]])</f>
        <v>244578.40000000005</v>
      </c>
      <c r="P13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04" s="33">
        <f>+(PROVEEDORES[[#This Row],[SUBTOTAL]]-PROVEEDORES[[#This Row],[descuento antes de IVA]])*PROVEEDORES[[#This Row],[Rete Fuente %]]</f>
        <v>139180</v>
      </c>
      <c r="R1304" s="32">
        <f>+PROVEEDORES[[#This Row],[SUBTOTAL]]+PROVEEDORES[[#This Row],[IVA 19%]]-PROVEEDORES[[#This Row],[descuento antes de IVA]]-PROVEEDORES[[#This Row],[Descuento sobre subtotal $]]-PROVEEDORES[[#This Row],[Rete Fuente $]]</f>
        <v>6241209.5999999996</v>
      </c>
      <c r="S130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5" spans="1:19" ht="21.95" hidden="1" customHeight="1" x14ac:dyDescent="0.25">
      <c r="A1305" s="39" t="str">
        <f>+IF(PROVEEDORES[[#This Row],[FECHA DE PAGO]]=PROVEEDORES[[#This Row],[FECHA DE FACTURACIÓN]],"DE CONTADO","CRÉDITO")</f>
        <v>CRÉDITO</v>
      </c>
      <c r="B1305" s="67" t="str">
        <f>+IF((PROVEEDORES[[#This Row],[FECHA DE PAGO]]-PROVEEDORES[[#This Row],[FECHA DE FACTURACIÓN]])&gt;PROVEEDORES[[#This Row],[PLAZO Días]],"PAGO VENCIDO")</f>
        <v>PAGO VENCIDO</v>
      </c>
      <c r="C1305" s="27">
        <f>+VLOOKUP(PROVEEDORES[[#This Row],[PROVEEDOR]],TERCEROS_INFO[#All],2,FALSE)</f>
        <v>30</v>
      </c>
      <c r="D1305" s="37">
        <f>+SUMIFS(PROVEEDORES[Total],PROVEEDORES[PROVEEDOR],PROVEEDORES[[#This Row],[PROVEEDOR]],PROVEEDORES[FECHA DE PAGO],"")</f>
        <v>0</v>
      </c>
      <c r="E1305" s="37"/>
      <c r="F1305" s="108" t="str">
        <f>+VLOOKUP(PROVEEDORES[[#This Row],[PROVEEDOR]],TERCEROS_INFO[[PROVEEDOR]:[CORREO]],5,FALSE)</f>
        <v>jarlysas@gmail.com;o.clockinternational@gmail.com;girlesa.ruiz@servipilas.com;joriescobar64@gmail.com</v>
      </c>
      <c r="G1305" s="143">
        <v>44182</v>
      </c>
      <c r="H1305" s="38" t="s">
        <v>501</v>
      </c>
      <c r="I1305" s="30">
        <v>44147</v>
      </c>
      <c r="J1305" s="58">
        <v>15</v>
      </c>
      <c r="K1305" s="32">
        <v>2779300</v>
      </c>
      <c r="L1305" s="32"/>
      <c r="M1305" s="33">
        <f>(PROVEEDORES[[#This Row],[SUBTOTAL]]-PROVEEDORES[[#This Row],[descuento antes de IVA]])*VLOOKUP(PROVEEDORES[[#This Row],[PROVEEDOR]],TERCEROS_INFO[#All],3,FALSE)</f>
        <v>528067</v>
      </c>
      <c r="N1305" s="34">
        <v>0.17897628899363149</v>
      </c>
      <c r="O1305" s="33">
        <f>+PROVEEDORES[[#This Row],[Descuento sobre subtotal %]]*(PROVEEDORES[[#This Row],[SUBTOTAL]]-PROVEEDORES[[#This Row],[descuento antes de IVA]])</f>
        <v>497428.8</v>
      </c>
      <c r="P13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05" s="33">
        <f>+(PROVEEDORES[[#This Row],[SUBTOTAL]]-PROVEEDORES[[#This Row],[descuento antes de IVA]])*PROVEEDORES[[#This Row],[Rete Fuente %]]</f>
        <v>69482.5</v>
      </c>
      <c r="R1305" s="32">
        <f>+PROVEEDORES[[#This Row],[SUBTOTAL]]+PROVEEDORES[[#This Row],[IVA 19%]]-PROVEEDORES[[#This Row],[descuento antes de IVA]]-PROVEEDORES[[#This Row],[Descuento sobre subtotal $]]-PROVEEDORES[[#This Row],[Rete Fuente $]]</f>
        <v>2740455.7</v>
      </c>
      <c r="S13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6" spans="1:19" ht="21.95" hidden="1" customHeight="1" x14ac:dyDescent="0.25">
      <c r="A1306" s="39" t="str">
        <f>+IF(PROVEEDORES[[#This Row],[FECHA DE PAGO]]=PROVEEDORES[[#This Row],[FECHA DE FACTURACIÓN]],"DE CONTADO","CRÉDITO")</f>
        <v>CRÉDITO</v>
      </c>
      <c r="B1306" s="67" t="str">
        <f>+IF((PROVEEDORES[[#This Row],[FECHA DE PAGO]]-PROVEEDORES[[#This Row],[FECHA DE FACTURACIÓN]])&gt;PROVEEDORES[[#This Row],[PLAZO Días]],"PAGO VENCIDO")</f>
        <v>PAGO VENCIDO</v>
      </c>
      <c r="C1306" s="27">
        <f>+VLOOKUP(PROVEEDORES[[#This Row],[PROVEEDOR]],TERCEROS_INFO[#All],2,FALSE)</f>
        <v>30</v>
      </c>
      <c r="D1306" s="37">
        <f>+SUMIFS(PROVEEDORES[Total],PROVEEDORES[PROVEEDOR],PROVEEDORES[[#This Row],[PROVEEDOR]],PROVEEDORES[FECHA DE PAGO],"")</f>
        <v>0</v>
      </c>
      <c r="E1306" s="37"/>
      <c r="F1306" s="108" t="str">
        <f>+VLOOKUP(PROVEEDORES[[#This Row],[PROVEEDOR]],TERCEROS_INFO[[PROVEEDOR]:[CORREO]],5,FALSE)</f>
        <v>jarlysas@gmail.com;o.clockinternational@gmail.com;girlesa.ruiz@servipilas.com;joriescobar64@gmail.com</v>
      </c>
      <c r="G1306" s="143">
        <v>44182</v>
      </c>
      <c r="H1306" s="38" t="s">
        <v>501</v>
      </c>
      <c r="I1306" s="30">
        <v>44147</v>
      </c>
      <c r="J1306" s="58">
        <v>16</v>
      </c>
      <c r="K1306" s="32">
        <v>6942200</v>
      </c>
      <c r="L1306" s="32"/>
      <c r="M1306" s="33">
        <f>(PROVEEDORES[[#This Row],[SUBTOTAL]]-PROVEEDORES[[#This Row],[descuento antes de IVA]])*VLOOKUP(PROVEEDORES[[#This Row],[PROVEEDOR]],TERCEROS_INFO[#All],3,FALSE)</f>
        <v>1319018</v>
      </c>
      <c r="N1306" s="34">
        <v>7.199135720664919E-2</v>
      </c>
      <c r="O1306" s="33">
        <f>+PROVEEDORES[[#This Row],[Descuento sobre subtotal %]]*(PROVEEDORES[[#This Row],[SUBTOTAL]]-PROVEEDORES[[#This Row],[descuento antes de IVA]])</f>
        <v>499778.4</v>
      </c>
      <c r="P13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06" s="33">
        <f>+(PROVEEDORES[[#This Row],[SUBTOTAL]]-PROVEEDORES[[#This Row],[descuento antes de IVA]])*PROVEEDORES[[#This Row],[Rete Fuente %]]</f>
        <v>173555</v>
      </c>
      <c r="R1306" s="32">
        <f>+PROVEEDORES[[#This Row],[SUBTOTAL]]+PROVEEDORES[[#This Row],[IVA 19%]]-PROVEEDORES[[#This Row],[descuento antes de IVA]]-PROVEEDORES[[#This Row],[Descuento sobre subtotal $]]-PROVEEDORES[[#This Row],[Rete Fuente $]]</f>
        <v>7587884.5999999996</v>
      </c>
      <c r="S13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7" spans="1:19" ht="21.95" hidden="1" customHeight="1" x14ac:dyDescent="0.25">
      <c r="A1307" s="39" t="str">
        <f>+IF(PROVEEDORES[[#This Row],[FECHA DE PAGO]]=PROVEEDORES[[#This Row],[FECHA DE FACTURACIÓN]],"DE CONTADO","CRÉDITO")</f>
        <v>CRÉDITO</v>
      </c>
      <c r="B1307" s="67" t="str">
        <f>+IF((PROVEEDORES[[#This Row],[FECHA DE PAGO]]-PROVEEDORES[[#This Row],[FECHA DE FACTURACIÓN]])&gt;PROVEEDORES[[#This Row],[PLAZO Días]],"PAGO VENCIDO")</f>
        <v>PAGO VENCIDO</v>
      </c>
      <c r="C1307" s="27">
        <f>+VLOOKUP(PROVEEDORES[[#This Row],[PROVEEDOR]],TERCEROS_INFO[#All],2,FALSE)</f>
        <v>30</v>
      </c>
      <c r="D1307" s="37">
        <f>+SUMIFS(PROVEEDORES[Total],PROVEEDORES[PROVEEDOR],PROVEEDORES[[#This Row],[PROVEEDOR]],PROVEEDORES[FECHA DE PAGO],"")</f>
        <v>0</v>
      </c>
      <c r="E1307" s="37"/>
      <c r="F1307" s="108" t="str">
        <f>+VLOOKUP(PROVEEDORES[[#This Row],[PROVEEDOR]],TERCEROS_INFO[[PROVEEDOR]:[CORREO]],5,FALSE)</f>
        <v>jarlysas@gmail.com;o.clockinternational@gmail.com;girlesa.ruiz@servipilas.com;joriescobar64@gmail.com</v>
      </c>
      <c r="G1307" s="143">
        <v>44182</v>
      </c>
      <c r="H1307" s="38" t="s">
        <v>501</v>
      </c>
      <c r="I1307" s="30">
        <v>44147</v>
      </c>
      <c r="J1307" s="58">
        <v>17</v>
      </c>
      <c r="K1307" s="32">
        <v>92500</v>
      </c>
      <c r="L1307" s="32"/>
      <c r="M1307" s="33">
        <f>(PROVEEDORES[[#This Row],[SUBTOTAL]]-PROVEEDORES[[#This Row],[descuento antes de IVA]])*VLOOKUP(PROVEEDORES[[#This Row],[PROVEEDOR]],TERCEROS_INFO[#All],3,FALSE)</f>
        <v>17575</v>
      </c>
      <c r="N1307" s="34">
        <v>3.8039783783783783</v>
      </c>
      <c r="O1307" s="33">
        <f>+PROVEEDORES[[#This Row],[Descuento sobre subtotal %]]*(PROVEEDORES[[#This Row],[SUBTOTAL]]-PROVEEDORES[[#This Row],[descuento antes de IVA]])</f>
        <v>351868</v>
      </c>
      <c r="P13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07" s="33">
        <f>+(PROVEEDORES[[#This Row],[SUBTOTAL]]-PROVEEDORES[[#This Row],[descuento antes de IVA]])*PROVEEDORES[[#This Row],[Rete Fuente %]]</f>
        <v>0</v>
      </c>
      <c r="R1307" s="32">
        <f>+PROVEEDORES[[#This Row],[SUBTOTAL]]+PROVEEDORES[[#This Row],[IVA 19%]]-PROVEEDORES[[#This Row],[descuento antes de IVA]]-PROVEEDORES[[#This Row],[Descuento sobre subtotal $]]-PROVEEDORES[[#This Row],[Rete Fuente $]]</f>
        <v>-241793</v>
      </c>
      <c r="S13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8" spans="1:19" ht="21.95" hidden="1" customHeight="1" x14ac:dyDescent="0.25">
      <c r="A1308" s="127" t="str">
        <f>+IF(PROVEEDORES[[#This Row],[FECHA DE PAGO]]=PROVEEDORES[[#This Row],[FECHA DE FACTURACIÓN]],"DE CONTADO","CRÉDITO")</f>
        <v>CRÉDITO</v>
      </c>
      <c r="B1308" s="70" t="str">
        <f>+IF((PROVEEDORES[[#This Row],[FECHA DE PAGO]]-PROVEEDORES[[#This Row],[FECHA DE FACTURACIÓN]])&gt;PROVEEDORES[[#This Row],[PLAZO Días]],"PAGO VENCIDO")</f>
        <v>PAGO VENCIDO</v>
      </c>
      <c r="C1308" s="27">
        <f>+VLOOKUP(PROVEEDORES[[#This Row],[PROVEEDOR]],TERCEROS_INFO[#All],2,FALSE)</f>
        <v>30</v>
      </c>
      <c r="D1308" s="37">
        <f>+SUMIFS(PROVEEDORES[Total],PROVEEDORES[PROVEEDOR],PROVEEDORES[[#This Row],[PROVEEDOR]],PROVEEDORES[FECHA DE PAGO],"")</f>
        <v>0</v>
      </c>
      <c r="E1308" s="37"/>
      <c r="F1308" s="108" t="str">
        <f>+VLOOKUP(PROVEEDORES[[#This Row],[PROVEEDOR]],TERCEROS_INFO[[PROVEEDOR]:[CORREO]],5,FALSE)</f>
        <v>jarlysas@gmail.com;o.clockinternational@gmail.com;girlesa.ruiz@servipilas.com;joriescobar64@gmail.com</v>
      </c>
      <c r="G1308" s="143">
        <v>44456</v>
      </c>
      <c r="H1308" s="38" t="s">
        <v>501</v>
      </c>
      <c r="I1308" s="30">
        <v>44364</v>
      </c>
      <c r="J1308" s="58">
        <v>51</v>
      </c>
      <c r="K1308" s="32">
        <v>5949000</v>
      </c>
      <c r="L1308" s="32"/>
      <c r="M1308" s="33">
        <f>(PROVEEDORES[[#This Row],[SUBTOTAL]]-PROVEEDORES[[#This Row],[descuento antes de IVA]])*VLOOKUP(PROVEEDORES[[#This Row],[PROVEEDOR]],TERCEROS_INFO[#All],3,FALSE)</f>
        <v>1130310</v>
      </c>
      <c r="N1308" s="34"/>
      <c r="O1308" s="33">
        <v>523512</v>
      </c>
      <c r="P13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08" s="33">
        <f>+(PROVEEDORES[[#This Row],[SUBTOTAL]]-PROVEEDORES[[#This Row],[descuento antes de IVA]])*PROVEEDORES[[#This Row],[Rete Fuente %]]</f>
        <v>148725</v>
      </c>
      <c r="R1308" s="32">
        <f>+PROVEEDORES[[#This Row],[SUBTOTAL]]+PROVEEDORES[[#This Row],[IVA 19%]]-PROVEEDORES[[#This Row],[descuento antes de IVA]]-PROVEEDORES[[#This Row],[Descuento sobre subtotal $]]-PROVEEDORES[[#This Row],[Rete Fuente $]]</f>
        <v>6407073</v>
      </c>
      <c r="S1308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09" spans="1:19" ht="21.95" hidden="1" customHeight="1" x14ac:dyDescent="0.25">
      <c r="A1309" s="35" t="str">
        <f>+IF(PROVEEDORES[[#This Row],[FECHA DE PAGO]]=PROVEEDORES[[#This Row],[FECHA DE FACTURACIÓN]],"DE CONTADO","CRÉDITO")</f>
        <v>CRÉDITO</v>
      </c>
      <c r="B1309" s="70" t="str">
        <f>+IF((PROVEEDORES[[#This Row],[FECHA DE PAGO]]-PROVEEDORES[[#This Row],[FECHA DE FACTURACIÓN]])&gt;PROVEEDORES[[#This Row],[PLAZO Días]],"PAGO VENCIDO")</f>
        <v>PAGO VENCIDO</v>
      </c>
      <c r="C1309" s="27">
        <f>+VLOOKUP(PROVEEDORES[[#This Row],[PROVEEDOR]],TERCEROS_INFO[#All],2,FALSE)</f>
        <v>30</v>
      </c>
      <c r="D1309" s="37">
        <f>+SUMIFS(PROVEEDORES[Total],PROVEEDORES[PROVEEDOR],PROVEEDORES[[#This Row],[PROVEEDOR]],PROVEEDORES[FECHA DE PAGO],"")</f>
        <v>25256151.5</v>
      </c>
      <c r="E1309" s="137" t="s">
        <v>783</v>
      </c>
      <c r="F1309" s="108" t="str">
        <f>+VLOOKUP(PROVEEDORES[[#This Row],[PROVEEDOR]],TERCEROS_INFO[[PROVEEDOR]:[CORREO]],5,FALSE)</f>
        <v>jarlysas@gmail.com;o.clockinternational@gmail.com;girlesa.ruiz@servipilas.com;joriescobar64@gmail.com</v>
      </c>
      <c r="G1309" s="143">
        <v>44445</v>
      </c>
      <c r="H1309" s="38" t="s">
        <v>782</v>
      </c>
      <c r="I1309" s="30">
        <v>44394</v>
      </c>
      <c r="J1309" s="58">
        <v>57</v>
      </c>
      <c r="K1309" s="32">
        <v>3229000</v>
      </c>
      <c r="L1309" s="32"/>
      <c r="M1309" s="33">
        <f>(PROVEEDORES[[#This Row],[SUBTOTAL]]-PROVEEDORES[[#This Row],[descuento antes de IVA]])*VLOOKUP(PROVEEDORES[[#This Row],[PROVEEDOR]],TERCEROS_INFO[#All],3,FALSE)</f>
        <v>613510</v>
      </c>
      <c r="N1309" s="34"/>
      <c r="O1309" s="33">
        <f>+PROVEEDORES[[#This Row],[Descuento sobre subtotal %]]*(PROVEEDORES[[#This Row],[SUBTOTAL]]-PROVEEDORES[[#This Row],[descuento antes de IVA]])</f>
        <v>0</v>
      </c>
      <c r="P13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09" s="33">
        <f>+(PROVEEDORES[[#This Row],[SUBTOTAL]]-PROVEEDORES[[#This Row],[descuento antes de IVA]])*PROVEEDORES[[#This Row],[Rete Fuente %]]</f>
        <v>80725</v>
      </c>
      <c r="R1309" s="32">
        <f>+PROVEEDORES[[#This Row],[SUBTOTAL]]+PROVEEDORES[[#This Row],[IVA 19%]]-PROVEEDORES[[#This Row],[descuento antes de IVA]]-PROVEEDORES[[#This Row],[Descuento sobre subtotal $]]-PROVEEDORES[[#This Row],[Rete Fuente $]]-714500</f>
        <v>3047285</v>
      </c>
      <c r="S130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10" spans="1:19" ht="21.95" hidden="1" customHeight="1" x14ac:dyDescent="0.25">
      <c r="A1310" s="35" t="str">
        <f>+IF(PROVEEDORES[[#This Row],[FECHA DE PAGO]]=PROVEEDORES[[#This Row],[FECHA DE FACTURACIÓN]],"DE CONTADO","CRÉDITO")</f>
        <v>CRÉDITO</v>
      </c>
      <c r="B1310" s="70" t="b">
        <f>+IF((PROVEEDORES[[#This Row],[FECHA DE PAGO]]-PROVEEDORES[[#This Row],[FECHA DE FACTURACIÓN]])&gt;PROVEEDORES[[#This Row],[PLAZO Días]],"PAGO VENCIDO")</f>
        <v>0</v>
      </c>
      <c r="C1310" s="27">
        <f>+VLOOKUP(PROVEEDORES[[#This Row],[PROVEEDOR]],TERCEROS_INFO[#All],2,FALSE)</f>
        <v>30</v>
      </c>
      <c r="D1310" s="37">
        <f>+SUMIFS(PROVEEDORES[Total],PROVEEDORES[PROVEEDOR],PROVEEDORES[[#This Row],[PROVEEDOR]],PROVEEDORES[FECHA DE PAGO],"")</f>
        <v>25256151.5</v>
      </c>
      <c r="E1310" s="37"/>
      <c r="F1310" s="108" t="str">
        <f>+VLOOKUP(PROVEEDORES[[#This Row],[PROVEEDOR]],TERCEROS_INFO[[PROVEEDOR]:[CORREO]],5,FALSE)</f>
        <v>jarlysas@gmail.com;o.clockinternational@gmail.com;girlesa.ruiz@servipilas.com;joriescobar64@gmail.com</v>
      </c>
      <c r="H1310" s="38" t="s">
        <v>782</v>
      </c>
      <c r="I1310" s="30">
        <v>44539</v>
      </c>
      <c r="J1310" s="58">
        <v>111</v>
      </c>
      <c r="K1310" s="32">
        <v>21679100</v>
      </c>
      <c r="L1310" s="32"/>
      <c r="M1310" s="33">
        <f>(PROVEEDORES[[#This Row],[SUBTOTAL]]-PROVEEDORES[[#This Row],[descuento antes de IVA]])*VLOOKUP(PROVEEDORES[[#This Row],[PROVEEDOR]],TERCEROS_INFO[#All],3,FALSE)</f>
        <v>4119029</v>
      </c>
      <c r="N1310" s="34"/>
      <c r="O1310" s="33">
        <f>+PROVEEDORES[[#This Row],[Descuento sobre subtotal %]]*(PROVEEDORES[[#This Row],[SUBTOTAL]]-PROVEEDORES[[#This Row],[descuento antes de IVA]])</f>
        <v>0</v>
      </c>
      <c r="P13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10" s="33">
        <f>+(PROVEEDORES[[#This Row],[SUBTOTAL]]-PROVEEDORES[[#This Row],[descuento antes de IVA]])*PROVEEDORES[[#This Row],[Rete Fuente %]]</f>
        <v>541977.5</v>
      </c>
      <c r="R1310" s="32">
        <f>+PROVEEDORES[[#This Row],[SUBTOTAL]]+PROVEEDORES[[#This Row],[IVA 19%]]-PROVEEDORES[[#This Row],[descuento antes de IVA]]-PROVEEDORES[[#This Row],[Descuento sobre subtotal $]]-PROVEEDORES[[#This Row],[Rete Fuente $]]</f>
        <v>25256151.5</v>
      </c>
      <c r="S1310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311" spans="1:19" ht="21.95" hidden="1" customHeight="1" x14ac:dyDescent="0.25">
      <c r="A1311" s="147" t="str">
        <f>+IF(PROVEEDORES[[#This Row],[FECHA DE PAGO]]=PROVEEDORES[[#This Row],[FECHA DE FACTURACIÓN]],"DE CONTADO","CRÉDITO")</f>
        <v>CRÉDITO</v>
      </c>
      <c r="B1311" s="70" t="str">
        <f>+IF((PROVEEDORES[[#This Row],[FECHA DE PAGO]]-PROVEEDORES[[#This Row],[FECHA DE FACTURACIÓN]])&gt;PROVEEDORES[[#This Row],[PLAZO Días]],"PAGO VENCIDO")</f>
        <v>PAGO VENCIDO</v>
      </c>
      <c r="C1311" s="27">
        <f>+VLOOKUP(PROVEEDORES[[#This Row],[PROVEEDOR]],TERCEROS_INFO[#All],2,FALSE)</f>
        <v>30</v>
      </c>
      <c r="D1311" s="37">
        <f>+SUMIFS(PROVEEDORES[Total],PROVEEDORES[PROVEEDOR],PROVEEDORES[[#This Row],[PROVEEDOR]],PROVEEDORES[FECHA DE PAGO],"")</f>
        <v>0</v>
      </c>
      <c r="E1311" s="37"/>
      <c r="F1311" s="108" t="str">
        <f>+VLOOKUP(PROVEEDORES[[#This Row],[PROVEEDOR]],TERCEROS_INFO[[PROVEEDOR]:[CORREO]],5,FALSE)</f>
        <v>jmacias@nanicastation.com.co;facturas@nanicastation.com.co;girlesa.ruiz@servipilas.com;joriescobar64@gmail.com</v>
      </c>
      <c r="G1311" s="143">
        <v>44498</v>
      </c>
      <c r="H1311" s="146" t="s">
        <v>911</v>
      </c>
      <c r="I1311" s="30">
        <v>44439</v>
      </c>
      <c r="J1311" s="58" t="s">
        <v>853</v>
      </c>
      <c r="K1311" s="32">
        <v>854457</v>
      </c>
      <c r="L1311" s="32"/>
      <c r="M1311" s="33">
        <f>(PROVEEDORES[[#This Row],[SUBTOTAL]]-PROVEEDORES[[#This Row],[descuento antes de IVA]])*VLOOKUP(PROVEEDORES[[#This Row],[PROVEEDOR]],TERCEROS_INFO[#All],3,FALSE)</f>
        <v>162346.83000000002</v>
      </c>
      <c r="N1311" s="34"/>
      <c r="O1311" s="33">
        <f>+PROVEEDORES[[#This Row],[Descuento sobre subtotal %]]*(PROVEEDORES[[#This Row],[SUBTOTAL]]-PROVEEDORES[[#This Row],[descuento antes de IVA]])</f>
        <v>0</v>
      </c>
      <c r="P13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11" s="33">
        <f>+(PROVEEDORES[[#This Row],[SUBTOTAL]]-PROVEEDORES[[#This Row],[descuento antes de IVA]])*PROVEEDORES[[#This Row],[Rete Fuente %]]</f>
        <v>0</v>
      </c>
      <c r="R1311" s="32">
        <f>+PROVEEDORES[[#This Row],[SUBTOTAL]]+PROVEEDORES[[#This Row],[IVA 19%]]-PROVEEDORES[[#This Row],[descuento antes de IVA]]-PROVEEDORES[[#This Row],[Descuento sobre subtotal $]]-PROVEEDORES[[#This Row],[Rete Fuente $]]</f>
        <v>1016803.8300000001</v>
      </c>
      <c r="S1311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12" spans="1:19" ht="21.95" hidden="1" customHeight="1" x14ac:dyDescent="0.25">
      <c r="A1312" s="165" t="str">
        <f>+IF(PROVEEDORES[[#This Row],[FECHA DE PAGO]]=PROVEEDORES[[#This Row],[FECHA DE FACTURACIÓN]],"DE CONTADO","CRÉDITO")</f>
        <v>CRÉDITO</v>
      </c>
      <c r="B1312" s="70" t="str">
        <f>+IF((PROVEEDORES[[#This Row],[FECHA DE PAGO]]-PROVEEDORES[[#This Row],[FECHA DE FACTURACIÓN]])&gt;PROVEEDORES[[#This Row],[PLAZO Días]],"PAGO VENCIDO")</f>
        <v>PAGO VENCIDO</v>
      </c>
      <c r="C1312" s="27">
        <f>+VLOOKUP(PROVEEDORES[[#This Row],[PROVEEDOR]],TERCEROS_INFO[#All],2,FALSE)</f>
        <v>30</v>
      </c>
      <c r="D1312" s="37">
        <f>+SUMIFS(PROVEEDORES[Total],PROVEEDORES[PROVEEDOR],PROVEEDORES[[#This Row],[PROVEEDOR]],PROVEEDORES[FECHA DE PAGO],"")</f>
        <v>0</v>
      </c>
      <c r="E1312" s="37"/>
      <c r="F1312" s="108" t="str">
        <f>+VLOOKUP(PROVEEDORES[[#This Row],[PROVEEDOR]],TERCEROS_INFO[[PROVEEDOR]:[CORREO]],5,FALSE)</f>
        <v>jmacias@nanicastation.com.co;facturas@nanicastation.com.co;girlesa.ruiz@servipilas.com;joriescobar64@gmail.com</v>
      </c>
      <c r="G1312" s="143">
        <v>44552</v>
      </c>
      <c r="H1312" s="57" t="s">
        <v>911</v>
      </c>
      <c r="I1312" s="30">
        <v>44513</v>
      </c>
      <c r="J1312" s="58" t="s">
        <v>965</v>
      </c>
      <c r="K1312" s="32">
        <v>968910</v>
      </c>
      <c r="L1312" s="32"/>
      <c r="M1312" s="33">
        <f>(PROVEEDORES[[#This Row],[SUBTOTAL]]-PROVEEDORES[[#This Row],[descuento antes de IVA]])*VLOOKUP(PROVEEDORES[[#This Row],[PROVEEDOR]],TERCEROS_INFO[#All],3,FALSE)</f>
        <v>184092.9</v>
      </c>
      <c r="N1312" s="34"/>
      <c r="O1312" s="33">
        <f>+PROVEEDORES[[#This Row],[Descuento sobre subtotal %]]*(PROVEEDORES[[#This Row],[SUBTOTAL]]-PROVEEDORES[[#This Row],[descuento antes de IVA]])</f>
        <v>0</v>
      </c>
      <c r="P13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12" s="33">
        <f>+(PROVEEDORES[[#This Row],[SUBTOTAL]]-PROVEEDORES[[#This Row],[descuento antes de IVA]])*PROVEEDORES[[#This Row],[Rete Fuente %]]</f>
        <v>0</v>
      </c>
      <c r="R1312" s="32">
        <f>+PROVEEDORES[[#This Row],[SUBTOTAL]]+PROVEEDORES[[#This Row],[IVA 19%]]-PROVEEDORES[[#This Row],[descuento antes de IVA]]-PROVEEDORES[[#This Row],[Descuento sobre subtotal $]]-PROVEEDORES[[#This Row],[Rete Fuente $]]</f>
        <v>1153002.8999999999</v>
      </c>
      <c r="S1312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13" spans="1:19" ht="21.95" hidden="1" customHeight="1" x14ac:dyDescent="0.25">
      <c r="A1313" s="35" t="str">
        <f>+IF(PROVEEDORES[[#This Row],[FECHA DE PAGO]]=PROVEEDORES[[#This Row],[FECHA DE FACTURACIÓN]],"DE CONTADO","CRÉDITO")</f>
        <v>DE CONTADO</v>
      </c>
      <c r="B1313" s="67" t="b">
        <f>+IF((PROVEEDORES[[#This Row],[FECHA DE PAGO]]-PROVEEDORES[[#This Row],[FECHA DE FACTURACIÓN]])&gt;PROVEEDORES[[#This Row],[PLAZO Días]],"PAGO VENCIDO")</f>
        <v>0</v>
      </c>
      <c r="C1313" s="27">
        <f>+VLOOKUP(PROVEEDORES[[#This Row],[PROVEEDOR]],TERCEROS_INFO[#All],2,FALSE)</f>
        <v>30</v>
      </c>
      <c r="D1313" s="37">
        <f>+SUMIFS(PROVEEDORES[Total],PROVEEDORES[PROVEEDOR],PROVEEDORES[[#This Row],[PROVEEDOR]],PROVEEDORES[FECHA DE PAGO],"")</f>
        <v>0</v>
      </c>
      <c r="E1313" s="37"/>
      <c r="F1313" s="108">
        <f>+VLOOKUP(PROVEEDORES[[#This Row],[PROVEEDOR]],TERCEROS_INFO[[PROVEEDOR]:[CORREO]],5,FALSE)</f>
        <v>0</v>
      </c>
      <c r="G1313" s="143">
        <v>44222</v>
      </c>
      <c r="H1313" s="38" t="s">
        <v>421</v>
      </c>
      <c r="I1313" s="30">
        <v>44222</v>
      </c>
      <c r="J1313" s="58">
        <v>101</v>
      </c>
      <c r="K1313" s="32">
        <v>3300000</v>
      </c>
      <c r="L1313" s="32"/>
      <c r="M1313" s="33">
        <f>(PROVEEDORES[[#This Row],[SUBTOTAL]]-PROVEEDORES[[#This Row],[descuento antes de IVA]])*VLOOKUP(PROVEEDORES[[#This Row],[PROVEEDOR]],TERCEROS_INFO[#All],3,FALSE)</f>
        <v>627000</v>
      </c>
      <c r="N1313" s="34"/>
      <c r="O1313" s="33">
        <f>+PROVEEDORES[[#This Row],[Descuento sobre subtotal %]]*(PROVEEDORES[[#This Row],[SUBTOTAL]]-PROVEEDORES[[#This Row],[descuento antes de IVA]])</f>
        <v>0</v>
      </c>
      <c r="P13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13" s="33">
        <f>+(PROVEEDORES[[#This Row],[SUBTOTAL]]-PROVEEDORES[[#This Row],[descuento antes de IVA]])*PROVEEDORES[[#This Row],[Rete Fuente %]]</f>
        <v>82500</v>
      </c>
      <c r="R1313" s="32">
        <f>+PROVEEDORES[[#This Row],[SUBTOTAL]]+PROVEEDORES[[#This Row],[IVA 19%]]-PROVEEDORES[[#This Row],[descuento antes de IVA]]-PROVEEDORES[[#This Row],[Descuento sobre subtotal $]]-PROVEEDORES[[#This Row],[Rete Fuente $]]</f>
        <v>3844500</v>
      </c>
      <c r="S131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14" spans="1:19" ht="21.95" hidden="1" customHeight="1" x14ac:dyDescent="0.25">
      <c r="A1314" s="39" t="str">
        <f>+IF(PROVEEDORES[[#This Row],[FECHA DE PAGO]]=PROVEEDORES[[#This Row],[FECHA DE FACTURACIÓN]],"DE CONTADO","CRÉDITO")</f>
        <v>CRÉDITO</v>
      </c>
      <c r="B1314" s="67" t="str">
        <f>+IF((PROVEEDORES[[#This Row],[FECHA DE PAGO]]-PROVEEDORES[[#This Row],[FECHA DE FACTURACIÓN]])&gt;PROVEEDORES[[#This Row],[PLAZO Días]],"PAGO VENCIDO")</f>
        <v>PAGO VENCIDO</v>
      </c>
      <c r="C1314" s="27">
        <f>+VLOOKUP(PROVEEDORES[[#This Row],[PROVEEDOR]],TERCEROS_INFO[#All],2,FALSE)</f>
        <v>90</v>
      </c>
      <c r="D1314" s="37">
        <f>+SUMIFS(PROVEEDORES[Total],PROVEEDORES[PROVEEDOR],PROVEEDORES[[#This Row],[PROVEEDOR]],PROVEEDORES[FECHA DE PAGO],"")</f>
        <v>56294004</v>
      </c>
      <c r="E1314" s="37"/>
      <c r="F1314" s="108" t="str">
        <f>+VLOOKUP(PROVEEDORES[[#This Row],[PROVEEDOR]],TERCEROS_INFO[[PROVEEDOR]:[CORREO]],5,FALSE)</f>
        <v>mcastillo@kenextrading.com;agarcia@kenextrading.com;girlesa.ruiz@servipilas.com;joriescobar64@gmail.com</v>
      </c>
      <c r="G1314" s="143">
        <v>44110</v>
      </c>
      <c r="H1314" s="38" t="s">
        <v>33</v>
      </c>
      <c r="I1314" s="30">
        <v>43888</v>
      </c>
      <c r="J1314" s="58">
        <v>52053</v>
      </c>
      <c r="K1314" s="32">
        <v>37178210.084033616</v>
      </c>
      <c r="L1314" s="32"/>
      <c r="M1314" s="33">
        <f>(PROVEEDORES[[#This Row],[SUBTOTAL]]-PROVEEDORES[[#This Row],[descuento antes de IVA]])*VLOOKUP(PROVEEDORES[[#This Row],[PROVEEDOR]],TERCEROS_INFO[#All],3,FALSE)</f>
        <v>0</v>
      </c>
      <c r="N1314" s="34"/>
      <c r="O1314" s="33">
        <f>+PROVEEDORES[[#This Row],[Descuento sobre subtotal %]]*(PROVEEDORES[[#This Row],[SUBTOTAL]]-PROVEEDORES[[#This Row],[descuento antes de IVA]])</f>
        <v>0</v>
      </c>
      <c r="P13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14" s="33">
        <f>+(PROVEEDORES[[#This Row],[SUBTOTAL]]-PROVEEDORES[[#This Row],[descuento antes de IVA]])*PROVEEDORES[[#This Row],[Rete Fuente %]]</f>
        <v>0</v>
      </c>
      <c r="R1314" s="32">
        <f>+PROVEEDORES[[#This Row],[SUBTOTAL]]+PROVEEDORES[[#This Row],[IVA 19%]]-PROVEEDORES[[#This Row],[descuento antes de IVA]]-PROVEEDORES[[#This Row],[Descuento sobre subtotal $]]-PROVEEDORES[[#This Row],[Rete Fuente $]]</f>
        <v>37178210.084033616</v>
      </c>
      <c r="S13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15" spans="1:19" ht="21.95" hidden="1" customHeight="1" x14ac:dyDescent="0.25">
      <c r="A1315" s="39" t="str">
        <f>+IF(PROVEEDORES[[#This Row],[FECHA DE PAGO]]=PROVEEDORES[[#This Row],[FECHA DE FACTURACIÓN]],"DE CONTADO","CRÉDITO")</f>
        <v>CRÉDITO</v>
      </c>
      <c r="B1315" s="67" t="b">
        <f>+IF((PROVEEDORES[[#This Row],[FECHA DE PAGO]]-PROVEEDORES[[#This Row],[FECHA DE FACTURACIÓN]])&gt;PROVEEDORES[[#This Row],[PLAZO Días]],"PAGO VENCIDO")</f>
        <v>0</v>
      </c>
      <c r="C1315" s="27">
        <f>+VLOOKUP(PROVEEDORES[[#This Row],[PROVEEDOR]],TERCEROS_INFO[#All],2,FALSE)</f>
        <v>90</v>
      </c>
      <c r="D1315" s="37">
        <f>+SUMIFS(PROVEEDORES[Total],PROVEEDORES[PROVEEDOR],PROVEEDORES[[#This Row],[PROVEEDOR]],PROVEEDORES[FECHA DE PAGO],"")</f>
        <v>56294004</v>
      </c>
      <c r="E1315" s="37"/>
      <c r="F1315" s="108" t="str">
        <f>+VLOOKUP(PROVEEDORES[[#This Row],[PROVEEDOR]],TERCEROS_INFO[[PROVEEDOR]:[CORREO]],5,FALSE)</f>
        <v>mcastillo@kenextrading.com;agarcia@kenextrading.com;girlesa.ruiz@servipilas.com;joriescobar64@gmail.com</v>
      </c>
      <c r="G1315" s="143">
        <v>44166</v>
      </c>
      <c r="H1315" s="38" t="s">
        <v>33</v>
      </c>
      <c r="I1315" s="30">
        <v>44130</v>
      </c>
      <c r="J1315" s="58">
        <v>52880</v>
      </c>
      <c r="K1315" s="32">
        <v>54180719.327731088</v>
      </c>
      <c r="L1315" s="32"/>
      <c r="M1315" s="33">
        <f>(PROVEEDORES[[#This Row],[SUBTOTAL]]-PROVEEDORES[[#This Row],[descuento antes de IVA]])*VLOOKUP(PROVEEDORES[[#This Row],[PROVEEDOR]],TERCEROS_INFO[#All],3,FALSE)</f>
        <v>0</v>
      </c>
      <c r="N1315" s="34"/>
      <c r="O1315" s="33">
        <f>+PROVEEDORES[[#This Row],[Descuento sobre subtotal %]]*(PROVEEDORES[[#This Row],[SUBTOTAL]]-PROVEEDORES[[#This Row],[descuento antes de IVA]])</f>
        <v>0</v>
      </c>
      <c r="P13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15" s="33">
        <f>+(PROVEEDORES[[#This Row],[SUBTOTAL]]-PROVEEDORES[[#This Row],[descuento antes de IVA]])*PROVEEDORES[[#This Row],[Rete Fuente %]]</f>
        <v>0</v>
      </c>
      <c r="R1315" s="32">
        <f>+PROVEEDORES[[#This Row],[SUBTOTAL]]+PROVEEDORES[[#This Row],[IVA 19%]]-PROVEEDORES[[#This Row],[descuento antes de IVA]]-PROVEEDORES[[#This Row],[Descuento sobre subtotal $]]-PROVEEDORES[[#This Row],[Rete Fuente $]]</f>
        <v>54180719.327731088</v>
      </c>
      <c r="S13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16" spans="1:19" ht="21.95" hidden="1" customHeight="1" x14ac:dyDescent="0.25">
      <c r="A1316" s="39" t="str">
        <f>+IF(PROVEEDORES[[#This Row],[FECHA DE PAGO]]=PROVEEDORES[[#This Row],[FECHA DE FACTURACIÓN]],"DE CONTADO","CRÉDITO")</f>
        <v>CRÉDITO</v>
      </c>
      <c r="B1316" s="67" t="str">
        <f>+IF((PROVEEDORES[[#This Row],[FECHA DE PAGO]]-PROVEEDORES[[#This Row],[FECHA DE FACTURACIÓN]])&gt;PROVEEDORES[[#This Row],[PLAZO Días]],"PAGO VENCIDO")</f>
        <v>PAGO VENCIDO</v>
      </c>
      <c r="C1316" s="27">
        <f>+VLOOKUP(PROVEEDORES[[#This Row],[PROVEEDOR]],TERCEROS_INFO[#All],2,FALSE)</f>
        <v>90</v>
      </c>
      <c r="D1316" s="37">
        <f>+SUMIFS(PROVEEDORES[Total],PROVEEDORES[PROVEEDOR],PROVEEDORES[[#This Row],[PROVEEDOR]],PROVEEDORES[FECHA DE PAGO],"")</f>
        <v>56294004</v>
      </c>
      <c r="E1316" s="37">
        <v>15733126.5</v>
      </c>
      <c r="F1316" s="108" t="str">
        <f>+VLOOKUP(PROVEEDORES[[#This Row],[PROVEEDOR]],TERCEROS_INFO[[PROVEEDOR]:[CORREO]],5,FALSE)</f>
        <v>mcastillo@kenextrading.com;agarcia@kenextrading.com;girlesa.ruiz@servipilas.com;joriescobar64@gmail.com</v>
      </c>
      <c r="G1316" s="143">
        <v>44285</v>
      </c>
      <c r="H1316" s="38" t="s">
        <v>33</v>
      </c>
      <c r="I1316" s="30">
        <v>44175</v>
      </c>
      <c r="J1316" s="58">
        <v>53263</v>
      </c>
      <c r="K1316" s="32">
        <v>44070382.352941178</v>
      </c>
      <c r="L1316" s="32"/>
      <c r="M1316" s="33">
        <f>(PROVEEDORES[[#This Row],[SUBTOTAL]]-PROVEEDORES[[#This Row],[descuento antes de IVA]])*VLOOKUP(PROVEEDORES[[#This Row],[PROVEEDOR]],TERCEROS_INFO[#All],3,FALSE)</f>
        <v>0</v>
      </c>
      <c r="N1316" s="34"/>
      <c r="O1316" s="33">
        <f>+PROVEEDORES[[#This Row],[Descuento sobre subtotal %]]*(PROVEEDORES[[#This Row],[SUBTOTAL]]-PROVEEDORES[[#This Row],[descuento antes de IVA]])</f>
        <v>0</v>
      </c>
      <c r="P13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16" s="33">
        <f>+(PROVEEDORES[[#This Row],[SUBTOTAL]]-PROVEEDORES[[#This Row],[descuento antes de IVA]])*PROVEEDORES[[#This Row],[Rete Fuente %]]</f>
        <v>0</v>
      </c>
      <c r="R1316" s="32">
        <f>+PROVEEDORES[[#This Row],[SUBTOTAL]]+PROVEEDORES[[#This Row],[IVA 19%]]-PROVEEDORES[[#This Row],[descuento antes de IVA]]-PROVEEDORES[[#This Row],[Descuento sobre subtotal $]]-PROVEEDORES[[#This Row],[Rete Fuente $]]</f>
        <v>44070382.352941178</v>
      </c>
      <c r="S13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17" spans="1:19" ht="21.95" hidden="1" customHeight="1" x14ac:dyDescent="0.25">
      <c r="A1317" s="102" t="str">
        <f>+IF(PROVEEDORES[[#This Row],[FECHA DE PAGO]]=PROVEEDORES[[#This Row],[FECHA DE FACTURACIÓN]],"DE CONTADO","CRÉDITO")</f>
        <v>CRÉDITO</v>
      </c>
      <c r="B1317" s="70" t="b">
        <f>+IF((PROVEEDORES[[#This Row],[FECHA DE PAGO]]-PROVEEDORES[[#This Row],[FECHA DE FACTURACIÓN]])&gt;PROVEEDORES[[#This Row],[PLAZO Días]],"PAGO VENCIDO")</f>
        <v>0</v>
      </c>
      <c r="C1317" s="27">
        <f>+VLOOKUP(PROVEEDORES[[#This Row],[PROVEEDOR]],TERCEROS_INFO[#All],2,FALSE)</f>
        <v>90</v>
      </c>
      <c r="D1317" s="37">
        <f>+SUMIFS(PROVEEDORES[Total],PROVEEDORES[PROVEEDOR],PROVEEDORES[[#This Row],[PROVEEDOR]],PROVEEDORES[FECHA DE PAGO],"")</f>
        <v>56294004</v>
      </c>
      <c r="E1317" s="37"/>
      <c r="F1317" s="108" t="str">
        <f>+VLOOKUP(PROVEEDORES[[#This Row],[PROVEEDOR]],TERCEROS_INFO[[PROVEEDOR]:[CORREO]],5,FALSE)</f>
        <v>mcastillo@kenextrading.com;agarcia@kenextrading.com;girlesa.ruiz@servipilas.com;joriescobar64@gmail.com</v>
      </c>
      <c r="G1317" s="143">
        <v>44377</v>
      </c>
      <c r="H1317" s="38" t="s">
        <v>33</v>
      </c>
      <c r="I1317" s="30">
        <v>44293</v>
      </c>
      <c r="J1317" s="58">
        <v>53922</v>
      </c>
      <c r="K1317" s="32">
        <f>5927.03*3700</f>
        <v>21930011</v>
      </c>
      <c r="L1317" s="32"/>
      <c r="M1317" s="33">
        <f>(PROVEEDORES[[#This Row],[SUBTOTAL]]-PROVEEDORES[[#This Row],[descuento antes de IVA]])*VLOOKUP(PROVEEDORES[[#This Row],[PROVEEDOR]],TERCEROS_INFO[#All],3,FALSE)</f>
        <v>0</v>
      </c>
      <c r="N1317" s="34"/>
      <c r="O1317" s="33">
        <f>+PROVEEDORES[[#This Row],[Descuento sobre subtotal %]]*(PROVEEDORES[[#This Row],[SUBTOTAL]]-PROVEEDORES[[#This Row],[descuento antes de IVA]])</f>
        <v>0</v>
      </c>
      <c r="P13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17" s="33">
        <f>+(PROVEEDORES[[#This Row],[SUBTOTAL]]-PROVEEDORES[[#This Row],[descuento antes de IVA]])*PROVEEDORES[[#This Row],[Rete Fuente %]]</f>
        <v>0</v>
      </c>
      <c r="R1317" s="32">
        <f>+PROVEEDORES[[#This Row],[SUBTOTAL]]+PROVEEDORES[[#This Row],[IVA 19%]]-PROVEEDORES[[#This Row],[descuento antes de IVA]]-PROVEEDORES[[#This Row],[Descuento sobre subtotal $]]-PROVEEDORES[[#This Row],[Rete Fuente $]]</f>
        <v>21930011</v>
      </c>
      <c r="S1317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18" spans="1:19" ht="21.95" hidden="1" customHeight="1" x14ac:dyDescent="0.25">
      <c r="A1318" s="133" t="str">
        <f>+IF(PROVEEDORES[[#This Row],[FECHA DE PAGO]]=PROVEEDORES[[#This Row],[FECHA DE FACTURACIÓN]],"DE CONTADO","CRÉDITO")</f>
        <v>CRÉDITO</v>
      </c>
      <c r="B1318" s="70" t="b">
        <f>+IF((PROVEEDORES[[#This Row],[FECHA DE PAGO]]-PROVEEDORES[[#This Row],[FECHA DE FACTURACIÓN]])&gt;PROVEEDORES[[#This Row],[PLAZO Días]],"PAGO VENCIDO")</f>
        <v>0</v>
      </c>
      <c r="C1318" s="27">
        <f>+VLOOKUP(PROVEEDORES[[#This Row],[PROVEEDOR]],TERCEROS_INFO[#All],2,FALSE)</f>
        <v>90</v>
      </c>
      <c r="D1318" s="37">
        <f>+SUMIFS(PROVEEDORES[Total],PROVEEDORES[PROVEEDOR],PROVEEDORES[[#This Row],[PROVEEDOR]],PROVEEDORES[FECHA DE PAGO],"")</f>
        <v>56294004</v>
      </c>
      <c r="E1318" s="37"/>
      <c r="F1318" s="108" t="str">
        <f>+VLOOKUP(PROVEEDORES[[#This Row],[PROVEEDOR]],TERCEROS_INFO[[PROVEEDOR]:[CORREO]],5,FALSE)</f>
        <v>mcastillo@kenextrading.com;agarcia@kenextrading.com;girlesa.ruiz@servipilas.com;joriescobar64@gmail.com</v>
      </c>
      <c r="G1318" s="143">
        <v>44476</v>
      </c>
      <c r="H1318" s="38" t="s">
        <v>33</v>
      </c>
      <c r="I1318" s="30">
        <v>44390</v>
      </c>
      <c r="J1318" s="58">
        <v>54504</v>
      </c>
      <c r="K1318" s="32">
        <f>13687.69*3900</f>
        <v>53381991</v>
      </c>
      <c r="L1318" s="32"/>
      <c r="M1318" s="33">
        <f>(PROVEEDORES[[#This Row],[SUBTOTAL]]-PROVEEDORES[[#This Row],[descuento antes de IVA]])*VLOOKUP(PROVEEDORES[[#This Row],[PROVEEDOR]],TERCEROS_INFO[#All],3,FALSE)</f>
        <v>0</v>
      </c>
      <c r="N1318" s="34"/>
      <c r="O1318" s="33">
        <f>+PROVEEDORES[[#This Row],[Descuento sobre subtotal %]]*(PROVEEDORES[[#This Row],[SUBTOTAL]]-PROVEEDORES[[#This Row],[descuento antes de IVA]])</f>
        <v>0</v>
      </c>
      <c r="P13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18" s="33">
        <f>+(PROVEEDORES[[#This Row],[SUBTOTAL]]-PROVEEDORES[[#This Row],[descuento antes de IVA]])*PROVEEDORES[[#This Row],[Rete Fuente %]]</f>
        <v>0</v>
      </c>
      <c r="R1318" s="32">
        <f>+PROVEEDORES[[#This Row],[SUBTOTAL]]+PROVEEDORES[[#This Row],[IVA 19%]]-PROVEEDORES[[#This Row],[descuento antes de IVA]]-PROVEEDORES[[#This Row],[Descuento sobre subtotal $]]-PROVEEDORES[[#This Row],[Rete Fuente $]]</f>
        <v>53381991</v>
      </c>
      <c r="S1318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19" spans="1:19" ht="21.95" hidden="1" customHeight="1" x14ac:dyDescent="0.25">
      <c r="A1319" s="159" t="str">
        <f>+IF(PROVEEDORES[[#This Row],[FECHA DE PAGO]]=PROVEEDORES[[#This Row],[FECHA DE FACTURACIÓN]],"DE CONTADO","CRÉDITO")</f>
        <v>CRÉDITO</v>
      </c>
      <c r="B1319" s="70" t="b">
        <f>+IF((PROVEEDORES[[#This Row],[FECHA DE PAGO]]-PROVEEDORES[[#This Row],[FECHA DE FACTURACIÓN]])&gt;PROVEEDORES[[#This Row],[PLAZO Días]],"PAGO VENCIDO")</f>
        <v>0</v>
      </c>
      <c r="C1319" s="27">
        <f>+VLOOKUP(PROVEEDORES[[#This Row],[PROVEEDOR]],TERCEROS_INFO[#All],2,FALSE)</f>
        <v>90</v>
      </c>
      <c r="D1319" s="37">
        <f>+SUMIFS(PROVEEDORES[Total],PROVEEDORES[PROVEEDOR],PROVEEDORES[[#This Row],[PROVEEDOR]],PROVEEDORES[FECHA DE PAGO],"")</f>
        <v>56294004</v>
      </c>
      <c r="E1319" s="37" t="s">
        <v>995</v>
      </c>
      <c r="F1319" s="108" t="str">
        <f>+VLOOKUP(PROVEEDORES[[#This Row],[PROVEEDOR]],TERCEROS_INFO[[PROVEEDOR]:[CORREO]],5,FALSE)</f>
        <v>mcastillo@kenextrading.com;agarcia@kenextrading.com;girlesa.ruiz@servipilas.com;joriescobar64@gmail.com</v>
      </c>
      <c r="G1319" s="143">
        <v>44531</v>
      </c>
      <c r="H1319" s="38" t="s">
        <v>33</v>
      </c>
      <c r="I1319" s="30">
        <v>44487</v>
      </c>
      <c r="J1319" s="58">
        <v>55161</v>
      </c>
      <c r="K1319" s="32">
        <f>8017.39*3973.4</f>
        <v>31856297.426000003</v>
      </c>
      <c r="L1319" s="32"/>
      <c r="M1319" s="33">
        <f>(PROVEEDORES[[#This Row],[SUBTOTAL]]-PROVEEDORES[[#This Row],[descuento antes de IVA]])*VLOOKUP(PROVEEDORES[[#This Row],[PROVEEDOR]],TERCEROS_INFO[#All],3,FALSE)</f>
        <v>0</v>
      </c>
      <c r="N1319" s="34"/>
      <c r="O1319" s="33">
        <f>+PROVEEDORES[[#This Row],[Descuento sobre subtotal %]]*(PROVEEDORES[[#This Row],[SUBTOTAL]]-PROVEEDORES[[#This Row],[descuento antes de IVA]])</f>
        <v>0</v>
      </c>
      <c r="P13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19" s="33">
        <f>+(PROVEEDORES[[#This Row],[SUBTOTAL]]-PROVEEDORES[[#This Row],[descuento antes de IVA]])*PROVEEDORES[[#This Row],[Rete Fuente %]]</f>
        <v>0</v>
      </c>
      <c r="R1319" s="32">
        <f>+PROVEEDORES[[#This Row],[SUBTOTAL]]+PROVEEDORES[[#This Row],[IVA 19%]]-PROVEEDORES[[#This Row],[descuento antes de IVA]]-PROVEEDORES[[#This Row],[Descuento sobre subtotal $]]-PROVEEDORES[[#This Row],[Rete Fuente $]]</f>
        <v>31856297.426000003</v>
      </c>
      <c r="S1319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20" spans="1:19" ht="21.95" hidden="1" customHeight="1" x14ac:dyDescent="0.25">
      <c r="A1320" s="35" t="str">
        <f>+IF(PROVEEDORES[[#This Row],[FECHA DE PAGO]]=PROVEEDORES[[#This Row],[FECHA DE FACTURACIÓN]],"DE CONTADO","CRÉDITO")</f>
        <v>DE CONTADO</v>
      </c>
      <c r="B1320" s="70" t="b">
        <f>+IF((PROVEEDORES[[#This Row],[FECHA DE PAGO]]-PROVEEDORES[[#This Row],[FECHA DE FACTURACIÓN]])&gt;PROVEEDORES[[#This Row],[PLAZO Días]],"PAGO VENCIDO")</f>
        <v>0</v>
      </c>
      <c r="C1320" s="27">
        <f>+VLOOKUP(PROVEEDORES[[#This Row],[PROVEEDOR]],TERCEROS_INFO[#All],2,FALSE)</f>
        <v>90</v>
      </c>
      <c r="D1320" s="37">
        <f>+SUMIFS(PROVEEDORES[Total],PROVEEDORES[PROVEEDOR],PROVEEDORES[[#This Row],[PROVEEDOR]],PROVEEDORES[FECHA DE PAGO],"")</f>
        <v>56294004</v>
      </c>
      <c r="E1320" s="37" t="s">
        <v>994</v>
      </c>
      <c r="F1320" s="108" t="str">
        <f>+VLOOKUP(PROVEEDORES[[#This Row],[PROVEEDOR]],TERCEROS_INFO[[PROVEEDOR]:[CORREO]],5,FALSE)</f>
        <v>mcastillo@kenextrading.com;agarcia@kenextrading.com;girlesa.ruiz@servipilas.com;joriescobar64@gmail.com</v>
      </c>
      <c r="G1320" s="143">
        <v>44531</v>
      </c>
      <c r="H1320" s="38" t="s">
        <v>33</v>
      </c>
      <c r="I1320" s="143">
        <v>44531</v>
      </c>
      <c r="J1320" s="58">
        <v>55161</v>
      </c>
      <c r="K1320" s="32">
        <f>262097+273991</f>
        <v>536088</v>
      </c>
      <c r="L1320" s="32"/>
      <c r="M1320" s="33">
        <f>(PROVEEDORES[[#This Row],[SUBTOTAL]]-PROVEEDORES[[#This Row],[descuento antes de IVA]])*VLOOKUP(PROVEEDORES[[#This Row],[PROVEEDOR]],TERCEROS_INFO[#All],3,FALSE)</f>
        <v>0</v>
      </c>
      <c r="N1320" s="34"/>
      <c r="O1320" s="33">
        <f>+PROVEEDORES[[#This Row],[Descuento sobre subtotal %]]*(PROVEEDORES[[#This Row],[SUBTOTAL]]-PROVEEDORES[[#This Row],[descuento antes de IVA]])</f>
        <v>0</v>
      </c>
      <c r="P13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20" s="33">
        <f>+(PROVEEDORES[[#This Row],[SUBTOTAL]]-PROVEEDORES[[#This Row],[descuento antes de IVA]])*PROVEEDORES[[#This Row],[Rete Fuente %]]</f>
        <v>0</v>
      </c>
      <c r="R1320" s="32">
        <f>+PROVEEDORES[[#This Row],[SUBTOTAL]]+PROVEEDORES[[#This Row],[IVA 19%]]-PROVEEDORES[[#This Row],[descuento antes de IVA]]-PROVEEDORES[[#This Row],[Descuento sobre subtotal $]]-PROVEEDORES[[#This Row],[Rete Fuente $]]</f>
        <v>536088</v>
      </c>
      <c r="S132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21" spans="1:19" ht="21.95" hidden="1" customHeight="1" x14ac:dyDescent="0.25">
      <c r="A1321" s="35" t="str">
        <f>+IF(PROVEEDORES[[#This Row],[FECHA DE PAGO]]=PROVEEDORES[[#This Row],[FECHA DE FACTURACIÓN]],"DE CONTADO","CRÉDITO")</f>
        <v>CRÉDITO</v>
      </c>
      <c r="B1321" s="70" t="b">
        <f>+IF((PROVEEDORES[[#This Row],[FECHA DE PAGO]]-PROVEEDORES[[#This Row],[FECHA DE FACTURACIÓN]])&gt;PROVEEDORES[[#This Row],[PLAZO Días]],"PAGO VENCIDO")</f>
        <v>0</v>
      </c>
      <c r="C1321" s="27">
        <f>+VLOOKUP(PROVEEDORES[[#This Row],[PROVEEDOR]],TERCEROS_INFO[#All],2,FALSE)</f>
        <v>90</v>
      </c>
      <c r="D1321" s="37">
        <f>+SUMIFS(PROVEEDORES[Total],PROVEEDORES[PROVEEDOR],PROVEEDORES[[#This Row],[PROVEEDOR]],PROVEEDORES[FECHA DE PAGO],"")</f>
        <v>56294004</v>
      </c>
      <c r="E1321" s="37"/>
      <c r="F1321" s="108" t="str">
        <f>+VLOOKUP(PROVEEDORES[[#This Row],[PROVEEDOR]],TERCEROS_INFO[[PROVEEDOR]:[CORREO]],5,FALSE)</f>
        <v>mcastillo@kenextrading.com;agarcia@kenextrading.com;girlesa.ruiz@servipilas.com;joriescobar64@gmail.com</v>
      </c>
      <c r="H1321" s="38" t="s">
        <v>33</v>
      </c>
      <c r="I1321" s="30">
        <v>44531</v>
      </c>
      <c r="J1321" s="58">
        <v>55546</v>
      </c>
      <c r="K1321" s="32">
        <f>14434.36*3900</f>
        <v>56294004</v>
      </c>
      <c r="L1321" s="32"/>
      <c r="M1321" s="33">
        <f>(PROVEEDORES[[#This Row],[SUBTOTAL]]-PROVEEDORES[[#This Row],[descuento antes de IVA]])*VLOOKUP(PROVEEDORES[[#This Row],[PROVEEDOR]],TERCEROS_INFO[#All],3,FALSE)</f>
        <v>0</v>
      </c>
      <c r="N1321" s="34"/>
      <c r="O1321" s="33">
        <f>+PROVEEDORES[[#This Row],[Descuento sobre subtotal %]]*(PROVEEDORES[[#This Row],[SUBTOTAL]]-PROVEEDORES[[#This Row],[descuento antes de IVA]])</f>
        <v>0</v>
      </c>
      <c r="P13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21" s="33">
        <f>+(PROVEEDORES[[#This Row],[SUBTOTAL]]-PROVEEDORES[[#This Row],[descuento antes de IVA]])*PROVEEDORES[[#This Row],[Rete Fuente %]]</f>
        <v>0</v>
      </c>
      <c r="R1321" s="32">
        <f>+PROVEEDORES[[#This Row],[SUBTOTAL]]+PROVEEDORES[[#This Row],[IVA 19%]]-PROVEEDORES[[#This Row],[descuento antes de IVA]]-PROVEEDORES[[#This Row],[Descuento sobre subtotal $]]-PROVEEDORES[[#This Row],[Rete Fuente $]]</f>
        <v>56294004</v>
      </c>
      <c r="S1321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322" spans="1:19" ht="21.95" hidden="1" customHeight="1" x14ac:dyDescent="0.25">
      <c r="A1322" s="39" t="str">
        <f>+IF(PROVEEDORES[[#This Row],[FECHA DE PAGO]]=PROVEEDORES[[#This Row],[FECHA DE FACTURACIÓN]],"DE CONTADO","CRÉDITO")</f>
        <v>CRÉDITO</v>
      </c>
      <c r="B1322" s="67" t="str">
        <f>+IF((PROVEEDORES[[#This Row],[FECHA DE PAGO]]-PROVEEDORES[[#This Row],[FECHA DE FACTURACIÓN]])&gt;PROVEEDORES[[#This Row],[PLAZO Días]],"PAGO VENCIDO")</f>
        <v>PAGO VENCIDO</v>
      </c>
      <c r="C1322" s="27">
        <f>+VLOOKUP(PROVEEDORES[[#This Row],[PROVEEDOR]],TERCEROS_INFO[#All],2,FALSE)</f>
        <v>30</v>
      </c>
      <c r="D1322" s="37">
        <f>+SUMIFS(PROVEEDORES[Total],PROVEEDORES[PROVEEDOR],PROVEEDORES[[#This Row],[PROVEEDOR]],PROVEEDORES[FECHA DE PAGO],"")</f>
        <v>10910574.5</v>
      </c>
      <c r="E1322" s="37"/>
      <c r="F1322" s="108" t="str">
        <f>+VLOOKUP(PROVEEDORES[[#This Row],[PROVEEDOR]],TERCEROS_INFO[[PROVEEDOR]:[CORREO]],5,FALSE)</f>
        <v>admin@kinocompanysas.com.co;girlesa.ruiz@servipilas.com;joriescobar64@gmail.com</v>
      </c>
      <c r="G1322" s="143">
        <v>43899</v>
      </c>
      <c r="H1322" s="38" t="s">
        <v>35</v>
      </c>
      <c r="I1322" s="30">
        <v>43839</v>
      </c>
      <c r="J1322" s="58">
        <v>5656</v>
      </c>
      <c r="K1322" s="32">
        <v>2481500</v>
      </c>
      <c r="L1322" s="32"/>
      <c r="M1322" s="33">
        <f>(PROVEEDORES[[#This Row],[SUBTOTAL]]-PROVEEDORES[[#This Row],[descuento antes de IVA]])*VLOOKUP(PROVEEDORES[[#This Row],[PROVEEDOR]],TERCEROS_INFO[#All],3,FALSE)</f>
        <v>471485</v>
      </c>
      <c r="N1322" s="34"/>
      <c r="O1322" s="33">
        <f>+PROVEEDORES[[#This Row],[Descuento sobre subtotal %]]*(PROVEEDORES[[#This Row],[SUBTOTAL]]-PROVEEDORES[[#This Row],[descuento antes de IVA]])</f>
        <v>0</v>
      </c>
      <c r="P13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22" s="33">
        <f>+(PROVEEDORES[[#This Row],[SUBTOTAL]]-PROVEEDORES[[#This Row],[descuento antes de IVA]])*PROVEEDORES[[#This Row],[Rete Fuente %]]</f>
        <v>62037.5</v>
      </c>
      <c r="R1322" s="32">
        <f>+PROVEEDORES[[#This Row],[SUBTOTAL]]+PROVEEDORES[[#This Row],[IVA 19%]]-PROVEEDORES[[#This Row],[descuento antes de IVA]]-PROVEEDORES[[#This Row],[Descuento sobre subtotal $]]-PROVEEDORES[[#This Row],[Rete Fuente $]]</f>
        <v>2890947.5</v>
      </c>
      <c r="S13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23" spans="1:19" ht="21.95" hidden="1" customHeight="1" x14ac:dyDescent="0.25">
      <c r="A1323" s="134" t="str">
        <f>+IF(PROVEEDORES[[#This Row],[FECHA DE PAGO]]=PROVEEDORES[[#This Row],[FECHA DE FACTURACIÓN]],"DE CONTADO","CRÉDITO")</f>
        <v>CRÉDITO</v>
      </c>
      <c r="B1323" s="70" t="str">
        <f>+IF((PROVEEDORES[[#This Row],[FECHA DE PAGO]]-PROVEEDORES[[#This Row],[FECHA DE FACTURACIÓN]])&gt;PROVEEDORES[[#This Row],[PLAZO Días]],"PAGO VENCIDO")</f>
        <v>PAGO VENCIDO</v>
      </c>
      <c r="C1323" s="27">
        <f>+VLOOKUP(PROVEEDORES[[#This Row],[PROVEEDOR]],TERCEROS_INFO[#All],2,FALSE)</f>
        <v>30</v>
      </c>
      <c r="D1323" s="37">
        <f>+SUMIFS(PROVEEDORES[Total],PROVEEDORES[PROVEEDOR],PROVEEDORES[[#This Row],[PROVEEDOR]],PROVEEDORES[FECHA DE PAGO],"")</f>
        <v>10910574.5</v>
      </c>
      <c r="E1323" s="37"/>
      <c r="F1323" s="108" t="str">
        <f>+VLOOKUP(PROVEEDORES[[#This Row],[PROVEEDOR]],TERCEROS_INFO[[PROVEEDOR]:[CORREO]],5,FALSE)</f>
        <v>admin@kinocompanysas.com.co;girlesa.ruiz@servipilas.com;joriescobar64@gmail.com</v>
      </c>
      <c r="G1323" s="143">
        <v>44432</v>
      </c>
      <c r="H1323" s="38" t="s">
        <v>35</v>
      </c>
      <c r="I1323" s="30">
        <v>44387</v>
      </c>
      <c r="J1323" s="58">
        <v>1180</v>
      </c>
      <c r="K1323" s="32">
        <v>2594000</v>
      </c>
      <c r="L1323" s="32"/>
      <c r="M1323" s="33">
        <f>(PROVEEDORES[[#This Row],[SUBTOTAL]]-PROVEEDORES[[#This Row],[descuento antes de IVA]])*VLOOKUP(PROVEEDORES[[#This Row],[PROVEEDOR]],TERCEROS_INFO[#All],3,FALSE)</f>
        <v>492860</v>
      </c>
      <c r="N1323" s="34"/>
      <c r="O1323" s="33">
        <f>+PROVEEDORES[[#This Row],[Descuento sobre subtotal %]]*(PROVEEDORES[[#This Row],[SUBTOTAL]]-PROVEEDORES[[#This Row],[descuento antes de IVA]])</f>
        <v>0</v>
      </c>
      <c r="P13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23" s="33">
        <f>+(PROVEEDORES[[#This Row],[SUBTOTAL]]-PROVEEDORES[[#This Row],[descuento antes de IVA]])*PROVEEDORES[[#This Row],[Rete Fuente %]]</f>
        <v>64850</v>
      </c>
      <c r="R1323" s="32">
        <f>+PROVEEDORES[[#This Row],[SUBTOTAL]]+PROVEEDORES[[#This Row],[IVA 19%]]-PROVEEDORES[[#This Row],[descuento antes de IVA]]-PROVEEDORES[[#This Row],[Descuento sobre subtotal $]]-PROVEEDORES[[#This Row],[Rete Fuente $]]</f>
        <v>3022010</v>
      </c>
      <c r="S1323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24" spans="1:19" ht="21.95" hidden="1" customHeight="1" x14ac:dyDescent="0.25">
      <c r="A1324" s="148" t="str">
        <f>+IF(PROVEEDORES[[#This Row],[FECHA DE PAGO]]=PROVEEDORES[[#This Row],[FECHA DE FACTURACIÓN]],"DE CONTADO","CRÉDITO")</f>
        <v>CRÉDITO</v>
      </c>
      <c r="B1324" s="70" t="str">
        <f>+IF((PROVEEDORES[[#This Row],[FECHA DE PAGO]]-PROVEEDORES[[#This Row],[FECHA DE FACTURACIÓN]])&gt;PROVEEDORES[[#This Row],[PLAZO Días]],"PAGO VENCIDO")</f>
        <v>PAGO VENCIDO</v>
      </c>
      <c r="C1324" s="27">
        <f>+VLOOKUP(PROVEEDORES[[#This Row],[PROVEEDOR]],TERCEROS_INFO[#All],2,FALSE)</f>
        <v>30</v>
      </c>
      <c r="D1324" s="37">
        <f>+SUMIFS(PROVEEDORES[Total],PROVEEDORES[PROVEEDOR],PROVEEDORES[[#This Row],[PROVEEDOR]],PROVEEDORES[FECHA DE PAGO],"")</f>
        <v>10910574.5</v>
      </c>
      <c r="E1324" s="37"/>
      <c r="F1324" s="108" t="str">
        <f>+VLOOKUP(PROVEEDORES[[#This Row],[PROVEEDOR]],TERCEROS_INFO[[PROVEEDOR]:[CORREO]],5,FALSE)</f>
        <v>admin@kinocompanysas.com.co;girlesa.ruiz@servipilas.com;joriescobar64@gmail.com</v>
      </c>
      <c r="G1324" s="143">
        <v>44537</v>
      </c>
      <c r="H1324" s="38" t="s">
        <v>35</v>
      </c>
      <c r="I1324" s="30">
        <v>44447</v>
      </c>
      <c r="J1324" s="58">
        <v>1408</v>
      </c>
      <c r="K1324" s="32">
        <v>2298000</v>
      </c>
      <c r="L1324" s="32"/>
      <c r="M1324" s="33">
        <f>(PROVEEDORES[[#This Row],[SUBTOTAL]]-PROVEEDORES[[#This Row],[descuento antes de IVA]])*VLOOKUP(PROVEEDORES[[#This Row],[PROVEEDOR]],TERCEROS_INFO[#All],3,FALSE)</f>
        <v>436620</v>
      </c>
      <c r="N1324" s="34"/>
      <c r="O1324" s="33">
        <f>+PROVEEDORES[[#This Row],[Descuento sobre subtotal %]]*(PROVEEDORES[[#This Row],[SUBTOTAL]]-PROVEEDORES[[#This Row],[descuento antes de IVA]])</f>
        <v>0</v>
      </c>
      <c r="P13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24" s="33">
        <f>+(PROVEEDORES[[#This Row],[SUBTOTAL]]-PROVEEDORES[[#This Row],[descuento antes de IVA]])*PROVEEDORES[[#This Row],[Rete Fuente %]]</f>
        <v>57450</v>
      </c>
      <c r="R1324" s="32">
        <f>+PROVEEDORES[[#This Row],[SUBTOTAL]]+PROVEEDORES[[#This Row],[IVA 19%]]-PROVEEDORES[[#This Row],[descuento antes de IVA]]-PROVEEDORES[[#This Row],[Descuento sobre subtotal $]]-PROVEEDORES[[#This Row],[Rete Fuente $]]</f>
        <v>2677170</v>
      </c>
      <c r="S1324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25" spans="1:19" ht="21.95" hidden="1" customHeight="1" x14ac:dyDescent="0.25">
      <c r="A1325" s="167" t="str">
        <f>+IF(PROVEEDORES[[#This Row],[FECHA DE PAGO]]=PROVEEDORES[[#This Row],[FECHA DE FACTURACIÓN]],"DE CONTADO","CRÉDITO")</f>
        <v>CRÉDITO</v>
      </c>
      <c r="B1325" s="70" t="b">
        <f>+IF((PROVEEDORES[[#This Row],[FECHA DE PAGO]]-PROVEEDORES[[#This Row],[FECHA DE FACTURACIÓN]])&gt;PROVEEDORES[[#This Row],[PLAZO Días]],"PAGO VENCIDO")</f>
        <v>0</v>
      </c>
      <c r="C1325" s="27">
        <v>60</v>
      </c>
      <c r="D1325" s="37">
        <f>+SUMIFS(PROVEEDORES[Total],PROVEEDORES[PROVEEDOR],PROVEEDORES[[#This Row],[PROVEEDOR]],PROVEEDORES[FECHA DE PAGO],"")</f>
        <v>10910574.5</v>
      </c>
      <c r="E1325" s="37"/>
      <c r="F1325" s="108" t="str">
        <f>+VLOOKUP(PROVEEDORES[[#This Row],[PROVEEDOR]],TERCEROS_INFO[[PROVEEDOR]:[CORREO]],5,FALSE)</f>
        <v>admin@kinocompanysas.com.co;girlesa.ruiz@servipilas.com;joriescobar64@gmail.com</v>
      </c>
      <c r="H1325" s="38" t="s">
        <v>35</v>
      </c>
      <c r="I1325" s="30">
        <v>44527</v>
      </c>
      <c r="J1325" s="58">
        <v>1728</v>
      </c>
      <c r="K1325" s="32">
        <v>9365300</v>
      </c>
      <c r="L1325" s="32"/>
      <c r="M1325" s="33">
        <f>(PROVEEDORES[[#This Row],[SUBTOTAL]]-PROVEEDORES[[#This Row],[descuento antes de IVA]])*VLOOKUP(PROVEEDORES[[#This Row],[PROVEEDOR]],TERCEROS_INFO[#All],3,FALSE)</f>
        <v>1779407</v>
      </c>
      <c r="N1325" s="34"/>
      <c r="O1325" s="33">
        <f>+PROVEEDORES[[#This Row],[Descuento sobre subtotal %]]*(PROVEEDORES[[#This Row],[SUBTOTAL]]-PROVEEDORES[[#This Row],[descuento antes de IVA]])</f>
        <v>0</v>
      </c>
      <c r="P13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25" s="33">
        <f>+(PROVEEDORES[[#This Row],[SUBTOTAL]]-PROVEEDORES[[#This Row],[descuento antes de IVA]])*PROVEEDORES[[#This Row],[Rete Fuente %]]</f>
        <v>234132.5</v>
      </c>
      <c r="R1325" s="32">
        <f>+PROVEEDORES[[#This Row],[SUBTOTAL]]+PROVEEDORES[[#This Row],[IVA 19%]]-PROVEEDORES[[#This Row],[descuento antes de IVA]]-PROVEEDORES[[#This Row],[Descuento sobre subtotal $]]-PROVEEDORES[[#This Row],[Rete Fuente $]]</f>
        <v>10910574.5</v>
      </c>
      <c r="S1325" s="16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326" spans="1:19" ht="21.95" hidden="1" customHeight="1" x14ac:dyDescent="0.25">
      <c r="A1326" s="39" t="str">
        <f>+IF(PROVEEDORES[[#This Row],[FECHA DE PAGO]]=PROVEEDORES[[#This Row],[FECHA DE FACTURACIÓN]],"DE CONTADO","CRÉDITO")</f>
        <v>DE CONTADO</v>
      </c>
      <c r="B1326" s="67" t="b">
        <f>+IF((PROVEEDORES[[#This Row],[FECHA DE PAGO]]-PROVEEDORES[[#This Row],[FECHA DE FACTURACIÓN]])&gt;PROVEEDORES[[#This Row],[PLAZO Días]],"PAGO VENCIDO")</f>
        <v>0</v>
      </c>
      <c r="C1326" s="27">
        <f>+VLOOKUP(PROVEEDORES[[#This Row],[PROVEEDOR]],TERCEROS_INFO[#All],2,FALSE)</f>
        <v>30</v>
      </c>
      <c r="D1326" s="37">
        <f>+SUMIFS(PROVEEDORES[Total],PROVEEDORES[PROVEEDOR],PROVEEDORES[[#This Row],[PROVEEDOR]],PROVEEDORES[FECHA DE PAGO],"")</f>
        <v>0</v>
      </c>
      <c r="E1326" s="37"/>
      <c r="F1326" s="108" t="str">
        <f>+VLOOKUP(PROVEEDORES[[#This Row],[PROVEEDOR]],TERCEROS_INFO[[PROVEEDOR]:[CORREO]],5,FALSE)</f>
        <v/>
      </c>
      <c r="G1326" s="143">
        <v>44132</v>
      </c>
      <c r="H1326" s="38" t="s">
        <v>328</v>
      </c>
      <c r="I1326" s="30">
        <v>44132</v>
      </c>
      <c r="J1326" s="58"/>
      <c r="K1326" s="32">
        <v>294117.64705882355</v>
      </c>
      <c r="L1326" s="32"/>
      <c r="M1326" s="33">
        <f>(PROVEEDORES[[#This Row],[SUBTOTAL]]-PROVEEDORES[[#This Row],[descuento antes de IVA]])*VLOOKUP(PROVEEDORES[[#This Row],[PROVEEDOR]],TERCEROS_INFO[#All],3,FALSE)</f>
        <v>55882.352941176476</v>
      </c>
      <c r="N1326" s="34"/>
      <c r="O1326" s="33">
        <f>+PROVEEDORES[[#This Row],[Descuento sobre subtotal %]]*(PROVEEDORES[[#This Row],[SUBTOTAL]]-PROVEEDORES[[#This Row],[descuento antes de IVA]])</f>
        <v>0</v>
      </c>
      <c r="P13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26" s="33">
        <f>+(PROVEEDORES[[#This Row],[SUBTOTAL]]-PROVEEDORES[[#This Row],[descuento antes de IVA]])*PROVEEDORES[[#This Row],[Rete Fuente %]]</f>
        <v>0</v>
      </c>
      <c r="R1326" s="32">
        <f>+PROVEEDORES[[#This Row],[SUBTOTAL]]+PROVEEDORES[[#This Row],[IVA 19%]]-PROVEEDORES[[#This Row],[descuento antes de IVA]]-PROVEEDORES[[#This Row],[Descuento sobre subtotal $]]-PROVEEDORES[[#This Row],[Rete Fuente $]]</f>
        <v>350000</v>
      </c>
      <c r="S132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27" spans="1:19" ht="21.95" hidden="1" customHeight="1" x14ac:dyDescent="0.25">
      <c r="A1327" s="39" t="str">
        <f>+IF(PROVEEDORES[[#This Row],[FECHA DE PAGO]]=PROVEEDORES[[#This Row],[FECHA DE FACTURACIÓN]],"DE CONTADO","CRÉDITO")</f>
        <v>CRÉDITO</v>
      </c>
      <c r="B1327" s="67" t="b">
        <f>+IF((PROVEEDORES[[#This Row],[FECHA DE PAGO]]-PROVEEDORES[[#This Row],[FECHA DE FACTURACIÓN]])&gt;PROVEEDORES[[#This Row],[PLAZO Días]],"PAGO VENCIDO")</f>
        <v>0</v>
      </c>
      <c r="C1327" s="27">
        <f>+VLOOKUP(PROVEEDORES[[#This Row],[PROVEEDOR]],TERCEROS_INFO[#All],2,FALSE)</f>
        <v>30</v>
      </c>
      <c r="D1327" s="37">
        <f>+SUMIFS(PROVEEDORES[Total],PROVEEDORES[PROVEEDOR],PROVEEDORES[[#This Row],[PROVEEDOR]],PROVEEDORES[FECHA DE PAGO],"")</f>
        <v>0</v>
      </c>
      <c r="E1327" s="37"/>
      <c r="F1327" s="108" t="str">
        <f>+VLOOKUP(PROVEEDORES[[#This Row],[PROVEEDOR]],TERCEROS_INFO[[PROVEEDOR]:[CORREO]],5,FALSE)</f>
        <v>oswaldo.alvarez@logimexsas.com;girlesa.ruiz@servipilas.com;joriescobar64@gmail.com</v>
      </c>
      <c r="G1327" s="143">
        <v>44195</v>
      </c>
      <c r="H1327" s="38" t="s">
        <v>239</v>
      </c>
      <c r="I1327" s="30">
        <v>44193</v>
      </c>
      <c r="J1327" s="58" t="s">
        <v>217</v>
      </c>
      <c r="K1327" s="32">
        <v>1065378.1512605043</v>
      </c>
      <c r="L1327" s="32"/>
      <c r="M1327" s="33">
        <f>(PROVEEDORES[[#This Row],[SUBTOTAL]]-PROVEEDORES[[#This Row],[descuento antes de IVA]])*VLOOKUP(PROVEEDORES[[#This Row],[PROVEEDOR]],TERCEROS_INFO[#All],3,FALSE)</f>
        <v>0</v>
      </c>
      <c r="N1327" s="34"/>
      <c r="O1327" s="33">
        <f>+PROVEEDORES[[#This Row],[Descuento sobre subtotal %]]*(PROVEEDORES[[#This Row],[SUBTOTAL]]-PROVEEDORES[[#This Row],[descuento antes de IVA]])</f>
        <v>0</v>
      </c>
      <c r="P13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27" s="33">
        <f>+(PROVEEDORES[[#This Row],[SUBTOTAL]]-PROVEEDORES[[#This Row],[descuento antes de IVA]])*PROVEEDORES[[#This Row],[Rete Fuente %]]</f>
        <v>0</v>
      </c>
      <c r="R1327" s="32">
        <f>+PROVEEDORES[[#This Row],[SUBTOTAL]]+PROVEEDORES[[#This Row],[IVA 19%]]-PROVEEDORES[[#This Row],[descuento antes de IVA]]-PROVEEDORES[[#This Row],[Descuento sobre subtotal $]]-PROVEEDORES[[#This Row],[Rete Fuente $]]</f>
        <v>1065378.1512605043</v>
      </c>
      <c r="S132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28" spans="1:19" ht="21.95" hidden="1" customHeight="1" x14ac:dyDescent="0.25">
      <c r="A1328" s="102" t="str">
        <f>+IF(PROVEEDORES[[#This Row],[FECHA DE PAGO]]=PROVEEDORES[[#This Row],[FECHA DE FACTURACIÓN]],"DE CONTADO","CRÉDITO")</f>
        <v>CRÉDITO</v>
      </c>
      <c r="B1328" s="70" t="b">
        <f>+IF((PROVEEDORES[[#This Row],[FECHA DE PAGO]]-PROVEEDORES[[#This Row],[FECHA DE FACTURACIÓN]])&gt;PROVEEDORES[[#This Row],[PLAZO Días]],"PAGO VENCIDO")</f>
        <v>0</v>
      </c>
      <c r="C1328" s="27">
        <f>+VLOOKUP(PROVEEDORES[[#This Row],[PROVEEDOR]],TERCEROS_INFO[#All],2,FALSE)</f>
        <v>30</v>
      </c>
      <c r="D1328" s="37">
        <f>+SUMIFS(PROVEEDORES[Total],PROVEEDORES[PROVEEDOR],PROVEEDORES[[#This Row],[PROVEEDOR]],PROVEEDORES[FECHA DE PAGO],"")</f>
        <v>0</v>
      </c>
      <c r="E1328" s="37"/>
      <c r="F1328" s="108" t="str">
        <f>+VLOOKUP(PROVEEDORES[[#This Row],[PROVEEDOR]],TERCEROS_INFO[[PROVEEDOR]:[CORREO]],5,FALSE)</f>
        <v>oswaldo.alvarez@logimexsas.com;girlesa.ruiz@servipilas.com;joriescobar64@gmail.com</v>
      </c>
      <c r="G1328" s="143">
        <v>44319</v>
      </c>
      <c r="H1328" s="38" t="s">
        <v>239</v>
      </c>
      <c r="I1328" s="30">
        <v>44308</v>
      </c>
      <c r="J1328" s="58" t="s">
        <v>614</v>
      </c>
      <c r="K1328" s="32">
        <v>158258.28</v>
      </c>
      <c r="L1328" s="32"/>
      <c r="M1328" s="33">
        <f>(PROVEEDORES[[#This Row],[SUBTOTAL]]-PROVEEDORES[[#This Row],[descuento antes de IVA]])*VLOOKUP(PROVEEDORES[[#This Row],[PROVEEDOR]],TERCEROS_INFO[#All],3,FALSE)</f>
        <v>0</v>
      </c>
      <c r="N1328" s="34"/>
      <c r="O1328" s="33">
        <f>+PROVEEDORES[[#This Row],[Descuento sobre subtotal %]]*(PROVEEDORES[[#This Row],[SUBTOTAL]]-PROVEEDORES[[#This Row],[descuento antes de IVA]])</f>
        <v>0</v>
      </c>
      <c r="P13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28" s="33">
        <f>+(PROVEEDORES[[#This Row],[SUBTOTAL]]-PROVEEDORES[[#This Row],[descuento antes de IVA]])*PROVEEDORES[[#This Row],[Rete Fuente %]]</f>
        <v>0</v>
      </c>
      <c r="R1328" s="32">
        <f>+PROVEEDORES[[#This Row],[SUBTOTAL]]+PROVEEDORES[[#This Row],[IVA 19%]]-PROVEEDORES[[#This Row],[descuento antes de IVA]]-PROVEEDORES[[#This Row],[Descuento sobre subtotal $]]-PROVEEDORES[[#This Row],[Rete Fuente $]]</f>
        <v>158258.28</v>
      </c>
      <c r="S1328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29" spans="1:19" ht="21.95" hidden="1" customHeight="1" x14ac:dyDescent="0.25">
      <c r="A1329" s="133" t="str">
        <f>+IF(PROVEEDORES[[#This Row],[FECHA DE PAGO]]=PROVEEDORES[[#This Row],[FECHA DE FACTURACIÓN]],"DE CONTADO","CRÉDITO")</f>
        <v>CRÉDITO</v>
      </c>
      <c r="B1329" s="70" t="b">
        <f>+IF((PROVEEDORES[[#This Row],[FECHA DE PAGO]]-PROVEEDORES[[#This Row],[FECHA DE FACTURACIÓN]])&gt;PROVEEDORES[[#This Row],[PLAZO Días]],"PAGO VENCIDO")</f>
        <v>0</v>
      </c>
      <c r="C1329" s="27">
        <f>+VLOOKUP(PROVEEDORES[[#This Row],[PROVEEDOR]],TERCEROS_INFO[#All],2,FALSE)</f>
        <v>30</v>
      </c>
      <c r="D1329" s="37">
        <f>+SUMIFS(PROVEEDORES[Total],PROVEEDORES[PROVEEDOR],PROVEEDORES[[#This Row],[PROVEEDOR]],PROVEEDORES[FECHA DE PAGO],"")</f>
        <v>0</v>
      </c>
      <c r="E1329" s="37"/>
      <c r="F1329" s="108" t="str">
        <f>+VLOOKUP(PROVEEDORES[[#This Row],[PROVEEDOR]],TERCEROS_INFO[[PROVEEDOR]:[CORREO]],5,FALSE)</f>
        <v>oswaldo.alvarez@logimexsas.com;girlesa.ruiz@servipilas.com;joriescobar64@gmail.com</v>
      </c>
      <c r="G1329" s="143">
        <v>44393</v>
      </c>
      <c r="H1329" s="38" t="s">
        <v>239</v>
      </c>
      <c r="I1329" s="30">
        <v>44391</v>
      </c>
      <c r="J1329" s="58" t="s">
        <v>1185</v>
      </c>
      <c r="K1329" s="32">
        <v>1531000</v>
      </c>
      <c r="L1329" s="32"/>
      <c r="M1329" s="33">
        <f>(PROVEEDORES[[#This Row],[SUBTOTAL]]-PROVEEDORES[[#This Row],[descuento antes de IVA]])*VLOOKUP(PROVEEDORES[[#This Row],[PROVEEDOR]],TERCEROS_INFO[#All],3,FALSE)</f>
        <v>0</v>
      </c>
      <c r="N1329" s="34"/>
      <c r="O1329" s="33">
        <f>+PROVEEDORES[[#This Row],[Descuento sobre subtotal %]]*(PROVEEDORES[[#This Row],[SUBTOTAL]]-PROVEEDORES[[#This Row],[descuento antes de IVA]])</f>
        <v>0</v>
      </c>
      <c r="P13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29" s="33">
        <f>+(PROVEEDORES[[#This Row],[SUBTOTAL]]-PROVEEDORES[[#This Row],[descuento antes de IVA]])*PROVEEDORES[[#This Row],[Rete Fuente %]]</f>
        <v>0</v>
      </c>
      <c r="R1329" s="32">
        <f>+PROVEEDORES[[#This Row],[SUBTOTAL]]+PROVEEDORES[[#This Row],[IVA 19%]]-PROVEEDORES[[#This Row],[descuento antes de IVA]]-PROVEEDORES[[#This Row],[Descuento sobre subtotal $]]-PROVEEDORES[[#This Row],[Rete Fuente $]]</f>
        <v>1531000</v>
      </c>
      <c r="S1329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0" spans="1:19" ht="21.95" hidden="1" customHeight="1" x14ac:dyDescent="0.25">
      <c r="A1330" s="141" t="str">
        <f>+IF(PROVEEDORES[[#This Row],[FECHA DE PAGO]]=PROVEEDORES[[#This Row],[FECHA DE FACTURACIÓN]],"DE CONTADO","CRÉDITO")</f>
        <v>CRÉDITO</v>
      </c>
      <c r="B1330" s="70" t="b">
        <f>+IF((PROVEEDORES[[#This Row],[FECHA DE PAGO]]-PROVEEDORES[[#This Row],[FECHA DE FACTURACIÓN]])&gt;PROVEEDORES[[#This Row],[PLAZO Días]],"PAGO VENCIDO")</f>
        <v>0</v>
      </c>
      <c r="C1330" s="27">
        <f>+VLOOKUP(PROVEEDORES[[#This Row],[PROVEEDOR]],TERCEROS_INFO[#All],2,FALSE)</f>
        <v>30</v>
      </c>
      <c r="D1330" s="37">
        <f>+SUMIFS(PROVEEDORES[Total],PROVEEDORES[PROVEEDOR],PROVEEDORES[[#This Row],[PROVEEDOR]],PROVEEDORES[FECHA DE PAGO],"")</f>
        <v>0</v>
      </c>
      <c r="E1330" s="37"/>
      <c r="F1330" s="108" t="str">
        <f>+VLOOKUP(PROVEEDORES[[#This Row],[PROVEEDOR]],TERCEROS_INFO[[PROVEEDOR]:[CORREO]],5,FALSE)</f>
        <v>oswaldo.alvarez@logimexsas.com;girlesa.ruiz@servipilas.com;joriescobar64@gmail.com</v>
      </c>
      <c r="G1330" s="143">
        <v>44426</v>
      </c>
      <c r="H1330" s="38" t="s">
        <v>239</v>
      </c>
      <c r="I1330" s="30">
        <v>44405</v>
      </c>
      <c r="J1330" s="58" t="s">
        <v>793</v>
      </c>
      <c r="K1330" s="32">
        <v>54742.78</v>
      </c>
      <c r="L1330" s="32"/>
      <c r="M1330" s="33">
        <f>(PROVEEDORES[[#This Row],[SUBTOTAL]]-PROVEEDORES[[#This Row],[descuento antes de IVA]])*VLOOKUP(PROVEEDORES[[#This Row],[PROVEEDOR]],TERCEROS_INFO[#All],3,FALSE)</f>
        <v>0</v>
      </c>
      <c r="N1330" s="34"/>
      <c r="O1330" s="33">
        <f>+PROVEEDORES[[#This Row],[Descuento sobre subtotal %]]*(PROVEEDORES[[#This Row],[SUBTOTAL]]-PROVEEDORES[[#This Row],[descuento antes de IVA]])</f>
        <v>0</v>
      </c>
      <c r="P13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0" s="33">
        <f>+(PROVEEDORES[[#This Row],[SUBTOTAL]]-PROVEEDORES[[#This Row],[descuento antes de IVA]])*PROVEEDORES[[#This Row],[Rete Fuente %]]</f>
        <v>0</v>
      </c>
      <c r="R1330" s="32">
        <f>+PROVEEDORES[[#This Row],[SUBTOTAL]]+PROVEEDORES[[#This Row],[IVA 19%]]-PROVEEDORES[[#This Row],[descuento antes de IVA]]-PROVEEDORES[[#This Row],[Descuento sobre subtotal $]]-PROVEEDORES[[#This Row],[Rete Fuente $]]</f>
        <v>54742.78</v>
      </c>
      <c r="S1330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1" spans="1:19" ht="21.95" hidden="1" customHeight="1" x14ac:dyDescent="0.25">
      <c r="A1331" s="161" t="str">
        <f>+IF(PROVEEDORES[[#This Row],[FECHA DE PAGO]]=PROVEEDORES[[#This Row],[FECHA DE FACTURACIÓN]],"DE CONTADO","CRÉDITO")</f>
        <v>CRÉDITO</v>
      </c>
      <c r="B1331" s="70" t="b">
        <f>+IF((PROVEEDORES[[#This Row],[FECHA DE PAGO]]-PROVEEDORES[[#This Row],[FECHA DE FACTURACIÓN]])&gt;PROVEEDORES[[#This Row],[PLAZO Días]],"PAGO VENCIDO")</f>
        <v>0</v>
      </c>
      <c r="C1331" s="27">
        <f>+VLOOKUP(PROVEEDORES[[#This Row],[PROVEEDOR]],TERCEROS_INFO[#All],2,FALSE)</f>
        <v>30</v>
      </c>
      <c r="D1331" s="37">
        <f>+SUMIFS(PROVEEDORES[Total],PROVEEDORES[PROVEEDOR],PROVEEDORES[[#This Row],[PROVEEDOR]],PROVEEDORES[FECHA DE PAGO],"")</f>
        <v>0</v>
      </c>
      <c r="E1331" s="37"/>
      <c r="F1331" s="108" t="str">
        <f>+VLOOKUP(PROVEEDORES[[#This Row],[PROVEEDOR]],TERCEROS_INFO[[PROVEEDOR]:[CORREO]],5,FALSE)</f>
        <v>oswaldo.alvarez@logimexsas.com;girlesa.ruiz@servipilas.com;joriescobar64@gmail.com</v>
      </c>
      <c r="G1331" s="143">
        <v>44502</v>
      </c>
      <c r="H1331" s="38" t="s">
        <v>239</v>
      </c>
      <c r="I1331" s="30">
        <v>44501</v>
      </c>
      <c r="J1331" s="58" t="s">
        <v>1295</v>
      </c>
      <c r="K1331" s="32">
        <v>1481000</v>
      </c>
      <c r="L1331" s="32"/>
      <c r="M1331" s="33">
        <f>(PROVEEDORES[[#This Row],[SUBTOTAL]]-PROVEEDORES[[#This Row],[descuento antes de IVA]])*VLOOKUP(PROVEEDORES[[#This Row],[PROVEEDOR]],TERCEROS_INFO[#All],3,FALSE)</f>
        <v>0</v>
      </c>
      <c r="N1331" s="34"/>
      <c r="O1331" s="33">
        <f>+PROVEEDORES[[#This Row],[Descuento sobre subtotal %]]*(PROVEEDORES[[#This Row],[SUBTOTAL]]-PROVEEDORES[[#This Row],[descuento antes de IVA]])</f>
        <v>0</v>
      </c>
      <c r="P13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1" s="33">
        <f>+(PROVEEDORES[[#This Row],[SUBTOTAL]]-PROVEEDORES[[#This Row],[descuento antes de IVA]])*PROVEEDORES[[#This Row],[Rete Fuente %]]</f>
        <v>0</v>
      </c>
      <c r="R1331" s="32">
        <f>+PROVEEDORES[[#This Row],[SUBTOTAL]]+PROVEEDORES[[#This Row],[IVA 19%]]-PROVEEDORES[[#This Row],[descuento antes de IVA]]-PROVEEDORES[[#This Row],[Descuento sobre subtotal $]]-PROVEEDORES[[#This Row],[Rete Fuente $]]</f>
        <v>1481000</v>
      </c>
      <c r="S1331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2" spans="1:19" ht="21.95" hidden="1" customHeight="1" x14ac:dyDescent="0.25">
      <c r="A1332" s="35" t="str">
        <f>+IF(PROVEEDORES[[#This Row],[FECHA DE PAGO]]=PROVEEDORES[[#This Row],[FECHA DE FACTURACIÓN]],"DE CONTADO","CRÉDITO")</f>
        <v>CRÉDITO</v>
      </c>
      <c r="B1332" s="70" t="b">
        <f>+IF((PROVEEDORES[[#This Row],[FECHA DE PAGO]]-PROVEEDORES[[#This Row],[FECHA DE FACTURACIÓN]])&gt;PROVEEDORES[[#This Row],[PLAZO Días]],"PAGO VENCIDO")</f>
        <v>0</v>
      </c>
      <c r="C1332" s="27">
        <f>+VLOOKUP(PROVEEDORES[[#This Row],[PROVEEDOR]],TERCEROS_INFO[#All],2,FALSE)</f>
        <v>30</v>
      </c>
      <c r="D1332" s="37">
        <f>+SUMIFS(PROVEEDORES[Total],PROVEEDORES[PROVEEDOR],PROVEEDORES[[#This Row],[PROVEEDOR]],PROVEEDORES[FECHA DE PAGO],"")</f>
        <v>0</v>
      </c>
      <c r="E1332" s="37"/>
      <c r="F1332" s="108" t="str">
        <f>+VLOOKUP(PROVEEDORES[[#This Row],[PROVEEDOR]],TERCEROS_INFO[[PROVEEDOR]:[CORREO]],5,FALSE)</f>
        <v>oswaldo.alvarez@logimexsas.com;girlesa.ruiz@servipilas.com;joriescobar64@gmail.com</v>
      </c>
      <c r="G1332" s="143">
        <v>44543</v>
      </c>
      <c r="H1332" s="38" t="s">
        <v>239</v>
      </c>
      <c r="I1332" s="30">
        <v>44542</v>
      </c>
      <c r="J1332" s="58" t="s">
        <v>1321</v>
      </c>
      <c r="K1332" s="32">
        <v>1715000</v>
      </c>
      <c r="L1332" s="32"/>
      <c r="M1332" s="33">
        <f>(PROVEEDORES[[#This Row],[SUBTOTAL]]-PROVEEDORES[[#This Row],[descuento antes de IVA]])*VLOOKUP(PROVEEDORES[[#This Row],[PROVEEDOR]],TERCEROS_INFO[#All],3,FALSE)</f>
        <v>0</v>
      </c>
      <c r="N1332" s="34"/>
      <c r="O1332" s="33">
        <f>+PROVEEDORES[[#This Row],[Descuento sobre subtotal %]]*(PROVEEDORES[[#This Row],[SUBTOTAL]]-PROVEEDORES[[#This Row],[descuento antes de IVA]])</f>
        <v>0</v>
      </c>
      <c r="P13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2" s="33">
        <f>+(PROVEEDORES[[#This Row],[SUBTOTAL]]-PROVEEDORES[[#This Row],[descuento antes de IVA]])*PROVEEDORES[[#This Row],[Rete Fuente %]]</f>
        <v>0</v>
      </c>
      <c r="R1332" s="32">
        <f>+PROVEEDORES[[#This Row],[SUBTOTAL]]+PROVEEDORES[[#This Row],[IVA 19%]]-PROVEEDORES[[#This Row],[descuento antes de IVA]]-PROVEEDORES[[#This Row],[Descuento sobre subtotal $]]-PROVEEDORES[[#This Row],[Rete Fuente $]]</f>
        <v>1715000</v>
      </c>
      <c r="S133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3" spans="1:19" ht="21.95" hidden="1" customHeight="1" x14ac:dyDescent="0.25">
      <c r="A1333" s="35" t="str">
        <f>+IF(PROVEEDORES[[#This Row],[FECHA DE PAGO]]=PROVEEDORES[[#This Row],[FECHA DE FACTURACIÓN]],"DE CONTADO","CRÉDITO")</f>
        <v>CRÉDITO</v>
      </c>
      <c r="B1333" s="70" t="b">
        <f>+IF((PROVEEDORES[[#This Row],[FECHA DE PAGO]]-PROVEEDORES[[#This Row],[FECHA DE FACTURACIÓN]])&gt;PROVEEDORES[[#This Row],[PLAZO Días]],"PAGO VENCIDO")</f>
        <v>0</v>
      </c>
      <c r="C1333" s="27">
        <f>+VLOOKUP(PROVEEDORES[[#This Row],[PROVEEDOR]],TERCEROS_INFO[#All],2,FALSE)</f>
        <v>30</v>
      </c>
      <c r="D1333" s="37">
        <f>+SUMIFS(PROVEEDORES[Total],PROVEEDORES[PROVEEDOR],PROVEEDORES[[#This Row],[PROVEEDOR]],PROVEEDORES[FECHA DE PAGO],"")</f>
        <v>0</v>
      </c>
      <c r="E1333" s="37"/>
      <c r="F1333" s="108" t="str">
        <f>+VLOOKUP(PROVEEDORES[[#This Row],[PROVEEDOR]],TERCEROS_INFO[[PROVEEDOR]:[CORREO]],5,FALSE)</f>
        <v>oswaldo.alvarez@logimexsas.com;girlesa.ruiz@servipilas.com;joriescobar64@gmail.com</v>
      </c>
      <c r="G1333" s="143">
        <v>44550</v>
      </c>
      <c r="H1333" s="38" t="s">
        <v>239</v>
      </c>
      <c r="I1333" s="30">
        <v>44546</v>
      </c>
      <c r="J1333" s="58" t="s">
        <v>1015</v>
      </c>
      <c r="K1333" s="32">
        <v>627659</v>
      </c>
      <c r="L1333" s="32"/>
      <c r="M1333" s="33">
        <f>(PROVEEDORES[[#This Row],[SUBTOTAL]]-PROVEEDORES[[#This Row],[descuento antes de IVA]])*VLOOKUP(PROVEEDORES[[#This Row],[PROVEEDOR]],TERCEROS_INFO[#All],3,FALSE)</f>
        <v>0</v>
      </c>
      <c r="N1333" s="34"/>
      <c r="O1333" s="33">
        <f>+PROVEEDORES[[#This Row],[Descuento sobre subtotal %]]*(PROVEEDORES[[#This Row],[SUBTOTAL]]-PROVEEDORES[[#This Row],[descuento antes de IVA]])</f>
        <v>0</v>
      </c>
      <c r="P13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3" s="33">
        <f>+(PROVEEDORES[[#This Row],[SUBTOTAL]]-PROVEEDORES[[#This Row],[descuento antes de IVA]])*PROVEEDORES[[#This Row],[Rete Fuente %]]</f>
        <v>0</v>
      </c>
      <c r="R1333" s="32">
        <f>+PROVEEDORES[[#This Row],[SUBTOTAL]]+PROVEEDORES[[#This Row],[IVA 19%]]-PROVEEDORES[[#This Row],[descuento antes de IVA]]-PROVEEDORES[[#This Row],[Descuento sobre subtotal $]]-PROVEEDORES[[#This Row],[Rete Fuente $]]</f>
        <v>627659</v>
      </c>
      <c r="S133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4" spans="1:19" ht="21.95" hidden="1" customHeight="1" x14ac:dyDescent="0.25">
      <c r="A1334" s="140" t="str">
        <f>+IF(PROVEEDORES[[#This Row],[FECHA DE PAGO]]=PROVEEDORES[[#This Row],[FECHA DE FACTURACIÓN]],"DE CONTADO","CRÉDITO")</f>
        <v>CRÉDITO</v>
      </c>
      <c r="B1334" s="70" t="b">
        <f>+IF((PROVEEDORES[[#This Row],[FECHA DE PAGO]]-PROVEEDORES[[#This Row],[FECHA DE FACTURACIÓN]])&gt;PROVEEDORES[[#This Row],[PLAZO Días]],"PAGO VENCIDO")</f>
        <v>0</v>
      </c>
      <c r="C1334" s="27">
        <f>+VLOOKUP(PROVEEDORES[[#This Row],[PROVEEDOR]],TERCEROS_INFO[#All],2,FALSE)</f>
        <v>30</v>
      </c>
      <c r="D1334" s="37">
        <f>+SUMIFS(PROVEEDORES[Total],PROVEEDORES[PROVEEDOR],PROVEEDORES[[#This Row],[PROVEEDOR]],PROVEEDORES[FECHA DE PAGO],"")</f>
        <v>0</v>
      </c>
      <c r="E1334" s="37"/>
      <c r="F1334" s="108" t="str">
        <f>+VLOOKUP(PROVEEDORES[[#This Row],[PROVEEDOR]],TERCEROS_INFO[[PROVEEDOR]:[CORREO]],5,FALSE)</f>
        <v>oswaldo.alvarez@logimexsas.com;girlesa.ruiz@servipilas.com;joriescobar64@gmail.com</v>
      </c>
      <c r="G1334" s="143">
        <v>44419</v>
      </c>
      <c r="H1334" s="38" t="s">
        <v>779</v>
      </c>
      <c r="I1334" s="30">
        <v>44410</v>
      </c>
      <c r="J1334" s="58" t="s">
        <v>1200</v>
      </c>
      <c r="K1334" s="32">
        <v>1791000</v>
      </c>
      <c r="L1334" s="32"/>
      <c r="M1334" s="33">
        <f>(PROVEEDORES[[#This Row],[SUBTOTAL]]-PROVEEDORES[[#This Row],[descuento antes de IVA]])*VLOOKUP(PROVEEDORES[[#This Row],[PROVEEDOR]],TERCEROS_INFO[#All],3,FALSE)</f>
        <v>0</v>
      </c>
      <c r="N1334" s="34"/>
      <c r="O1334" s="33">
        <f>+PROVEEDORES[[#This Row],[Descuento sobre subtotal %]]*(PROVEEDORES[[#This Row],[SUBTOTAL]]-PROVEEDORES[[#This Row],[descuento antes de IVA]])</f>
        <v>0</v>
      </c>
      <c r="P13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4" s="33">
        <f>+(PROVEEDORES[[#This Row],[SUBTOTAL]]-PROVEEDORES[[#This Row],[descuento antes de IVA]])*PROVEEDORES[[#This Row],[Rete Fuente %]]</f>
        <v>0</v>
      </c>
      <c r="R1334" s="32">
        <f>+PROVEEDORES[[#This Row],[SUBTOTAL]]+PROVEEDORES[[#This Row],[IVA 19%]]-PROVEEDORES[[#This Row],[descuento antes de IVA]]-PROVEEDORES[[#This Row],[Descuento sobre subtotal $]]-PROVEEDORES[[#This Row],[Rete Fuente $]]</f>
        <v>1791000</v>
      </c>
      <c r="S1334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5" spans="1:19" ht="21.95" hidden="1" customHeight="1" x14ac:dyDescent="0.25">
      <c r="A1335" s="142" t="str">
        <f>+IF(PROVEEDORES[[#This Row],[FECHA DE PAGO]]=PROVEEDORES[[#This Row],[FECHA DE FACTURACIÓN]],"DE CONTADO","CRÉDITO")</f>
        <v>CRÉDITO</v>
      </c>
      <c r="B1335" s="70" t="b">
        <f>+IF((PROVEEDORES[[#This Row],[FECHA DE PAGO]]-PROVEEDORES[[#This Row],[FECHA DE FACTURACIÓN]])&gt;PROVEEDORES[[#This Row],[PLAZO Días]],"PAGO VENCIDO")</f>
        <v>0</v>
      </c>
      <c r="C1335" s="27">
        <f>+VLOOKUP(PROVEEDORES[[#This Row],[PROVEEDOR]],TERCEROS_INFO[#All],2,FALSE)</f>
        <v>30</v>
      </c>
      <c r="D1335" s="37">
        <f>+SUMIFS(PROVEEDORES[Total],PROVEEDORES[PROVEEDOR],PROVEEDORES[[#This Row],[PROVEEDOR]],PROVEEDORES[FECHA DE PAGO],"")</f>
        <v>0</v>
      </c>
      <c r="E1335" s="37"/>
      <c r="F1335" s="108" t="str">
        <f>+VLOOKUP(PROVEEDORES[[#This Row],[PROVEEDOR]],TERCEROS_INFO[[PROVEEDOR]:[CORREO]],5,FALSE)</f>
        <v>oswaldo.alvarez@logimexsas.com;girlesa.ruiz@servipilas.com;joriescobar64@gmail.com</v>
      </c>
      <c r="G1335" s="143">
        <v>44442</v>
      </c>
      <c r="H1335" s="38" t="s">
        <v>779</v>
      </c>
      <c r="I1335" s="30">
        <v>44432</v>
      </c>
      <c r="J1335" s="58" t="s">
        <v>825</v>
      </c>
      <c r="K1335" s="32">
        <v>4158.2</v>
      </c>
      <c r="L1335" s="32"/>
      <c r="M1335" s="33">
        <f>(PROVEEDORES[[#This Row],[SUBTOTAL]]-PROVEEDORES[[#This Row],[descuento antes de IVA]])*VLOOKUP(PROVEEDORES[[#This Row],[PROVEEDOR]],TERCEROS_INFO[#All],3,FALSE)</f>
        <v>0</v>
      </c>
      <c r="N1335" s="34"/>
      <c r="O1335" s="33">
        <f>+PROVEEDORES[[#This Row],[Descuento sobre subtotal %]]*(PROVEEDORES[[#This Row],[SUBTOTAL]]-PROVEEDORES[[#This Row],[descuento antes de IVA]])</f>
        <v>0</v>
      </c>
      <c r="P13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5" s="33">
        <f>+(PROVEEDORES[[#This Row],[SUBTOTAL]]-PROVEEDORES[[#This Row],[descuento antes de IVA]])*PROVEEDORES[[#This Row],[Rete Fuente %]]</f>
        <v>0</v>
      </c>
      <c r="R1335" s="32">
        <f>+PROVEEDORES[[#This Row],[SUBTOTAL]]+PROVEEDORES[[#This Row],[IVA 19%]]-PROVEEDORES[[#This Row],[descuento antes de IVA]]-PROVEEDORES[[#This Row],[Descuento sobre subtotal $]]-PROVEEDORES[[#This Row],[Rete Fuente $]]</f>
        <v>4158.2</v>
      </c>
      <c r="S1335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6" spans="1:19" ht="21.95" hidden="1" customHeight="1" x14ac:dyDescent="0.25">
      <c r="A1336" s="119" t="str">
        <f>+IF(PROVEEDORES[[#This Row],[FECHA DE PAGO]]=PROVEEDORES[[#This Row],[FECHA DE FACTURACIÓN]],"DE CONTADO","CRÉDITO")</f>
        <v>CRÉDITO</v>
      </c>
      <c r="B1336" s="70" t="b">
        <f>+IF((PROVEEDORES[[#This Row],[FECHA DE PAGO]]-PROVEEDORES[[#This Row],[FECHA DE FACTURACIÓN]])&gt;PROVEEDORES[[#This Row],[PLAZO Días]],"PAGO VENCIDO")</f>
        <v>0</v>
      </c>
      <c r="C1336" s="27">
        <f>+VLOOKUP(PROVEEDORES[[#This Row],[PROVEEDOR]],TERCEROS_INFO[#All],2,FALSE)</f>
        <v>30</v>
      </c>
      <c r="D1336" s="37">
        <f>+SUMIFS(PROVEEDORES[Total],PROVEEDORES[PROVEEDOR],PROVEEDORES[[#This Row],[PROVEEDOR]],PROVEEDORES[FECHA DE PAGO],"")</f>
        <v>0</v>
      </c>
      <c r="E1336" s="37"/>
      <c r="F1336" s="108" t="str">
        <f>+VLOOKUP(PROVEEDORES[[#This Row],[PROVEEDOR]],TERCEROS_INFO[[PROVEEDOR]:[CORREO]],5,FALSE)</f>
        <v>oswaldo.alvarez@logimexsas.com;girlesa.ruiz@servipilas.com;joriescobar64@gmail.com</v>
      </c>
      <c r="G1336" s="143">
        <v>44355</v>
      </c>
      <c r="H1336" s="38" t="s">
        <v>700</v>
      </c>
      <c r="I1336" s="30">
        <v>44354</v>
      </c>
      <c r="J1336" s="58">
        <v>282538</v>
      </c>
      <c r="K1336" s="32">
        <v>1361000</v>
      </c>
      <c r="L1336" s="32"/>
      <c r="M1336" s="33">
        <f>(PROVEEDORES[[#This Row],[SUBTOTAL]]-PROVEEDORES[[#This Row],[descuento antes de IVA]])*VLOOKUP(PROVEEDORES[[#This Row],[PROVEEDOR]],TERCEROS_INFO[#All],3,FALSE)</f>
        <v>0</v>
      </c>
      <c r="N1336" s="34"/>
      <c r="O1336" s="33">
        <f>+PROVEEDORES[[#This Row],[Descuento sobre subtotal %]]*(PROVEEDORES[[#This Row],[SUBTOTAL]]-PROVEEDORES[[#This Row],[descuento antes de IVA]])</f>
        <v>0</v>
      </c>
      <c r="P13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6" s="33">
        <f>+(PROVEEDORES[[#This Row],[SUBTOTAL]]-PROVEEDORES[[#This Row],[descuento antes de IVA]])*PROVEEDORES[[#This Row],[Rete Fuente %]]</f>
        <v>0</v>
      </c>
      <c r="R1336" s="32">
        <f>+PROVEEDORES[[#This Row],[SUBTOTAL]]+PROVEEDORES[[#This Row],[IVA 19%]]-PROVEEDORES[[#This Row],[descuento antes de IVA]]-PROVEEDORES[[#This Row],[Descuento sobre subtotal $]]-PROVEEDORES[[#This Row],[Rete Fuente $]]</f>
        <v>1361000</v>
      </c>
      <c r="S1336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7" spans="1:19" ht="21.95" hidden="1" customHeight="1" x14ac:dyDescent="0.25">
      <c r="A1337" s="129" t="str">
        <f>+IF(PROVEEDORES[[#This Row],[FECHA DE PAGO]]=PROVEEDORES[[#This Row],[FECHA DE FACTURACIÓN]],"DE CONTADO","CRÉDITO")</f>
        <v>CRÉDITO</v>
      </c>
      <c r="B1337" s="70" t="b">
        <f>+IF((PROVEEDORES[[#This Row],[FECHA DE PAGO]]-PROVEEDORES[[#This Row],[FECHA DE FACTURACIÓN]])&gt;PROVEEDORES[[#This Row],[PLAZO Días]],"PAGO VENCIDO")</f>
        <v>0</v>
      </c>
      <c r="C1337" s="27">
        <f>+VLOOKUP(PROVEEDORES[[#This Row],[PROVEEDOR]],TERCEROS_INFO[#All],2,FALSE)</f>
        <v>30</v>
      </c>
      <c r="D1337" s="37">
        <f>+SUMIFS(PROVEEDORES[Total],PROVEEDORES[PROVEEDOR],PROVEEDORES[[#This Row],[PROVEEDOR]],PROVEEDORES[FECHA DE PAGO],"")</f>
        <v>0</v>
      </c>
      <c r="E1337" s="37"/>
      <c r="F1337" s="108" t="str">
        <f>+VLOOKUP(PROVEEDORES[[#This Row],[PROVEEDOR]],TERCEROS_INFO[[PROVEEDOR]:[CORREO]],5,FALSE)</f>
        <v>oswaldo.alvarez@logimexsas.com;girlesa.ruiz@servipilas.com;joriescobar64@gmail.com</v>
      </c>
      <c r="G1337" s="143">
        <v>44376</v>
      </c>
      <c r="H1337" s="38" t="s">
        <v>700</v>
      </c>
      <c r="I1337" s="30">
        <v>44371</v>
      </c>
      <c r="J1337" s="58" t="s">
        <v>732</v>
      </c>
      <c r="K1337" s="32">
        <v>5288</v>
      </c>
      <c r="L1337" s="32"/>
      <c r="M1337" s="33">
        <f>(PROVEEDORES[[#This Row],[SUBTOTAL]]-PROVEEDORES[[#This Row],[descuento antes de IVA]])*VLOOKUP(PROVEEDORES[[#This Row],[PROVEEDOR]],TERCEROS_INFO[#All],3,FALSE)</f>
        <v>0</v>
      </c>
      <c r="N1337" s="34"/>
      <c r="O1337" s="33">
        <f>+PROVEEDORES[[#This Row],[Descuento sobre subtotal %]]*(PROVEEDORES[[#This Row],[SUBTOTAL]]-PROVEEDORES[[#This Row],[descuento antes de IVA]])</f>
        <v>0</v>
      </c>
      <c r="P13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7" s="33">
        <f>+(PROVEEDORES[[#This Row],[SUBTOTAL]]-PROVEEDORES[[#This Row],[descuento antes de IVA]])*PROVEEDORES[[#This Row],[Rete Fuente %]]</f>
        <v>0</v>
      </c>
      <c r="R1337" s="32">
        <f>+PROVEEDORES[[#This Row],[SUBTOTAL]]+PROVEEDORES[[#This Row],[IVA 19%]]-PROVEEDORES[[#This Row],[descuento antes de IVA]]-PROVEEDORES[[#This Row],[Descuento sobre subtotal $]]-PROVEEDORES[[#This Row],[Rete Fuente $]]</f>
        <v>5288</v>
      </c>
      <c r="S1337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8" spans="1:19" ht="21.95" hidden="1" customHeight="1" x14ac:dyDescent="0.25">
      <c r="A1338" s="129" t="str">
        <f>+IF(PROVEEDORES[[#This Row],[FECHA DE PAGO]]=PROVEEDORES[[#This Row],[FECHA DE FACTURACIÓN]],"DE CONTADO","CRÉDITO")</f>
        <v>CRÉDITO</v>
      </c>
      <c r="B1338" s="70" t="b">
        <f>+IF((PROVEEDORES[[#This Row],[FECHA DE PAGO]]-PROVEEDORES[[#This Row],[FECHA DE FACTURACIÓN]])&gt;PROVEEDORES[[#This Row],[PLAZO Días]],"PAGO VENCIDO")</f>
        <v>0</v>
      </c>
      <c r="C1338" s="27">
        <f>+VLOOKUP(PROVEEDORES[[#This Row],[PROVEEDOR]],TERCEROS_INFO[#All],2,FALSE)</f>
        <v>30</v>
      </c>
      <c r="D1338" s="37">
        <f>+SUMIFS(PROVEEDORES[Total],PROVEEDORES[PROVEEDOR],PROVEEDORES[[#This Row],[PROVEEDOR]],PROVEEDORES[FECHA DE PAGO],"")</f>
        <v>0</v>
      </c>
      <c r="E1338" s="37"/>
      <c r="F1338" s="108" t="str">
        <f>+VLOOKUP(PROVEEDORES[[#This Row],[PROVEEDOR]],TERCEROS_INFO[[PROVEEDOR]:[CORREO]],5,FALSE)</f>
        <v>oswaldo.alvarez@logimexsas.com;girlesa.ruiz@servipilas.com;joriescobar64@gmail.com</v>
      </c>
      <c r="G1338" s="143">
        <v>44376</v>
      </c>
      <c r="H1338" s="38" t="s">
        <v>700</v>
      </c>
      <c r="I1338" s="30">
        <v>44372</v>
      </c>
      <c r="J1338" s="58" t="s">
        <v>733</v>
      </c>
      <c r="K1338" s="32">
        <v>91746</v>
      </c>
      <c r="L1338" s="32"/>
      <c r="M1338" s="33">
        <f>(PROVEEDORES[[#This Row],[SUBTOTAL]]-PROVEEDORES[[#This Row],[descuento antes de IVA]])*VLOOKUP(PROVEEDORES[[#This Row],[PROVEEDOR]],TERCEROS_INFO[#All],3,FALSE)</f>
        <v>0</v>
      </c>
      <c r="N1338" s="34"/>
      <c r="O1338" s="33">
        <f>+PROVEEDORES[[#This Row],[Descuento sobre subtotal %]]*(PROVEEDORES[[#This Row],[SUBTOTAL]]-PROVEEDORES[[#This Row],[descuento antes de IVA]])</f>
        <v>0</v>
      </c>
      <c r="P13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8" s="33">
        <f>+(PROVEEDORES[[#This Row],[SUBTOTAL]]-PROVEEDORES[[#This Row],[descuento antes de IVA]])*PROVEEDORES[[#This Row],[Rete Fuente %]]</f>
        <v>0</v>
      </c>
      <c r="R1338" s="32">
        <f>+PROVEEDORES[[#This Row],[SUBTOTAL]]+PROVEEDORES[[#This Row],[IVA 19%]]-PROVEEDORES[[#This Row],[descuento antes de IVA]]-PROVEEDORES[[#This Row],[Descuento sobre subtotal $]]-PROVEEDORES[[#This Row],[Rete Fuente $]]</f>
        <v>91746</v>
      </c>
      <c r="S1338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39" spans="1:19" ht="21.95" hidden="1" customHeight="1" x14ac:dyDescent="0.25">
      <c r="A1339" s="129" t="str">
        <f>+IF(PROVEEDORES[[#This Row],[FECHA DE PAGO]]=PROVEEDORES[[#This Row],[FECHA DE FACTURACIÓN]],"DE CONTADO","CRÉDITO")</f>
        <v>CRÉDITO</v>
      </c>
      <c r="B1339" s="70" t="b">
        <f>+IF((PROVEEDORES[[#This Row],[FECHA DE PAGO]]-PROVEEDORES[[#This Row],[FECHA DE FACTURACIÓN]])&gt;PROVEEDORES[[#This Row],[PLAZO Días]],"PAGO VENCIDO")</f>
        <v>0</v>
      </c>
      <c r="C1339" s="27">
        <f>+VLOOKUP(PROVEEDORES[[#This Row],[PROVEEDOR]],TERCEROS_INFO[#All],2,FALSE)</f>
        <v>30</v>
      </c>
      <c r="D1339" s="37">
        <f>+SUMIFS(PROVEEDORES[Total],PROVEEDORES[PROVEEDOR],PROVEEDORES[[#This Row],[PROVEEDOR]],PROVEEDORES[FECHA DE PAGO],"")</f>
        <v>0</v>
      </c>
      <c r="E1339" s="37"/>
      <c r="F1339" s="108" t="str">
        <f>+VLOOKUP(PROVEEDORES[[#This Row],[PROVEEDOR]],TERCEROS_INFO[[PROVEEDOR]:[CORREO]],5,FALSE)</f>
        <v>oswaldo.alvarez@logimexsas.com;girlesa.ruiz@servipilas.com;joriescobar64@gmail.com</v>
      </c>
      <c r="G1339" s="143">
        <v>44379</v>
      </c>
      <c r="H1339" s="38" t="s">
        <v>700</v>
      </c>
      <c r="I1339" s="30">
        <v>44378</v>
      </c>
      <c r="J1339" s="58" t="s">
        <v>1176</v>
      </c>
      <c r="K1339" s="32">
        <v>1791000</v>
      </c>
      <c r="L1339" s="32"/>
      <c r="M1339" s="33">
        <f>(PROVEEDORES[[#This Row],[SUBTOTAL]]-PROVEEDORES[[#This Row],[descuento antes de IVA]])*VLOOKUP(PROVEEDORES[[#This Row],[PROVEEDOR]],TERCEROS_INFO[#All],3,FALSE)</f>
        <v>0</v>
      </c>
      <c r="N1339" s="34"/>
      <c r="O1339" s="33">
        <f>+PROVEEDORES[[#This Row],[Descuento sobre subtotal %]]*(PROVEEDORES[[#This Row],[SUBTOTAL]]-PROVEEDORES[[#This Row],[descuento antes de IVA]])</f>
        <v>0</v>
      </c>
      <c r="P13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39" s="33">
        <f>+(PROVEEDORES[[#This Row],[SUBTOTAL]]-PROVEEDORES[[#This Row],[descuento antes de IVA]])*PROVEEDORES[[#This Row],[Rete Fuente %]]</f>
        <v>0</v>
      </c>
      <c r="R1339" s="32">
        <f>+PROVEEDORES[[#This Row],[SUBTOTAL]]+PROVEEDORES[[#This Row],[IVA 19%]]-PROVEEDORES[[#This Row],[descuento antes de IVA]]-PROVEEDORES[[#This Row],[Descuento sobre subtotal $]]-PROVEEDORES[[#This Row],[Rete Fuente $]]</f>
        <v>1791000</v>
      </c>
      <c r="S1339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0" spans="1:19" ht="21.95" hidden="1" customHeight="1" x14ac:dyDescent="0.25">
      <c r="A1340" s="134" t="str">
        <f>+IF(PROVEEDORES[[#This Row],[FECHA DE PAGO]]=PROVEEDORES[[#This Row],[FECHA DE FACTURACIÓN]],"DE CONTADO","CRÉDITO")</f>
        <v>CRÉDITO</v>
      </c>
      <c r="B1340" s="70" t="b">
        <f>+IF((PROVEEDORES[[#This Row],[FECHA DE PAGO]]-PROVEEDORES[[#This Row],[FECHA DE FACTURACIÓN]])&gt;PROVEEDORES[[#This Row],[PLAZO Días]],"PAGO VENCIDO")</f>
        <v>0</v>
      </c>
      <c r="C1340" s="27">
        <f>+VLOOKUP(PROVEEDORES[[#This Row],[PROVEEDOR]],TERCEROS_INFO[#All],2,FALSE)</f>
        <v>30</v>
      </c>
      <c r="D1340" s="37">
        <f>+SUMIFS(PROVEEDORES[Total],PROVEEDORES[PROVEEDOR],PROVEEDORES[[#This Row],[PROVEEDOR]],PROVEEDORES[FECHA DE PAGO],"")</f>
        <v>0</v>
      </c>
      <c r="E1340" s="37"/>
      <c r="F1340" s="108" t="str">
        <f>+VLOOKUP(PROVEEDORES[[#This Row],[PROVEEDOR]],TERCEROS_INFO[[PROVEEDOR]:[CORREO]],5,FALSE)</f>
        <v>oswaldo.alvarez@logimexsas.com;girlesa.ruiz@servipilas.com;joriescobar64@gmail.com</v>
      </c>
      <c r="G1340" s="143">
        <v>44403</v>
      </c>
      <c r="H1340" s="38" t="s">
        <v>700</v>
      </c>
      <c r="I1340" s="30">
        <v>44389</v>
      </c>
      <c r="J1340" s="58" t="s">
        <v>794</v>
      </c>
      <c r="K1340" s="32">
        <v>69726</v>
      </c>
      <c r="L1340" s="32"/>
      <c r="M1340" s="33">
        <f>(PROVEEDORES[[#This Row],[SUBTOTAL]]-PROVEEDORES[[#This Row],[descuento antes de IVA]])*VLOOKUP(PROVEEDORES[[#This Row],[PROVEEDOR]],TERCEROS_INFO[#All],3,FALSE)</f>
        <v>0</v>
      </c>
      <c r="N1340" s="34"/>
      <c r="O1340" s="33">
        <f>+PROVEEDORES[[#This Row],[Descuento sobre subtotal %]]*(PROVEEDORES[[#This Row],[SUBTOTAL]]-PROVEEDORES[[#This Row],[descuento antes de IVA]])</f>
        <v>0</v>
      </c>
      <c r="P13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0" s="33">
        <f>+(PROVEEDORES[[#This Row],[SUBTOTAL]]-PROVEEDORES[[#This Row],[descuento antes de IVA]])*PROVEEDORES[[#This Row],[Rete Fuente %]]</f>
        <v>0</v>
      </c>
      <c r="R1340" s="32">
        <f>+PROVEEDORES[[#This Row],[SUBTOTAL]]+PROVEEDORES[[#This Row],[IVA 19%]]-PROVEEDORES[[#This Row],[descuento antes de IVA]]-PROVEEDORES[[#This Row],[Descuento sobre subtotal $]]-PROVEEDORES[[#This Row],[Rete Fuente $]]</f>
        <v>69726</v>
      </c>
      <c r="S1340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1" spans="1:19" ht="21.95" hidden="1" customHeight="1" x14ac:dyDescent="0.25">
      <c r="A1341" s="154" t="str">
        <f>+IF(PROVEEDORES[[#This Row],[FECHA DE PAGO]]=PROVEEDORES[[#This Row],[FECHA DE FACTURACIÓN]],"DE CONTADO","CRÉDITO")</f>
        <v>CRÉDITO</v>
      </c>
      <c r="B1341" s="70" t="b">
        <f>+IF((PROVEEDORES[[#This Row],[FECHA DE PAGO]]-PROVEEDORES[[#This Row],[FECHA DE FACTURACIÓN]])&gt;PROVEEDORES[[#This Row],[PLAZO Días]],"PAGO VENCIDO")</f>
        <v>0</v>
      </c>
      <c r="C1341" s="27">
        <f>+VLOOKUP(PROVEEDORES[[#This Row],[PROVEEDOR]],TERCEROS_INFO[#All],2,FALSE)</f>
        <v>30</v>
      </c>
      <c r="D1341" s="37">
        <f>+SUMIFS(PROVEEDORES[Total],PROVEEDORES[PROVEEDOR],PROVEEDORES[[#This Row],[PROVEEDOR]],PROVEEDORES[FECHA DE PAGO],"")</f>
        <v>0</v>
      </c>
      <c r="E1341" s="37"/>
      <c r="F1341" s="108" t="str">
        <f>+VLOOKUP(PROVEEDORES[[#This Row],[PROVEEDOR]],TERCEROS_INFO[[PROVEEDOR]:[CORREO]],5,FALSE)</f>
        <v>oswaldo.alvarez@logimexsas.com;girlesa.ruiz@servipilas.com;joriescobar64@gmail.com</v>
      </c>
      <c r="G1341" s="143">
        <v>44453</v>
      </c>
      <c r="H1341" s="38" t="s">
        <v>700</v>
      </c>
      <c r="I1341" s="30">
        <v>44452</v>
      </c>
      <c r="J1341" s="58" t="s">
        <v>1246</v>
      </c>
      <c r="K1341" s="32">
        <v>1791000</v>
      </c>
      <c r="L1341" s="32"/>
      <c r="M1341" s="33">
        <f>(PROVEEDORES[[#This Row],[SUBTOTAL]]-PROVEEDORES[[#This Row],[descuento antes de IVA]])*VLOOKUP(PROVEEDORES[[#This Row],[PROVEEDOR]],TERCEROS_INFO[#All],3,FALSE)</f>
        <v>0</v>
      </c>
      <c r="N1341" s="34"/>
      <c r="O1341" s="33">
        <f>+PROVEEDORES[[#This Row],[Descuento sobre subtotal %]]*(PROVEEDORES[[#This Row],[SUBTOTAL]]-PROVEEDORES[[#This Row],[descuento antes de IVA]])</f>
        <v>0</v>
      </c>
      <c r="P13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1" s="33">
        <f>+(PROVEEDORES[[#This Row],[SUBTOTAL]]-PROVEEDORES[[#This Row],[descuento antes de IVA]])*PROVEEDORES[[#This Row],[Rete Fuente %]]</f>
        <v>0</v>
      </c>
      <c r="R1341" s="32">
        <f>+PROVEEDORES[[#This Row],[SUBTOTAL]]+PROVEEDORES[[#This Row],[IVA 19%]]-PROVEEDORES[[#This Row],[descuento antes de IVA]]-PROVEEDORES[[#This Row],[Descuento sobre subtotal $]]-PROVEEDORES[[#This Row],[Rete Fuente $]]</f>
        <v>1791000</v>
      </c>
      <c r="S1341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2" spans="1:19" ht="21.95" hidden="1" customHeight="1" x14ac:dyDescent="0.25">
      <c r="A1342" s="153" t="str">
        <f>+IF(PROVEEDORES[[#This Row],[FECHA DE PAGO]]=PROVEEDORES[[#This Row],[FECHA DE FACTURACIÓN]],"DE CONTADO","CRÉDITO")</f>
        <v>CRÉDITO</v>
      </c>
      <c r="B1342" s="70" t="b">
        <f>+IF((PROVEEDORES[[#This Row],[FECHA DE PAGO]]-PROVEEDORES[[#This Row],[FECHA DE FACTURACIÓN]])&gt;PROVEEDORES[[#This Row],[PLAZO Días]],"PAGO VENCIDO")</f>
        <v>0</v>
      </c>
      <c r="C1342" s="27">
        <f>+VLOOKUP(PROVEEDORES[[#This Row],[PROVEEDOR]],TERCEROS_INFO[#All],2,FALSE)</f>
        <v>30</v>
      </c>
      <c r="D1342" s="37">
        <f>+SUMIFS(PROVEEDORES[Total],PROVEEDORES[PROVEEDOR],PROVEEDORES[[#This Row],[PROVEEDOR]],PROVEEDORES[FECHA DE PAGO],"")</f>
        <v>0</v>
      </c>
      <c r="E1342" s="37"/>
      <c r="F1342" s="108" t="str">
        <f>+VLOOKUP(PROVEEDORES[[#This Row],[PROVEEDOR]],TERCEROS_INFO[[PROVEEDOR]:[CORREO]],5,FALSE)</f>
        <v>oswaldo.alvarez@logimexsas.com;girlesa.ruiz@servipilas.com;joriescobar64@gmail.com</v>
      </c>
      <c r="G1342" s="143">
        <v>44460</v>
      </c>
      <c r="H1342" s="38" t="s">
        <v>700</v>
      </c>
      <c r="I1342" s="30">
        <v>44459</v>
      </c>
      <c r="J1342" s="58" t="s">
        <v>1254</v>
      </c>
      <c r="K1342" s="32">
        <v>1895000</v>
      </c>
      <c r="L1342" s="32"/>
      <c r="M1342" s="33">
        <f>(PROVEEDORES[[#This Row],[SUBTOTAL]]-PROVEEDORES[[#This Row],[descuento antes de IVA]])*VLOOKUP(PROVEEDORES[[#This Row],[PROVEEDOR]],TERCEROS_INFO[#All],3,FALSE)</f>
        <v>0</v>
      </c>
      <c r="N1342" s="34"/>
      <c r="O1342" s="33">
        <f>+PROVEEDORES[[#This Row],[Descuento sobre subtotal %]]*(PROVEEDORES[[#This Row],[SUBTOTAL]]-PROVEEDORES[[#This Row],[descuento antes de IVA]])</f>
        <v>0</v>
      </c>
      <c r="P13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2" s="33">
        <f>+(PROVEEDORES[[#This Row],[SUBTOTAL]]-PROVEEDORES[[#This Row],[descuento antes de IVA]])*PROVEEDORES[[#This Row],[Rete Fuente %]]</f>
        <v>0</v>
      </c>
      <c r="R1342" s="32">
        <f>+PROVEEDORES[[#This Row],[SUBTOTAL]]+PROVEEDORES[[#This Row],[IVA 19%]]-PROVEEDORES[[#This Row],[descuento antes de IVA]]-PROVEEDORES[[#This Row],[Descuento sobre subtotal $]]-PROVEEDORES[[#This Row],[Rete Fuente $]]</f>
        <v>1895000</v>
      </c>
      <c r="S1342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3" spans="1:19" ht="21.95" hidden="1" customHeight="1" x14ac:dyDescent="0.25">
      <c r="A1343" s="154" t="str">
        <f>+IF(PROVEEDORES[[#This Row],[FECHA DE PAGO]]=PROVEEDORES[[#This Row],[FECHA DE FACTURACIÓN]],"DE CONTADO","CRÉDITO")</f>
        <v>CRÉDITO</v>
      </c>
      <c r="B1343" s="70" t="b">
        <f>+IF((PROVEEDORES[[#This Row],[FECHA DE PAGO]]-PROVEEDORES[[#This Row],[FECHA DE FACTURACIÓN]])&gt;PROVEEDORES[[#This Row],[PLAZO Días]],"PAGO VENCIDO")</f>
        <v>0</v>
      </c>
      <c r="C1343" s="27">
        <f>+VLOOKUP(PROVEEDORES[[#This Row],[PROVEEDOR]],TERCEROS_INFO[#All],2,FALSE)</f>
        <v>30</v>
      </c>
      <c r="D1343" s="37">
        <f>+SUMIFS(PROVEEDORES[Total],PROVEEDORES[PROVEEDOR],PROVEEDORES[[#This Row],[PROVEEDOR]],PROVEEDORES[FECHA DE PAGO],"")</f>
        <v>0</v>
      </c>
      <c r="E1343" s="37"/>
      <c r="F1343" s="108" t="str">
        <f>+VLOOKUP(PROVEEDORES[[#This Row],[PROVEEDOR]],TERCEROS_INFO[[PROVEEDOR]:[CORREO]],5,FALSE)</f>
        <v>oswaldo.alvarez@logimexsas.com;girlesa.ruiz@servipilas.com;joriescobar64@gmail.com</v>
      </c>
      <c r="G1343" s="143">
        <v>44476</v>
      </c>
      <c r="H1343" s="38" t="s">
        <v>700</v>
      </c>
      <c r="I1343" s="30">
        <v>44468</v>
      </c>
      <c r="J1343" s="58" t="s">
        <v>875</v>
      </c>
      <c r="K1343" s="32">
        <v>4297</v>
      </c>
      <c r="L1343" s="32"/>
      <c r="M1343" s="33">
        <f>(PROVEEDORES[[#This Row],[SUBTOTAL]]-PROVEEDORES[[#This Row],[descuento antes de IVA]])*VLOOKUP(PROVEEDORES[[#This Row],[PROVEEDOR]],TERCEROS_INFO[#All],3,FALSE)</f>
        <v>0</v>
      </c>
      <c r="N1343" s="34"/>
      <c r="O1343" s="33">
        <f>+PROVEEDORES[[#This Row],[Descuento sobre subtotal %]]*(PROVEEDORES[[#This Row],[SUBTOTAL]]-PROVEEDORES[[#This Row],[descuento antes de IVA]])</f>
        <v>0</v>
      </c>
      <c r="P13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3" s="33">
        <f>+(PROVEEDORES[[#This Row],[SUBTOTAL]]-PROVEEDORES[[#This Row],[descuento antes de IVA]])*PROVEEDORES[[#This Row],[Rete Fuente %]]</f>
        <v>0</v>
      </c>
      <c r="R1343" s="32">
        <f>+PROVEEDORES[[#This Row],[SUBTOTAL]]+PROVEEDORES[[#This Row],[IVA 19%]]-PROVEEDORES[[#This Row],[descuento antes de IVA]]-PROVEEDORES[[#This Row],[Descuento sobre subtotal $]]-PROVEEDORES[[#This Row],[Rete Fuente $]]</f>
        <v>4297</v>
      </c>
      <c r="S1343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4" spans="1:19" ht="21.95" hidden="1" customHeight="1" x14ac:dyDescent="0.25">
      <c r="A1344" s="154" t="str">
        <f>+IF(PROVEEDORES[[#This Row],[FECHA DE PAGO]]=PROVEEDORES[[#This Row],[FECHA DE FACTURACIÓN]],"DE CONTADO","CRÉDITO")</f>
        <v>CRÉDITO</v>
      </c>
      <c r="B1344" s="70" t="b">
        <f>+IF((PROVEEDORES[[#This Row],[FECHA DE PAGO]]-PROVEEDORES[[#This Row],[FECHA DE FACTURACIÓN]])&gt;PROVEEDORES[[#This Row],[PLAZO Días]],"PAGO VENCIDO")</f>
        <v>0</v>
      </c>
      <c r="C1344" s="27">
        <f>+VLOOKUP(PROVEEDORES[[#This Row],[PROVEEDOR]],TERCEROS_INFO[#All],2,FALSE)</f>
        <v>30</v>
      </c>
      <c r="D1344" s="37">
        <f>+SUMIFS(PROVEEDORES[Total],PROVEEDORES[PROVEEDOR],PROVEEDORES[[#This Row],[PROVEEDOR]],PROVEEDORES[FECHA DE PAGO],"")</f>
        <v>0</v>
      </c>
      <c r="E1344" s="37"/>
      <c r="F1344" s="108" t="str">
        <f>+VLOOKUP(PROVEEDORES[[#This Row],[PROVEEDOR]],TERCEROS_INFO[[PROVEEDOR]:[CORREO]],5,FALSE)</f>
        <v>oswaldo.alvarez@logimexsas.com;girlesa.ruiz@servipilas.com;joriescobar64@gmail.com</v>
      </c>
      <c r="G1344" s="143">
        <v>44476</v>
      </c>
      <c r="H1344" s="38" t="s">
        <v>700</v>
      </c>
      <c r="I1344" s="30">
        <v>44468</v>
      </c>
      <c r="J1344" s="58" t="s">
        <v>876</v>
      </c>
      <c r="K1344" s="32">
        <v>1628.52</v>
      </c>
      <c r="L1344" s="32"/>
      <c r="M1344" s="33">
        <f>(PROVEEDORES[[#This Row],[SUBTOTAL]]-PROVEEDORES[[#This Row],[descuento antes de IVA]])*VLOOKUP(PROVEEDORES[[#This Row],[PROVEEDOR]],TERCEROS_INFO[#All],3,FALSE)</f>
        <v>0</v>
      </c>
      <c r="N1344" s="34"/>
      <c r="O1344" s="33">
        <f>+PROVEEDORES[[#This Row],[Descuento sobre subtotal %]]*(PROVEEDORES[[#This Row],[SUBTOTAL]]-PROVEEDORES[[#This Row],[descuento antes de IVA]])</f>
        <v>0</v>
      </c>
      <c r="P13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4" s="33">
        <f>+(PROVEEDORES[[#This Row],[SUBTOTAL]]-PROVEEDORES[[#This Row],[descuento antes de IVA]])*PROVEEDORES[[#This Row],[Rete Fuente %]]</f>
        <v>0</v>
      </c>
      <c r="R1344" s="32">
        <f>+PROVEEDORES[[#This Row],[SUBTOTAL]]+PROVEEDORES[[#This Row],[IVA 19%]]-PROVEEDORES[[#This Row],[descuento antes de IVA]]-PROVEEDORES[[#This Row],[Descuento sobre subtotal $]]-PROVEEDORES[[#This Row],[Rete Fuente $]]</f>
        <v>1628.52</v>
      </c>
      <c r="S1344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5" spans="1:19" ht="21.95" hidden="1" customHeight="1" x14ac:dyDescent="0.25">
      <c r="A1345" s="157" t="str">
        <f>+IF(PROVEEDORES[[#This Row],[FECHA DE PAGO]]=PROVEEDORES[[#This Row],[FECHA DE FACTURACIÓN]],"DE CONTADO","CRÉDITO")</f>
        <v>CRÉDITO</v>
      </c>
      <c r="B1345" s="70" t="b">
        <f>+IF((PROVEEDORES[[#This Row],[FECHA DE PAGO]]-PROVEEDORES[[#This Row],[FECHA DE FACTURACIÓN]])&gt;PROVEEDORES[[#This Row],[PLAZO Días]],"PAGO VENCIDO")</f>
        <v>0</v>
      </c>
      <c r="C1345" s="27">
        <f>+VLOOKUP(PROVEEDORES[[#This Row],[PROVEEDOR]],TERCEROS_INFO[#All],2,FALSE)</f>
        <v>30</v>
      </c>
      <c r="D1345" s="37">
        <f>+SUMIFS(PROVEEDORES[Total],PROVEEDORES[PROVEEDOR],PROVEEDORES[[#This Row],[PROVEEDOR]],PROVEEDORES[FECHA DE PAGO],"")</f>
        <v>0</v>
      </c>
      <c r="E1345" s="37"/>
      <c r="F1345" s="108" t="str">
        <f>+VLOOKUP(PROVEEDORES[[#This Row],[PROVEEDOR]],TERCEROS_INFO[[PROVEEDOR]:[CORREO]],5,FALSE)</f>
        <v>oswaldo.alvarez@logimexsas.com;girlesa.ruiz@servipilas.com;joriescobar64@gmail.com</v>
      </c>
      <c r="G1345" s="30">
        <v>44489</v>
      </c>
      <c r="H1345" s="38" t="s">
        <v>700</v>
      </c>
      <c r="I1345" s="30">
        <v>44488</v>
      </c>
      <c r="J1345" s="58" t="s">
        <v>1276</v>
      </c>
      <c r="K1345" s="32">
        <v>1781000</v>
      </c>
      <c r="L1345" s="32"/>
      <c r="M1345" s="33">
        <f>(PROVEEDORES[[#This Row],[SUBTOTAL]]-PROVEEDORES[[#This Row],[descuento antes de IVA]])*VLOOKUP(PROVEEDORES[[#This Row],[PROVEEDOR]],TERCEROS_INFO[#All],3,FALSE)</f>
        <v>0</v>
      </c>
      <c r="N1345" s="34"/>
      <c r="O1345" s="33">
        <f>+PROVEEDORES[[#This Row],[Descuento sobre subtotal %]]*(PROVEEDORES[[#This Row],[SUBTOTAL]]-PROVEEDORES[[#This Row],[descuento antes de IVA]])</f>
        <v>0</v>
      </c>
      <c r="P13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5" s="33">
        <f>+(PROVEEDORES[[#This Row],[SUBTOTAL]]-PROVEEDORES[[#This Row],[descuento antes de IVA]])*PROVEEDORES[[#This Row],[Rete Fuente %]]</f>
        <v>0</v>
      </c>
      <c r="R1345" s="32">
        <f>+PROVEEDORES[[#This Row],[SUBTOTAL]]+PROVEEDORES[[#This Row],[IVA 19%]]-PROVEEDORES[[#This Row],[descuento antes de IVA]]-PROVEEDORES[[#This Row],[Descuento sobre subtotal $]]-PROVEEDORES[[#This Row],[Rete Fuente $]]</f>
        <v>1781000</v>
      </c>
      <c r="S1345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6" spans="1:19" ht="21.95" hidden="1" customHeight="1" x14ac:dyDescent="0.25">
      <c r="A1346" s="157" t="str">
        <f>+IF(PROVEEDORES[[#This Row],[FECHA DE PAGO]]=PROVEEDORES[[#This Row],[FECHA DE FACTURACIÓN]],"DE CONTADO","CRÉDITO")</f>
        <v>CRÉDITO</v>
      </c>
      <c r="B1346" s="70" t="b">
        <f>+IF((PROVEEDORES[[#This Row],[FECHA DE PAGO]]-PROVEEDORES[[#This Row],[FECHA DE FACTURACIÓN]])&gt;PROVEEDORES[[#This Row],[PLAZO Días]],"PAGO VENCIDO")</f>
        <v>0</v>
      </c>
      <c r="C1346" s="27">
        <f>+VLOOKUP(PROVEEDORES[[#This Row],[PROVEEDOR]],TERCEROS_INFO[#All],2,FALSE)</f>
        <v>30</v>
      </c>
      <c r="D1346" s="37">
        <f>+SUMIFS(PROVEEDORES[Total],PROVEEDORES[PROVEEDOR],PROVEEDORES[[#This Row],[PROVEEDOR]],PROVEEDORES[FECHA DE PAGO],"")</f>
        <v>0</v>
      </c>
      <c r="E1346" s="37"/>
      <c r="F1346" s="108" t="str">
        <f>+VLOOKUP(PROVEEDORES[[#This Row],[PROVEEDOR]],TERCEROS_INFO[[PROVEEDOR]:[CORREO]],5,FALSE)</f>
        <v>oswaldo.alvarez@logimexsas.com;girlesa.ruiz@servipilas.com;joriescobar64@gmail.com</v>
      </c>
      <c r="G1346" s="143">
        <v>44494</v>
      </c>
      <c r="H1346" s="38" t="s">
        <v>700</v>
      </c>
      <c r="I1346" s="30">
        <v>44493</v>
      </c>
      <c r="J1346" s="58" t="s">
        <v>941</v>
      </c>
      <c r="K1346" s="32">
        <v>1141000</v>
      </c>
      <c r="L1346" s="32"/>
      <c r="M1346" s="33">
        <f>(PROVEEDORES[[#This Row],[SUBTOTAL]]-PROVEEDORES[[#This Row],[descuento antes de IVA]])*VLOOKUP(PROVEEDORES[[#This Row],[PROVEEDOR]],TERCEROS_INFO[#All],3,FALSE)</f>
        <v>0</v>
      </c>
      <c r="N1346" s="34"/>
      <c r="O1346" s="33">
        <f>+PROVEEDORES[[#This Row],[Descuento sobre subtotal %]]*(PROVEEDORES[[#This Row],[SUBTOTAL]]-PROVEEDORES[[#This Row],[descuento antes de IVA]])</f>
        <v>0</v>
      </c>
      <c r="P13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6" s="33">
        <f>+(PROVEEDORES[[#This Row],[SUBTOTAL]]-PROVEEDORES[[#This Row],[descuento antes de IVA]])*PROVEEDORES[[#This Row],[Rete Fuente %]]</f>
        <v>0</v>
      </c>
      <c r="R1346" s="32">
        <f>+PROVEEDORES[[#This Row],[SUBTOTAL]]+PROVEEDORES[[#This Row],[IVA 19%]]-PROVEEDORES[[#This Row],[descuento antes de IVA]]-PROVEEDORES[[#This Row],[Descuento sobre subtotal $]]-PROVEEDORES[[#This Row],[Rete Fuente $]]</f>
        <v>1141000</v>
      </c>
      <c r="S1346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7" spans="1:19" ht="21.95" hidden="1" customHeight="1" x14ac:dyDescent="0.25">
      <c r="A1347" s="35" t="str">
        <f>+IF(PROVEEDORES[[#This Row],[FECHA DE PAGO]]=PROVEEDORES[[#This Row],[FECHA DE FACTURACIÓN]],"DE CONTADO","CRÉDITO")</f>
        <v>CRÉDITO</v>
      </c>
      <c r="B1347" s="70" t="b">
        <f>+IF((PROVEEDORES[[#This Row],[FECHA DE PAGO]]-PROVEEDORES[[#This Row],[FECHA DE FACTURACIÓN]])&gt;PROVEEDORES[[#This Row],[PLAZO Días]],"PAGO VENCIDO")</f>
        <v>0</v>
      </c>
      <c r="C1347" s="27">
        <f>+VLOOKUP(PROVEEDORES[[#This Row],[PROVEEDOR]],TERCEROS_INFO[#All],2,FALSE)</f>
        <v>30</v>
      </c>
      <c r="D1347" s="37">
        <f>+SUMIFS(PROVEEDORES[Total],PROVEEDORES[PROVEEDOR],PROVEEDORES[[#This Row],[PROVEEDOR]],PROVEEDORES[FECHA DE PAGO],"")</f>
        <v>0</v>
      </c>
      <c r="E1347" s="37"/>
      <c r="F1347" s="108" t="str">
        <f>+VLOOKUP(PROVEEDORES[[#This Row],[PROVEEDOR]],TERCEROS_INFO[[PROVEEDOR]:[CORREO]],5,FALSE)</f>
        <v>oswaldo.alvarez@logimexsas.com;girlesa.ruiz@servipilas.com;joriescobar64@gmail.com</v>
      </c>
      <c r="G1347" s="143">
        <v>44510</v>
      </c>
      <c r="H1347" s="38" t="s">
        <v>700</v>
      </c>
      <c r="I1347" s="30">
        <v>44505</v>
      </c>
      <c r="J1347" s="58" t="s">
        <v>939</v>
      </c>
      <c r="K1347" s="32">
        <v>551501.68000000005</v>
      </c>
      <c r="L1347" s="32"/>
      <c r="M1347" s="33">
        <f>(PROVEEDORES[[#This Row],[SUBTOTAL]]-PROVEEDORES[[#This Row],[descuento antes de IVA]])*VLOOKUP(PROVEEDORES[[#This Row],[PROVEEDOR]],TERCEROS_INFO[#All],3,FALSE)</f>
        <v>0</v>
      </c>
      <c r="N1347" s="34"/>
      <c r="O1347" s="33">
        <f>+PROVEEDORES[[#This Row],[Descuento sobre subtotal %]]*(PROVEEDORES[[#This Row],[SUBTOTAL]]-PROVEEDORES[[#This Row],[descuento antes de IVA]])</f>
        <v>0</v>
      </c>
      <c r="P13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7" s="33">
        <f>+(PROVEEDORES[[#This Row],[SUBTOTAL]]-PROVEEDORES[[#This Row],[descuento antes de IVA]])*PROVEEDORES[[#This Row],[Rete Fuente %]]</f>
        <v>0</v>
      </c>
      <c r="R1347" s="32">
        <f>+PROVEEDORES[[#This Row],[SUBTOTAL]]+PROVEEDORES[[#This Row],[IVA 19%]]-PROVEEDORES[[#This Row],[descuento antes de IVA]]-PROVEEDORES[[#This Row],[Descuento sobre subtotal $]]-PROVEEDORES[[#This Row],[Rete Fuente $]]</f>
        <v>551501.68000000005</v>
      </c>
      <c r="S134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8" spans="1:19" ht="21.95" hidden="1" customHeight="1" x14ac:dyDescent="0.25">
      <c r="A1348" s="166" t="str">
        <f>+IF(PROVEEDORES[[#This Row],[FECHA DE PAGO]]=PROVEEDORES[[#This Row],[FECHA DE FACTURACIÓN]],"DE CONTADO","CRÉDITO")</f>
        <v>CRÉDITO</v>
      </c>
      <c r="B1348" s="70" t="b">
        <f>+IF((PROVEEDORES[[#This Row],[FECHA DE PAGO]]-PROVEEDORES[[#This Row],[FECHA DE FACTURACIÓN]])&gt;PROVEEDORES[[#This Row],[PLAZO Días]],"PAGO VENCIDO")</f>
        <v>0</v>
      </c>
      <c r="C1348" s="27">
        <f>+VLOOKUP(PROVEEDORES[[#This Row],[PROVEEDOR]],TERCEROS_INFO[#All],2,FALSE)</f>
        <v>30</v>
      </c>
      <c r="D1348" s="37">
        <f>+SUMIFS(PROVEEDORES[Total],PROVEEDORES[PROVEEDOR],PROVEEDORES[[#This Row],[PROVEEDOR]],PROVEEDORES[FECHA DE PAGO],"")</f>
        <v>0</v>
      </c>
      <c r="E1348" s="37"/>
      <c r="F1348" s="108" t="str">
        <f>+VLOOKUP(PROVEEDORES[[#This Row],[PROVEEDOR]],TERCEROS_INFO[[PROVEEDOR]:[CORREO]],5,FALSE)</f>
        <v>oswaldo.alvarez@logimexsas.com;girlesa.ruiz@servipilas.com;joriescobar64@gmail.com</v>
      </c>
      <c r="G1348" s="143">
        <v>44533</v>
      </c>
      <c r="H1348" s="38" t="s">
        <v>700</v>
      </c>
      <c r="I1348" s="30">
        <v>44523</v>
      </c>
      <c r="J1348" s="58" t="s">
        <v>978</v>
      </c>
      <c r="K1348" s="32">
        <v>3402</v>
      </c>
      <c r="L1348" s="32"/>
      <c r="M1348" s="33">
        <f>(PROVEEDORES[[#This Row],[SUBTOTAL]]-PROVEEDORES[[#This Row],[descuento antes de IVA]])*VLOOKUP(PROVEEDORES[[#This Row],[PROVEEDOR]],TERCEROS_INFO[#All],3,FALSE)</f>
        <v>0</v>
      </c>
      <c r="N1348" s="34"/>
      <c r="O1348" s="33">
        <f>+PROVEEDORES[[#This Row],[Descuento sobre subtotal %]]*(PROVEEDORES[[#This Row],[SUBTOTAL]]-PROVEEDORES[[#This Row],[descuento antes de IVA]])</f>
        <v>0</v>
      </c>
      <c r="P13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8" s="33">
        <f>+(PROVEEDORES[[#This Row],[SUBTOTAL]]-PROVEEDORES[[#This Row],[descuento antes de IVA]])*PROVEEDORES[[#This Row],[Rete Fuente %]]</f>
        <v>0</v>
      </c>
      <c r="R1348" s="32">
        <f>+PROVEEDORES[[#This Row],[SUBTOTAL]]+PROVEEDORES[[#This Row],[IVA 19%]]-PROVEEDORES[[#This Row],[descuento antes de IVA]]-PROVEEDORES[[#This Row],[Descuento sobre subtotal $]]-PROVEEDORES[[#This Row],[Rete Fuente $]]</f>
        <v>3402</v>
      </c>
      <c r="S1348" s="1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49" spans="1:19" ht="21.95" hidden="1" customHeight="1" x14ac:dyDescent="0.25">
      <c r="A1349" s="35" t="str">
        <f>+IF(PROVEEDORES[[#This Row],[FECHA DE PAGO]]=PROVEEDORES[[#This Row],[FECHA DE FACTURACIÓN]],"DE CONTADO","CRÉDITO")</f>
        <v>CRÉDITO</v>
      </c>
      <c r="B1349" s="70" t="b">
        <f>+IF((PROVEEDORES[[#This Row],[FECHA DE PAGO]]-PROVEEDORES[[#This Row],[FECHA DE FACTURACIÓN]])&gt;PROVEEDORES[[#This Row],[PLAZO Días]],"PAGO VENCIDO")</f>
        <v>0</v>
      </c>
      <c r="C1349" s="27">
        <f>+VLOOKUP(PROVEEDORES[[#This Row],[PROVEEDOR]],TERCEROS_INFO[#All],2,FALSE)</f>
        <v>30</v>
      </c>
      <c r="D1349" s="37">
        <f>+SUMIFS(PROVEEDORES[Total],PROVEEDORES[PROVEEDOR],PROVEEDORES[[#This Row],[PROVEEDOR]],PROVEEDORES[FECHA DE PAGO],"")</f>
        <v>0</v>
      </c>
      <c r="E1349" s="37"/>
      <c r="F1349" s="108" t="str">
        <f>+VLOOKUP(PROVEEDORES[[#This Row],[PROVEEDOR]],TERCEROS_INFO[[PROVEEDOR]:[CORREO]],5,FALSE)</f>
        <v>oswaldo.alvarez@logimexsas.com;girlesa.ruiz@servipilas.com;joriescobar64@gmail.com</v>
      </c>
      <c r="G1349" s="143">
        <v>44537</v>
      </c>
      <c r="H1349" s="38" t="s">
        <v>700</v>
      </c>
      <c r="I1349" s="30">
        <v>44536</v>
      </c>
      <c r="J1349" s="58" t="s">
        <v>1316</v>
      </c>
      <c r="K1349" s="32">
        <v>1781000</v>
      </c>
      <c r="L1349" s="32"/>
      <c r="M1349" s="33">
        <f>(PROVEEDORES[[#This Row],[SUBTOTAL]]-PROVEEDORES[[#This Row],[descuento antes de IVA]])*VLOOKUP(PROVEEDORES[[#This Row],[PROVEEDOR]],TERCEROS_INFO[#All],3,FALSE)</f>
        <v>0</v>
      </c>
      <c r="N1349" s="34"/>
      <c r="O1349" s="33">
        <f>+PROVEEDORES[[#This Row],[Descuento sobre subtotal %]]*(PROVEEDORES[[#This Row],[SUBTOTAL]]-PROVEEDORES[[#This Row],[descuento antes de IVA]])</f>
        <v>0</v>
      </c>
      <c r="P13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49" s="33">
        <f>+(PROVEEDORES[[#This Row],[SUBTOTAL]]-PROVEEDORES[[#This Row],[descuento antes de IVA]])*PROVEEDORES[[#This Row],[Rete Fuente %]]</f>
        <v>0</v>
      </c>
      <c r="R1349" s="32">
        <f>+PROVEEDORES[[#This Row],[SUBTOTAL]]+PROVEEDORES[[#This Row],[IVA 19%]]-PROVEEDORES[[#This Row],[descuento antes de IVA]]-PROVEEDORES[[#This Row],[Descuento sobre subtotal $]]-PROVEEDORES[[#This Row],[Rete Fuente $]]</f>
        <v>1781000</v>
      </c>
      <c r="S134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0" spans="1:19" ht="21.95" hidden="1" customHeight="1" x14ac:dyDescent="0.25">
      <c r="A1350" s="39" t="str">
        <f>+IF(PROVEEDORES[[#This Row],[FECHA DE PAGO]]=PROVEEDORES[[#This Row],[FECHA DE FACTURACIÓN]],"DE CONTADO","CRÉDITO")</f>
        <v>CRÉDITO</v>
      </c>
      <c r="B1350" s="67" t="b">
        <f>+IF((PROVEEDORES[[#This Row],[FECHA DE PAGO]]-PROVEEDORES[[#This Row],[FECHA DE FACTURACIÓN]])&gt;PROVEEDORES[[#This Row],[PLAZO Días]],"PAGO VENCIDO")</f>
        <v>0</v>
      </c>
      <c r="C1350" s="27">
        <f>+VLOOKUP(PROVEEDORES[[#This Row],[PROVEEDOR]],TERCEROS_INFO[#All],2,FALSE)</f>
        <v>90</v>
      </c>
      <c r="D1350" s="37">
        <f>+SUMIFS(PROVEEDORES[Total],PROVEEDORES[PROVEEDOR],PROVEEDORES[[#This Row],[PROVEEDOR]],PROVEEDORES[FECHA DE PAGO],"")</f>
        <v>0</v>
      </c>
      <c r="E1350" s="37"/>
      <c r="F1350" s="108" t="str">
        <f>+VLOOKUP(PROVEEDORES[[#This Row],[PROVEEDOR]],TERCEROS_INFO[[PROVEEDOR]:[CORREO]],5,FALSE)</f>
        <v>criszapata1234@gmail.com;girlesa.ruiz@servipilas.com;joriescobar64@gmail.com</v>
      </c>
      <c r="G1350" s="143">
        <v>44193</v>
      </c>
      <c r="H1350" s="38" t="s">
        <v>171</v>
      </c>
      <c r="I1350" s="30">
        <v>44141</v>
      </c>
      <c r="J1350" s="58" t="s">
        <v>184</v>
      </c>
      <c r="K1350" s="32">
        <v>-319327.731092437</v>
      </c>
      <c r="L1350" s="32"/>
      <c r="M1350" s="33">
        <f>(PROVEEDORES[[#This Row],[SUBTOTAL]]-PROVEEDORES[[#This Row],[descuento antes de IVA]])*VLOOKUP(PROVEEDORES[[#This Row],[PROVEEDOR]],TERCEROS_INFO[#All],3,FALSE)</f>
        <v>-60672.268907563033</v>
      </c>
      <c r="N1350" s="34"/>
      <c r="O1350" s="33">
        <f>+PROVEEDORES[[#This Row],[Descuento sobre subtotal %]]*(PROVEEDORES[[#This Row],[SUBTOTAL]]-PROVEEDORES[[#This Row],[descuento antes de IVA]])</f>
        <v>0</v>
      </c>
      <c r="P13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50" s="33">
        <f>+(PROVEEDORES[[#This Row],[SUBTOTAL]]-PROVEEDORES[[#This Row],[descuento antes de IVA]])*PROVEEDORES[[#This Row],[Rete Fuente %]]</f>
        <v>0</v>
      </c>
      <c r="R1350" s="32">
        <f>+PROVEEDORES[[#This Row],[SUBTOTAL]]+PROVEEDORES[[#This Row],[IVA 19%]]-PROVEEDORES[[#This Row],[descuento antes de IVA]]-PROVEEDORES[[#This Row],[Descuento sobre subtotal $]]-PROVEEDORES[[#This Row],[Rete Fuente $]]</f>
        <v>-380000</v>
      </c>
      <c r="S135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1" spans="1:19" ht="21.95" hidden="1" customHeight="1" x14ac:dyDescent="0.25">
      <c r="A1351" s="39" t="str">
        <f>+IF(PROVEEDORES[[#This Row],[FECHA DE PAGO]]=PROVEEDORES[[#This Row],[FECHA DE FACTURACIÓN]],"DE CONTADO","CRÉDITO")</f>
        <v>CRÉDITO</v>
      </c>
      <c r="B1351" s="67" t="b">
        <f>+IF((PROVEEDORES[[#This Row],[FECHA DE PAGO]]-PROVEEDORES[[#This Row],[FECHA DE FACTURACIÓN]])&gt;PROVEEDORES[[#This Row],[PLAZO Días]],"PAGO VENCIDO")</f>
        <v>0</v>
      </c>
      <c r="C1351" s="27">
        <f>+VLOOKUP(PROVEEDORES[[#This Row],[PROVEEDOR]],TERCEROS_INFO[#All],2,FALSE)</f>
        <v>90</v>
      </c>
      <c r="D1351" s="37">
        <f>+SUMIFS(PROVEEDORES[Total],PROVEEDORES[PROVEEDOR],PROVEEDORES[[#This Row],[PROVEEDOR]],PROVEEDORES[FECHA DE PAGO],"")</f>
        <v>0</v>
      </c>
      <c r="E1351" s="37"/>
      <c r="F1351" s="108" t="str">
        <f>+VLOOKUP(PROVEEDORES[[#This Row],[PROVEEDOR]],TERCEROS_INFO[[PROVEEDOR]:[CORREO]],5,FALSE)</f>
        <v>criszapata1234@gmail.com;girlesa.ruiz@servipilas.com;joriescobar64@gmail.com</v>
      </c>
      <c r="G1351" s="143">
        <v>44165</v>
      </c>
      <c r="H1351" s="38" t="s">
        <v>171</v>
      </c>
      <c r="I1351" s="30">
        <v>44132</v>
      </c>
      <c r="J1351" s="58" t="s">
        <v>173</v>
      </c>
      <c r="K1351" s="32">
        <v>14214258.823529413</v>
      </c>
      <c r="L1351" s="32"/>
      <c r="M1351" s="33">
        <f>(PROVEEDORES[[#This Row],[SUBTOTAL]]-PROVEEDORES[[#This Row],[descuento antes de IVA]])*VLOOKUP(PROVEEDORES[[#This Row],[PROVEEDOR]],TERCEROS_INFO[#All],3,FALSE)</f>
        <v>2700709.1764705884</v>
      </c>
      <c r="N1351" s="34">
        <v>0.05</v>
      </c>
      <c r="O1351" s="33">
        <f>+PROVEEDORES[[#This Row],[Descuento sobre subtotal %]]*(PROVEEDORES[[#This Row],[SUBTOTAL]]-PROVEEDORES[[#This Row],[descuento antes de IVA]])</f>
        <v>710712.94117647072</v>
      </c>
      <c r="P13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51" s="33">
        <f>+(PROVEEDORES[[#This Row],[SUBTOTAL]]-PROVEEDORES[[#This Row],[descuento antes de IVA]])*PROVEEDORES[[#This Row],[Rete Fuente %]]</f>
        <v>355356.47058823536</v>
      </c>
      <c r="R1351" s="32">
        <f>+PROVEEDORES[[#This Row],[SUBTOTAL]]+PROVEEDORES[[#This Row],[IVA 19%]]-PROVEEDORES[[#This Row],[descuento antes de IVA]]-PROVEEDORES[[#This Row],[Descuento sobre subtotal $]]-PROVEEDORES[[#This Row],[Rete Fuente $]]</f>
        <v>15848898.588235294</v>
      </c>
      <c r="S13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2" spans="1:19" ht="21.95" hidden="1" customHeight="1" x14ac:dyDescent="0.25">
      <c r="A1352" s="39" t="str">
        <f>+IF(PROVEEDORES[[#This Row],[FECHA DE PAGO]]=PROVEEDORES[[#This Row],[FECHA DE FACTURACIÓN]],"DE CONTADO","CRÉDITO")</f>
        <v>CRÉDITO</v>
      </c>
      <c r="B1352" s="67" t="b">
        <f>+IF((PROVEEDORES[[#This Row],[FECHA DE PAGO]]-PROVEEDORES[[#This Row],[FECHA DE FACTURACIÓN]])&gt;PROVEEDORES[[#This Row],[PLAZO Días]],"PAGO VENCIDO")</f>
        <v>0</v>
      </c>
      <c r="C1352" s="27">
        <f>+VLOOKUP(PROVEEDORES[[#This Row],[PROVEEDOR]],TERCEROS_INFO[#All],2,FALSE)</f>
        <v>90</v>
      </c>
      <c r="D1352" s="37">
        <f>+SUMIFS(PROVEEDORES[Total],PROVEEDORES[PROVEEDOR],PROVEEDORES[[#This Row],[PROVEEDOR]],PROVEEDORES[FECHA DE PAGO],"")</f>
        <v>0</v>
      </c>
      <c r="E1352" s="37"/>
      <c r="F1352" s="108" t="str">
        <f>+VLOOKUP(PROVEEDORES[[#This Row],[PROVEEDOR]],TERCEROS_INFO[[PROVEEDOR]:[CORREO]],5,FALSE)</f>
        <v>criszapata1234@gmail.com;girlesa.ruiz@servipilas.com;joriescobar64@gmail.com</v>
      </c>
      <c r="G1352" s="143">
        <v>44193</v>
      </c>
      <c r="H1352" s="38" t="s">
        <v>171</v>
      </c>
      <c r="I1352" s="30">
        <v>44132</v>
      </c>
      <c r="J1352" s="58" t="s">
        <v>172</v>
      </c>
      <c r="K1352" s="32">
        <v>4659667.2268907567</v>
      </c>
      <c r="L1352" s="32"/>
      <c r="M1352" s="33">
        <f>(PROVEEDORES[[#This Row],[SUBTOTAL]]-PROVEEDORES[[#This Row],[descuento antes de IVA]])*VLOOKUP(PROVEEDORES[[#This Row],[PROVEEDOR]],TERCEROS_INFO[#All],3,FALSE)</f>
        <v>885336.77310924383</v>
      </c>
      <c r="N1352" s="34">
        <v>5.0000137060315912E-2</v>
      </c>
      <c r="O1352" s="33">
        <f>+PROVEEDORES[[#This Row],[Descuento sobre subtotal %]]*(PROVEEDORES[[#This Row],[SUBTOTAL]]-PROVEEDORES[[#This Row],[descuento antes de IVA]])</f>
        <v>232984</v>
      </c>
      <c r="P13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52" s="33">
        <f>+(PROVEEDORES[[#This Row],[SUBTOTAL]]-PROVEEDORES[[#This Row],[descuento antes de IVA]])*PROVEEDORES[[#This Row],[Rete Fuente %]]</f>
        <v>116491.68067226892</v>
      </c>
      <c r="R1352" s="32">
        <f>+PROVEEDORES[[#This Row],[SUBTOTAL]]+PROVEEDORES[[#This Row],[IVA 19%]]-PROVEEDORES[[#This Row],[descuento antes de IVA]]-PROVEEDORES[[#This Row],[Descuento sobre subtotal $]]-PROVEEDORES[[#This Row],[Rete Fuente $]]</f>
        <v>5195528.3193277316</v>
      </c>
      <c r="S135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3" spans="1:19" ht="21.95" hidden="1" customHeight="1" x14ac:dyDescent="0.25">
      <c r="A1353" s="39" t="str">
        <f>+IF(PROVEEDORES[[#This Row],[FECHA DE PAGO]]=PROVEEDORES[[#This Row],[FECHA DE FACTURACIÓN]],"DE CONTADO","CRÉDITO")</f>
        <v>CRÉDITO</v>
      </c>
      <c r="B1353" s="67" t="b">
        <f>+IF((PROVEEDORES[[#This Row],[FECHA DE PAGO]]-PROVEEDORES[[#This Row],[FECHA DE FACTURACIÓN]])&gt;PROVEEDORES[[#This Row],[PLAZO Días]],"PAGO VENCIDO")</f>
        <v>0</v>
      </c>
      <c r="C1353" s="27">
        <f>+VLOOKUP(PROVEEDORES[[#This Row],[PROVEEDOR]],TERCEROS_INFO[#All],2,FALSE)</f>
        <v>90</v>
      </c>
      <c r="D1353" s="37">
        <f>+SUMIFS(PROVEEDORES[Total],PROVEEDORES[PROVEEDOR],PROVEEDORES[[#This Row],[PROVEEDOR]],PROVEEDORES[FECHA DE PAGO],"")</f>
        <v>0</v>
      </c>
      <c r="E1353" s="37"/>
      <c r="F1353" s="108" t="str">
        <f>+VLOOKUP(PROVEEDORES[[#This Row],[PROVEEDOR]],TERCEROS_INFO[[PROVEEDOR]:[CORREO]],5,FALSE)</f>
        <v>criszapata1234@gmail.com;girlesa.ruiz@servipilas.com;joriescobar64@gmail.com</v>
      </c>
      <c r="G1353" s="143">
        <v>44193</v>
      </c>
      <c r="H1353" s="38" t="s">
        <v>171</v>
      </c>
      <c r="I1353" s="30">
        <v>44132</v>
      </c>
      <c r="J1353" s="58" t="s">
        <v>170</v>
      </c>
      <c r="K1353" s="32">
        <v>23722689.915966388</v>
      </c>
      <c r="L1353" s="32"/>
      <c r="M1353" s="33">
        <f>(PROVEEDORES[[#This Row],[SUBTOTAL]]-PROVEEDORES[[#This Row],[descuento antes de IVA]])*VLOOKUP(PROVEEDORES[[#This Row],[PROVEEDOR]],TERCEROS_INFO[#All],3,FALSE)</f>
        <v>4507311.084033614</v>
      </c>
      <c r="N1353" s="34">
        <v>5.0000021253984367E-2</v>
      </c>
      <c r="O1353" s="33">
        <f>+PROVEEDORES[[#This Row],[Descuento sobre subtotal %]]*(PROVEEDORES[[#This Row],[SUBTOTAL]]-PROVEEDORES[[#This Row],[descuento antes de IVA]])</f>
        <v>1186135</v>
      </c>
      <c r="P13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53" s="33">
        <f>+(PROVEEDORES[[#This Row],[SUBTOTAL]]-PROVEEDORES[[#This Row],[descuento antes de IVA]])*PROVEEDORES[[#This Row],[Rete Fuente %]]</f>
        <v>593067.24789915967</v>
      </c>
      <c r="R1353" s="32">
        <f>+PROVEEDORES[[#This Row],[SUBTOTAL]]+PROVEEDORES[[#This Row],[IVA 19%]]-PROVEEDORES[[#This Row],[descuento antes de IVA]]-PROVEEDORES[[#This Row],[Descuento sobre subtotal $]]-PROVEEDORES[[#This Row],[Rete Fuente $]]</f>
        <v>26450798.75210084</v>
      </c>
      <c r="S135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4" spans="1:19" ht="21.95" hidden="1" customHeight="1" x14ac:dyDescent="0.25">
      <c r="A1354" s="39" t="str">
        <f>+IF(PROVEEDORES[[#This Row],[FECHA DE PAGO]]=PROVEEDORES[[#This Row],[FECHA DE FACTURACIÓN]],"DE CONTADO","CRÉDITO")</f>
        <v>CRÉDITO</v>
      </c>
      <c r="B1354" s="67" t="str">
        <f>+IF((PROVEEDORES[[#This Row],[FECHA DE PAGO]]-PROVEEDORES[[#This Row],[FECHA DE FACTURACIÓN]])&gt;PROVEEDORES[[#This Row],[PLAZO Días]],"PAGO VENCIDO")</f>
        <v>PAGO VENCIDO</v>
      </c>
      <c r="C1354" s="27">
        <f>+VLOOKUP(PROVEEDORES[[#This Row],[PROVEEDOR]],TERCEROS_INFO[#All],2,FALSE)</f>
        <v>90</v>
      </c>
      <c r="D1354" s="37">
        <f>+SUMIFS(PROVEEDORES[Total],PROVEEDORES[PROVEEDOR],PROVEEDORES[[#This Row],[PROVEEDOR]],PROVEEDORES[FECHA DE PAGO],"")</f>
        <v>0</v>
      </c>
      <c r="E1354" s="37"/>
      <c r="F1354" s="108" t="str">
        <f>+VLOOKUP(PROVEEDORES[[#This Row],[PROVEEDOR]],TERCEROS_INFO[[PROVEEDOR]:[CORREO]],5,FALSE)</f>
        <v>criszapata1234@gmail.com;girlesa.ruiz@servipilas.com;joriescobar64@gmail.com</v>
      </c>
      <c r="G1354" s="143">
        <v>44292</v>
      </c>
      <c r="H1354" s="38" t="s">
        <v>171</v>
      </c>
      <c r="I1354" s="30">
        <v>44186</v>
      </c>
      <c r="J1354" s="58" t="s">
        <v>213</v>
      </c>
      <c r="K1354" s="32">
        <v>10899167.226890758</v>
      </c>
      <c r="L1354" s="32"/>
      <c r="M1354" s="33">
        <f>(PROVEEDORES[[#This Row],[SUBTOTAL]]-PROVEEDORES[[#This Row],[descuento antes de IVA]])*VLOOKUP(PROVEEDORES[[#This Row],[PROVEEDOR]],TERCEROS_INFO[#All],3,FALSE)</f>
        <v>2070841.7731092439</v>
      </c>
      <c r="N1354" s="34"/>
      <c r="O1354" s="33">
        <f>+PROVEEDORES[[#This Row],[Descuento sobre subtotal %]]*(PROVEEDORES[[#This Row],[SUBTOTAL]]-PROVEEDORES[[#This Row],[descuento antes de IVA]])</f>
        <v>0</v>
      </c>
      <c r="P13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54" s="33">
        <f>+(PROVEEDORES[[#This Row],[SUBTOTAL]]-PROVEEDORES[[#This Row],[descuento antes de IVA]])*PROVEEDORES[[#This Row],[Rete Fuente %]]</f>
        <v>272479.18067226897</v>
      </c>
      <c r="R1354" s="32">
        <f>+PROVEEDORES[[#This Row],[SUBTOTAL]]+PROVEEDORES[[#This Row],[IVA 19%]]-PROVEEDORES[[#This Row],[descuento antes de IVA]]-PROVEEDORES[[#This Row],[Descuento sobre subtotal $]]-PROVEEDORES[[#This Row],[Rete Fuente $]]</f>
        <v>12697529.819327733</v>
      </c>
      <c r="S135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5" spans="1:19" ht="21.95" hidden="1" customHeight="1" x14ac:dyDescent="0.25">
      <c r="A1355" s="39" t="str">
        <f>+IF(PROVEEDORES[[#This Row],[FECHA DE PAGO]]=PROVEEDORES[[#This Row],[FECHA DE FACTURACIÓN]],"DE CONTADO","CRÉDITO")</f>
        <v>CRÉDITO</v>
      </c>
      <c r="B1355" s="67" t="str">
        <f>+IF((PROVEEDORES[[#This Row],[FECHA DE PAGO]]-PROVEEDORES[[#This Row],[FECHA DE FACTURACIÓN]])&gt;PROVEEDORES[[#This Row],[PLAZO Días]],"PAGO VENCIDO")</f>
        <v>PAGO VENCIDO</v>
      </c>
      <c r="C1355" s="27">
        <f>+VLOOKUP(PROVEEDORES[[#This Row],[PROVEEDOR]],TERCEROS_INFO[#All],2,FALSE)</f>
        <v>90</v>
      </c>
      <c r="D1355" s="37">
        <f>+SUMIFS(PROVEEDORES[Total],PROVEEDORES[PROVEEDOR],PROVEEDORES[[#This Row],[PROVEEDOR]],PROVEEDORES[FECHA DE PAGO],"")</f>
        <v>0</v>
      </c>
      <c r="E1355" s="37"/>
      <c r="F1355" s="108" t="str">
        <f>+VLOOKUP(PROVEEDORES[[#This Row],[PROVEEDOR]],TERCEROS_INFO[[PROVEEDOR]:[CORREO]],5,FALSE)</f>
        <v>criszapata1234@gmail.com;girlesa.ruiz@servipilas.com;joriescobar64@gmail.com</v>
      </c>
      <c r="G1355" s="143">
        <v>44366</v>
      </c>
      <c r="H1355" s="38" t="s">
        <v>171</v>
      </c>
      <c r="I1355" s="30">
        <v>44186</v>
      </c>
      <c r="J1355" s="58" t="s">
        <v>211</v>
      </c>
      <c r="K1355" s="32">
        <v>6861342.8571428573</v>
      </c>
      <c r="L1355" s="32"/>
      <c r="M1355" s="33">
        <f>(PROVEEDORES[[#This Row],[SUBTOTAL]]-PROVEEDORES[[#This Row],[descuento antes de IVA]])*VLOOKUP(PROVEEDORES[[#This Row],[PROVEEDOR]],TERCEROS_INFO[#All],3,FALSE)</f>
        <v>1303655.142857143</v>
      </c>
      <c r="N1355" s="34"/>
      <c r="O1355" s="33">
        <f>+PROVEEDORES[[#This Row],[Descuento sobre subtotal %]]*(PROVEEDORES[[#This Row],[SUBTOTAL]]-PROVEEDORES[[#This Row],[descuento antes de IVA]])</f>
        <v>0</v>
      </c>
      <c r="P13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55" s="33">
        <f>+(PROVEEDORES[[#This Row],[SUBTOTAL]]-PROVEEDORES[[#This Row],[descuento antes de IVA]])*PROVEEDORES[[#This Row],[Rete Fuente %]]</f>
        <v>171533.57142857145</v>
      </c>
      <c r="R1355" s="32">
        <f>+PROVEEDORES[[#This Row],[SUBTOTAL]]+PROVEEDORES[[#This Row],[IVA 19%]]-PROVEEDORES[[#This Row],[descuento antes de IVA]]-PROVEEDORES[[#This Row],[Descuento sobre subtotal $]]-PROVEEDORES[[#This Row],[Rete Fuente $]]</f>
        <v>7993464.4285714282</v>
      </c>
      <c r="S135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6" spans="1:19" ht="21.95" hidden="1" customHeight="1" x14ac:dyDescent="0.25">
      <c r="A1356" s="39" t="str">
        <f>+IF(PROVEEDORES[[#This Row],[FECHA DE PAGO]]=PROVEEDORES[[#This Row],[FECHA DE FACTURACIÓN]],"DE CONTADO","CRÉDITO")</f>
        <v>CRÉDITO</v>
      </c>
      <c r="B1356" s="67" t="str">
        <f>+IF((PROVEEDORES[[#This Row],[FECHA DE PAGO]]-PROVEEDORES[[#This Row],[FECHA DE FACTURACIÓN]])&gt;PROVEEDORES[[#This Row],[PLAZO Días]],"PAGO VENCIDO")</f>
        <v>PAGO VENCIDO</v>
      </c>
      <c r="C1356" s="27">
        <f>+VLOOKUP(PROVEEDORES[[#This Row],[PROVEEDOR]],TERCEROS_INFO[#All],2,FALSE)</f>
        <v>90</v>
      </c>
      <c r="D1356" s="37">
        <f>+SUMIFS(PROVEEDORES[Total],PROVEEDORES[PROVEEDOR],PROVEEDORES[[#This Row],[PROVEEDOR]],PROVEEDORES[FECHA DE PAGO],"")</f>
        <v>0</v>
      </c>
      <c r="E1356" s="37"/>
      <c r="F1356" s="108" t="str">
        <f>+VLOOKUP(PROVEEDORES[[#This Row],[PROVEEDOR]],TERCEROS_INFO[[PROVEEDOR]:[CORREO]],5,FALSE)</f>
        <v>criszapata1234@gmail.com;girlesa.ruiz@servipilas.com;joriescobar64@gmail.com</v>
      </c>
      <c r="G1356" s="143">
        <v>44366</v>
      </c>
      <c r="H1356" s="38" t="s">
        <v>171</v>
      </c>
      <c r="I1356" s="30">
        <v>44188</v>
      </c>
      <c r="J1356" s="58" t="s">
        <v>212</v>
      </c>
      <c r="K1356" s="32">
        <v>1109243.6974789917</v>
      </c>
      <c r="L1356" s="32"/>
      <c r="M1356" s="33">
        <f>(PROVEEDORES[[#This Row],[SUBTOTAL]]-PROVEEDORES[[#This Row],[descuento antes de IVA]])*VLOOKUP(PROVEEDORES[[#This Row],[PROVEEDOR]],TERCEROS_INFO[#All],3,FALSE)</f>
        <v>210756.30252100842</v>
      </c>
      <c r="N1356" s="34"/>
      <c r="O1356" s="33">
        <f>+PROVEEDORES[[#This Row],[Descuento sobre subtotal %]]*(PROVEEDORES[[#This Row],[SUBTOTAL]]-PROVEEDORES[[#This Row],[descuento antes de IVA]])</f>
        <v>0</v>
      </c>
      <c r="P13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56" s="33">
        <f>+(PROVEEDORES[[#This Row],[SUBTOTAL]]-PROVEEDORES[[#This Row],[descuento antes de IVA]])*PROVEEDORES[[#This Row],[Rete Fuente %]]</f>
        <v>27731.092436974795</v>
      </c>
      <c r="R1356" s="32">
        <f>+PROVEEDORES[[#This Row],[SUBTOTAL]]+PROVEEDORES[[#This Row],[IVA 19%]]-PROVEEDORES[[#This Row],[descuento antes de IVA]]-PROVEEDORES[[#This Row],[Descuento sobre subtotal $]]-PROVEEDORES[[#This Row],[Rete Fuente $]]</f>
        <v>1292268.9075630251</v>
      </c>
      <c r="S135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7" spans="1:19" ht="21.95" hidden="1" customHeight="1" x14ac:dyDescent="0.25">
      <c r="A1357" s="103" t="str">
        <f>+IF(PROVEEDORES[[#This Row],[FECHA DE PAGO]]=PROVEEDORES[[#This Row],[FECHA DE FACTURACIÓN]],"DE CONTADO","CRÉDITO")</f>
        <v>CRÉDITO</v>
      </c>
      <c r="B1357" s="70" t="str">
        <f>+IF((PROVEEDORES[[#This Row],[FECHA DE PAGO]]-PROVEEDORES[[#This Row],[FECHA DE FACTURACIÓN]])&gt;PROVEEDORES[[#This Row],[PLAZO Días]],"PAGO VENCIDO")</f>
        <v>PAGO VENCIDO</v>
      </c>
      <c r="C1357" s="27">
        <f>+VLOOKUP(PROVEEDORES[[#This Row],[PROVEEDOR]],TERCEROS_INFO[#All],2,FALSE)</f>
        <v>90</v>
      </c>
      <c r="D1357" s="37">
        <f>+SUMIFS(PROVEEDORES[Total],PROVEEDORES[PROVEEDOR],PROVEEDORES[[#This Row],[PROVEEDOR]],PROVEEDORES[FECHA DE PAGO],"")</f>
        <v>0</v>
      </c>
      <c r="E1357" s="37"/>
      <c r="F1357" s="108" t="str">
        <f>+VLOOKUP(PROVEEDORES[[#This Row],[PROVEEDOR]],TERCEROS_INFO[[PROVEEDOR]:[CORREO]],5,FALSE)</f>
        <v>criszapata1234@gmail.com;girlesa.ruiz@servipilas.com;joriescobar64@gmail.com</v>
      </c>
      <c r="G1357" s="143">
        <v>44427</v>
      </c>
      <c r="H1357" s="38" t="s">
        <v>171</v>
      </c>
      <c r="I1357" s="30">
        <v>44306</v>
      </c>
      <c r="J1357" s="58" t="s">
        <v>609</v>
      </c>
      <c r="K1357" s="32">
        <v>11575598</v>
      </c>
      <c r="L1357" s="32"/>
      <c r="M1357" s="33">
        <f>(PROVEEDORES[[#This Row],[SUBTOTAL]]-PROVEEDORES[[#This Row],[descuento antes de IVA]])*VLOOKUP(PROVEEDORES[[#This Row],[PROVEEDOR]],TERCEROS_INFO[#All],3,FALSE)</f>
        <v>2199363.62</v>
      </c>
      <c r="N1357" s="34"/>
      <c r="O1357" s="33">
        <f>+PROVEEDORES[[#This Row],[Descuento sobre subtotal %]]*(PROVEEDORES[[#This Row],[SUBTOTAL]]-PROVEEDORES[[#This Row],[descuento antes de IVA]])</f>
        <v>0</v>
      </c>
      <c r="P13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57" s="33">
        <f>+(PROVEEDORES[[#This Row],[SUBTOTAL]]-PROVEEDORES[[#This Row],[descuento antes de IVA]])*PROVEEDORES[[#This Row],[Rete Fuente %]]</f>
        <v>289389.95</v>
      </c>
      <c r="R1357" s="32">
        <f>+PROVEEDORES[[#This Row],[SUBTOTAL]]+PROVEEDORES[[#This Row],[IVA 19%]]-PROVEEDORES[[#This Row],[descuento antes de IVA]]-PROVEEDORES[[#This Row],[Descuento sobre subtotal $]]-PROVEEDORES[[#This Row],[Rete Fuente $]]</f>
        <v>13485571.670000002</v>
      </c>
      <c r="S1357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8" spans="1:19" ht="21.95" hidden="1" customHeight="1" x14ac:dyDescent="0.25">
      <c r="A1358" s="141" t="str">
        <f>+IF(PROVEEDORES[[#This Row],[FECHA DE PAGO]]=PROVEEDORES[[#This Row],[FECHA DE FACTURACIÓN]],"DE CONTADO","CRÉDITO")</f>
        <v>CRÉDITO</v>
      </c>
      <c r="B1358" s="70" t="str">
        <f>+IF((PROVEEDORES[[#This Row],[FECHA DE PAGO]]-PROVEEDORES[[#This Row],[FECHA DE FACTURACIÓN]])&gt;PROVEEDORES[[#This Row],[PLAZO Días]],"PAGO VENCIDO")</f>
        <v>PAGO VENCIDO</v>
      </c>
      <c r="C1358" s="27">
        <f>+VLOOKUP(PROVEEDORES[[#This Row],[PROVEEDOR]],TERCEROS_INFO[#All],2,FALSE)</f>
        <v>90</v>
      </c>
      <c r="D1358" s="37">
        <f>+SUMIFS(PROVEEDORES[Total],PROVEEDORES[PROVEEDOR],PROVEEDORES[[#This Row],[PROVEEDOR]],PROVEEDORES[FECHA DE PAGO],"")</f>
        <v>0</v>
      </c>
      <c r="E1358" s="37"/>
      <c r="F1358" s="108" t="str">
        <f>+VLOOKUP(PROVEEDORES[[#This Row],[PROVEEDOR]],TERCEROS_INFO[[PROVEEDOR]:[CORREO]],5,FALSE)</f>
        <v>criszapata1234@gmail.com;girlesa.ruiz@servipilas.com;joriescobar64@gmail.com</v>
      </c>
      <c r="G1358" s="143">
        <v>44533</v>
      </c>
      <c r="H1358" s="38" t="s">
        <v>171</v>
      </c>
      <c r="I1358" s="30">
        <v>44414</v>
      </c>
      <c r="J1358" s="58" t="s">
        <v>786</v>
      </c>
      <c r="K1358" s="32">
        <v>16113446</v>
      </c>
      <c r="L1358" s="32"/>
      <c r="M1358" s="33">
        <f>(PROVEEDORES[[#This Row],[SUBTOTAL]]-PROVEEDORES[[#This Row],[descuento antes de IVA]])*VLOOKUP(PROVEEDORES[[#This Row],[PROVEEDOR]],TERCEROS_INFO[#All],3,FALSE)</f>
        <v>3061554.74</v>
      </c>
      <c r="N1358" s="34"/>
      <c r="O1358" s="33">
        <f>+PROVEEDORES[[#This Row],[Descuento sobre subtotal %]]*(PROVEEDORES[[#This Row],[SUBTOTAL]]-PROVEEDORES[[#This Row],[descuento antes de IVA]])</f>
        <v>0</v>
      </c>
      <c r="P13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58" s="33">
        <f>+(PROVEEDORES[[#This Row],[SUBTOTAL]]-PROVEEDORES[[#This Row],[descuento antes de IVA]])*PROVEEDORES[[#This Row],[Rete Fuente %]]</f>
        <v>402836.15</v>
      </c>
      <c r="R1358" s="32">
        <f>+PROVEEDORES[[#This Row],[SUBTOTAL]]+PROVEEDORES[[#This Row],[IVA 19%]]-PROVEEDORES[[#This Row],[descuento antes de IVA]]-PROVEEDORES[[#This Row],[Descuento sobre subtotal $]]-PROVEEDORES[[#This Row],[Rete Fuente $]]</f>
        <v>18772164.590000004</v>
      </c>
      <c r="S1358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59" spans="1:19" ht="21.95" hidden="1" customHeight="1" x14ac:dyDescent="0.25">
      <c r="A1359" s="163" t="str">
        <f>+IF(PROVEEDORES[[#This Row],[FECHA DE PAGO]]=PROVEEDORES[[#This Row],[FECHA DE FACTURACIÓN]],"DE CONTADO","CRÉDITO")</f>
        <v>CRÉDITO</v>
      </c>
      <c r="B1359" s="70" t="str">
        <f>+IF((PROVEEDORES[[#This Row],[FECHA DE PAGO]]-PROVEEDORES[[#This Row],[FECHA DE FACTURACIÓN]])&gt;PROVEEDORES[[#This Row],[PLAZO Días]],"PAGO VENCIDO")</f>
        <v>PAGO VENCIDO</v>
      </c>
      <c r="C1359" s="27">
        <v>-2</v>
      </c>
      <c r="D1359" s="37">
        <f>+SUMIFS(PROVEEDORES[Total],PROVEEDORES[PROVEEDOR],PROVEEDORES[[#This Row],[PROVEEDOR]],PROVEEDORES[FECHA DE PAGO],"")</f>
        <v>0</v>
      </c>
      <c r="E1359" s="37"/>
      <c r="F1359" s="108" t="str">
        <f>+VLOOKUP(PROVEEDORES[[#This Row],[PROVEEDOR]],TERCEROS_INFO[[PROVEEDOR]:[CORREO]],5,FALSE)</f>
        <v>criszapata1234@gmail.com;girlesa.ruiz@servipilas.com;joriescobar64@gmail.com</v>
      </c>
      <c r="G1359" s="143">
        <v>44533</v>
      </c>
      <c r="H1359" s="38" t="s">
        <v>171</v>
      </c>
      <c r="I1359" s="30">
        <v>44510</v>
      </c>
      <c r="J1359" s="58" t="s">
        <v>942</v>
      </c>
      <c r="K1359" s="32">
        <v>-3000000</v>
      </c>
      <c r="L1359" s="32"/>
      <c r="M1359" s="33">
        <v>0</v>
      </c>
      <c r="N1359" s="34"/>
      <c r="O1359" s="33">
        <f>+PROVEEDORES[[#This Row],[Descuento sobre subtotal %]]*(PROVEEDORES[[#This Row],[SUBTOTAL]]-PROVEEDORES[[#This Row],[descuento antes de IVA]])</f>
        <v>0</v>
      </c>
      <c r="P13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59" s="33">
        <f>+(PROVEEDORES[[#This Row],[SUBTOTAL]]-PROVEEDORES[[#This Row],[descuento antes de IVA]])*PROVEEDORES[[#This Row],[Rete Fuente %]]</f>
        <v>0</v>
      </c>
      <c r="R1359" s="32">
        <v>0</v>
      </c>
      <c r="S1359" s="16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0" spans="1:19" ht="21.95" hidden="1" customHeight="1" x14ac:dyDescent="0.25">
      <c r="A1360" s="164" t="str">
        <f>+IF(PROVEEDORES[[#This Row],[FECHA DE PAGO]]=PROVEEDORES[[#This Row],[FECHA DE FACTURACIÓN]],"DE CONTADO","CRÉDITO")</f>
        <v>CRÉDITO</v>
      </c>
      <c r="B1360" s="70" t="str">
        <f>+IF((PROVEEDORES[[#This Row],[FECHA DE PAGO]]-PROVEEDORES[[#This Row],[FECHA DE FACTURACIÓN]])&gt;PROVEEDORES[[#This Row],[PLAZO Días]],"PAGO VENCIDO")</f>
        <v>PAGO VENCIDO</v>
      </c>
      <c r="C1360" s="27">
        <v>1</v>
      </c>
      <c r="D1360" s="37">
        <f>+SUMIFS(PROVEEDORES[Total],PROVEEDORES[PROVEEDOR],PROVEEDORES[[#This Row],[PROVEEDOR]],PROVEEDORES[FECHA DE PAGO],"")</f>
        <v>0</v>
      </c>
      <c r="E1360" s="37"/>
      <c r="F1360" s="108" t="str">
        <f>+VLOOKUP(PROVEEDORES[[#This Row],[PROVEEDOR]],TERCEROS_INFO[[PROVEEDOR]:[CORREO]],5,FALSE)</f>
        <v>criszapata1234@gmail.com;girlesa.ruiz@servipilas.com;joriescobar64@gmail.com</v>
      </c>
      <c r="G1360" s="143">
        <v>44533</v>
      </c>
      <c r="H1360" s="38" t="s">
        <v>171</v>
      </c>
      <c r="I1360" s="30">
        <v>44512</v>
      </c>
      <c r="J1360" s="58" t="s">
        <v>942</v>
      </c>
      <c r="K1360" s="32">
        <v>-2000000</v>
      </c>
      <c r="L1360" s="32"/>
      <c r="M1360" s="33">
        <v>0</v>
      </c>
      <c r="N1360" s="34"/>
      <c r="O1360" s="33">
        <f>+PROVEEDORES[[#This Row],[Descuento sobre subtotal %]]*(PROVEEDORES[[#This Row],[SUBTOTAL]]-PROVEEDORES[[#This Row],[descuento antes de IVA]])</f>
        <v>0</v>
      </c>
      <c r="P13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60" s="33">
        <f>+(PROVEEDORES[[#This Row],[SUBTOTAL]]-PROVEEDORES[[#This Row],[descuento antes de IVA]])*PROVEEDORES[[#This Row],[Rete Fuente %]]</f>
        <v>0</v>
      </c>
      <c r="R1360" s="32">
        <v>0</v>
      </c>
      <c r="S1360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1" spans="1:19" ht="21.95" hidden="1" customHeight="1" x14ac:dyDescent="0.25">
      <c r="A1361" s="165" t="str">
        <f>+IF(PROVEEDORES[[#This Row],[FECHA DE PAGO]]=PROVEEDORES[[#This Row],[FECHA DE FACTURACIÓN]],"DE CONTADO","CRÉDITO")</f>
        <v>CRÉDITO</v>
      </c>
      <c r="B1361" s="70" t="str">
        <f>+IF((PROVEEDORES[[#This Row],[FECHA DE PAGO]]-PROVEEDORES[[#This Row],[FECHA DE FACTURACIÓN]])&gt;PROVEEDORES[[#This Row],[PLAZO Días]],"PAGO VENCIDO")</f>
        <v>PAGO VENCIDO</v>
      </c>
      <c r="C1361" s="27">
        <v>-1</v>
      </c>
      <c r="D1361" s="37">
        <f>+SUMIFS(PROVEEDORES[Total],PROVEEDORES[PROVEEDOR],PROVEEDORES[[#This Row],[PROVEEDOR]],PROVEEDORES[FECHA DE PAGO],"")</f>
        <v>0</v>
      </c>
      <c r="E1361" s="37"/>
      <c r="F1361" s="108" t="str">
        <f>+VLOOKUP(PROVEEDORES[[#This Row],[PROVEEDOR]],TERCEROS_INFO[[PROVEEDOR]:[CORREO]],5,FALSE)</f>
        <v>criszapata1234@gmail.com;girlesa.ruiz@servipilas.com;joriescobar64@gmail.com</v>
      </c>
      <c r="G1361" s="143">
        <v>44533</v>
      </c>
      <c r="H1361" s="38" t="s">
        <v>171</v>
      </c>
      <c r="I1361" s="30">
        <v>44523</v>
      </c>
      <c r="J1361" s="58" t="s">
        <v>942</v>
      </c>
      <c r="K1361" s="32">
        <v>-2000000</v>
      </c>
      <c r="L1361" s="32"/>
      <c r="M1361" s="33">
        <v>0</v>
      </c>
      <c r="N1361" s="34"/>
      <c r="O1361" s="33">
        <f>+PROVEEDORES[[#This Row],[Descuento sobre subtotal %]]*(PROVEEDORES[[#This Row],[SUBTOTAL]]-PROVEEDORES[[#This Row],[descuento antes de IVA]])</f>
        <v>0</v>
      </c>
      <c r="P13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61" s="33">
        <f>+(PROVEEDORES[[#This Row],[SUBTOTAL]]-PROVEEDORES[[#This Row],[descuento antes de IVA]])*PROVEEDORES[[#This Row],[Rete Fuente %]]</f>
        <v>0</v>
      </c>
      <c r="R1361" s="32">
        <v>0</v>
      </c>
      <c r="S1361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2" spans="1:19" ht="21.95" hidden="1" customHeight="1" x14ac:dyDescent="0.25">
      <c r="A1362" s="35" t="str">
        <f>+IF(PROVEEDORES[[#This Row],[FECHA DE PAGO]]=PROVEEDORES[[#This Row],[FECHA DE FACTURACIÓN]],"DE CONTADO","CRÉDITO")</f>
        <v>DE CONTADO</v>
      </c>
      <c r="B1362" s="70" t="str">
        <f>+IF((PROVEEDORES[[#This Row],[FECHA DE PAGO]]-PROVEEDORES[[#This Row],[FECHA DE FACTURACIÓN]])&gt;PROVEEDORES[[#This Row],[PLAZO Días]],"PAGO VENCIDO")</f>
        <v>PAGO VENCIDO</v>
      </c>
      <c r="C1362" s="27">
        <v>-2</v>
      </c>
      <c r="D1362" s="37">
        <f>+SUMIFS(PROVEEDORES[Total],PROVEEDORES[PROVEEDOR],PROVEEDORES[[#This Row],[PROVEEDOR]],PROVEEDORES[FECHA DE PAGO],"")</f>
        <v>0</v>
      </c>
      <c r="E1362" s="37"/>
      <c r="F1362" s="108" t="str">
        <f>+VLOOKUP(PROVEEDORES[[#This Row],[PROVEEDOR]],TERCEROS_INFO[[PROVEEDOR]:[CORREO]],5,FALSE)</f>
        <v>criszapata1234@gmail.com;girlesa.ruiz@servipilas.com;joriescobar64@gmail.com</v>
      </c>
      <c r="G1362" s="143">
        <v>44533</v>
      </c>
      <c r="H1362" s="38" t="s">
        <v>171</v>
      </c>
      <c r="I1362" s="30">
        <v>44533</v>
      </c>
      <c r="J1362" s="58" t="s">
        <v>942</v>
      </c>
      <c r="K1362" s="32">
        <v>-11772165</v>
      </c>
      <c r="L1362" s="32"/>
      <c r="M1362" s="33">
        <v>0</v>
      </c>
      <c r="N1362" s="34"/>
      <c r="O1362" s="33">
        <f>+PROVEEDORES[[#This Row],[Descuento sobre subtotal %]]*(PROVEEDORES[[#This Row],[SUBTOTAL]]-PROVEEDORES[[#This Row],[descuento antes de IVA]])</f>
        <v>0</v>
      </c>
      <c r="P13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62" s="33">
        <f>+(PROVEEDORES[[#This Row],[SUBTOTAL]]-PROVEEDORES[[#This Row],[descuento antes de IVA]])*PROVEEDORES[[#This Row],[Rete Fuente %]]</f>
        <v>0</v>
      </c>
      <c r="R1362" s="32">
        <v>0</v>
      </c>
      <c r="S136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3" spans="1:19" ht="21.95" hidden="1" customHeight="1" x14ac:dyDescent="0.25">
      <c r="A1363" s="165" t="str">
        <f>+IF(PROVEEDORES[[#This Row],[FECHA DE PAGO]]=PROVEEDORES[[#This Row],[FECHA DE FACTURACIÓN]],"DE CONTADO","CRÉDITO")</f>
        <v>CRÉDITO</v>
      </c>
      <c r="B1363" s="70" t="b">
        <f>+IF((PROVEEDORES[[#This Row],[FECHA DE PAGO]]-PROVEEDORES[[#This Row],[FECHA DE FACTURACIÓN]])&gt;PROVEEDORES[[#This Row],[PLAZO Días]],"PAGO VENCIDO")</f>
        <v>0</v>
      </c>
      <c r="C1363" s="27">
        <f>+VLOOKUP(PROVEEDORES[[#This Row],[PROVEEDOR]],TERCEROS_INFO[#All],2,FALSE)</f>
        <v>90</v>
      </c>
      <c r="D1363" s="37">
        <f>+SUMIFS(PROVEEDORES[Total],PROVEEDORES[PROVEEDOR],PROVEEDORES[[#This Row],[PROVEEDOR]],PROVEEDORES[FECHA DE PAGO],"")</f>
        <v>0</v>
      </c>
      <c r="E1363" s="37"/>
      <c r="F1363" s="108" t="str">
        <f>+VLOOKUP(PROVEEDORES[[#This Row],[PROVEEDOR]],TERCEROS_INFO[[PROVEEDOR]:[CORREO]],5,FALSE)</f>
        <v>criszapata1234@gmail.com;girlesa.ruiz@servipilas.com;joriescobar64@gmail.com</v>
      </c>
      <c r="G1363" s="143">
        <v>44561</v>
      </c>
      <c r="H1363" s="38" t="s">
        <v>171</v>
      </c>
      <c r="I1363" s="30">
        <v>44511</v>
      </c>
      <c r="J1363" s="58" t="s">
        <v>964</v>
      </c>
      <c r="K1363" s="32">
        <v>34382322</v>
      </c>
      <c r="L1363" s="32"/>
      <c r="M1363" s="33">
        <f>(PROVEEDORES[[#This Row],[SUBTOTAL]]-PROVEEDORES[[#This Row],[descuento antes de IVA]])*VLOOKUP(PROVEEDORES[[#This Row],[PROVEEDOR]],TERCEROS_INFO[#All],3,FALSE)</f>
        <v>6532641.1799999997</v>
      </c>
      <c r="N1363" s="34">
        <v>0.06</v>
      </c>
      <c r="O1363" s="33">
        <f>+PROVEEDORES[[#This Row],[Descuento sobre subtotal %]]*(PROVEEDORES[[#This Row],[SUBTOTAL]]-PROVEEDORES[[#This Row],[descuento antes de IVA]])</f>
        <v>2062939.3199999998</v>
      </c>
      <c r="P13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63" s="33">
        <f>+(PROVEEDORES[[#This Row],[SUBTOTAL]]-PROVEEDORES[[#This Row],[descuento antes de IVA]])*PROVEEDORES[[#This Row],[Rete Fuente %]]</f>
        <v>859558.05</v>
      </c>
      <c r="R1363" s="32">
        <f>+PROVEEDORES[[#This Row],[SUBTOTAL]]+PROVEEDORES[[#This Row],[IVA 19%]]-PROVEEDORES[[#This Row],[descuento antes de IVA]]-PROVEEDORES[[#This Row],[Descuento sobre subtotal $]]-PROVEEDORES[[#This Row],[Rete Fuente $]]</f>
        <v>37992465.810000002</v>
      </c>
      <c r="S1363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4" spans="1:19" ht="21.95" hidden="1" customHeight="1" x14ac:dyDescent="0.25">
      <c r="A1364" s="141" t="str">
        <f>+IF(PROVEEDORES[[#This Row],[FECHA DE PAGO]]=PROVEEDORES[[#This Row],[FECHA DE FACTURACIÓN]],"DE CONTADO","CRÉDITO")</f>
        <v>CRÉDITO</v>
      </c>
      <c r="B1364" s="70" t="str">
        <f>+IF((PROVEEDORES[[#This Row],[FECHA DE PAGO]]-PROVEEDORES[[#This Row],[FECHA DE FACTURACIÓN]])&gt;PROVEEDORES[[#This Row],[PLAZO Días]],"PAGO VENCIDO")</f>
        <v>PAGO VENCIDO</v>
      </c>
      <c r="C1364" s="27">
        <f>+VLOOKUP(PROVEEDORES[[#This Row],[PROVEEDOR]],TERCEROS_INFO[#All],2,FALSE)</f>
        <v>90</v>
      </c>
      <c r="D1364" s="37">
        <f>+SUMIFS(PROVEEDORES[Total],PROVEEDORES[PROVEEDOR],PROVEEDORES[[#This Row],[PROVEEDOR]],PROVEEDORES[FECHA DE PAGO],"")</f>
        <v>0</v>
      </c>
      <c r="E1364" s="37"/>
      <c r="F1364" s="108" t="str">
        <f>+VLOOKUP(PROVEEDORES[[#This Row],[PROVEEDOR]],TERCEROS_INFO[[PROVEEDOR]:[CORREO]],5,FALSE)</f>
        <v>criszapata1234@gmail.com;girlesa.ruiz@servipilas.com;joriescobar64@gmail.com</v>
      </c>
      <c r="G1364" s="143">
        <v>44558</v>
      </c>
      <c r="H1364" s="38" t="s">
        <v>171</v>
      </c>
      <c r="I1364" s="30">
        <v>44414</v>
      </c>
      <c r="J1364" s="58" t="s">
        <v>787</v>
      </c>
      <c r="K1364" s="32">
        <v>927733</v>
      </c>
      <c r="L1364" s="32"/>
      <c r="M1364" s="33">
        <f>(PROVEEDORES[[#This Row],[SUBTOTAL]]-PROVEEDORES[[#This Row],[descuento antes de IVA]])*VLOOKUP(PROVEEDORES[[#This Row],[PROVEEDOR]],TERCEROS_INFO[#All],3,FALSE)</f>
        <v>176269.27</v>
      </c>
      <c r="N1364" s="34"/>
      <c r="O1364" s="33">
        <f>+PROVEEDORES[[#This Row],[Descuento sobre subtotal %]]*(PROVEEDORES[[#This Row],[SUBTOTAL]]-PROVEEDORES[[#This Row],[descuento antes de IVA]])</f>
        <v>0</v>
      </c>
      <c r="P13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64" s="33">
        <f>+(PROVEEDORES[[#This Row],[SUBTOTAL]]-PROVEEDORES[[#This Row],[descuento antes de IVA]])*PROVEEDORES[[#This Row],[Rete Fuente %]]</f>
        <v>0</v>
      </c>
      <c r="R1364" s="32">
        <f>+PROVEEDORES[[#This Row],[SUBTOTAL]]+PROVEEDORES[[#This Row],[IVA 19%]]-PROVEEDORES[[#This Row],[descuento antes de IVA]]-PROVEEDORES[[#This Row],[Descuento sobre subtotal $]]-PROVEEDORES[[#This Row],[Rete Fuente $]]</f>
        <v>1104002.27</v>
      </c>
      <c r="S1364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5" spans="1:19" ht="21.95" hidden="1" customHeight="1" x14ac:dyDescent="0.25">
      <c r="A1365" s="39" t="str">
        <f>+IF(PROVEEDORES[[#This Row],[FECHA DE PAGO]]=PROVEEDORES[[#This Row],[FECHA DE FACTURACIÓN]],"DE CONTADO","CRÉDITO")</f>
        <v>CRÉDITO</v>
      </c>
      <c r="B1365" s="67" t="str">
        <f>+IF((PROVEEDORES[[#This Row],[FECHA DE PAGO]]-PROVEEDORES[[#This Row],[FECHA DE FACTURACIÓN]])&gt;PROVEEDORES[[#This Row],[PLAZO Días]],"PAGO VENCIDO")</f>
        <v>PAGO VENCIDO</v>
      </c>
      <c r="C1365" s="27">
        <f>+VLOOKUP(PROVEEDORES[[#This Row],[PROVEEDOR]],TERCEROS_INFO[#All],2,FALSE)</f>
        <v>30</v>
      </c>
      <c r="D1365" s="37">
        <f>+SUMIFS(PROVEEDORES[Total],PROVEEDORES[PROVEEDOR],PROVEEDORES[[#This Row],[PROVEEDOR]],PROVEEDORES[FECHA DE PAGO],"")</f>
        <v>0</v>
      </c>
      <c r="E1365" s="37"/>
      <c r="F1365" s="108" t="str">
        <f>+VLOOKUP(PROVEEDORES[[#This Row],[PROVEEDOR]],TERCEROS_INFO[[PROVEEDOR]:[CORREO]],5,FALSE)</f>
        <v>tesoreria@makingbusiness.com.co;girlesa.ruiz@servipilas.com;joriescobar64@gmail.com</v>
      </c>
      <c r="G1365" s="143">
        <v>44095</v>
      </c>
      <c r="H1365" s="38" t="s">
        <v>34</v>
      </c>
      <c r="I1365" s="30">
        <v>44055</v>
      </c>
      <c r="J1365" s="58">
        <v>1557</v>
      </c>
      <c r="K1365" s="32">
        <v>1342857.142857143</v>
      </c>
      <c r="L1365" s="32"/>
      <c r="M1365" s="33">
        <f>(PROVEEDORES[[#This Row],[SUBTOTAL]]-PROVEEDORES[[#This Row],[descuento antes de IVA]])*VLOOKUP(PROVEEDORES[[#This Row],[PROVEEDOR]],TERCEROS_INFO[#All],3,FALSE)</f>
        <v>255142.85714285716</v>
      </c>
      <c r="N1365" s="34"/>
      <c r="O1365" s="33">
        <f>+PROVEEDORES[[#This Row],[Descuento sobre subtotal %]]*(PROVEEDORES[[#This Row],[SUBTOTAL]]-PROVEEDORES[[#This Row],[descuento antes de IVA]])</f>
        <v>0</v>
      </c>
      <c r="P13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65" s="33">
        <f>+(PROVEEDORES[[#This Row],[SUBTOTAL]]-PROVEEDORES[[#This Row],[descuento antes de IVA]])*PROVEEDORES[[#This Row],[Rete Fuente %]]</f>
        <v>33571.428571428572</v>
      </c>
      <c r="R1365" s="32">
        <f>+PROVEEDORES[[#This Row],[SUBTOTAL]]+PROVEEDORES[[#This Row],[IVA 19%]]-PROVEEDORES[[#This Row],[descuento antes de IVA]]-PROVEEDORES[[#This Row],[Descuento sobre subtotal $]]-PROVEEDORES[[#This Row],[Rete Fuente $]]</f>
        <v>1564428.5714285714</v>
      </c>
      <c r="S136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6" spans="1:19" ht="21.95" hidden="1" customHeight="1" x14ac:dyDescent="0.25">
      <c r="A1366" s="39" t="str">
        <f>+IF(PROVEEDORES[[#This Row],[FECHA DE PAGO]]=PROVEEDORES[[#This Row],[FECHA DE FACTURACIÓN]],"DE CONTADO","CRÉDITO")</f>
        <v>CRÉDITO</v>
      </c>
      <c r="B1366" s="67" t="str">
        <f>+IF((PROVEEDORES[[#This Row],[FECHA DE PAGO]]-PROVEEDORES[[#This Row],[FECHA DE FACTURACIÓN]])&gt;PROVEEDORES[[#This Row],[PLAZO Días]],"PAGO VENCIDO")</f>
        <v>PAGO VENCIDO</v>
      </c>
      <c r="C1366" s="27">
        <f>+VLOOKUP(PROVEEDORES[[#This Row],[PROVEEDOR]],TERCEROS_INFO[#All],2,FALSE)</f>
        <v>30</v>
      </c>
      <c r="D1366" s="37">
        <f>+SUMIFS(PROVEEDORES[Total],PROVEEDORES[PROVEEDOR],PROVEEDORES[[#This Row],[PROVEEDOR]],PROVEEDORES[FECHA DE PAGO],"")</f>
        <v>0</v>
      </c>
      <c r="E1366" s="37"/>
      <c r="F1366" s="108" t="str">
        <f>+VLOOKUP(PROVEEDORES[[#This Row],[PROVEEDOR]],TERCEROS_INFO[[PROVEEDOR]:[CORREO]],5,FALSE)</f>
        <v>tesoreria@makingbusiness.com.co;girlesa.ruiz@servipilas.com;joriescobar64@gmail.com</v>
      </c>
      <c r="G1366" s="143">
        <v>44138</v>
      </c>
      <c r="H1366" s="38" t="s">
        <v>34</v>
      </c>
      <c r="I1366" s="30">
        <v>44102</v>
      </c>
      <c r="J1366" s="58">
        <v>2059</v>
      </c>
      <c r="K1366" s="32">
        <v>111260.50420168068</v>
      </c>
      <c r="L1366" s="32"/>
      <c r="M1366" s="33">
        <f>(PROVEEDORES[[#This Row],[SUBTOTAL]]-PROVEEDORES[[#This Row],[descuento antes de IVA]])*VLOOKUP(PROVEEDORES[[#This Row],[PROVEEDOR]],TERCEROS_INFO[#All],3,FALSE)</f>
        <v>21139.495798319331</v>
      </c>
      <c r="N1366" s="34"/>
      <c r="O1366" s="33">
        <f>+PROVEEDORES[[#This Row],[Descuento sobre subtotal %]]*(PROVEEDORES[[#This Row],[SUBTOTAL]]-PROVEEDORES[[#This Row],[descuento antes de IVA]])</f>
        <v>0</v>
      </c>
      <c r="P13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66" s="33">
        <f>+(PROVEEDORES[[#This Row],[SUBTOTAL]]-PROVEEDORES[[#This Row],[descuento antes de IVA]])*PROVEEDORES[[#This Row],[Rete Fuente %]]</f>
        <v>0</v>
      </c>
      <c r="R1366" s="32">
        <f>+PROVEEDORES[[#This Row],[SUBTOTAL]]+PROVEEDORES[[#This Row],[IVA 19%]]-PROVEEDORES[[#This Row],[descuento antes de IVA]]-PROVEEDORES[[#This Row],[Descuento sobre subtotal $]]-PROVEEDORES[[#This Row],[Rete Fuente $]]</f>
        <v>132400</v>
      </c>
      <c r="S136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7" spans="1:19" ht="21.95" hidden="1" customHeight="1" x14ac:dyDescent="0.25">
      <c r="A1367" s="39" t="str">
        <f>+IF(PROVEEDORES[[#This Row],[FECHA DE PAGO]]=PROVEEDORES[[#This Row],[FECHA DE FACTURACIÓN]],"DE CONTADO","CRÉDITO")</f>
        <v>CRÉDITO</v>
      </c>
      <c r="B1367" s="67" t="str">
        <f>+IF((PROVEEDORES[[#This Row],[FECHA DE PAGO]]-PROVEEDORES[[#This Row],[FECHA DE FACTURACIÓN]])&gt;PROVEEDORES[[#This Row],[PLAZO Días]],"PAGO VENCIDO")</f>
        <v>PAGO VENCIDO</v>
      </c>
      <c r="C1367" s="27">
        <f>+VLOOKUP(PROVEEDORES[[#This Row],[PROVEEDOR]],TERCEROS_INFO[#All],2,FALSE)</f>
        <v>30</v>
      </c>
      <c r="D1367" s="37">
        <f>+SUMIFS(PROVEEDORES[Total],PROVEEDORES[PROVEEDOR],PROVEEDORES[[#This Row],[PROVEEDOR]],PROVEEDORES[FECHA DE PAGO],"")</f>
        <v>0</v>
      </c>
      <c r="E1367" s="37"/>
      <c r="F1367" s="108" t="str">
        <f>+VLOOKUP(PROVEEDORES[[#This Row],[PROVEEDOR]],TERCEROS_INFO[[PROVEEDOR]:[CORREO]],5,FALSE)</f>
        <v>tesoreria@makingbusiness.com.co;girlesa.ruiz@servipilas.com;joriescobar64@gmail.com</v>
      </c>
      <c r="G1367" s="143">
        <v>44214</v>
      </c>
      <c r="H1367" s="38" t="s">
        <v>34</v>
      </c>
      <c r="I1367" s="30">
        <v>44166</v>
      </c>
      <c r="J1367" s="58">
        <v>2626</v>
      </c>
      <c r="K1367" s="32">
        <v>1961428.5714285716</v>
      </c>
      <c r="L1367" s="32"/>
      <c r="M1367" s="33">
        <f>(PROVEEDORES[[#This Row],[SUBTOTAL]]-PROVEEDORES[[#This Row],[descuento antes de IVA]])*VLOOKUP(PROVEEDORES[[#This Row],[PROVEEDOR]],TERCEROS_INFO[#All],3,FALSE)</f>
        <v>372671.42857142858</v>
      </c>
      <c r="N1367" s="34"/>
      <c r="O1367" s="33">
        <f>+PROVEEDORES[[#This Row],[Descuento sobre subtotal %]]*(PROVEEDORES[[#This Row],[SUBTOTAL]]-PROVEEDORES[[#This Row],[descuento antes de IVA]])</f>
        <v>0</v>
      </c>
      <c r="P13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67" s="33">
        <f>+(PROVEEDORES[[#This Row],[SUBTOTAL]]-PROVEEDORES[[#This Row],[descuento antes de IVA]])*PROVEEDORES[[#This Row],[Rete Fuente %]]</f>
        <v>49035.71428571429</v>
      </c>
      <c r="R1367" s="32">
        <f>+PROVEEDORES[[#This Row],[SUBTOTAL]]+PROVEEDORES[[#This Row],[IVA 19%]]-PROVEEDORES[[#This Row],[descuento antes de IVA]]-PROVEEDORES[[#This Row],[Descuento sobre subtotal $]]-PROVEEDORES[[#This Row],[Rete Fuente $]]</f>
        <v>2285064.2857142859</v>
      </c>
      <c r="S136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8" spans="1:19" ht="21.95" hidden="1" customHeight="1" x14ac:dyDescent="0.25">
      <c r="A1368" s="118" t="str">
        <f>+IF(PROVEEDORES[[#This Row],[FECHA DE PAGO]]=PROVEEDORES[[#This Row],[FECHA DE FACTURACIÓN]],"DE CONTADO","CRÉDITO")</f>
        <v>CRÉDITO</v>
      </c>
      <c r="B1368" s="70" t="str">
        <f>+IF((PROVEEDORES[[#This Row],[FECHA DE PAGO]]-PROVEEDORES[[#This Row],[FECHA DE FACTURACIÓN]])&gt;PROVEEDORES[[#This Row],[PLAZO Días]],"PAGO VENCIDO")</f>
        <v>PAGO VENCIDO</v>
      </c>
      <c r="C1368" s="27">
        <f>+VLOOKUP(PROVEEDORES[[#This Row],[PROVEEDOR]],TERCEROS_INFO[#All],2,FALSE)</f>
        <v>30</v>
      </c>
      <c r="D1368" s="37">
        <f>+SUMIFS(PROVEEDORES[Total],PROVEEDORES[PROVEEDOR],PROVEEDORES[[#This Row],[PROVEEDOR]],PROVEEDORES[FECHA DE PAGO],"")</f>
        <v>0</v>
      </c>
      <c r="E1368" s="37"/>
      <c r="F1368" s="108" t="str">
        <f>+VLOOKUP(PROVEEDORES[[#This Row],[PROVEEDOR]],TERCEROS_INFO[[PROVEEDOR]:[CORREO]],5,FALSE)</f>
        <v>tesoreria@makingbusiness.com.co;girlesa.ruiz@servipilas.com;joriescobar64@gmail.com</v>
      </c>
      <c r="G1368" s="143">
        <v>44385</v>
      </c>
      <c r="H1368" s="38" t="s">
        <v>34</v>
      </c>
      <c r="I1368" s="30">
        <v>44328</v>
      </c>
      <c r="J1368" s="58">
        <v>3909</v>
      </c>
      <c r="K1368" s="32">
        <v>1710840.35</v>
      </c>
      <c r="L1368" s="32"/>
      <c r="M1368" s="33">
        <f>(PROVEEDORES[[#This Row],[SUBTOTAL]]-PROVEEDORES[[#This Row],[descuento antes de IVA]])*VLOOKUP(PROVEEDORES[[#This Row],[PROVEEDOR]],TERCEROS_INFO[#All],3,FALSE)</f>
        <v>325059.66650000005</v>
      </c>
      <c r="N1368" s="34"/>
      <c r="O1368" s="33">
        <f>+PROVEEDORES[[#This Row],[Descuento sobre subtotal %]]*(PROVEEDORES[[#This Row],[SUBTOTAL]]-PROVEEDORES[[#This Row],[descuento antes de IVA]])</f>
        <v>0</v>
      </c>
      <c r="P13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68" s="33">
        <f>+(PROVEEDORES[[#This Row],[SUBTOTAL]]-PROVEEDORES[[#This Row],[descuento antes de IVA]])*PROVEEDORES[[#This Row],[Rete Fuente %]]</f>
        <v>42771.008750000008</v>
      </c>
      <c r="R1368" s="32">
        <f>+PROVEEDORES[[#This Row],[SUBTOTAL]]+PROVEEDORES[[#This Row],[IVA 19%]]-PROVEEDORES[[#This Row],[descuento antes de IVA]]-PROVEEDORES[[#This Row],[Descuento sobre subtotal $]]-PROVEEDORES[[#This Row],[Rete Fuente $]]</f>
        <v>1993129.0077500001</v>
      </c>
      <c r="S1368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69" spans="1:19" ht="21.95" hidden="1" customHeight="1" x14ac:dyDescent="0.25">
      <c r="A1369" s="35" t="str">
        <f>+IF(PROVEEDORES[[#This Row],[FECHA DE PAGO]]=PROVEEDORES[[#This Row],[FECHA DE FACTURACIÓN]],"DE CONTADO","CRÉDITO")</f>
        <v>CRÉDITO</v>
      </c>
      <c r="B1369" s="70" t="str">
        <f>+IF((PROVEEDORES[[#This Row],[FECHA DE PAGO]]-PROVEEDORES[[#This Row],[FECHA DE FACTURACIÓN]])&gt;PROVEEDORES[[#This Row],[PLAZO Días]],"PAGO VENCIDO")</f>
        <v>PAGO VENCIDO</v>
      </c>
      <c r="C1369" s="27">
        <f>+VLOOKUP(PROVEEDORES[[#This Row],[PROVEEDOR]],TERCEROS_INFO[#All],2,FALSE)</f>
        <v>30</v>
      </c>
      <c r="D1369" s="37">
        <f>+SUMIFS(PROVEEDORES[Total],PROVEEDORES[PROVEEDOR],PROVEEDORES[[#This Row],[PROVEEDOR]],PROVEEDORES[FECHA DE PAGO],"")</f>
        <v>0</v>
      </c>
      <c r="E1369" s="37"/>
      <c r="F1369" s="108" t="str">
        <f>+VLOOKUP(PROVEEDORES[[#This Row],[PROVEEDOR]],TERCEROS_INFO[[PROVEEDOR]:[CORREO]],5,FALSE)</f>
        <v>tesoreria@makingbusiness.com.co;girlesa.ruiz@servipilas.com;joriescobar64@gmail.com</v>
      </c>
      <c r="G1369" s="143">
        <v>44481</v>
      </c>
      <c r="H1369" s="38" t="s">
        <v>34</v>
      </c>
      <c r="I1369" s="30">
        <v>44432</v>
      </c>
      <c r="J1369" s="58">
        <v>14801</v>
      </c>
      <c r="K1369" s="32">
        <v>1064369.75</v>
      </c>
      <c r="L1369" s="32"/>
      <c r="M1369" s="33">
        <f>(PROVEEDORES[[#This Row],[SUBTOTAL]]-PROVEEDORES[[#This Row],[descuento antes de IVA]])*VLOOKUP(PROVEEDORES[[#This Row],[PROVEEDOR]],TERCEROS_INFO[#All],3,FALSE)</f>
        <v>202230.2525</v>
      </c>
      <c r="N1369" s="34"/>
      <c r="O1369" s="33">
        <f>+PROVEEDORES[[#This Row],[Descuento sobre subtotal %]]*(PROVEEDORES[[#This Row],[SUBTOTAL]]-PROVEEDORES[[#This Row],[descuento antes de IVA]])</f>
        <v>0</v>
      </c>
      <c r="P13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69" s="33">
        <f>+(PROVEEDORES[[#This Row],[SUBTOTAL]]-PROVEEDORES[[#This Row],[descuento antes de IVA]])*PROVEEDORES[[#This Row],[Rete Fuente %]]</f>
        <v>26609.243750000001</v>
      </c>
      <c r="R1369" s="32">
        <f>+PROVEEDORES[[#This Row],[SUBTOTAL]]+PROVEEDORES[[#This Row],[IVA 19%]]-PROVEEDORES[[#This Row],[descuento antes de IVA]]-PROVEEDORES[[#This Row],[Descuento sobre subtotal $]]-PROVEEDORES[[#This Row],[Rete Fuente $]]</f>
        <v>1239990.75875</v>
      </c>
      <c r="S136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0" spans="1:19" ht="21.95" hidden="1" customHeight="1" x14ac:dyDescent="0.25">
      <c r="A1370" s="164" t="str">
        <f>+IF(PROVEEDORES[[#This Row],[FECHA DE PAGO]]=PROVEEDORES[[#This Row],[FECHA DE FACTURACIÓN]],"DE CONTADO","CRÉDITO")</f>
        <v>CRÉDITO</v>
      </c>
      <c r="B1370" s="70" t="str">
        <f>+IF((PROVEEDORES[[#This Row],[FECHA DE PAGO]]-PROVEEDORES[[#This Row],[FECHA DE FACTURACIÓN]])&gt;PROVEEDORES[[#This Row],[PLAZO Días]],"PAGO VENCIDO")</f>
        <v>PAGO VENCIDO</v>
      </c>
      <c r="C1370" s="27">
        <f>+VLOOKUP(PROVEEDORES[[#This Row],[PROVEEDOR]],TERCEROS_INFO[#All],2,FALSE)</f>
        <v>30</v>
      </c>
      <c r="D1370" s="37">
        <f>+SUMIFS(PROVEEDORES[Total],PROVEEDORES[PROVEEDOR],PROVEEDORES[[#This Row],[PROVEEDOR]],PROVEEDORES[FECHA DE PAGO],"")</f>
        <v>0</v>
      </c>
      <c r="E1370" s="37"/>
      <c r="F1370" s="108" t="str">
        <f>+VLOOKUP(PROVEEDORES[[#This Row],[PROVEEDOR]],TERCEROS_INFO[[PROVEEDOR]:[CORREO]],5,FALSE)</f>
        <v>tesoreria@makingbusiness.com.co;girlesa.ruiz@servipilas.com;joriescobar64@gmail.com</v>
      </c>
      <c r="G1370" s="143">
        <v>44543</v>
      </c>
      <c r="H1370" s="38" t="s">
        <v>34</v>
      </c>
      <c r="I1370" s="30">
        <v>44510</v>
      </c>
      <c r="J1370" s="58" t="s">
        <v>953</v>
      </c>
      <c r="K1370" s="32">
        <v>2248066.5</v>
      </c>
      <c r="L1370" s="32"/>
      <c r="M1370" s="33">
        <f>(PROVEEDORES[[#This Row],[SUBTOTAL]]-PROVEEDORES[[#This Row],[descuento antes de IVA]])*VLOOKUP(PROVEEDORES[[#This Row],[PROVEEDOR]],TERCEROS_INFO[#All],3,FALSE)</f>
        <v>427132.63500000001</v>
      </c>
      <c r="N1370" s="34"/>
      <c r="O1370" s="33">
        <f>+PROVEEDORES[[#This Row],[Descuento sobre subtotal %]]*(PROVEEDORES[[#This Row],[SUBTOTAL]]-PROVEEDORES[[#This Row],[descuento antes de IVA]])</f>
        <v>0</v>
      </c>
      <c r="P13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70" s="33">
        <f>+(PROVEEDORES[[#This Row],[SUBTOTAL]]-PROVEEDORES[[#This Row],[descuento antes de IVA]])*PROVEEDORES[[#This Row],[Rete Fuente %]]</f>
        <v>56201.662500000006</v>
      </c>
      <c r="R1370" s="32">
        <f>+PROVEEDORES[[#This Row],[SUBTOTAL]]+PROVEEDORES[[#This Row],[IVA 19%]]-PROVEEDORES[[#This Row],[descuento antes de IVA]]-PROVEEDORES[[#This Row],[Descuento sobre subtotal $]]-PROVEEDORES[[#This Row],[Rete Fuente $]]</f>
        <v>2618997.4724999997</v>
      </c>
      <c r="S1370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1" spans="1:19" ht="21.95" hidden="1" customHeight="1" x14ac:dyDescent="0.25">
      <c r="A1371" s="127" t="str">
        <f>+IF(PROVEEDORES[[#This Row],[FECHA DE PAGO]]=PROVEEDORES[[#This Row],[FECHA DE FACTURACIÓN]],"DE CONTADO","CRÉDITO")</f>
        <v>CRÉDITO</v>
      </c>
      <c r="B1371" s="70" t="str">
        <f>+IF((PROVEEDORES[[#This Row],[FECHA DE PAGO]]-PROVEEDORES[[#This Row],[FECHA DE FACTURACIÓN]])&gt;PROVEEDORES[[#This Row],[PLAZO Días]],"PAGO VENCIDO")</f>
        <v>PAGO VENCIDO</v>
      </c>
      <c r="C1371" s="27">
        <f>+VLOOKUP(PROVEEDORES[[#This Row],[PROVEEDOR]],TERCEROS_INFO[#All],2,FALSE)</f>
        <v>30</v>
      </c>
      <c r="D1371" s="37">
        <f>+SUMIFS(PROVEEDORES[Total],PROVEEDORES[PROVEEDOR],PROVEEDORES[[#This Row],[PROVEEDOR]],PROVEEDORES[FECHA DE PAGO],"")</f>
        <v>0</v>
      </c>
      <c r="E1371" s="37"/>
      <c r="F1371" s="108" t="str">
        <f>+VLOOKUP(PROVEEDORES[[#This Row],[PROVEEDOR]],TERCEROS_INFO[[PROVEEDOR]:[CORREO]],5,FALSE)</f>
        <v>jarlysas@gmail.com;o.clockinternational@gmail.com;girlesa.ruiz@servipilas.com;joriescobar64@gmail.com</v>
      </c>
      <c r="G1371" s="143">
        <v>44456</v>
      </c>
      <c r="H1371" s="38" t="s">
        <v>848</v>
      </c>
      <c r="I1371" s="30">
        <v>44364</v>
      </c>
      <c r="J1371" s="58">
        <v>7</v>
      </c>
      <c r="K1371" s="32">
        <v>4167300</v>
      </c>
      <c r="L1371" s="32"/>
      <c r="M1371" s="33">
        <f>(PROVEEDORES[[#This Row],[SUBTOTAL]]-PROVEEDORES[[#This Row],[descuento antes de IVA]])*VLOOKUP(PROVEEDORES[[#This Row],[PROVEEDOR]],TERCEROS_INFO[#All],3,FALSE)</f>
        <v>791787</v>
      </c>
      <c r="N1371" s="34"/>
      <c r="O1371" s="33">
        <v>366722.40000000037</v>
      </c>
      <c r="P13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71" s="33">
        <f>+(PROVEEDORES[[#This Row],[SUBTOTAL]]-PROVEEDORES[[#This Row],[descuento antes de IVA]])*PROVEEDORES[[#This Row],[Rete Fuente %]]</f>
        <v>104182.5</v>
      </c>
      <c r="R1371" s="32">
        <f>+PROVEEDORES[[#This Row],[SUBTOTAL]]+PROVEEDORES[[#This Row],[IVA 19%]]-PROVEEDORES[[#This Row],[descuento antes de IVA]]-PROVEEDORES[[#This Row],[Descuento sobre subtotal $]]-PROVEEDORES[[#This Row],[Rete Fuente $]]</f>
        <v>4488182.0999999996</v>
      </c>
      <c r="S1371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2" spans="1:19" ht="21.95" hidden="1" customHeight="1" x14ac:dyDescent="0.25">
      <c r="A1372" s="129" t="str">
        <f>+IF(PROVEEDORES[[#This Row],[FECHA DE PAGO]]=PROVEEDORES[[#This Row],[FECHA DE FACTURACIÓN]],"DE CONTADO","CRÉDITO")</f>
        <v>DE CONTADO</v>
      </c>
      <c r="B1372" s="70" t="b">
        <f>+IF((PROVEEDORES[[#This Row],[FECHA DE PAGO]]-PROVEEDORES[[#This Row],[FECHA DE FACTURACIÓN]])&gt;PROVEEDORES[[#This Row],[PLAZO Días]],"PAGO VENCIDO")</f>
        <v>0</v>
      </c>
      <c r="C1372" s="27">
        <f>+VLOOKUP(PROVEEDORES[[#This Row],[PROVEEDOR]],TERCEROS_INFO[#All],2,FALSE)</f>
        <v>30</v>
      </c>
      <c r="D1372" s="37">
        <f>+SUMIFS(PROVEEDORES[Total],PROVEEDORES[PROVEEDOR],PROVEEDORES[[#This Row],[PROVEEDOR]],PROVEEDORES[FECHA DE PAGO],"")</f>
        <v>0</v>
      </c>
      <c r="E1372" s="37"/>
      <c r="F1372" s="108">
        <f>+VLOOKUP(PROVEEDORES[[#This Row],[PROVEEDOR]],TERCEROS_INFO[[PROVEEDOR]:[CORREO]],5,FALSE)</f>
        <v>0</v>
      </c>
      <c r="G1372" s="143">
        <v>44372</v>
      </c>
      <c r="H1372" s="57" t="s">
        <v>734</v>
      </c>
      <c r="I1372" s="30">
        <v>44372</v>
      </c>
      <c r="J1372" s="58" t="s">
        <v>735</v>
      </c>
      <c r="K1372" s="32">
        <v>242016</v>
      </c>
      <c r="L1372" s="32"/>
      <c r="M1372" s="33">
        <f>(PROVEEDORES[[#This Row],[SUBTOTAL]]-PROVEEDORES[[#This Row],[descuento antes de IVA]])*VLOOKUP(PROVEEDORES[[#This Row],[PROVEEDOR]],TERCEROS_INFO[#All],3,FALSE)</f>
        <v>45983.040000000001</v>
      </c>
      <c r="N1372" s="34"/>
      <c r="O1372" s="33">
        <f>+PROVEEDORES[[#This Row],[Descuento sobre subtotal %]]*(PROVEEDORES[[#This Row],[SUBTOTAL]]-PROVEEDORES[[#This Row],[descuento antes de IVA]])</f>
        <v>0</v>
      </c>
      <c r="P13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72" s="33">
        <f>+(PROVEEDORES[[#This Row],[SUBTOTAL]]-PROVEEDORES[[#This Row],[descuento antes de IVA]])*PROVEEDORES[[#This Row],[Rete Fuente %]]</f>
        <v>0</v>
      </c>
      <c r="R1372" s="32">
        <f>+PROVEEDORES[[#This Row],[SUBTOTAL]]+PROVEEDORES[[#This Row],[IVA 19%]]-PROVEEDORES[[#This Row],[descuento antes de IVA]]-PROVEEDORES[[#This Row],[Descuento sobre subtotal $]]-PROVEEDORES[[#This Row],[Rete Fuente $]]</f>
        <v>287999.03999999998</v>
      </c>
      <c r="S1372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3" spans="1:19" ht="21.95" hidden="1" customHeight="1" x14ac:dyDescent="0.25">
      <c r="A1373" s="134" t="str">
        <f>+IF(PROVEEDORES[[#This Row],[FECHA DE PAGO]]=PROVEEDORES[[#This Row],[FECHA DE FACTURACIÓN]],"DE CONTADO","CRÉDITO")</f>
        <v>CRÉDITO</v>
      </c>
      <c r="B1373" s="70" t="str">
        <f>+IF((PROVEEDORES[[#This Row],[FECHA DE PAGO]]-PROVEEDORES[[#This Row],[FECHA DE FACTURACIÓN]])&gt;PROVEEDORES[[#This Row],[PLAZO Días]],"PAGO VENCIDO")</f>
        <v>PAGO VENCIDO</v>
      </c>
      <c r="C1373" s="27">
        <f>+VLOOKUP(PROVEEDORES[[#This Row],[PROVEEDOR]],TERCEROS_INFO[#All],2,FALSE)</f>
        <v>30</v>
      </c>
      <c r="D1373" s="37">
        <f>+SUMIFS(PROVEEDORES[Total],PROVEEDORES[PROVEEDOR],PROVEEDORES[[#This Row],[PROVEEDOR]],PROVEEDORES[FECHA DE PAGO],"")</f>
        <v>0</v>
      </c>
      <c r="E1373" s="37"/>
      <c r="F1373" s="108">
        <f>+VLOOKUP(PROVEEDORES[[#This Row],[PROVEEDOR]],TERCEROS_INFO[[PROVEEDOR]:[CORREO]],5,FALSE)</f>
        <v>0</v>
      </c>
      <c r="G1373" s="143">
        <v>44448</v>
      </c>
      <c r="H1373" s="57" t="s">
        <v>734</v>
      </c>
      <c r="I1373" s="30">
        <v>44403</v>
      </c>
      <c r="J1373" s="58" t="s">
        <v>788</v>
      </c>
      <c r="K1373" s="32">
        <v>302520</v>
      </c>
      <c r="L1373" s="32"/>
      <c r="M1373" s="33">
        <f>(PROVEEDORES[[#This Row],[SUBTOTAL]]-PROVEEDORES[[#This Row],[descuento antes de IVA]])*VLOOKUP(PROVEEDORES[[#This Row],[PROVEEDOR]],TERCEROS_INFO[#All],3,FALSE)</f>
        <v>57478.8</v>
      </c>
      <c r="N1373" s="34"/>
      <c r="O1373" s="33">
        <f>+PROVEEDORES[[#This Row],[Descuento sobre subtotal %]]*(PROVEEDORES[[#This Row],[SUBTOTAL]]-PROVEEDORES[[#This Row],[descuento antes de IVA]])</f>
        <v>0</v>
      </c>
      <c r="P13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73" s="33">
        <f>+(PROVEEDORES[[#This Row],[SUBTOTAL]]-PROVEEDORES[[#This Row],[descuento antes de IVA]])*PROVEEDORES[[#This Row],[Rete Fuente %]]</f>
        <v>0</v>
      </c>
      <c r="R1373" s="32">
        <f>+PROVEEDORES[[#This Row],[SUBTOTAL]]+PROVEEDORES[[#This Row],[IVA 19%]]-PROVEEDORES[[#This Row],[descuento antes de IVA]]-PROVEEDORES[[#This Row],[Descuento sobre subtotal $]]-PROVEEDORES[[#This Row],[Rete Fuente $]]</f>
        <v>359998.8</v>
      </c>
      <c r="S1373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4" spans="1:19" ht="21.95" hidden="1" customHeight="1" x14ac:dyDescent="0.25">
      <c r="A1374" s="39" t="str">
        <f>+IF(PROVEEDORES[[#This Row],[FECHA DE PAGO]]=PROVEEDORES[[#This Row],[FECHA DE FACTURACIÓN]],"DE CONTADO","CRÉDITO")</f>
        <v>DE CONTADO</v>
      </c>
      <c r="B1374" s="67" t="b">
        <f>+IF((PROVEEDORES[[#This Row],[FECHA DE PAGO]]-PROVEEDORES[[#This Row],[FECHA DE FACTURACIÓN]])&gt;PROVEEDORES[[#This Row],[PLAZO Días]],"PAGO VENCIDO")</f>
        <v>0</v>
      </c>
      <c r="C1374" s="27">
        <f>+VLOOKUP(PROVEEDORES[[#This Row],[PROVEEDOR]],TERCEROS_INFO[#All],2,FALSE)</f>
        <v>30</v>
      </c>
      <c r="D1374" s="37">
        <f>+SUMIFS(PROVEEDORES[Total],PROVEEDORES[PROVEEDOR],PROVEEDORES[[#This Row],[PROVEEDOR]],PROVEEDORES[FECHA DE PAGO],"")</f>
        <v>0</v>
      </c>
      <c r="E1374" s="37"/>
      <c r="F1374" s="108" t="str">
        <f>+VLOOKUP(PROVEEDORES[[#This Row],[PROVEEDOR]],TERCEROS_INFO[[PROVEEDOR]:[CORREO]],5,FALSE)</f>
        <v/>
      </c>
      <c r="G1374" s="143">
        <v>44181</v>
      </c>
      <c r="H1374" s="38" t="s">
        <v>329</v>
      </c>
      <c r="I1374" s="30">
        <v>44181</v>
      </c>
      <c r="J1374" s="58">
        <v>168</v>
      </c>
      <c r="K1374" s="32">
        <v>60504.201680672275</v>
      </c>
      <c r="L1374" s="32"/>
      <c r="M1374" s="33">
        <f>(PROVEEDORES[[#This Row],[SUBTOTAL]]-PROVEEDORES[[#This Row],[descuento antes de IVA]])*VLOOKUP(PROVEEDORES[[#This Row],[PROVEEDOR]],TERCEROS_INFO[#All],3,FALSE)</f>
        <v>11495.798319327732</v>
      </c>
      <c r="N1374" s="34"/>
      <c r="O1374" s="33">
        <f>+PROVEEDORES[[#This Row],[Descuento sobre subtotal %]]*(PROVEEDORES[[#This Row],[SUBTOTAL]]-PROVEEDORES[[#This Row],[descuento antes de IVA]])</f>
        <v>0</v>
      </c>
      <c r="P13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74" s="33">
        <f>+(PROVEEDORES[[#This Row],[SUBTOTAL]]-PROVEEDORES[[#This Row],[descuento antes de IVA]])*PROVEEDORES[[#This Row],[Rete Fuente %]]</f>
        <v>0</v>
      </c>
      <c r="R1374" s="32">
        <f>+PROVEEDORES[[#This Row],[SUBTOTAL]]+PROVEEDORES[[#This Row],[IVA 19%]]-PROVEEDORES[[#This Row],[descuento antes de IVA]]-PROVEEDORES[[#This Row],[Descuento sobre subtotal $]]-PROVEEDORES[[#This Row],[Rete Fuente $]]</f>
        <v>72000</v>
      </c>
      <c r="S137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5" spans="1:19" ht="21.95" hidden="1" customHeight="1" x14ac:dyDescent="0.25">
      <c r="A1375" s="142" t="str">
        <f>+IF(PROVEEDORES[[#This Row],[FECHA DE PAGO]]=PROVEEDORES[[#This Row],[FECHA DE FACTURACIÓN]],"DE CONTADO","CRÉDITO")</f>
        <v>CRÉDITO</v>
      </c>
      <c r="B1375" s="70" t="str">
        <f>+IF((PROVEEDORES[[#This Row],[FECHA DE PAGO]]-PROVEEDORES[[#This Row],[FECHA DE FACTURACIÓN]])&gt;PROVEEDORES[[#This Row],[PLAZO Días]],"PAGO VENCIDO")</f>
        <v>PAGO VENCIDO</v>
      </c>
      <c r="C1375" s="27">
        <f>+VLOOKUP(PROVEEDORES[[#This Row],[PROVEEDOR]],TERCEROS_INFO[#All],2,FALSE)</f>
        <v>30</v>
      </c>
      <c r="D1375" s="37">
        <f>+SUMIFS(PROVEEDORES[Total],PROVEEDORES[PROVEEDOR],PROVEEDORES[[#This Row],[PROVEEDOR]],PROVEEDORES[FECHA DE PAGO],"")</f>
        <v>0</v>
      </c>
      <c r="E1375" s="37"/>
      <c r="F1375" s="108" t="str">
        <f>+VLOOKUP(PROVEEDORES[[#This Row],[PROVEEDOR]],TERCEROS_INFO[[PROVEEDOR]:[CORREO]],5,FALSE)</f>
        <v>globalpowerc2018@gmail.com;girlesa.ruiz@servipilas.com;joriescobar64@gmail.com</v>
      </c>
      <c r="G1375" s="143">
        <v>44442</v>
      </c>
      <c r="H1375" s="57" t="s">
        <v>808</v>
      </c>
      <c r="I1375" s="30">
        <v>44407</v>
      </c>
      <c r="J1375" s="58">
        <v>8</v>
      </c>
      <c r="K1375" s="32">
        <v>1420000</v>
      </c>
      <c r="L1375" s="32"/>
      <c r="M1375" s="33">
        <f>(PROVEEDORES[[#This Row],[SUBTOTAL]]-PROVEEDORES[[#This Row],[descuento antes de IVA]])*VLOOKUP(PROVEEDORES[[#This Row],[PROVEEDOR]],TERCEROS_INFO[#All],3,FALSE)</f>
        <v>269800</v>
      </c>
      <c r="N1375" s="34"/>
      <c r="O1375" s="33">
        <f>+PROVEEDORES[[#This Row],[Descuento sobre subtotal %]]*(PROVEEDORES[[#This Row],[SUBTOTAL]]-PROVEEDORES[[#This Row],[descuento antes de IVA]])</f>
        <v>0</v>
      </c>
      <c r="P13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75" s="33">
        <f>+(PROVEEDORES[[#This Row],[SUBTOTAL]]-PROVEEDORES[[#This Row],[descuento antes de IVA]])*PROVEEDORES[[#This Row],[Rete Fuente %]]</f>
        <v>35500</v>
      </c>
      <c r="R1375" s="32">
        <f>+PROVEEDORES[[#This Row],[SUBTOTAL]]+PROVEEDORES[[#This Row],[IVA 19%]]-PROVEEDORES[[#This Row],[descuento antes de IVA]]-PROVEEDORES[[#This Row],[Descuento sobre subtotal $]]-PROVEEDORES[[#This Row],[Rete Fuente $]]</f>
        <v>1654300</v>
      </c>
      <c r="S1375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6" spans="1:19" ht="21.95" hidden="1" customHeight="1" x14ac:dyDescent="0.25">
      <c r="A1376" s="35" t="str">
        <f>+IF(PROVEEDORES[[#This Row],[FECHA DE PAGO]]=PROVEEDORES[[#This Row],[FECHA DE FACTURACIÓN]],"DE CONTADO","CRÉDITO")</f>
        <v>CRÉDITO</v>
      </c>
      <c r="B1376" s="70" t="str">
        <f>+IF((PROVEEDORES[[#This Row],[FECHA DE PAGO]]-PROVEEDORES[[#This Row],[FECHA DE FACTURACIÓN]])&gt;PROVEEDORES[[#This Row],[PLAZO Días]],"PAGO VENCIDO")</f>
        <v>PAGO VENCIDO</v>
      </c>
      <c r="C1376" s="27">
        <f>+VLOOKUP(PROVEEDORES[[#This Row],[PROVEEDOR]],TERCEROS_INFO[#All],2,FALSE)</f>
        <v>30</v>
      </c>
      <c r="D1376" s="37">
        <f>+SUMIFS(PROVEEDORES[Total],PROVEEDORES[PROVEEDOR],PROVEEDORES[[#This Row],[PROVEEDOR]],PROVEEDORES[FECHA DE PAGO],"")</f>
        <v>0</v>
      </c>
      <c r="E1376" s="37"/>
      <c r="F1376" s="108" t="str">
        <f>+VLOOKUP(PROVEEDORES[[#This Row],[PROVEEDOR]],TERCEROS_INFO[[PROVEEDOR]:[CORREO]],5,FALSE)</f>
        <v>globalpowerc2018@gmail.com;girlesa.ruiz@servipilas.com;joriescobar64@gmail.com</v>
      </c>
      <c r="G1376" s="143">
        <v>44546</v>
      </c>
      <c r="H1376" s="57" t="s">
        <v>808</v>
      </c>
      <c r="I1376" s="30">
        <v>44508</v>
      </c>
      <c r="J1376" s="58" t="s">
        <v>1297</v>
      </c>
      <c r="K1376" s="32">
        <v>1650000</v>
      </c>
      <c r="L1376" s="32"/>
      <c r="M1376" s="33">
        <f>(PROVEEDORES[[#This Row],[SUBTOTAL]]-PROVEEDORES[[#This Row],[descuento antes de IVA]])*VLOOKUP(PROVEEDORES[[#This Row],[PROVEEDOR]],TERCEROS_INFO[#All],3,FALSE)</f>
        <v>313500</v>
      </c>
      <c r="N1376" s="34"/>
      <c r="O1376" s="33">
        <f>+PROVEEDORES[[#This Row],[Descuento sobre subtotal %]]*(PROVEEDORES[[#This Row],[SUBTOTAL]]-PROVEEDORES[[#This Row],[descuento antes de IVA]])</f>
        <v>0</v>
      </c>
      <c r="P13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376" s="33">
        <f>+(PROVEEDORES[[#This Row],[SUBTOTAL]]-PROVEEDORES[[#This Row],[descuento antes de IVA]])*PROVEEDORES[[#This Row],[Rete Fuente %]]</f>
        <v>41250</v>
      </c>
      <c r="R1376" s="32">
        <f>+PROVEEDORES[[#This Row],[SUBTOTAL]]+PROVEEDORES[[#This Row],[IVA 19%]]-PROVEEDORES[[#This Row],[descuento antes de IVA]]-PROVEEDORES[[#This Row],[Descuento sobre subtotal $]]-PROVEEDORES[[#This Row],[Rete Fuente $]]</f>
        <v>1922250</v>
      </c>
      <c r="S137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7" spans="1:19" ht="21.95" hidden="1" customHeight="1" x14ac:dyDescent="0.25">
      <c r="A1377" s="39" t="str">
        <f>+IF(PROVEEDORES[[#This Row],[FECHA DE PAGO]]=PROVEEDORES[[#This Row],[FECHA DE FACTURACIÓN]],"DE CONTADO","CRÉDITO")</f>
        <v>CRÉDITO</v>
      </c>
      <c r="B1377" s="67" t="b">
        <f>+IF((PROVEEDORES[[#This Row],[FECHA DE PAGO]]-PROVEEDORES[[#This Row],[FECHA DE FACTURACIÓN]])&gt;PROVEEDORES[[#This Row],[PLAZO Días]],"PAGO VENCIDO")</f>
        <v>0</v>
      </c>
      <c r="C1377" s="27">
        <f>+VLOOKUP(PROVEEDORES[[#This Row],[PROVEEDOR]],TERCEROS_INFO[#All],2,FALSE)</f>
        <v>30</v>
      </c>
      <c r="D1377" s="37">
        <f>+SUMIFS(PROVEEDORES[Total],PROVEEDORES[PROVEEDOR],PROVEEDORES[[#This Row],[PROVEEDOR]],PROVEEDORES[FECHA DE PAGO],"")</f>
        <v>0</v>
      </c>
      <c r="E1377" s="37"/>
      <c r="F1377" s="108" t="str">
        <f>+VLOOKUP(PROVEEDORES[[#This Row],[PROVEEDOR]],TERCEROS_INFO[[PROVEEDOR]:[CORREO]],5,FALSE)</f>
        <v/>
      </c>
      <c r="G1377" s="143">
        <v>43983</v>
      </c>
      <c r="H1377" s="38" t="s">
        <v>29</v>
      </c>
      <c r="I1377" s="30">
        <v>43979</v>
      </c>
      <c r="J1377" s="58">
        <v>126391</v>
      </c>
      <c r="K1377" s="32">
        <v>3908571.4285714286</v>
      </c>
      <c r="L1377" s="32"/>
      <c r="M1377" s="33">
        <f>(PROVEEDORES[[#This Row],[SUBTOTAL]]-PROVEEDORES[[#This Row],[descuento antes de IVA]])*VLOOKUP(PROVEEDORES[[#This Row],[PROVEEDOR]],TERCEROS_INFO[#All],3,FALSE)</f>
        <v>0</v>
      </c>
      <c r="N1377" s="34"/>
      <c r="O1377" s="33">
        <f>+PROVEEDORES[[#This Row],[Descuento sobre subtotal %]]*(PROVEEDORES[[#This Row],[SUBTOTAL]]-PROVEEDORES[[#This Row],[descuento antes de IVA]])</f>
        <v>0</v>
      </c>
      <c r="P13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77" s="33">
        <f>+(PROVEEDORES[[#This Row],[SUBTOTAL]]-PROVEEDORES[[#This Row],[descuento antes de IVA]])*PROVEEDORES[[#This Row],[Rete Fuente %]]</f>
        <v>0</v>
      </c>
      <c r="R1377" s="32">
        <f>+PROVEEDORES[[#This Row],[SUBTOTAL]]+PROVEEDORES[[#This Row],[IVA 19%]]-PROVEEDORES[[#This Row],[descuento antes de IVA]]-PROVEEDORES[[#This Row],[Descuento sobre subtotal $]]-PROVEEDORES[[#This Row],[Rete Fuente $]]</f>
        <v>3908571.4285714286</v>
      </c>
      <c r="S137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8" spans="1:19" ht="21.95" hidden="1" customHeight="1" x14ac:dyDescent="0.25">
      <c r="A1378" s="39" t="str">
        <f>+IF(PROVEEDORES[[#This Row],[FECHA DE PAGO]]=PROVEEDORES[[#This Row],[FECHA DE FACTURACIÓN]],"DE CONTADO","CRÉDITO")</f>
        <v>CRÉDITO</v>
      </c>
      <c r="B1378" s="67" t="b">
        <f>+IF((PROVEEDORES[[#This Row],[FECHA DE PAGO]]-PROVEEDORES[[#This Row],[FECHA DE FACTURACIÓN]])&gt;PROVEEDORES[[#This Row],[PLAZO Días]],"PAGO VENCIDO")</f>
        <v>0</v>
      </c>
      <c r="C1378" s="27">
        <f>+VLOOKUP(PROVEEDORES[[#This Row],[PROVEEDOR]],TERCEROS_INFO[#All],2,FALSE)</f>
        <v>30</v>
      </c>
      <c r="D1378" s="37">
        <f>+SUMIFS(PROVEEDORES[Total],PROVEEDORES[PROVEEDOR],PROVEEDORES[[#This Row],[PROVEEDOR]],PROVEEDORES[FECHA DE PAGO],"")</f>
        <v>0</v>
      </c>
      <c r="E1378" s="37"/>
      <c r="F1378" s="108" t="str">
        <f>+VLOOKUP(PROVEEDORES[[#This Row],[PROVEEDOR]],TERCEROS_INFO[[PROVEEDOR]:[CORREO]],5,FALSE)</f>
        <v/>
      </c>
      <c r="G1378" s="143">
        <v>43983</v>
      </c>
      <c r="H1378" s="38" t="s">
        <v>29</v>
      </c>
      <c r="I1378" s="30">
        <v>43979</v>
      </c>
      <c r="J1378" s="58">
        <v>126392</v>
      </c>
      <c r="K1378" s="32">
        <v>229915.96638655465</v>
      </c>
      <c r="L1378" s="32"/>
      <c r="M1378" s="33">
        <f>(PROVEEDORES[[#This Row],[SUBTOTAL]]-PROVEEDORES[[#This Row],[descuento antes de IVA]])*VLOOKUP(PROVEEDORES[[#This Row],[PROVEEDOR]],TERCEROS_INFO[#All],3,FALSE)</f>
        <v>0</v>
      </c>
      <c r="N1378" s="34"/>
      <c r="O1378" s="33">
        <f>+PROVEEDORES[[#This Row],[Descuento sobre subtotal %]]*(PROVEEDORES[[#This Row],[SUBTOTAL]]-PROVEEDORES[[#This Row],[descuento antes de IVA]])</f>
        <v>0</v>
      </c>
      <c r="P13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78" s="33">
        <f>+(PROVEEDORES[[#This Row],[SUBTOTAL]]-PROVEEDORES[[#This Row],[descuento antes de IVA]])*PROVEEDORES[[#This Row],[Rete Fuente %]]</f>
        <v>0</v>
      </c>
      <c r="R1378" s="32">
        <f>+PROVEEDORES[[#This Row],[SUBTOTAL]]+PROVEEDORES[[#This Row],[IVA 19%]]-PROVEEDORES[[#This Row],[descuento antes de IVA]]-PROVEEDORES[[#This Row],[Descuento sobre subtotal $]]-PROVEEDORES[[#This Row],[Rete Fuente $]]</f>
        <v>229915.96638655465</v>
      </c>
      <c r="S137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79" spans="1:19" ht="21.95" hidden="1" customHeight="1" x14ac:dyDescent="0.25">
      <c r="A1379" s="39" t="str">
        <f>+IF(PROVEEDORES[[#This Row],[FECHA DE PAGO]]=PROVEEDORES[[#This Row],[FECHA DE FACTURACIÓN]],"DE CONTADO","CRÉDITO")</f>
        <v>CRÉDITO</v>
      </c>
      <c r="B1379" s="67" t="b">
        <f>+IF((PROVEEDORES[[#This Row],[FECHA DE PAGO]]-PROVEEDORES[[#This Row],[FECHA DE FACTURACIÓN]])&gt;PROVEEDORES[[#This Row],[PLAZO Días]],"PAGO VENCIDO")</f>
        <v>0</v>
      </c>
      <c r="C1379" s="27">
        <f>+VLOOKUP(PROVEEDORES[[#This Row],[PROVEEDOR]],TERCEROS_INFO[#All],2,FALSE)</f>
        <v>30</v>
      </c>
      <c r="D1379" s="37">
        <f>+SUMIFS(PROVEEDORES[Total],PROVEEDORES[PROVEEDOR],PROVEEDORES[[#This Row],[PROVEEDOR]],PROVEEDORES[FECHA DE PAGO],"")</f>
        <v>0</v>
      </c>
      <c r="E1379" s="37" t="s">
        <v>354</v>
      </c>
      <c r="F1379" s="108" t="str">
        <f>+VLOOKUP(PROVEEDORES[[#This Row],[PROVEEDOR]],TERCEROS_INFO[[PROVEEDOR]:[CORREO]],5,FALSE)</f>
        <v/>
      </c>
      <c r="G1379" s="143">
        <v>44036</v>
      </c>
      <c r="H1379" s="38" t="s">
        <v>29</v>
      </c>
      <c r="I1379" s="30">
        <v>44029</v>
      </c>
      <c r="J1379" s="58">
        <v>126678</v>
      </c>
      <c r="K1379" s="32">
        <v>4326823.5294117648</v>
      </c>
      <c r="L1379" s="32"/>
      <c r="M1379" s="33">
        <f>(PROVEEDORES[[#This Row],[SUBTOTAL]]-PROVEEDORES[[#This Row],[descuento antes de IVA]])*VLOOKUP(PROVEEDORES[[#This Row],[PROVEEDOR]],TERCEROS_INFO[#All],3,FALSE)</f>
        <v>0</v>
      </c>
      <c r="N1379" s="34"/>
      <c r="O1379" s="33">
        <f>+PROVEEDORES[[#This Row],[Descuento sobre subtotal %]]*(PROVEEDORES[[#This Row],[SUBTOTAL]]-PROVEEDORES[[#This Row],[descuento antes de IVA]])</f>
        <v>0</v>
      </c>
      <c r="P13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79" s="33">
        <f>+(PROVEEDORES[[#This Row],[SUBTOTAL]]-PROVEEDORES[[#This Row],[descuento antes de IVA]])*PROVEEDORES[[#This Row],[Rete Fuente %]]</f>
        <v>0</v>
      </c>
      <c r="R1379" s="32">
        <f>+PROVEEDORES[[#This Row],[SUBTOTAL]]+PROVEEDORES[[#This Row],[IVA 19%]]-PROVEEDORES[[#This Row],[descuento antes de IVA]]-PROVEEDORES[[#This Row],[Descuento sobre subtotal $]]-PROVEEDORES[[#This Row],[Rete Fuente $]]</f>
        <v>4326823.5294117648</v>
      </c>
      <c r="S137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0" spans="1:19" ht="21.95" hidden="1" customHeight="1" x14ac:dyDescent="0.25">
      <c r="A1380" s="39" t="str">
        <f>+IF(PROVEEDORES[[#This Row],[FECHA DE PAGO]]=PROVEEDORES[[#This Row],[FECHA DE FACTURACIÓN]],"DE CONTADO","CRÉDITO")</f>
        <v>CRÉDITO</v>
      </c>
      <c r="B1380" s="67" t="b">
        <f>+IF((PROVEEDORES[[#This Row],[FECHA DE PAGO]]-PROVEEDORES[[#This Row],[FECHA DE FACTURACIÓN]])&gt;PROVEEDORES[[#This Row],[PLAZO Días]],"PAGO VENCIDO")</f>
        <v>0</v>
      </c>
      <c r="C1380" s="27">
        <f>+VLOOKUP(PROVEEDORES[[#This Row],[PROVEEDOR]],TERCEROS_INFO[#All],2,FALSE)</f>
        <v>30</v>
      </c>
      <c r="D1380" s="37">
        <f>+SUMIFS(PROVEEDORES[Total],PROVEEDORES[PROVEEDOR],PROVEEDORES[[#This Row],[PROVEEDOR]],PROVEEDORES[FECHA DE PAGO],"")</f>
        <v>0</v>
      </c>
      <c r="E1380" s="37" t="s">
        <v>354</v>
      </c>
      <c r="F1380" s="108" t="str">
        <f>+VLOOKUP(PROVEEDORES[[#This Row],[PROVEEDOR]],TERCEROS_INFO[[PROVEEDOR]:[CORREO]],5,FALSE)</f>
        <v/>
      </c>
      <c r="G1380" s="143">
        <v>44036</v>
      </c>
      <c r="H1380" s="38" t="s">
        <v>29</v>
      </c>
      <c r="I1380" s="30">
        <v>44029</v>
      </c>
      <c r="J1380" s="58">
        <v>126679</v>
      </c>
      <c r="K1380" s="32">
        <v>223865.5462184874</v>
      </c>
      <c r="L1380" s="32"/>
      <c r="M1380" s="33">
        <f>(PROVEEDORES[[#This Row],[SUBTOTAL]]-PROVEEDORES[[#This Row],[descuento antes de IVA]])*VLOOKUP(PROVEEDORES[[#This Row],[PROVEEDOR]],TERCEROS_INFO[#All],3,FALSE)</f>
        <v>0</v>
      </c>
      <c r="N1380" s="34"/>
      <c r="O1380" s="33">
        <f>+PROVEEDORES[[#This Row],[Descuento sobre subtotal %]]*(PROVEEDORES[[#This Row],[SUBTOTAL]]-PROVEEDORES[[#This Row],[descuento antes de IVA]])</f>
        <v>0</v>
      </c>
      <c r="P13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0" s="33">
        <f>+(PROVEEDORES[[#This Row],[SUBTOTAL]]-PROVEEDORES[[#This Row],[descuento antes de IVA]])*PROVEEDORES[[#This Row],[Rete Fuente %]]</f>
        <v>0</v>
      </c>
      <c r="R1380" s="32">
        <f>+PROVEEDORES[[#This Row],[SUBTOTAL]]+PROVEEDORES[[#This Row],[IVA 19%]]-PROVEEDORES[[#This Row],[descuento antes de IVA]]-PROVEEDORES[[#This Row],[Descuento sobre subtotal $]]-PROVEEDORES[[#This Row],[Rete Fuente $]]</f>
        <v>223865.5462184874</v>
      </c>
      <c r="S138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1" spans="1:19" ht="21.95" hidden="1" customHeight="1" x14ac:dyDescent="0.25">
      <c r="A1381" s="39" t="str">
        <f>+IF(PROVEEDORES[[#This Row],[FECHA DE PAGO]]=PROVEEDORES[[#This Row],[FECHA DE FACTURACIÓN]],"DE CONTADO","CRÉDITO")</f>
        <v>CRÉDITO</v>
      </c>
      <c r="B1381" s="67" t="b">
        <f>+IF((PROVEEDORES[[#This Row],[FECHA DE PAGO]]-PROVEEDORES[[#This Row],[FECHA DE FACTURACIÓN]])&gt;PROVEEDORES[[#This Row],[PLAZO Días]],"PAGO VENCIDO")</f>
        <v>0</v>
      </c>
      <c r="C1381" s="27">
        <f>+VLOOKUP(PROVEEDORES[[#This Row],[PROVEEDOR]],TERCEROS_INFO[#All],2,FALSE)</f>
        <v>30</v>
      </c>
      <c r="D1381" s="37">
        <f>+SUMIFS(PROVEEDORES[Total],PROVEEDORES[PROVEEDOR],PROVEEDORES[[#This Row],[PROVEEDOR]],PROVEEDORES[FECHA DE PAGO],"")</f>
        <v>0</v>
      </c>
      <c r="E1381" s="37"/>
      <c r="F1381" s="108" t="str">
        <f>+VLOOKUP(PROVEEDORES[[#This Row],[PROVEEDOR]],TERCEROS_INFO[[PROVEEDOR]:[CORREO]],5,FALSE)</f>
        <v/>
      </c>
      <c r="G1381" s="143">
        <v>44180</v>
      </c>
      <c r="H1381" s="38" t="s">
        <v>29</v>
      </c>
      <c r="I1381" s="30">
        <v>44166</v>
      </c>
      <c r="J1381" s="58">
        <v>127620</v>
      </c>
      <c r="K1381" s="32">
        <v>4086352.9411764708</v>
      </c>
      <c r="L1381" s="32"/>
      <c r="M1381" s="33">
        <f>(PROVEEDORES[[#This Row],[SUBTOTAL]]-PROVEEDORES[[#This Row],[descuento antes de IVA]])*VLOOKUP(PROVEEDORES[[#This Row],[PROVEEDOR]],TERCEROS_INFO[#All],3,FALSE)</f>
        <v>0</v>
      </c>
      <c r="N1381" s="34"/>
      <c r="O1381" s="33">
        <f>+PROVEEDORES[[#This Row],[Descuento sobre subtotal %]]*(PROVEEDORES[[#This Row],[SUBTOTAL]]-PROVEEDORES[[#This Row],[descuento antes de IVA]])</f>
        <v>0</v>
      </c>
      <c r="P13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1" s="33">
        <f>+(PROVEEDORES[[#This Row],[SUBTOTAL]]-PROVEEDORES[[#This Row],[descuento antes de IVA]])*PROVEEDORES[[#This Row],[Rete Fuente %]]</f>
        <v>0</v>
      </c>
      <c r="R1381" s="32">
        <f>+PROVEEDORES[[#This Row],[SUBTOTAL]]+PROVEEDORES[[#This Row],[IVA 19%]]-PROVEEDORES[[#This Row],[descuento antes de IVA]]-PROVEEDORES[[#This Row],[Descuento sobre subtotal $]]-PROVEEDORES[[#This Row],[Rete Fuente $]]</f>
        <v>4086352.9411764708</v>
      </c>
      <c r="S138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2" spans="1:19" ht="21.95" hidden="1" customHeight="1" x14ac:dyDescent="0.25">
      <c r="A1382" s="39" t="str">
        <f>+IF(PROVEEDORES[[#This Row],[FECHA DE PAGO]]=PROVEEDORES[[#This Row],[FECHA DE FACTURACIÓN]],"DE CONTADO","CRÉDITO")</f>
        <v>CRÉDITO</v>
      </c>
      <c r="B1382" s="67" t="b">
        <f>+IF((PROVEEDORES[[#This Row],[FECHA DE PAGO]]-PROVEEDORES[[#This Row],[FECHA DE FACTURACIÓN]])&gt;PROVEEDORES[[#This Row],[PLAZO Días]],"PAGO VENCIDO")</f>
        <v>0</v>
      </c>
      <c r="C1382" s="27">
        <f>+VLOOKUP(PROVEEDORES[[#This Row],[PROVEEDOR]],TERCEROS_INFO[#All],2,FALSE)</f>
        <v>30</v>
      </c>
      <c r="D1382" s="37">
        <f>+SUMIFS(PROVEEDORES[Total],PROVEEDORES[PROVEEDOR],PROVEEDORES[[#This Row],[PROVEEDOR]],PROVEEDORES[FECHA DE PAGO],"")</f>
        <v>0</v>
      </c>
      <c r="E1382" s="37"/>
      <c r="F1382" s="108" t="str">
        <f>+VLOOKUP(PROVEEDORES[[#This Row],[PROVEEDOR]],TERCEROS_INFO[[PROVEEDOR]:[CORREO]],5,FALSE)</f>
        <v/>
      </c>
      <c r="G1382" s="143">
        <v>44180</v>
      </c>
      <c r="H1382" s="38" t="s">
        <v>29</v>
      </c>
      <c r="I1382" s="30">
        <v>44166</v>
      </c>
      <c r="J1382" s="58">
        <v>127723</v>
      </c>
      <c r="K1382" s="32">
        <v>157411.76470588235</v>
      </c>
      <c r="L1382" s="32"/>
      <c r="M1382" s="33">
        <f>(PROVEEDORES[[#This Row],[SUBTOTAL]]-PROVEEDORES[[#This Row],[descuento antes de IVA]])*VLOOKUP(PROVEEDORES[[#This Row],[PROVEEDOR]],TERCEROS_INFO[#All],3,FALSE)</f>
        <v>0</v>
      </c>
      <c r="N1382" s="34"/>
      <c r="O1382" s="33">
        <f>+PROVEEDORES[[#This Row],[Descuento sobre subtotal %]]*(PROVEEDORES[[#This Row],[SUBTOTAL]]-PROVEEDORES[[#This Row],[descuento antes de IVA]])</f>
        <v>0</v>
      </c>
      <c r="P13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2" s="33">
        <f>+(PROVEEDORES[[#This Row],[SUBTOTAL]]-PROVEEDORES[[#This Row],[descuento antes de IVA]])*PROVEEDORES[[#This Row],[Rete Fuente %]]</f>
        <v>0</v>
      </c>
      <c r="R1382" s="32">
        <f>+PROVEEDORES[[#This Row],[SUBTOTAL]]+PROVEEDORES[[#This Row],[IVA 19%]]-PROVEEDORES[[#This Row],[descuento antes de IVA]]-PROVEEDORES[[#This Row],[Descuento sobre subtotal $]]-PROVEEDORES[[#This Row],[Rete Fuente $]]</f>
        <v>157411.76470588235</v>
      </c>
      <c r="S138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3" spans="1:19" ht="21.95" hidden="1" customHeight="1" x14ac:dyDescent="0.25">
      <c r="A1383" s="39" t="str">
        <f>+IF(PROVEEDORES[[#This Row],[FECHA DE PAGO]]=PROVEEDORES[[#This Row],[FECHA DE FACTURACIÓN]],"DE CONTADO","CRÉDITO")</f>
        <v>CRÉDITO</v>
      </c>
      <c r="B1383" s="67" t="b">
        <f>+IF((PROVEEDORES[[#This Row],[FECHA DE PAGO]]-PROVEEDORES[[#This Row],[FECHA DE FACTURACIÓN]])&gt;PROVEEDORES[[#This Row],[PLAZO Días]],"PAGO VENCIDO")</f>
        <v>0</v>
      </c>
      <c r="C1383" s="27">
        <f>+VLOOKUP(PROVEEDORES[[#This Row],[PROVEEDOR]],TERCEROS_INFO[#All],2,FALSE)</f>
        <v>30</v>
      </c>
      <c r="D1383" s="37">
        <f>+SUMIFS(PROVEEDORES[Total],PROVEEDORES[PROVEEDOR],PROVEEDORES[[#This Row],[PROVEEDOR]],PROVEEDORES[FECHA DE PAGO],"")</f>
        <v>0</v>
      </c>
      <c r="E1383" s="37"/>
      <c r="F1383" s="108" t="str">
        <f>+VLOOKUP(PROVEEDORES[[#This Row],[PROVEEDOR]],TERCEROS_INFO[[PROVEEDOR]:[CORREO]],5,FALSE)</f>
        <v/>
      </c>
      <c r="G1383" s="143">
        <v>44178</v>
      </c>
      <c r="H1383" s="38" t="s">
        <v>29</v>
      </c>
      <c r="I1383" s="30">
        <v>44175</v>
      </c>
      <c r="J1383" s="58">
        <v>127718</v>
      </c>
      <c r="K1383" s="32">
        <v>5622058.823529412</v>
      </c>
      <c r="L1383" s="32"/>
      <c r="M1383" s="33">
        <f>(PROVEEDORES[[#This Row],[SUBTOTAL]]-PROVEEDORES[[#This Row],[descuento antes de IVA]])*VLOOKUP(PROVEEDORES[[#This Row],[PROVEEDOR]],TERCEROS_INFO[#All],3,FALSE)</f>
        <v>0</v>
      </c>
      <c r="N1383" s="34"/>
      <c r="O1383" s="33">
        <f>+PROVEEDORES[[#This Row],[Descuento sobre subtotal %]]*(PROVEEDORES[[#This Row],[SUBTOTAL]]-PROVEEDORES[[#This Row],[descuento antes de IVA]])</f>
        <v>0</v>
      </c>
      <c r="P13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3" s="33">
        <f>+(PROVEEDORES[[#This Row],[SUBTOTAL]]-PROVEEDORES[[#This Row],[descuento antes de IVA]])*PROVEEDORES[[#This Row],[Rete Fuente %]]</f>
        <v>0</v>
      </c>
      <c r="R1383" s="32">
        <f>+PROVEEDORES[[#This Row],[SUBTOTAL]]+PROVEEDORES[[#This Row],[IVA 19%]]-PROVEEDORES[[#This Row],[descuento antes de IVA]]-PROVEEDORES[[#This Row],[Descuento sobre subtotal $]]-PROVEEDORES[[#This Row],[Rete Fuente $]]</f>
        <v>5622058.823529412</v>
      </c>
      <c r="S138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4" spans="1:19" ht="21.95" hidden="1" customHeight="1" x14ac:dyDescent="0.25">
      <c r="A1384" s="39" t="str">
        <f>+IF(PROVEEDORES[[#This Row],[FECHA DE PAGO]]=PROVEEDORES[[#This Row],[FECHA DE FACTURACIÓN]],"DE CONTADO","CRÉDITO")</f>
        <v>CRÉDITO</v>
      </c>
      <c r="B1384" s="67" t="b">
        <f>+IF((PROVEEDORES[[#This Row],[FECHA DE PAGO]]-PROVEEDORES[[#This Row],[FECHA DE FACTURACIÓN]])&gt;PROVEEDORES[[#This Row],[PLAZO Días]],"PAGO VENCIDO")</f>
        <v>0</v>
      </c>
      <c r="C1384" s="27">
        <f>+VLOOKUP(PROVEEDORES[[#This Row],[PROVEEDOR]],TERCEROS_INFO[#All],2,FALSE)</f>
        <v>30</v>
      </c>
      <c r="D1384" s="37">
        <f>+SUMIFS(PROVEEDORES[Total],PROVEEDORES[PROVEEDOR],PROVEEDORES[[#This Row],[PROVEEDOR]],PROVEEDORES[FECHA DE PAGO],"")</f>
        <v>0</v>
      </c>
      <c r="E1384" s="37"/>
      <c r="F1384" s="108" t="str">
        <f>+VLOOKUP(PROVEEDORES[[#This Row],[PROVEEDOR]],TERCEROS_INFO[[PROVEEDOR]:[CORREO]],5,FALSE)</f>
        <v/>
      </c>
      <c r="G1384" s="143">
        <v>44178</v>
      </c>
      <c r="H1384" s="38" t="s">
        <v>29</v>
      </c>
      <c r="I1384" s="30">
        <v>44175</v>
      </c>
      <c r="J1384" s="58">
        <v>127723</v>
      </c>
      <c r="K1384" s="32">
        <v>157411.76470588235</v>
      </c>
      <c r="L1384" s="32"/>
      <c r="M1384" s="33">
        <f>(PROVEEDORES[[#This Row],[SUBTOTAL]]-PROVEEDORES[[#This Row],[descuento antes de IVA]])*VLOOKUP(PROVEEDORES[[#This Row],[PROVEEDOR]],TERCEROS_INFO[#All],3,FALSE)</f>
        <v>0</v>
      </c>
      <c r="N1384" s="34"/>
      <c r="O1384" s="33">
        <f>+PROVEEDORES[[#This Row],[Descuento sobre subtotal %]]*(PROVEEDORES[[#This Row],[SUBTOTAL]]-PROVEEDORES[[#This Row],[descuento antes de IVA]])</f>
        <v>0</v>
      </c>
      <c r="P13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4" s="33">
        <f>+(PROVEEDORES[[#This Row],[SUBTOTAL]]-PROVEEDORES[[#This Row],[descuento antes de IVA]])*PROVEEDORES[[#This Row],[Rete Fuente %]]</f>
        <v>0</v>
      </c>
      <c r="R1384" s="32">
        <f>+PROVEEDORES[[#This Row],[SUBTOTAL]]+PROVEEDORES[[#This Row],[IVA 19%]]-PROVEEDORES[[#This Row],[descuento antes de IVA]]-PROVEEDORES[[#This Row],[Descuento sobre subtotal $]]-PROVEEDORES[[#This Row],[Rete Fuente $]]</f>
        <v>157411.76470588235</v>
      </c>
      <c r="S138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5" spans="1:19" ht="21.95" hidden="1" customHeight="1" x14ac:dyDescent="0.25">
      <c r="A1385" s="39" t="str">
        <f>+IF(PROVEEDORES[[#This Row],[FECHA DE PAGO]]=PROVEEDORES[[#This Row],[FECHA DE FACTURACIÓN]],"DE CONTADO","CRÉDITO")</f>
        <v>CRÉDITO</v>
      </c>
      <c r="B1385" s="67" t="b">
        <f>+IF((PROVEEDORES[[#This Row],[FECHA DE PAGO]]-PROVEEDORES[[#This Row],[FECHA DE FACTURACIÓN]])&gt;PROVEEDORES[[#This Row],[PLAZO Días]],"PAGO VENCIDO")</f>
        <v>0</v>
      </c>
      <c r="C1385" s="27">
        <f>+VLOOKUP(PROVEEDORES[[#This Row],[PROVEEDOR]],TERCEROS_INFO[#All],2,FALSE)</f>
        <v>30</v>
      </c>
      <c r="D1385" s="37">
        <f>+SUMIFS(PROVEEDORES[Total],PROVEEDORES[PROVEEDOR],PROVEEDORES[[#This Row],[PROVEEDOR]],PROVEEDORES[FECHA DE PAGO],"")</f>
        <v>0</v>
      </c>
      <c r="E1385" s="37"/>
      <c r="F1385" s="108" t="str">
        <f>+VLOOKUP(PROVEEDORES[[#This Row],[PROVEEDOR]],TERCEROS_INFO[[PROVEEDOR]:[CORREO]],5,FALSE)</f>
        <v/>
      </c>
      <c r="G1385" s="143">
        <v>44236</v>
      </c>
      <c r="H1385" s="38" t="s">
        <v>29</v>
      </c>
      <c r="I1385" s="30">
        <v>44235</v>
      </c>
      <c r="J1385" s="58">
        <v>128121</v>
      </c>
      <c r="K1385" s="32">
        <f>+(1328+37.18)*3600</f>
        <v>4914648</v>
      </c>
      <c r="L1385" s="32"/>
      <c r="M1385" s="33">
        <f>(PROVEEDORES[[#This Row],[SUBTOTAL]]-PROVEEDORES[[#This Row],[descuento antes de IVA]])*VLOOKUP(PROVEEDORES[[#This Row],[PROVEEDOR]],TERCEROS_INFO[#All],3,FALSE)</f>
        <v>0</v>
      </c>
      <c r="N1385" s="34"/>
      <c r="O1385" s="33">
        <f>+PROVEEDORES[[#This Row],[Descuento sobre subtotal %]]*(PROVEEDORES[[#This Row],[SUBTOTAL]]-PROVEEDORES[[#This Row],[descuento antes de IVA]])</f>
        <v>0</v>
      </c>
      <c r="P13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5" s="33">
        <f>+(PROVEEDORES[[#This Row],[SUBTOTAL]]-PROVEEDORES[[#This Row],[descuento antes de IVA]])*PROVEEDORES[[#This Row],[Rete Fuente %]]</f>
        <v>0</v>
      </c>
      <c r="R1385" s="32">
        <f>+PROVEEDORES[[#This Row],[SUBTOTAL]]+PROVEEDORES[[#This Row],[IVA 19%]]-PROVEEDORES[[#This Row],[descuento antes de IVA]]-PROVEEDORES[[#This Row],[Descuento sobre subtotal $]]-PROVEEDORES[[#This Row],[Rete Fuente $]]</f>
        <v>4914648</v>
      </c>
      <c r="S138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6" spans="1:19" ht="21.95" hidden="1" customHeight="1" x14ac:dyDescent="0.25">
      <c r="A1386" s="109" t="str">
        <f>+IF(PROVEEDORES[[#This Row],[FECHA DE PAGO]]=PROVEEDORES[[#This Row],[FECHA DE FACTURACIÓN]],"DE CONTADO","CRÉDITO")</f>
        <v>CRÉDITO</v>
      </c>
      <c r="B1386" s="70" t="b">
        <f>+IF((PROVEEDORES[[#This Row],[FECHA DE PAGO]]-PROVEEDORES[[#This Row],[FECHA DE FACTURACIÓN]])&gt;PROVEEDORES[[#This Row],[PLAZO Días]],"PAGO VENCIDO")</f>
        <v>0</v>
      </c>
      <c r="C1386" s="27">
        <f>+VLOOKUP(PROVEEDORES[[#This Row],[PROVEEDOR]],TERCEROS_INFO[#All],2,FALSE)</f>
        <v>30</v>
      </c>
      <c r="D1386" s="37">
        <f>+SUMIFS(PROVEEDORES[Total],PROVEEDORES[PROVEEDOR],PROVEEDORES[[#This Row],[PROVEEDOR]],PROVEEDORES[FECHA DE PAGO],"")</f>
        <v>0</v>
      </c>
      <c r="E1386" s="37"/>
      <c r="F1386" s="108" t="str">
        <f>+VLOOKUP(PROVEEDORES[[#This Row],[PROVEEDOR]],TERCEROS_INFO[[PROVEEDOR]:[CORREO]],5,FALSE)</f>
        <v/>
      </c>
      <c r="G1386" s="143">
        <v>44331</v>
      </c>
      <c r="H1386" s="38" t="s">
        <v>29</v>
      </c>
      <c r="I1386" s="30">
        <v>44319</v>
      </c>
      <c r="J1386" s="58" t="s">
        <v>669</v>
      </c>
      <c r="K1386" s="32">
        <v>7035320</v>
      </c>
      <c r="L1386" s="32"/>
      <c r="M1386" s="33">
        <f>(PROVEEDORES[[#This Row],[SUBTOTAL]]-PROVEEDORES[[#This Row],[descuento antes de IVA]])*VLOOKUP(PROVEEDORES[[#This Row],[PROVEEDOR]],TERCEROS_INFO[#All],3,FALSE)</f>
        <v>0</v>
      </c>
      <c r="N1386" s="34"/>
      <c r="O1386" s="33">
        <f>+PROVEEDORES[[#This Row],[Descuento sobre subtotal %]]*(PROVEEDORES[[#This Row],[SUBTOTAL]]-PROVEEDORES[[#This Row],[descuento antes de IVA]])</f>
        <v>0</v>
      </c>
      <c r="P13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6" s="33">
        <f>+(PROVEEDORES[[#This Row],[SUBTOTAL]]-PROVEEDORES[[#This Row],[descuento antes de IVA]])*PROVEEDORES[[#This Row],[Rete Fuente %]]</f>
        <v>0</v>
      </c>
      <c r="R1386" s="32">
        <f>+PROVEEDORES[[#This Row],[SUBTOTAL]]+PROVEEDORES[[#This Row],[IVA 19%]]-PROVEEDORES[[#This Row],[descuento antes de IVA]]-PROVEEDORES[[#This Row],[Descuento sobre subtotal $]]-PROVEEDORES[[#This Row],[Rete Fuente $]]</f>
        <v>7035320</v>
      </c>
      <c r="S1386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7" spans="1:19" ht="21.95" hidden="1" customHeight="1" x14ac:dyDescent="0.25">
      <c r="A1387" s="134" t="str">
        <f>+IF(PROVEEDORES[[#This Row],[FECHA DE PAGO]]=PROVEEDORES[[#This Row],[FECHA DE FACTURACIÓN]],"DE CONTADO","CRÉDITO")</f>
        <v>CRÉDITO</v>
      </c>
      <c r="B1387" s="70" t="b">
        <f>+IF((PROVEEDORES[[#This Row],[FECHA DE PAGO]]-PROVEEDORES[[#This Row],[FECHA DE FACTURACIÓN]])&gt;PROVEEDORES[[#This Row],[PLAZO Días]],"PAGO VENCIDO")</f>
        <v>0</v>
      </c>
      <c r="C1387" s="27">
        <f>+VLOOKUP(PROVEEDORES[[#This Row],[PROVEEDOR]],TERCEROS_INFO[#All],2,FALSE)</f>
        <v>30</v>
      </c>
      <c r="D1387" s="37">
        <f>+SUMIFS(PROVEEDORES[Total],PROVEEDORES[PROVEEDOR],PROVEEDORES[[#This Row],[PROVEEDOR]],PROVEEDORES[FECHA DE PAGO],"")</f>
        <v>0</v>
      </c>
      <c r="E1387" s="37"/>
      <c r="F1387" s="108" t="str">
        <f>+VLOOKUP(PROVEEDORES[[#This Row],[PROVEEDOR]],TERCEROS_INFO[[PROVEEDOR]:[CORREO]],5,FALSE)</f>
        <v/>
      </c>
      <c r="G1387" s="143">
        <v>44279</v>
      </c>
      <c r="H1387" s="38" t="s">
        <v>29</v>
      </c>
      <c r="I1387" s="30">
        <v>44400</v>
      </c>
      <c r="J1387" s="58">
        <v>129398</v>
      </c>
      <c r="K1387" s="32">
        <f>2051*4000</f>
        <v>8204000</v>
      </c>
      <c r="L1387" s="32"/>
      <c r="M1387" s="33">
        <f>(PROVEEDORES[[#This Row],[SUBTOTAL]]-PROVEEDORES[[#This Row],[descuento antes de IVA]])*VLOOKUP(PROVEEDORES[[#This Row],[PROVEEDOR]],TERCEROS_INFO[#All],3,FALSE)</f>
        <v>0</v>
      </c>
      <c r="N1387" s="34"/>
      <c r="O1387" s="33">
        <f>+PROVEEDORES[[#This Row],[Descuento sobre subtotal %]]*(PROVEEDORES[[#This Row],[SUBTOTAL]]-PROVEEDORES[[#This Row],[descuento antes de IVA]])</f>
        <v>0</v>
      </c>
      <c r="P13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7" s="33">
        <f>+(PROVEEDORES[[#This Row],[SUBTOTAL]]-PROVEEDORES[[#This Row],[descuento antes de IVA]])*PROVEEDORES[[#This Row],[Rete Fuente %]]</f>
        <v>0</v>
      </c>
      <c r="R1387" s="32">
        <f>+PROVEEDORES[[#This Row],[SUBTOTAL]]+PROVEEDORES[[#This Row],[IVA 19%]]-PROVEEDORES[[#This Row],[descuento antes de IVA]]-PROVEEDORES[[#This Row],[Descuento sobre subtotal $]]-PROVEEDORES[[#This Row],[Rete Fuente $]]</f>
        <v>8204000</v>
      </c>
      <c r="S1387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8" spans="1:19" ht="21.95" hidden="1" customHeight="1" x14ac:dyDescent="0.25">
      <c r="A1388" s="162" t="str">
        <f>+IF(PROVEEDORES[[#This Row],[FECHA DE PAGO]]=PROVEEDORES[[#This Row],[FECHA DE FACTURACIÓN]],"DE CONTADO","CRÉDITO")</f>
        <v>CRÉDITO</v>
      </c>
      <c r="B1388" s="70" t="b">
        <f>+IF((PROVEEDORES[[#This Row],[FECHA DE PAGO]]-PROVEEDORES[[#This Row],[FECHA DE FACTURACIÓN]])&gt;PROVEEDORES[[#This Row],[PLAZO Días]],"PAGO VENCIDO")</f>
        <v>0</v>
      </c>
      <c r="C1388" s="27">
        <f>+VLOOKUP(PROVEEDORES[[#This Row],[PROVEEDOR]],TERCEROS_INFO[#All],2,FALSE)</f>
        <v>30</v>
      </c>
      <c r="D1388" s="37">
        <f>+SUMIFS(PROVEEDORES[Total],PROVEEDORES[PROVEEDOR],PROVEEDORES[[#This Row],[PROVEEDOR]],PROVEEDORES[FECHA DE PAGO],"")</f>
        <v>0</v>
      </c>
      <c r="E1388" s="37"/>
      <c r="F1388" s="108" t="str">
        <f>+VLOOKUP(PROVEEDORES[[#This Row],[PROVEEDOR]],TERCEROS_INFO[[PROVEEDOR]:[CORREO]],5,FALSE)</f>
        <v/>
      </c>
      <c r="G1388" s="143">
        <v>44505</v>
      </c>
      <c r="H1388" s="38" t="s">
        <v>29</v>
      </c>
      <c r="I1388" s="30">
        <v>44504</v>
      </c>
      <c r="J1388" s="58" t="s">
        <v>937</v>
      </c>
      <c r="K1388" s="32">
        <f>+(1510.4+42)*3900</f>
        <v>6054360</v>
      </c>
      <c r="L1388" s="32"/>
      <c r="M1388" s="33">
        <f>(PROVEEDORES[[#This Row],[SUBTOTAL]]-PROVEEDORES[[#This Row],[descuento antes de IVA]])*VLOOKUP(PROVEEDORES[[#This Row],[PROVEEDOR]],TERCEROS_INFO[#All],3,FALSE)</f>
        <v>0</v>
      </c>
      <c r="N1388" s="34"/>
      <c r="O1388" s="33">
        <f>+PROVEEDORES[[#This Row],[Descuento sobre subtotal %]]*(PROVEEDORES[[#This Row],[SUBTOTAL]]-PROVEEDORES[[#This Row],[descuento antes de IVA]])</f>
        <v>0</v>
      </c>
      <c r="P13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88" s="33">
        <f>+(PROVEEDORES[[#This Row],[SUBTOTAL]]-PROVEEDORES[[#This Row],[descuento antes de IVA]])*PROVEEDORES[[#This Row],[Rete Fuente %]]</f>
        <v>0</v>
      </c>
      <c r="R1388" s="32">
        <f>+PROVEEDORES[[#This Row],[SUBTOTAL]]+PROVEEDORES[[#This Row],[IVA 19%]]-PROVEEDORES[[#This Row],[descuento antes de IVA]]-PROVEEDORES[[#This Row],[Descuento sobre subtotal $]]-PROVEEDORES[[#This Row],[Rete Fuente $]]</f>
        <v>6054360</v>
      </c>
      <c r="S1388" s="16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89" spans="1:19" ht="21.95" hidden="1" customHeight="1" x14ac:dyDescent="0.25">
      <c r="A1389" s="109" t="str">
        <f>+IF(PROVEEDORES[[#This Row],[FECHA DE PAGO]]=PROVEEDORES[[#This Row],[FECHA DE FACTURACIÓN]],"DE CONTADO","CRÉDITO")</f>
        <v>DE CONTADO</v>
      </c>
      <c r="B1389" s="70" t="b">
        <f>+IF((PROVEEDORES[[#This Row],[FECHA DE PAGO]]-PROVEEDORES[[#This Row],[FECHA DE FACTURACIÓN]])&gt;PROVEEDORES[[#This Row],[PLAZO Días]],"PAGO VENCIDO")</f>
        <v>0</v>
      </c>
      <c r="C1389" s="27">
        <f>+VLOOKUP(PROVEEDORES[[#This Row],[PROVEEDOR]],TERCEROS_INFO[#All],2,FALSE)</f>
        <v>30</v>
      </c>
      <c r="D1389" s="37">
        <f>+SUMIFS(PROVEEDORES[Total],PROVEEDORES[PROVEEDOR],PROVEEDORES[[#This Row],[PROVEEDOR]],PROVEEDORES[FECHA DE PAGO],"")</f>
        <v>0</v>
      </c>
      <c r="E1389" s="37"/>
      <c r="F1389" s="108" t="str">
        <f>+VLOOKUP(PROVEEDORES[[#This Row],[PROVEEDOR]],TERCEROS_INFO[[PROVEEDOR]:[CORREO]],5,FALSE)</f>
        <v>judy.torres@movecargo.co;girlesa.ruiz@servipilas.com;joriescobar64@gmail.com</v>
      </c>
      <c r="G1389" s="143">
        <v>44327</v>
      </c>
      <c r="H1389" s="57" t="s">
        <v>670</v>
      </c>
      <c r="I1389" s="30">
        <v>44327</v>
      </c>
      <c r="J1389" s="58" t="s">
        <v>1127</v>
      </c>
      <c r="K1389" s="32">
        <v>6017000</v>
      </c>
      <c r="L1389" s="32"/>
      <c r="M1389" s="33">
        <v>0</v>
      </c>
      <c r="N1389" s="34"/>
      <c r="O1389" s="33">
        <f>+PROVEEDORES[[#This Row],[Descuento sobre subtotal %]]*(PROVEEDORES[[#This Row],[SUBTOTAL]]-PROVEEDORES[[#This Row],[descuento antes de IVA]])</f>
        <v>0</v>
      </c>
      <c r="P1389" s="34">
        <v>0</v>
      </c>
      <c r="Q1389" s="33">
        <f>+(PROVEEDORES[[#This Row],[SUBTOTAL]]-PROVEEDORES[[#This Row],[descuento antes de IVA]])*PROVEEDORES[[#This Row],[Rete Fuente %]]</f>
        <v>0</v>
      </c>
      <c r="R1389" s="32">
        <f>+PROVEEDORES[[#This Row],[SUBTOTAL]]+PROVEEDORES[[#This Row],[IVA 19%]]-PROVEEDORES[[#This Row],[descuento antes de IVA]]-PROVEEDORES[[#This Row],[Descuento sobre subtotal $]]-PROVEEDORES[[#This Row],[Rete Fuente $]]</f>
        <v>6017000</v>
      </c>
      <c r="S1389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0" spans="1:19" ht="21.95" hidden="1" customHeight="1" x14ac:dyDescent="0.25">
      <c r="A1390" s="129" t="str">
        <f>+IF(PROVEEDORES[[#This Row],[FECHA DE PAGO]]=PROVEEDORES[[#This Row],[FECHA DE FACTURACIÓN]],"DE CONTADO","CRÉDITO")</f>
        <v>CRÉDITO</v>
      </c>
      <c r="B1390" s="70" t="b">
        <f>+IF((PROVEEDORES[[#This Row],[FECHA DE PAGO]]-PROVEEDORES[[#This Row],[FECHA DE FACTURACIÓN]])&gt;PROVEEDORES[[#This Row],[PLAZO Días]],"PAGO VENCIDO")</f>
        <v>0</v>
      </c>
      <c r="C1390" s="27">
        <f>+VLOOKUP(PROVEEDORES[[#This Row],[PROVEEDOR]],TERCEROS_INFO[#All],2,FALSE)</f>
        <v>30</v>
      </c>
      <c r="D1390" s="37">
        <f>+SUMIFS(PROVEEDORES[Total],PROVEEDORES[PROVEEDOR],PROVEEDORES[[#This Row],[PROVEEDOR]],PROVEEDORES[FECHA DE PAGO],"")</f>
        <v>0</v>
      </c>
      <c r="E1390" s="37"/>
      <c r="F1390" s="108" t="str">
        <f>+VLOOKUP(PROVEEDORES[[#This Row],[PROVEEDOR]],TERCEROS_INFO[[PROVEEDOR]:[CORREO]],5,FALSE)</f>
        <v>judy.torres@movecargo.co;girlesa.ruiz@servipilas.com;joriescobar64@gmail.com</v>
      </c>
      <c r="G1390" s="143">
        <v>44376</v>
      </c>
      <c r="H1390" s="57" t="s">
        <v>670</v>
      </c>
      <c r="I1390" s="30">
        <v>44372</v>
      </c>
      <c r="J1390" s="58" t="s">
        <v>730</v>
      </c>
      <c r="K1390" s="32">
        <v>452618</v>
      </c>
      <c r="L1390" s="32"/>
      <c r="M1390" s="33">
        <v>0</v>
      </c>
      <c r="N1390" s="34"/>
      <c r="O1390" s="33">
        <f>+PROVEEDORES[[#This Row],[Descuento sobre subtotal %]]*(PROVEEDORES[[#This Row],[SUBTOTAL]]-PROVEEDORES[[#This Row],[descuento antes de IVA]])</f>
        <v>0</v>
      </c>
      <c r="P13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390" s="33">
        <f>+(PROVEEDORES[[#This Row],[SUBTOTAL]]-PROVEEDORES[[#This Row],[descuento antes de IVA]])*PROVEEDORES[[#This Row],[Rete Fuente %]]</f>
        <v>4526.18</v>
      </c>
      <c r="R1390" s="32">
        <f>+PROVEEDORES[[#This Row],[SUBTOTAL]]+PROVEEDORES[[#This Row],[IVA 19%]]-PROVEEDORES[[#This Row],[descuento antes de IVA]]-PROVEEDORES[[#This Row],[Descuento sobre subtotal $]]-PROVEEDORES[[#This Row],[Rete Fuente $]]</f>
        <v>448091.82</v>
      </c>
      <c r="S1390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1" spans="1:19" ht="21.95" hidden="1" customHeight="1" x14ac:dyDescent="0.25">
      <c r="A1391" s="39" t="str">
        <f>+IF(PROVEEDORES[[#This Row],[FECHA DE PAGO]]=PROVEEDORES[[#This Row],[FECHA DE FACTURACIÓN]],"DE CONTADO","CRÉDITO")</f>
        <v>CRÉDITO</v>
      </c>
      <c r="B1391" s="67" t="str">
        <f>+IF((PROVEEDORES[[#This Row],[FECHA DE PAGO]]-PROVEEDORES[[#This Row],[FECHA DE FACTURACIÓN]])&gt;PROVEEDORES[[#This Row],[PLAZO Días]],"PAGO VENCIDO")</f>
        <v>PAGO VENCIDO</v>
      </c>
      <c r="C1391" s="27">
        <f>+VLOOKUP(PROVEEDORES[[#This Row],[PROVEEDOR]],TERCEROS_INFO[#All],2,FALSE)</f>
        <v>30</v>
      </c>
      <c r="D1391" s="37">
        <f>+SUMIFS(PROVEEDORES[Total],PROVEEDORES[PROVEEDOR],PROVEEDORES[[#This Row],[PROVEEDOR]],PROVEEDORES[FECHA DE PAGO],"")</f>
        <v>0</v>
      </c>
      <c r="E1391" s="37"/>
      <c r="F1391" s="108" t="str">
        <f>+VLOOKUP(PROVEEDORES[[#This Row],[PROVEEDOR]],TERCEROS_INFO[[PROVEEDOR]:[CORREO]],5,FALSE)</f>
        <v>MVALENCIA@mps.com.co;girlesa.ruiz@servipilas.com;joriescobar64@gmail.com</v>
      </c>
      <c r="G1391" s="143">
        <v>43950</v>
      </c>
      <c r="H1391" s="38" t="s">
        <v>17</v>
      </c>
      <c r="I1391" s="30">
        <v>43892</v>
      </c>
      <c r="J1391" s="58">
        <v>1614636</v>
      </c>
      <c r="K1391" s="32">
        <v>740705.04201680678</v>
      </c>
      <c r="L1391" s="32"/>
      <c r="M1391" s="33">
        <f>(PROVEEDORES[[#This Row],[SUBTOTAL]]-PROVEEDORES[[#This Row],[descuento antes de IVA]])*VLOOKUP(PROVEEDORES[[#This Row],[PROVEEDOR]],TERCEROS_INFO[#All],3,FALSE)</f>
        <v>140733.95798319328</v>
      </c>
      <c r="N1391" s="34"/>
      <c r="O1391" s="33">
        <f>+PROVEEDORES[[#This Row],[Descuento sobre subtotal %]]*(PROVEEDORES[[#This Row],[SUBTOTAL]]-PROVEEDORES[[#This Row],[descuento antes de IVA]])</f>
        <v>0</v>
      </c>
      <c r="P13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1" s="33">
        <f>+(PROVEEDORES[[#This Row],[SUBTOTAL]]-PROVEEDORES[[#This Row],[descuento antes de IVA]])*PROVEEDORES[[#This Row],[Rete Fuente %]]</f>
        <v>0</v>
      </c>
      <c r="R1391" s="32">
        <f>+PROVEEDORES[[#This Row],[SUBTOTAL]]+PROVEEDORES[[#This Row],[IVA 19%]]-PROVEEDORES[[#This Row],[descuento antes de IVA]]-PROVEEDORES[[#This Row],[Descuento sobre subtotal $]]-PROVEEDORES[[#This Row],[Rete Fuente $]]</f>
        <v>881439</v>
      </c>
      <c r="S139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2" spans="1:19" ht="21.95" hidden="1" customHeight="1" x14ac:dyDescent="0.25">
      <c r="A1392" s="39" t="str">
        <f>+IF(PROVEEDORES[[#This Row],[FECHA DE PAGO]]=PROVEEDORES[[#This Row],[FECHA DE FACTURACIÓN]],"DE CONTADO","CRÉDITO")</f>
        <v>CRÉDITO</v>
      </c>
      <c r="B1392" s="67" t="str">
        <f>+IF((PROVEEDORES[[#This Row],[FECHA DE PAGO]]-PROVEEDORES[[#This Row],[FECHA DE FACTURACIÓN]])&gt;PROVEEDORES[[#This Row],[PLAZO Días]],"PAGO VENCIDO")</f>
        <v>PAGO VENCIDO</v>
      </c>
      <c r="C1392" s="27">
        <f>+VLOOKUP(PROVEEDORES[[#This Row],[PROVEEDOR]],TERCEROS_INFO[#All],2,FALSE)</f>
        <v>30</v>
      </c>
      <c r="D1392" s="37">
        <f>+SUMIFS(PROVEEDORES[Total],PROVEEDORES[PROVEEDOR],PROVEEDORES[[#This Row],[PROVEEDOR]],PROVEEDORES[FECHA DE PAGO],"")</f>
        <v>0</v>
      </c>
      <c r="E1392" s="37"/>
      <c r="F1392" s="108" t="str">
        <f>+VLOOKUP(PROVEEDORES[[#This Row],[PROVEEDOR]],TERCEROS_INFO[[PROVEEDOR]:[CORREO]],5,FALSE)</f>
        <v>MVALENCIA@mps.com.co;girlesa.ruiz@servipilas.com;joriescobar64@gmail.com</v>
      </c>
      <c r="G1392" s="143">
        <v>44053</v>
      </c>
      <c r="H1392" s="38" t="s">
        <v>17</v>
      </c>
      <c r="I1392" s="30">
        <v>44019</v>
      </c>
      <c r="J1392" s="58">
        <v>1648061</v>
      </c>
      <c r="K1392" s="32">
        <v>1315336.1344537816</v>
      </c>
      <c r="L1392" s="32"/>
      <c r="M1392" s="33">
        <f>(PROVEEDORES[[#This Row],[SUBTOTAL]]-PROVEEDORES[[#This Row],[descuento antes de IVA]])*VLOOKUP(PROVEEDORES[[#This Row],[PROVEEDOR]],TERCEROS_INFO[#All],3,FALSE)</f>
        <v>249913.86554621853</v>
      </c>
      <c r="N1392" s="34"/>
      <c r="O1392" s="33">
        <f>+PROVEEDORES[[#This Row],[Descuento sobre subtotal %]]*(PROVEEDORES[[#This Row],[SUBTOTAL]]-PROVEEDORES[[#This Row],[descuento antes de IVA]])</f>
        <v>0</v>
      </c>
      <c r="P13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2" s="33">
        <f>+(PROVEEDORES[[#This Row],[SUBTOTAL]]-PROVEEDORES[[#This Row],[descuento antes de IVA]])*PROVEEDORES[[#This Row],[Rete Fuente %]]</f>
        <v>0</v>
      </c>
      <c r="R1392" s="32">
        <f>+PROVEEDORES[[#This Row],[SUBTOTAL]]+PROVEEDORES[[#This Row],[IVA 19%]]-PROVEEDORES[[#This Row],[descuento antes de IVA]]-PROVEEDORES[[#This Row],[Descuento sobre subtotal $]]-PROVEEDORES[[#This Row],[Rete Fuente $]]</f>
        <v>1565250.0000000002</v>
      </c>
      <c r="S139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3" spans="1:19" ht="21.95" hidden="1" customHeight="1" x14ac:dyDescent="0.25">
      <c r="A1393" s="39" t="str">
        <f>+IF(PROVEEDORES[[#This Row],[FECHA DE PAGO]]=PROVEEDORES[[#This Row],[FECHA DE FACTURACIÓN]],"DE CONTADO","CRÉDITO")</f>
        <v>CRÉDITO</v>
      </c>
      <c r="B1393" s="67" t="str">
        <f>+IF((PROVEEDORES[[#This Row],[FECHA DE PAGO]]-PROVEEDORES[[#This Row],[FECHA DE FACTURACIÓN]])&gt;PROVEEDORES[[#This Row],[PLAZO Días]],"PAGO VENCIDO")</f>
        <v>PAGO VENCIDO</v>
      </c>
      <c r="C1393" s="27">
        <f>+VLOOKUP(PROVEEDORES[[#This Row],[PROVEEDOR]],TERCEROS_INFO[#All],2,FALSE)</f>
        <v>30</v>
      </c>
      <c r="D1393" s="37">
        <f>+SUMIFS(PROVEEDORES[Total],PROVEEDORES[PROVEEDOR],PROVEEDORES[[#This Row],[PROVEEDOR]],PROVEEDORES[FECHA DE PAGO],"")</f>
        <v>0</v>
      </c>
      <c r="E1393" s="37"/>
      <c r="F1393" s="108" t="str">
        <f>+VLOOKUP(PROVEEDORES[[#This Row],[PROVEEDOR]],TERCEROS_INFO[[PROVEEDOR]:[CORREO]],5,FALSE)</f>
        <v>MVALENCIA@mps.com.co;girlesa.ruiz@servipilas.com;joriescobar64@gmail.com</v>
      </c>
      <c r="G1393" s="143">
        <v>44138</v>
      </c>
      <c r="H1393" s="38" t="s">
        <v>17</v>
      </c>
      <c r="I1393" s="30">
        <v>44106</v>
      </c>
      <c r="J1393" s="58">
        <v>1676614</v>
      </c>
      <c r="K1393" s="32">
        <v>191200</v>
      </c>
      <c r="L1393" s="32"/>
      <c r="M1393" s="33">
        <f>(PROVEEDORES[[#This Row],[SUBTOTAL]]-PROVEEDORES[[#This Row],[descuento antes de IVA]])*VLOOKUP(PROVEEDORES[[#This Row],[PROVEEDOR]],TERCEROS_INFO[#All],3,FALSE)</f>
        <v>36328</v>
      </c>
      <c r="N1393" s="34"/>
      <c r="O1393" s="33">
        <f>+PROVEEDORES[[#This Row],[Descuento sobre subtotal %]]*(PROVEEDORES[[#This Row],[SUBTOTAL]]-PROVEEDORES[[#This Row],[descuento antes de IVA]])</f>
        <v>0</v>
      </c>
      <c r="P13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3" s="33">
        <f>+(PROVEEDORES[[#This Row],[SUBTOTAL]]-PROVEEDORES[[#This Row],[descuento antes de IVA]])*PROVEEDORES[[#This Row],[Rete Fuente %]]</f>
        <v>0</v>
      </c>
      <c r="R1393" s="32">
        <f>+PROVEEDORES[[#This Row],[SUBTOTAL]]+PROVEEDORES[[#This Row],[IVA 19%]]-PROVEEDORES[[#This Row],[descuento antes de IVA]]-PROVEEDORES[[#This Row],[Descuento sobre subtotal $]]-PROVEEDORES[[#This Row],[Rete Fuente $]]</f>
        <v>227528</v>
      </c>
      <c r="S139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4" spans="1:19" ht="21.95" hidden="1" customHeight="1" x14ac:dyDescent="0.25">
      <c r="A1394" s="39" t="str">
        <f>+IF(PROVEEDORES[[#This Row],[FECHA DE PAGO]]=PROVEEDORES[[#This Row],[FECHA DE FACTURACIÓN]],"DE CONTADO","CRÉDITO")</f>
        <v>CRÉDITO</v>
      </c>
      <c r="B1394" s="67" t="str">
        <f>+IF((PROVEEDORES[[#This Row],[FECHA DE PAGO]]-PROVEEDORES[[#This Row],[FECHA DE FACTURACIÓN]])&gt;PROVEEDORES[[#This Row],[PLAZO Días]],"PAGO VENCIDO")</f>
        <v>PAGO VENCIDO</v>
      </c>
      <c r="C1394" s="27">
        <f>+VLOOKUP(PROVEEDORES[[#This Row],[PROVEEDOR]],TERCEROS_INFO[#All],2,FALSE)</f>
        <v>30</v>
      </c>
      <c r="D1394" s="37">
        <f>+SUMIFS(PROVEEDORES[Total],PROVEEDORES[PROVEEDOR],PROVEEDORES[[#This Row],[PROVEEDOR]],PROVEEDORES[FECHA DE PAGO],"")</f>
        <v>0</v>
      </c>
      <c r="E1394" s="37"/>
      <c r="F1394" s="108" t="str">
        <f>+VLOOKUP(PROVEEDORES[[#This Row],[PROVEEDOR]],TERCEROS_INFO[[PROVEEDOR]:[CORREO]],5,FALSE)</f>
        <v>MVALENCIA@mps.com.co;girlesa.ruiz@servipilas.com;joriescobar64@gmail.com</v>
      </c>
      <c r="G1394" s="143">
        <v>44158</v>
      </c>
      <c r="H1394" s="38" t="s">
        <v>17</v>
      </c>
      <c r="I1394" s="30">
        <v>44124</v>
      </c>
      <c r="J1394" s="58" t="s">
        <v>161</v>
      </c>
      <c r="K1394" s="32">
        <v>1151400</v>
      </c>
      <c r="L1394" s="32"/>
      <c r="M1394" s="33">
        <f>(PROVEEDORES[[#This Row],[SUBTOTAL]]-PROVEEDORES[[#This Row],[descuento antes de IVA]])*VLOOKUP(PROVEEDORES[[#This Row],[PROVEEDOR]],TERCEROS_INFO[#All],3,FALSE)</f>
        <v>218766</v>
      </c>
      <c r="N1394" s="34"/>
      <c r="O1394" s="33">
        <f>+PROVEEDORES[[#This Row],[Descuento sobre subtotal %]]*(PROVEEDORES[[#This Row],[SUBTOTAL]]-PROVEEDORES[[#This Row],[descuento antes de IVA]])</f>
        <v>0</v>
      </c>
      <c r="P13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4" s="33">
        <f>+(PROVEEDORES[[#This Row],[SUBTOTAL]]-PROVEEDORES[[#This Row],[descuento antes de IVA]])*PROVEEDORES[[#This Row],[Rete Fuente %]]</f>
        <v>0</v>
      </c>
      <c r="R1394" s="32">
        <f>+PROVEEDORES[[#This Row],[SUBTOTAL]]+PROVEEDORES[[#This Row],[IVA 19%]]-PROVEEDORES[[#This Row],[descuento antes de IVA]]-PROVEEDORES[[#This Row],[Descuento sobre subtotal $]]-PROVEEDORES[[#This Row],[Rete Fuente $]]</f>
        <v>1370166</v>
      </c>
      <c r="S139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5" spans="1:19" ht="21.95" hidden="1" customHeight="1" x14ac:dyDescent="0.25">
      <c r="A1395" s="39" t="str">
        <f>+IF(PROVEEDORES[[#This Row],[FECHA DE PAGO]]=PROVEEDORES[[#This Row],[FECHA DE FACTURACIÓN]],"DE CONTADO","CRÉDITO")</f>
        <v>CRÉDITO</v>
      </c>
      <c r="B1395" s="67" t="str">
        <f>+IF((PROVEEDORES[[#This Row],[FECHA DE PAGO]]-PROVEEDORES[[#This Row],[FECHA DE FACTURACIÓN]])&gt;PROVEEDORES[[#This Row],[PLAZO Días]],"PAGO VENCIDO")</f>
        <v>PAGO VENCIDO</v>
      </c>
      <c r="C1395" s="27">
        <f>+VLOOKUP(PROVEEDORES[[#This Row],[PROVEEDOR]],TERCEROS_INFO[#All],2,FALSE)</f>
        <v>30</v>
      </c>
      <c r="D1395" s="37">
        <f>+SUMIFS(PROVEEDORES[Total],PROVEEDORES[PROVEEDOR],PROVEEDORES[[#This Row],[PROVEEDOR]],PROVEEDORES[FECHA DE PAGO],"")</f>
        <v>0</v>
      </c>
      <c r="E1395" s="37"/>
      <c r="F1395" s="108" t="str">
        <f>+VLOOKUP(PROVEEDORES[[#This Row],[PROVEEDOR]],TERCEROS_INFO[[PROVEEDOR]:[CORREO]],5,FALSE)</f>
        <v>MVALENCIA@mps.com.co;girlesa.ruiz@servipilas.com;joriescobar64@gmail.com</v>
      </c>
      <c r="G1395" s="143">
        <v>44172</v>
      </c>
      <c r="H1395" s="38" t="s">
        <v>17</v>
      </c>
      <c r="I1395" s="30">
        <v>44134</v>
      </c>
      <c r="J1395" s="58" t="s">
        <v>174</v>
      </c>
      <c r="K1395" s="32">
        <v>536000</v>
      </c>
      <c r="L1395" s="32"/>
      <c r="M1395" s="33">
        <f>(PROVEEDORES[[#This Row],[SUBTOTAL]]-PROVEEDORES[[#This Row],[descuento antes de IVA]])*VLOOKUP(PROVEEDORES[[#This Row],[PROVEEDOR]],TERCEROS_INFO[#All],3,FALSE)</f>
        <v>101840</v>
      </c>
      <c r="N1395" s="34"/>
      <c r="O1395" s="33">
        <f>+PROVEEDORES[[#This Row],[Descuento sobre subtotal %]]*(PROVEEDORES[[#This Row],[SUBTOTAL]]-PROVEEDORES[[#This Row],[descuento antes de IVA]])</f>
        <v>0</v>
      </c>
      <c r="P13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5" s="33">
        <f>+(PROVEEDORES[[#This Row],[SUBTOTAL]]-PROVEEDORES[[#This Row],[descuento antes de IVA]])*PROVEEDORES[[#This Row],[Rete Fuente %]]</f>
        <v>0</v>
      </c>
      <c r="R1395" s="32">
        <f>+PROVEEDORES[[#This Row],[SUBTOTAL]]+PROVEEDORES[[#This Row],[IVA 19%]]-PROVEEDORES[[#This Row],[descuento antes de IVA]]-PROVEEDORES[[#This Row],[Descuento sobre subtotal $]]-PROVEEDORES[[#This Row],[Rete Fuente $]]</f>
        <v>637840</v>
      </c>
      <c r="S139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6" spans="1:19" ht="21.95" hidden="1" customHeight="1" x14ac:dyDescent="0.25">
      <c r="A1396" s="39" t="str">
        <f>+IF(PROVEEDORES[[#This Row],[FECHA DE PAGO]]=PROVEEDORES[[#This Row],[FECHA DE FACTURACIÓN]],"DE CONTADO","CRÉDITO")</f>
        <v>CRÉDITO</v>
      </c>
      <c r="B1396" s="67" t="str">
        <f>+IF((PROVEEDORES[[#This Row],[FECHA DE PAGO]]-PROVEEDORES[[#This Row],[FECHA DE FACTURACIÓN]])&gt;PROVEEDORES[[#This Row],[PLAZO Días]],"PAGO VENCIDO")</f>
        <v>PAGO VENCIDO</v>
      </c>
      <c r="C1396" s="27">
        <f>+VLOOKUP(PROVEEDORES[[#This Row],[PROVEEDOR]],TERCEROS_INFO[#All],2,FALSE)</f>
        <v>30</v>
      </c>
      <c r="D1396" s="37">
        <f>+SUMIFS(PROVEEDORES[Total],PROVEEDORES[PROVEEDOR],PROVEEDORES[[#This Row],[PROVEEDOR]],PROVEEDORES[FECHA DE PAGO],"")</f>
        <v>0</v>
      </c>
      <c r="E1396" s="37"/>
      <c r="F1396" s="108" t="str">
        <f>+VLOOKUP(PROVEEDORES[[#This Row],[PROVEEDOR]],TERCEROS_INFO[[PROVEEDOR]:[CORREO]],5,FALSE)</f>
        <v>MVALENCIA@mps.com.co;girlesa.ruiz@servipilas.com;joriescobar64@gmail.com</v>
      </c>
      <c r="G1396" s="143">
        <v>44208</v>
      </c>
      <c r="H1396" s="38" t="s">
        <v>17</v>
      </c>
      <c r="I1396" s="30">
        <v>44172</v>
      </c>
      <c r="J1396" s="58">
        <v>1700677</v>
      </c>
      <c r="K1396" s="32">
        <v>2284115.1260504201</v>
      </c>
      <c r="L1396" s="32"/>
      <c r="M1396" s="33">
        <f>(PROVEEDORES[[#This Row],[SUBTOTAL]]-PROVEEDORES[[#This Row],[descuento antes de IVA]])*VLOOKUP(PROVEEDORES[[#This Row],[PROVEEDOR]],TERCEROS_INFO[#All],3,FALSE)</f>
        <v>433981.87394957984</v>
      </c>
      <c r="N1396" s="34"/>
      <c r="O1396" s="33">
        <f>+PROVEEDORES[[#This Row],[Descuento sobre subtotal %]]*(PROVEEDORES[[#This Row],[SUBTOTAL]]-PROVEEDORES[[#This Row],[descuento antes de IVA]])</f>
        <v>0</v>
      </c>
      <c r="P13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6" s="33">
        <f>+(PROVEEDORES[[#This Row],[SUBTOTAL]]-PROVEEDORES[[#This Row],[descuento antes de IVA]])*PROVEEDORES[[#This Row],[Rete Fuente %]]</f>
        <v>0</v>
      </c>
      <c r="R1396" s="32">
        <f>+PROVEEDORES[[#This Row],[SUBTOTAL]]+PROVEEDORES[[#This Row],[IVA 19%]]-PROVEEDORES[[#This Row],[descuento antes de IVA]]-PROVEEDORES[[#This Row],[Descuento sobre subtotal $]]-PROVEEDORES[[#This Row],[Rete Fuente $]]</f>
        <v>2718097</v>
      </c>
      <c r="S139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7" spans="1:19" ht="21.95" hidden="1" customHeight="1" x14ac:dyDescent="0.25">
      <c r="A1397" s="39" t="str">
        <f>+IF(PROVEEDORES[[#This Row],[FECHA DE PAGO]]=PROVEEDORES[[#This Row],[FECHA DE FACTURACIÓN]],"DE CONTADO","CRÉDITO")</f>
        <v>CRÉDITO</v>
      </c>
      <c r="B1397" s="67" t="b">
        <f>+IF((PROVEEDORES[[#This Row],[FECHA DE PAGO]]-PROVEEDORES[[#This Row],[FECHA DE FACTURACIÓN]])&gt;PROVEEDORES[[#This Row],[PLAZO Días]],"PAGO VENCIDO")</f>
        <v>0</v>
      </c>
      <c r="C1397" s="27">
        <f>+VLOOKUP(PROVEEDORES[[#This Row],[PROVEEDOR]],TERCEROS_INFO[#All],2,FALSE)</f>
        <v>30</v>
      </c>
      <c r="D1397" s="37">
        <f>+SUMIFS(PROVEEDORES[Total],PROVEEDORES[PROVEEDOR],PROVEEDORES[[#This Row],[PROVEEDOR]],PROVEEDORES[FECHA DE PAGO],"")</f>
        <v>0</v>
      </c>
      <c r="E1397" s="37"/>
      <c r="F1397" s="108" t="str">
        <f>+VLOOKUP(PROVEEDORES[[#This Row],[PROVEEDOR]],TERCEROS_INFO[[PROVEEDOR]:[CORREO]],5,FALSE)</f>
        <v>MVALENCIA@mps.com.co;girlesa.ruiz@servipilas.com;joriescobar64@gmail.com</v>
      </c>
      <c r="G1397" s="143">
        <v>44208</v>
      </c>
      <c r="H1397" s="38" t="s">
        <v>17</v>
      </c>
      <c r="I1397" s="30">
        <v>44201</v>
      </c>
      <c r="J1397" s="58">
        <v>1710675</v>
      </c>
      <c r="K1397" s="32">
        <v>302521.00840336137</v>
      </c>
      <c r="L1397" s="32"/>
      <c r="M1397" s="33">
        <f>(PROVEEDORES[[#This Row],[SUBTOTAL]]-PROVEEDORES[[#This Row],[descuento antes de IVA]])*VLOOKUP(PROVEEDORES[[#This Row],[PROVEEDOR]],TERCEROS_INFO[#All],3,FALSE)</f>
        <v>57478.991596638662</v>
      </c>
      <c r="N1397" s="34"/>
      <c r="O1397" s="33">
        <f>+PROVEEDORES[[#This Row],[Descuento sobre subtotal %]]*(PROVEEDORES[[#This Row],[SUBTOTAL]]-PROVEEDORES[[#This Row],[descuento antes de IVA]])</f>
        <v>0</v>
      </c>
      <c r="P13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7" s="33">
        <f>+(PROVEEDORES[[#This Row],[SUBTOTAL]]-PROVEEDORES[[#This Row],[descuento antes de IVA]])*PROVEEDORES[[#This Row],[Rete Fuente %]]</f>
        <v>0</v>
      </c>
      <c r="R1397" s="32">
        <f>+PROVEEDORES[[#This Row],[SUBTOTAL]]+PROVEEDORES[[#This Row],[IVA 19%]]-PROVEEDORES[[#This Row],[descuento antes de IVA]]-PROVEEDORES[[#This Row],[Descuento sobre subtotal $]]-PROVEEDORES[[#This Row],[Rete Fuente $]]</f>
        <v>360000</v>
      </c>
      <c r="S139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8" spans="1:19" ht="21.95" hidden="1" customHeight="1" x14ac:dyDescent="0.25">
      <c r="A1398" s="35" t="str">
        <f>+IF(PROVEEDORES[[#This Row],[FECHA DE PAGO]]=PROVEEDORES[[#This Row],[FECHA DE FACTURACIÓN]],"DE CONTADO","CRÉDITO")</f>
        <v>CRÉDITO</v>
      </c>
      <c r="B1398" s="67" t="str">
        <f>+IF((PROVEEDORES[[#This Row],[FECHA DE PAGO]]-PROVEEDORES[[#This Row],[FECHA DE FACTURACIÓN]])&gt;PROVEEDORES[[#This Row],[PLAZO Días]],"PAGO VENCIDO")</f>
        <v>PAGO VENCIDO</v>
      </c>
      <c r="C1398" s="27">
        <f>+VLOOKUP(PROVEEDORES[[#This Row],[PROVEEDOR]],TERCEROS_INFO[#All],2,FALSE)</f>
        <v>30</v>
      </c>
      <c r="D1398" s="37">
        <f>+SUMIFS(PROVEEDORES[Total],PROVEEDORES[PROVEEDOR],PROVEEDORES[[#This Row],[PROVEEDOR]],PROVEEDORES[FECHA DE PAGO],"")</f>
        <v>0</v>
      </c>
      <c r="E1398" s="37"/>
      <c r="F1398" s="108" t="str">
        <f>+VLOOKUP(PROVEEDORES[[#This Row],[PROVEEDOR]],TERCEROS_INFO[[PROVEEDOR]:[CORREO]],5,FALSE)</f>
        <v>MVALENCIA@mps.com.co;girlesa.ruiz@servipilas.com;joriescobar64@gmail.com</v>
      </c>
      <c r="G1398" s="143">
        <v>44257</v>
      </c>
      <c r="H1398" s="38" t="s">
        <v>17</v>
      </c>
      <c r="I1398" s="30">
        <v>44221</v>
      </c>
      <c r="J1398" s="58">
        <v>1716568</v>
      </c>
      <c r="K1398" s="32">
        <v>948000</v>
      </c>
      <c r="L1398" s="32"/>
      <c r="M1398" s="33">
        <f>(PROVEEDORES[[#This Row],[SUBTOTAL]]-PROVEEDORES[[#This Row],[descuento antes de IVA]])*VLOOKUP(PROVEEDORES[[#This Row],[PROVEEDOR]],TERCEROS_INFO[#All],3,FALSE)</f>
        <v>180120</v>
      </c>
      <c r="N1398" s="34"/>
      <c r="O1398" s="33">
        <f>+PROVEEDORES[[#This Row],[Descuento sobre subtotal %]]*(PROVEEDORES[[#This Row],[SUBTOTAL]]-PROVEEDORES[[#This Row],[descuento antes de IVA]])</f>
        <v>0</v>
      </c>
      <c r="P13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8" s="33">
        <f>+(PROVEEDORES[[#This Row],[SUBTOTAL]]-PROVEEDORES[[#This Row],[descuento antes de IVA]])*PROVEEDORES[[#This Row],[Rete Fuente %]]</f>
        <v>0</v>
      </c>
      <c r="R1398" s="32">
        <f>+PROVEEDORES[[#This Row],[SUBTOTAL]]+PROVEEDORES[[#This Row],[IVA 19%]]-PROVEEDORES[[#This Row],[descuento antes de IVA]]-PROVEEDORES[[#This Row],[Descuento sobre subtotal $]]-PROVEEDORES[[#This Row],[Rete Fuente $]]</f>
        <v>1128120</v>
      </c>
      <c r="S139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399" spans="1:19" ht="21.95" hidden="1" customHeight="1" x14ac:dyDescent="0.25">
      <c r="A1399" s="88" t="str">
        <f>+IF(PROVEEDORES[[#This Row],[FECHA DE PAGO]]=PROVEEDORES[[#This Row],[FECHA DE FACTURACIÓN]],"DE CONTADO","CRÉDITO")</f>
        <v>CRÉDITO</v>
      </c>
      <c r="B1399" s="70" t="b">
        <f>+IF((PROVEEDORES[[#This Row],[FECHA DE PAGO]]-PROVEEDORES[[#This Row],[FECHA DE FACTURACIÓN]])&gt;PROVEEDORES[[#This Row],[PLAZO Días]],"PAGO VENCIDO")</f>
        <v>0</v>
      </c>
      <c r="C1399" s="27">
        <f>+VLOOKUP(PROVEEDORES[[#This Row],[PROVEEDOR]],TERCEROS_INFO[#All],2,FALSE)</f>
        <v>30</v>
      </c>
      <c r="D1399" s="37">
        <f>+SUMIFS(PROVEEDORES[Total],PROVEEDORES[PROVEEDOR],PROVEEDORES[[#This Row],[PROVEEDOR]],PROVEEDORES[FECHA DE PAGO],"")</f>
        <v>0</v>
      </c>
      <c r="E1399" s="37"/>
      <c r="F1399" s="108" t="str">
        <f>+VLOOKUP(PROVEEDORES[[#This Row],[PROVEEDOR]],TERCEROS_INFO[[PROVEEDOR]:[CORREO]],5,FALSE)</f>
        <v>MVALENCIA@mps.com.co;girlesa.ruiz@servipilas.com;joriescobar64@gmail.com</v>
      </c>
      <c r="G1399" s="143">
        <v>44271</v>
      </c>
      <c r="H1399" s="38" t="s">
        <v>17</v>
      </c>
      <c r="I1399" s="30">
        <v>44242</v>
      </c>
      <c r="J1399" s="58">
        <v>1726381</v>
      </c>
      <c r="K1399" s="32">
        <v>3219678</v>
      </c>
      <c r="L1399" s="32"/>
      <c r="M1399" s="33">
        <v>0</v>
      </c>
      <c r="N1399" s="34"/>
      <c r="O1399" s="33">
        <f>+PROVEEDORES[[#This Row],[Descuento sobre subtotal %]]*(PROVEEDORES[[#This Row],[SUBTOTAL]]-PROVEEDORES[[#This Row],[descuento antes de IVA]])</f>
        <v>0</v>
      </c>
      <c r="P13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399" s="33">
        <f>+(PROVEEDORES[[#This Row],[SUBTOTAL]]-PROVEEDORES[[#This Row],[descuento antes de IVA]])*PROVEEDORES[[#This Row],[Rete Fuente %]]</f>
        <v>0</v>
      </c>
      <c r="R1399" s="32">
        <f>+PROVEEDORES[[#This Row],[SUBTOTAL]]+PROVEEDORES[[#This Row],[IVA 19%]]-PROVEEDORES[[#This Row],[descuento antes de IVA]]-PROVEEDORES[[#This Row],[Descuento sobre subtotal $]]-PROVEEDORES[[#This Row],[Rete Fuente $]]</f>
        <v>3219678</v>
      </c>
      <c r="S139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0" spans="1:19" ht="21.95" hidden="1" customHeight="1" x14ac:dyDescent="0.25">
      <c r="A1400" s="88" t="str">
        <f>+IF(PROVEEDORES[[#This Row],[FECHA DE PAGO]]=PROVEEDORES[[#This Row],[FECHA DE FACTURACIÓN]],"DE CONTADO","CRÉDITO")</f>
        <v>CRÉDITO</v>
      </c>
      <c r="B1400" s="70" t="b">
        <f>+IF((PROVEEDORES[[#This Row],[FECHA DE PAGO]]-PROVEEDORES[[#This Row],[FECHA DE FACTURACIÓN]])&gt;PROVEEDORES[[#This Row],[PLAZO Días]],"PAGO VENCIDO")</f>
        <v>0</v>
      </c>
      <c r="C1400" s="27">
        <f>+VLOOKUP(PROVEEDORES[[#This Row],[PROVEEDOR]],TERCEROS_INFO[#All],2,FALSE)</f>
        <v>30</v>
      </c>
      <c r="D1400" s="37">
        <f>+SUMIFS(PROVEEDORES[Total],PROVEEDORES[PROVEEDOR],PROVEEDORES[[#This Row],[PROVEEDOR]],PROVEEDORES[FECHA DE PAGO],"")</f>
        <v>0</v>
      </c>
      <c r="E1400" s="37" t="s">
        <v>530</v>
      </c>
      <c r="F1400" s="108" t="str">
        <f>+VLOOKUP(PROVEEDORES[[#This Row],[PROVEEDOR]],TERCEROS_INFO[[PROVEEDOR]:[CORREO]],5,FALSE)</f>
        <v>MVALENCIA@mps.com.co;girlesa.ruiz@servipilas.com;joriescobar64@gmail.com</v>
      </c>
      <c r="G1400" s="143">
        <v>44279</v>
      </c>
      <c r="H1400" s="38" t="s">
        <v>17</v>
      </c>
      <c r="I1400" s="30">
        <v>44256</v>
      </c>
      <c r="J1400" s="58">
        <v>1733179</v>
      </c>
      <c r="K1400" s="32">
        <v>512507</v>
      </c>
      <c r="L1400" s="32"/>
      <c r="M1400" s="33">
        <f>(PROVEEDORES[[#This Row],[SUBTOTAL]]-PROVEEDORES[[#This Row],[descuento antes de IVA]])*VLOOKUP(PROVEEDORES[[#This Row],[PROVEEDOR]],TERCEROS_INFO[#All],3,FALSE)</f>
        <v>97376.33</v>
      </c>
      <c r="N1400" s="34"/>
      <c r="O1400" s="33">
        <f>+PROVEEDORES[[#This Row],[Descuento sobre subtotal %]]*(PROVEEDORES[[#This Row],[SUBTOTAL]]-PROVEEDORES[[#This Row],[descuento antes de IVA]])</f>
        <v>0</v>
      </c>
      <c r="P14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0" s="33">
        <f>+(PROVEEDORES[[#This Row],[SUBTOTAL]]-PROVEEDORES[[#This Row],[descuento antes de IVA]])*PROVEEDORES[[#This Row],[Rete Fuente %]]</f>
        <v>0</v>
      </c>
      <c r="R1400" s="32">
        <f>+PROVEEDORES[[#This Row],[SUBTOTAL]]+PROVEEDORES[[#This Row],[IVA 19%]]-PROVEEDORES[[#This Row],[descuento antes de IVA]]-PROVEEDORES[[#This Row],[Descuento sobre subtotal $]]-PROVEEDORES[[#This Row],[Rete Fuente $]]</f>
        <v>609883.32999999996</v>
      </c>
      <c r="S1400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1" spans="1:19" ht="21.95" hidden="1" customHeight="1" x14ac:dyDescent="0.25">
      <c r="A1401" s="88" t="str">
        <f>+IF(PROVEEDORES[[#This Row],[FECHA DE PAGO]]=PROVEEDORES[[#This Row],[FECHA DE FACTURACIÓN]],"DE CONTADO","CRÉDITO")</f>
        <v>CRÉDITO</v>
      </c>
      <c r="B1401" s="70" t="str">
        <f>+IF((PROVEEDORES[[#This Row],[FECHA DE PAGO]]-PROVEEDORES[[#This Row],[FECHA DE FACTURACIÓN]])&gt;PROVEEDORES[[#This Row],[PLAZO Días]],"PAGO VENCIDO")</f>
        <v>PAGO VENCIDO</v>
      </c>
      <c r="C1401" s="27">
        <f>+VLOOKUP(PROVEEDORES[[#This Row],[PROVEEDOR]],TERCEROS_INFO[#All],2,FALSE)</f>
        <v>30</v>
      </c>
      <c r="D1401" s="37">
        <f>+SUMIFS(PROVEEDORES[Total],PROVEEDORES[PROVEEDOR],PROVEEDORES[[#This Row],[PROVEEDOR]],PROVEEDORES[FECHA DE PAGO],"")</f>
        <v>0</v>
      </c>
      <c r="E1401" s="37"/>
      <c r="F1401" s="108" t="str">
        <f>+VLOOKUP(PROVEEDORES[[#This Row],[PROVEEDOR]],TERCEROS_INFO[[PROVEEDOR]:[CORREO]],5,FALSE)</f>
        <v>MVALENCIA@mps.com.co;girlesa.ruiz@servipilas.com;joriescobar64@gmail.com</v>
      </c>
      <c r="G1401" s="143">
        <v>44335</v>
      </c>
      <c r="H1401" s="38" t="s">
        <v>17</v>
      </c>
      <c r="I1401" s="30">
        <v>44281</v>
      </c>
      <c r="J1401" s="58">
        <v>1744568</v>
      </c>
      <c r="K1401" s="32">
        <v>1740230</v>
      </c>
      <c r="L1401" s="32"/>
      <c r="M1401" s="33">
        <f>(PROVEEDORES[[#This Row],[SUBTOTAL]]-PROVEEDORES[[#This Row],[descuento antes de IVA]])*VLOOKUP(PROVEEDORES[[#This Row],[PROVEEDOR]],TERCEROS_INFO[#All],3,FALSE)</f>
        <v>330643.7</v>
      </c>
      <c r="N1401" s="34"/>
      <c r="O1401" s="33">
        <f>+PROVEEDORES[[#This Row],[Descuento sobre subtotal %]]*(PROVEEDORES[[#This Row],[SUBTOTAL]]-PROVEEDORES[[#This Row],[descuento antes de IVA]])</f>
        <v>0</v>
      </c>
      <c r="P14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1" s="33">
        <f>+(PROVEEDORES[[#This Row],[SUBTOTAL]]-PROVEEDORES[[#This Row],[descuento antes de IVA]])*PROVEEDORES[[#This Row],[Rete Fuente %]]</f>
        <v>0</v>
      </c>
      <c r="R1401" s="32">
        <f>+PROVEEDORES[[#This Row],[SUBTOTAL]]+PROVEEDORES[[#This Row],[IVA 19%]]-PROVEEDORES[[#This Row],[descuento antes de IVA]]-PROVEEDORES[[#This Row],[Descuento sobre subtotal $]]-PROVEEDORES[[#This Row],[Rete Fuente $]]</f>
        <v>2070873.7</v>
      </c>
      <c r="S1401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2" spans="1:19" ht="21.95" hidden="1" customHeight="1" x14ac:dyDescent="0.25">
      <c r="A1402" s="103" t="str">
        <f>+IF(PROVEEDORES[[#This Row],[FECHA DE PAGO]]=PROVEEDORES[[#This Row],[FECHA DE FACTURACIÓN]],"DE CONTADO","CRÉDITO")</f>
        <v>CRÉDITO</v>
      </c>
      <c r="B1402" s="70" t="str">
        <f>+IF((PROVEEDORES[[#This Row],[FECHA DE PAGO]]-PROVEEDORES[[#This Row],[FECHA DE FACTURACIÓN]])&gt;PROVEEDORES[[#This Row],[PLAZO Días]],"PAGO VENCIDO")</f>
        <v>PAGO VENCIDO</v>
      </c>
      <c r="C1402" s="27">
        <f>+VLOOKUP(PROVEEDORES[[#This Row],[PROVEEDOR]],TERCEROS_INFO[#All],2,FALSE)</f>
        <v>30</v>
      </c>
      <c r="D1402" s="37">
        <f>+SUMIFS(PROVEEDORES[Total],PROVEEDORES[PROVEEDOR],PROVEEDORES[[#This Row],[PROVEEDOR]],PROVEEDORES[FECHA DE PAGO],"")</f>
        <v>0</v>
      </c>
      <c r="E1402" s="37"/>
      <c r="F1402" s="108" t="str">
        <f>+VLOOKUP(PROVEEDORES[[#This Row],[PROVEEDOR]],TERCEROS_INFO[[PROVEEDOR]:[CORREO]],5,FALSE)</f>
        <v>MVALENCIA@mps.com.co;girlesa.ruiz@servipilas.com;joriescobar64@gmail.com</v>
      </c>
      <c r="G1402" s="143">
        <v>44344</v>
      </c>
      <c r="H1402" s="38" t="s">
        <v>17</v>
      </c>
      <c r="I1402" s="30">
        <v>44307</v>
      </c>
      <c r="J1402" s="58">
        <v>1754054</v>
      </c>
      <c r="K1402" s="32">
        <v>126965.96</v>
      </c>
      <c r="L1402" s="32"/>
      <c r="M1402" s="33">
        <f>(PROVEEDORES[[#This Row],[SUBTOTAL]]-PROVEEDORES[[#This Row],[descuento antes de IVA]])*VLOOKUP(PROVEEDORES[[#This Row],[PROVEEDOR]],TERCEROS_INFO[#All],3,FALSE)</f>
        <v>24123.5324</v>
      </c>
      <c r="N1402" s="34"/>
      <c r="O1402" s="33">
        <f>+PROVEEDORES[[#This Row],[Descuento sobre subtotal %]]*(PROVEEDORES[[#This Row],[SUBTOTAL]]-PROVEEDORES[[#This Row],[descuento antes de IVA]])</f>
        <v>0</v>
      </c>
      <c r="P14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2" s="33">
        <f>+(PROVEEDORES[[#This Row],[SUBTOTAL]]-PROVEEDORES[[#This Row],[descuento antes de IVA]])*PROVEEDORES[[#This Row],[Rete Fuente %]]</f>
        <v>0</v>
      </c>
      <c r="R1402" s="32">
        <f>+PROVEEDORES[[#This Row],[SUBTOTAL]]+PROVEEDORES[[#This Row],[IVA 19%]]-PROVEEDORES[[#This Row],[descuento antes de IVA]]-PROVEEDORES[[#This Row],[Descuento sobre subtotal $]]-PROVEEDORES[[#This Row],[Rete Fuente $]]</f>
        <v>151089.49240000002</v>
      </c>
      <c r="S1402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3" spans="1:19" ht="21.95" hidden="1" customHeight="1" x14ac:dyDescent="0.25">
      <c r="A1403" s="88" t="str">
        <f>+IF(PROVEEDORES[[#This Row],[FECHA DE PAGO]]=PROVEEDORES[[#This Row],[FECHA DE FACTURACIÓN]],"DE CONTADO","CRÉDITO")</f>
        <v>CRÉDITO</v>
      </c>
      <c r="B1403" s="70" t="b">
        <f>+IF((PROVEEDORES[[#This Row],[FECHA DE PAGO]]-PROVEEDORES[[#This Row],[FECHA DE FACTURACIÓN]])&gt;PROVEEDORES[[#This Row],[PLAZO Días]],"PAGO VENCIDO")</f>
        <v>0</v>
      </c>
      <c r="C1403" s="27">
        <f>+VLOOKUP(PROVEEDORES[[#This Row],[PROVEEDOR]],TERCEROS_INFO[#All],2,FALSE)</f>
        <v>30</v>
      </c>
      <c r="D1403" s="37">
        <f>+SUMIFS(PROVEEDORES[Total],PROVEEDORES[PROVEEDOR],PROVEEDORES[[#This Row],[PROVEEDOR]],PROVEEDORES[FECHA DE PAGO],"")</f>
        <v>0</v>
      </c>
      <c r="E1403" s="37" t="s">
        <v>530</v>
      </c>
      <c r="F1403" s="108" t="str">
        <f>+VLOOKUP(PROVEEDORES[[#This Row],[PROVEEDOR]],TERCEROS_INFO[[PROVEEDOR]:[CORREO]],5,FALSE)</f>
        <v>MVALENCIA@mps.com.co;girlesa.ruiz@servipilas.com;joriescobar64@gmail.com</v>
      </c>
      <c r="G1403" s="143">
        <v>44279</v>
      </c>
      <c r="H1403" s="38" t="s">
        <v>17</v>
      </c>
      <c r="I1403" s="30">
        <v>44319</v>
      </c>
      <c r="J1403" s="58">
        <v>1735621</v>
      </c>
      <c r="K1403" s="32">
        <v>363600</v>
      </c>
      <c r="L1403" s="32"/>
      <c r="M1403" s="33">
        <f>(PROVEEDORES[[#This Row],[SUBTOTAL]]-PROVEEDORES[[#This Row],[descuento antes de IVA]])*VLOOKUP(PROVEEDORES[[#This Row],[PROVEEDOR]],TERCEROS_INFO[#All],3,FALSE)</f>
        <v>69084</v>
      </c>
      <c r="N1403" s="34"/>
      <c r="O1403" s="33">
        <f>+PROVEEDORES[[#This Row],[Descuento sobre subtotal %]]*(PROVEEDORES[[#This Row],[SUBTOTAL]]-PROVEEDORES[[#This Row],[descuento antes de IVA]])</f>
        <v>0</v>
      </c>
      <c r="P14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3" s="33">
        <f>+(PROVEEDORES[[#This Row],[SUBTOTAL]]-PROVEEDORES[[#This Row],[descuento antes de IVA]])*PROVEEDORES[[#This Row],[Rete Fuente %]]</f>
        <v>0</v>
      </c>
      <c r="R1403" s="32">
        <f>+PROVEEDORES[[#This Row],[SUBTOTAL]]+PROVEEDORES[[#This Row],[IVA 19%]]-PROVEEDORES[[#This Row],[descuento antes de IVA]]-PROVEEDORES[[#This Row],[Descuento sobre subtotal $]]-PROVEEDORES[[#This Row],[Rete Fuente $]]</f>
        <v>432684</v>
      </c>
      <c r="S140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4" spans="1:19" ht="21.95" hidden="1" customHeight="1" x14ac:dyDescent="0.25">
      <c r="A1404" s="127" t="str">
        <f>+IF(PROVEEDORES[[#This Row],[FECHA DE PAGO]]=PROVEEDORES[[#This Row],[FECHA DE FACTURACIÓN]],"DE CONTADO","CRÉDITO")</f>
        <v>CRÉDITO</v>
      </c>
      <c r="B1404" s="70" t="str">
        <f>+IF((PROVEEDORES[[#This Row],[FECHA DE PAGO]]-PROVEEDORES[[#This Row],[FECHA DE FACTURACIÓN]])&gt;PROVEEDORES[[#This Row],[PLAZO Días]],"PAGO VENCIDO")</f>
        <v>PAGO VENCIDO</v>
      </c>
      <c r="C1404" s="27">
        <f>+VLOOKUP(PROVEEDORES[[#This Row],[PROVEEDOR]],TERCEROS_INFO[#All],2,FALSE)</f>
        <v>30</v>
      </c>
      <c r="D1404" s="37">
        <f>+SUMIFS(PROVEEDORES[Total],PROVEEDORES[PROVEEDOR],PROVEEDORES[[#This Row],[PROVEEDOR]],PROVEEDORES[FECHA DE PAGO],"")</f>
        <v>0</v>
      </c>
      <c r="E1404" s="37"/>
      <c r="F1404" s="108" t="str">
        <f>+VLOOKUP(PROVEEDORES[[#This Row],[PROVEEDOR]],TERCEROS_INFO[[PROVEEDOR]:[CORREO]],5,FALSE)</f>
        <v>MVALENCIA@mps.com.co;girlesa.ruiz@servipilas.com;joriescobar64@gmail.com</v>
      </c>
      <c r="G1404" s="143">
        <v>44385</v>
      </c>
      <c r="H1404" s="38" t="s">
        <v>17</v>
      </c>
      <c r="I1404" s="30">
        <v>44347</v>
      </c>
      <c r="J1404" s="58">
        <v>1771481</v>
      </c>
      <c r="K1404" s="32">
        <v>1750330</v>
      </c>
      <c r="L1404" s="32"/>
      <c r="M1404" s="33">
        <v>0</v>
      </c>
      <c r="N1404" s="34"/>
      <c r="O1404" s="33">
        <f>+PROVEEDORES[[#This Row],[Descuento sobre subtotal %]]*(PROVEEDORES[[#This Row],[SUBTOTAL]]-PROVEEDORES[[#This Row],[descuento antes de IVA]])</f>
        <v>0</v>
      </c>
      <c r="P14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4" s="33">
        <f>+(PROVEEDORES[[#This Row],[SUBTOTAL]]-PROVEEDORES[[#This Row],[descuento antes de IVA]])*PROVEEDORES[[#This Row],[Rete Fuente %]]</f>
        <v>0</v>
      </c>
      <c r="R1404" s="32">
        <f>+PROVEEDORES[[#This Row],[SUBTOTAL]]+PROVEEDORES[[#This Row],[IVA 19%]]-PROVEEDORES[[#This Row],[descuento antes de IVA]]-PROVEEDORES[[#This Row],[Descuento sobre subtotal $]]-PROVEEDORES[[#This Row],[Rete Fuente $]]</f>
        <v>1750330</v>
      </c>
      <c r="S1404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5" spans="1:19" ht="21.95" hidden="1" customHeight="1" x14ac:dyDescent="0.25">
      <c r="A1405" s="119" t="str">
        <f>+IF(PROVEEDORES[[#This Row],[FECHA DE PAGO]]=PROVEEDORES[[#This Row],[FECHA DE FACTURACIÓN]],"DE CONTADO","CRÉDITO")</f>
        <v>CRÉDITO</v>
      </c>
      <c r="B1405" s="70" t="str">
        <f>+IF((PROVEEDORES[[#This Row],[FECHA DE PAGO]]-PROVEEDORES[[#This Row],[FECHA DE FACTURACIÓN]])&gt;PROVEEDORES[[#This Row],[PLAZO Días]],"PAGO VENCIDO")</f>
        <v>PAGO VENCIDO</v>
      </c>
      <c r="C1405" s="27">
        <f>+VLOOKUP(PROVEEDORES[[#This Row],[PROVEEDOR]],TERCEROS_INFO[#All],2,FALSE)</f>
        <v>30</v>
      </c>
      <c r="D1405" s="37">
        <f>+SUMIFS(PROVEEDORES[Total],PROVEEDORES[PROVEEDOR],PROVEEDORES[[#This Row],[PROVEEDOR]],PROVEEDORES[FECHA DE PAGO],"")</f>
        <v>0</v>
      </c>
      <c r="E1405" s="37"/>
      <c r="F1405" s="108" t="str">
        <f>+VLOOKUP(PROVEEDORES[[#This Row],[PROVEEDOR]],TERCEROS_INFO[[PROVEEDOR]:[CORREO]],5,FALSE)</f>
        <v>MVALENCIA@mps.com.co;girlesa.ruiz@servipilas.com;joriescobar64@gmail.com</v>
      </c>
      <c r="G1405" s="143">
        <v>44385</v>
      </c>
      <c r="H1405" s="38" t="s">
        <v>17</v>
      </c>
      <c r="I1405" s="30">
        <v>44350</v>
      </c>
      <c r="J1405" s="58">
        <v>1771451</v>
      </c>
      <c r="K1405" s="32">
        <v>485101</v>
      </c>
      <c r="L1405" s="32"/>
      <c r="M1405" s="33">
        <v>0</v>
      </c>
      <c r="N1405" s="34"/>
      <c r="O1405" s="33">
        <f>+PROVEEDORES[[#This Row],[Descuento sobre subtotal %]]*(PROVEEDORES[[#This Row],[SUBTOTAL]]-PROVEEDORES[[#This Row],[descuento antes de IVA]])</f>
        <v>0</v>
      </c>
      <c r="P14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5" s="33">
        <f>+(PROVEEDORES[[#This Row],[SUBTOTAL]]-PROVEEDORES[[#This Row],[descuento antes de IVA]])*PROVEEDORES[[#This Row],[Rete Fuente %]]</f>
        <v>0</v>
      </c>
      <c r="R1405" s="32">
        <f>+PROVEEDORES[[#This Row],[SUBTOTAL]]+PROVEEDORES[[#This Row],[IVA 19%]]-PROVEEDORES[[#This Row],[descuento antes de IVA]]-PROVEEDORES[[#This Row],[Descuento sobre subtotal $]]-PROVEEDORES[[#This Row],[Rete Fuente $]]</f>
        <v>485101</v>
      </c>
      <c r="S1405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6" spans="1:19" ht="21.95" hidden="1" customHeight="1" x14ac:dyDescent="0.25">
      <c r="A1406" s="127" t="str">
        <f>+IF(PROVEEDORES[[#This Row],[FECHA DE PAGO]]=PROVEEDORES[[#This Row],[FECHA DE FACTURACIÓN]],"DE CONTADO","CRÉDITO")</f>
        <v>CRÉDITO</v>
      </c>
      <c r="B1406" s="70" t="str">
        <f>+IF((PROVEEDORES[[#This Row],[FECHA DE PAGO]]-PROVEEDORES[[#This Row],[FECHA DE FACTURACIÓN]])&gt;PROVEEDORES[[#This Row],[PLAZO Días]],"PAGO VENCIDO")</f>
        <v>PAGO VENCIDO</v>
      </c>
      <c r="C1406" s="27">
        <f>+VLOOKUP(PROVEEDORES[[#This Row],[PROVEEDOR]],TERCEROS_INFO[#All],2,FALSE)</f>
        <v>30</v>
      </c>
      <c r="D1406" s="37">
        <f>+SUMIFS(PROVEEDORES[Total],PROVEEDORES[PROVEEDOR],PROVEEDORES[[#This Row],[PROVEEDOR]],PROVEEDORES[FECHA DE PAGO],"")</f>
        <v>0</v>
      </c>
      <c r="E1406" s="37"/>
      <c r="F1406" s="108" t="str">
        <f>+VLOOKUP(PROVEEDORES[[#This Row],[PROVEEDOR]],TERCEROS_INFO[[PROVEEDOR]:[CORREO]],5,FALSE)</f>
        <v>MVALENCIA@mps.com.co;girlesa.ruiz@servipilas.com;joriescobar64@gmail.com</v>
      </c>
      <c r="G1406" s="143">
        <v>44396</v>
      </c>
      <c r="H1406" s="38" t="s">
        <v>17</v>
      </c>
      <c r="I1406" s="30">
        <v>44362</v>
      </c>
      <c r="J1406" s="58">
        <v>1774672</v>
      </c>
      <c r="K1406" s="32">
        <v>1339666</v>
      </c>
      <c r="L1406" s="32"/>
      <c r="M1406" s="33">
        <f>(PROVEEDORES[[#This Row],[SUBTOTAL]]-PROVEEDORES[[#This Row],[descuento antes de IVA]])*VLOOKUP(PROVEEDORES[[#This Row],[PROVEEDOR]],TERCEROS_INFO[#All],3,FALSE)</f>
        <v>254536.54</v>
      </c>
      <c r="N1406" s="34"/>
      <c r="O1406" s="33">
        <f>+PROVEEDORES[[#This Row],[Descuento sobre subtotal %]]*(PROVEEDORES[[#This Row],[SUBTOTAL]]-PROVEEDORES[[#This Row],[descuento antes de IVA]])</f>
        <v>0</v>
      </c>
      <c r="P14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6" s="33">
        <f>+(PROVEEDORES[[#This Row],[SUBTOTAL]]-PROVEEDORES[[#This Row],[descuento antes de IVA]])*PROVEEDORES[[#This Row],[Rete Fuente %]]</f>
        <v>0</v>
      </c>
      <c r="R1406" s="32">
        <f>+PROVEEDORES[[#This Row],[SUBTOTAL]]+PROVEEDORES[[#This Row],[IVA 19%]]-PROVEEDORES[[#This Row],[descuento antes de IVA]]-PROVEEDORES[[#This Row],[Descuento sobre subtotal $]]-PROVEEDORES[[#This Row],[Rete Fuente $]]</f>
        <v>1594202.54</v>
      </c>
      <c r="S1406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7" spans="1:19" ht="21.95" hidden="1" customHeight="1" x14ac:dyDescent="0.25">
      <c r="A1407" s="134" t="str">
        <f>+IF(PROVEEDORES[[#This Row],[FECHA DE PAGO]]=PROVEEDORES[[#This Row],[FECHA DE FACTURACIÓN]],"DE CONTADO","CRÉDITO")</f>
        <v>CRÉDITO</v>
      </c>
      <c r="B1407" s="70" t="str">
        <f>+IF((PROVEEDORES[[#This Row],[FECHA DE PAGO]]-PROVEEDORES[[#This Row],[FECHA DE FACTURACIÓN]])&gt;PROVEEDORES[[#This Row],[PLAZO Días]],"PAGO VENCIDO")</f>
        <v>PAGO VENCIDO</v>
      </c>
      <c r="C1407" s="27">
        <f>+VLOOKUP(PROVEEDORES[[#This Row],[PROVEEDOR]],TERCEROS_INFO[#All],2,FALSE)</f>
        <v>30</v>
      </c>
      <c r="D1407" s="37">
        <f>+SUMIFS(PROVEEDORES[Total],PROVEEDORES[PROVEEDOR],PROVEEDORES[[#This Row],[PROVEEDOR]],PROVEEDORES[FECHA DE PAGO],"")</f>
        <v>0</v>
      </c>
      <c r="E1407" s="37"/>
      <c r="F1407" s="108" t="str">
        <f>+VLOOKUP(PROVEEDORES[[#This Row],[PROVEEDOR]],TERCEROS_INFO[[PROVEEDOR]:[CORREO]],5,FALSE)</f>
        <v>MVALENCIA@mps.com.co;girlesa.ruiz@servipilas.com;joriescobar64@gmail.com</v>
      </c>
      <c r="G1407" s="143">
        <v>44426</v>
      </c>
      <c r="H1407" s="38" t="s">
        <v>17</v>
      </c>
      <c r="I1407" s="30">
        <v>44384</v>
      </c>
      <c r="J1407" s="58">
        <v>1784491</v>
      </c>
      <c r="K1407" s="32">
        <v>401000</v>
      </c>
      <c r="L1407" s="32"/>
      <c r="M1407" s="33">
        <f>(PROVEEDORES[[#This Row],[SUBTOTAL]]-PROVEEDORES[[#This Row],[descuento antes de IVA]])*VLOOKUP(PROVEEDORES[[#This Row],[PROVEEDOR]],TERCEROS_INFO[#All],3,FALSE)</f>
        <v>76190</v>
      </c>
      <c r="N1407" s="34"/>
      <c r="O1407" s="33">
        <f>+PROVEEDORES[[#This Row],[Descuento sobre subtotal %]]*(PROVEEDORES[[#This Row],[SUBTOTAL]]-PROVEEDORES[[#This Row],[descuento antes de IVA]])</f>
        <v>0</v>
      </c>
      <c r="P14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7" s="33">
        <f>+(PROVEEDORES[[#This Row],[SUBTOTAL]]-PROVEEDORES[[#This Row],[descuento antes de IVA]])*PROVEEDORES[[#This Row],[Rete Fuente %]]</f>
        <v>0</v>
      </c>
      <c r="R1407" s="32">
        <f>+PROVEEDORES[[#This Row],[SUBTOTAL]]+PROVEEDORES[[#This Row],[IVA 19%]]-PROVEEDORES[[#This Row],[descuento antes de IVA]]-PROVEEDORES[[#This Row],[Descuento sobre subtotal $]]-PROVEEDORES[[#This Row],[Rete Fuente $]]</f>
        <v>477190</v>
      </c>
      <c r="S1407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8" spans="1:19" ht="21.95" hidden="1" customHeight="1" x14ac:dyDescent="0.25">
      <c r="A1408" s="138" t="str">
        <f>+IF(PROVEEDORES[[#This Row],[FECHA DE PAGO]]=PROVEEDORES[[#This Row],[FECHA DE FACTURACIÓN]],"DE CONTADO","CRÉDITO")</f>
        <v>CRÉDITO</v>
      </c>
      <c r="B1408" s="70" t="str">
        <f>+IF((PROVEEDORES[[#This Row],[FECHA DE PAGO]]-PROVEEDORES[[#This Row],[FECHA DE FACTURACIÓN]])&gt;PROVEEDORES[[#This Row],[PLAZO Días]],"PAGO VENCIDO")</f>
        <v>PAGO VENCIDO</v>
      </c>
      <c r="C1408" s="27">
        <f>+VLOOKUP(PROVEEDORES[[#This Row],[PROVEEDOR]],TERCEROS_INFO[#All],2,FALSE)</f>
        <v>30</v>
      </c>
      <c r="D1408" s="37">
        <f>+SUMIFS(PROVEEDORES[Total],PROVEEDORES[PROVEEDOR],PROVEEDORES[[#This Row],[PROVEEDOR]],PROVEEDORES[FECHA DE PAGO],"")</f>
        <v>0</v>
      </c>
      <c r="E1408" s="37"/>
      <c r="F1408" s="108" t="str">
        <f>+VLOOKUP(PROVEEDORES[[#This Row],[PROVEEDOR]],TERCEROS_INFO[[PROVEEDOR]:[CORREO]],5,FALSE)</f>
        <v>MVALENCIA@mps.com.co;girlesa.ruiz@servipilas.com;joriescobar64@gmail.com</v>
      </c>
      <c r="G1408" s="143">
        <v>44442</v>
      </c>
      <c r="H1408" s="38" t="s">
        <v>17</v>
      </c>
      <c r="I1408" s="30">
        <v>44411</v>
      </c>
      <c r="J1408" s="58">
        <v>1795600</v>
      </c>
      <c r="K1408" s="32">
        <v>1339866</v>
      </c>
      <c r="L1408" s="32"/>
      <c r="M1408" s="33">
        <v>0</v>
      </c>
      <c r="N1408" s="34"/>
      <c r="O1408" s="33">
        <f>+PROVEEDORES[[#This Row],[Descuento sobre subtotal %]]*(PROVEEDORES[[#This Row],[SUBTOTAL]]-PROVEEDORES[[#This Row],[descuento antes de IVA]])</f>
        <v>0</v>
      </c>
      <c r="P14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8" s="33">
        <f>+(PROVEEDORES[[#This Row],[SUBTOTAL]]-PROVEEDORES[[#This Row],[descuento antes de IVA]])*PROVEEDORES[[#This Row],[Rete Fuente %]]</f>
        <v>0</v>
      </c>
      <c r="R1408" s="32">
        <f>+PROVEEDORES[[#This Row],[SUBTOTAL]]+PROVEEDORES[[#This Row],[IVA 19%]]-PROVEEDORES[[#This Row],[descuento antes de IVA]]-PROVEEDORES[[#This Row],[Descuento sobre subtotal $]]-PROVEEDORES[[#This Row],[Rete Fuente $]]</f>
        <v>1339866</v>
      </c>
      <c r="S1408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09" spans="1:19" ht="21.95" hidden="1" customHeight="1" x14ac:dyDescent="0.25">
      <c r="A1409" s="141" t="str">
        <f>+IF(PROVEEDORES[[#This Row],[FECHA DE PAGO]]=PROVEEDORES[[#This Row],[FECHA DE FACTURACIÓN]],"DE CONTADO","CRÉDITO")</f>
        <v>CRÉDITO</v>
      </c>
      <c r="B1409" s="70" t="str">
        <f>+IF((PROVEEDORES[[#This Row],[FECHA DE PAGO]]-PROVEEDORES[[#This Row],[FECHA DE FACTURACIÓN]])&gt;PROVEEDORES[[#This Row],[PLAZO Días]],"PAGO VENCIDO")</f>
        <v>PAGO VENCIDO</v>
      </c>
      <c r="C1409" s="27">
        <f>+VLOOKUP(PROVEEDORES[[#This Row],[PROVEEDOR]],TERCEROS_INFO[#All],2,FALSE)</f>
        <v>30</v>
      </c>
      <c r="D1409" s="37">
        <f>+SUMIFS(PROVEEDORES[Total],PROVEEDORES[PROVEEDOR],PROVEEDORES[[#This Row],[PROVEEDOR]],PROVEEDORES[FECHA DE PAGO],"")</f>
        <v>0</v>
      </c>
      <c r="E1409" s="37"/>
      <c r="F1409" s="108" t="str">
        <f>+VLOOKUP(PROVEEDORES[[#This Row],[PROVEEDOR]],TERCEROS_INFO[[PROVEEDOR]:[CORREO]],5,FALSE)</f>
        <v>MVALENCIA@mps.com.co;girlesa.ruiz@servipilas.com;joriescobar64@gmail.com</v>
      </c>
      <c r="G1409" s="143">
        <v>44452</v>
      </c>
      <c r="H1409" s="38" t="s">
        <v>17</v>
      </c>
      <c r="I1409" s="30">
        <v>44417</v>
      </c>
      <c r="J1409" s="58">
        <v>1797734</v>
      </c>
      <c r="K1409" s="32">
        <v>630150</v>
      </c>
      <c r="L1409" s="32"/>
      <c r="M1409" s="33">
        <f>(PROVEEDORES[[#This Row],[SUBTOTAL]]-PROVEEDORES[[#This Row],[descuento antes de IVA]])*VLOOKUP(PROVEEDORES[[#This Row],[PROVEEDOR]],TERCEROS_INFO[#All],3,FALSE)</f>
        <v>119728.5</v>
      </c>
      <c r="N1409" s="34"/>
      <c r="O1409" s="33">
        <f>+PROVEEDORES[[#This Row],[Descuento sobre subtotal %]]*(PROVEEDORES[[#This Row],[SUBTOTAL]]-PROVEEDORES[[#This Row],[descuento antes de IVA]])</f>
        <v>0</v>
      </c>
      <c r="P14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09" s="33">
        <f>+(PROVEEDORES[[#This Row],[SUBTOTAL]]-PROVEEDORES[[#This Row],[descuento antes de IVA]])*PROVEEDORES[[#This Row],[Rete Fuente %]]</f>
        <v>0</v>
      </c>
      <c r="R1409" s="32">
        <f>+PROVEEDORES[[#This Row],[SUBTOTAL]]+PROVEEDORES[[#This Row],[IVA 19%]]-PROVEEDORES[[#This Row],[descuento antes de IVA]]-PROVEEDORES[[#This Row],[Descuento sobre subtotal $]]-PROVEEDORES[[#This Row],[Rete Fuente $]]</f>
        <v>749878.5</v>
      </c>
      <c r="S1409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0" spans="1:19" ht="21.95" hidden="1" customHeight="1" x14ac:dyDescent="0.25">
      <c r="A1410" s="35" t="str">
        <f>+IF(PROVEEDORES[[#This Row],[FECHA DE PAGO]]=PROVEEDORES[[#This Row],[FECHA DE FACTURACIÓN]],"DE CONTADO","CRÉDITO")</f>
        <v>CRÉDITO</v>
      </c>
      <c r="B1410" s="70" t="str">
        <f>+IF((PROVEEDORES[[#This Row],[FECHA DE PAGO]]-PROVEEDORES[[#This Row],[FECHA DE FACTURACIÓN]])&gt;PROVEEDORES[[#This Row],[PLAZO Días]],"PAGO VENCIDO")</f>
        <v>PAGO VENCIDO</v>
      </c>
      <c r="C1410" s="27">
        <f>+VLOOKUP(PROVEEDORES[[#This Row],[PROVEEDOR]],TERCEROS_INFO[#All],2,FALSE)</f>
        <v>30</v>
      </c>
      <c r="D1410" s="37">
        <f>+SUMIFS(PROVEEDORES[Total],PROVEEDORES[PROVEEDOR],PROVEEDORES[[#This Row],[PROVEEDOR]],PROVEEDORES[FECHA DE PAGO],"")</f>
        <v>0</v>
      </c>
      <c r="E1410" s="37"/>
      <c r="F1410" s="108" t="str">
        <f>+VLOOKUP(PROVEEDORES[[#This Row],[PROVEEDOR]],TERCEROS_INFO[[PROVEEDOR]:[CORREO]],5,FALSE)</f>
        <v>MVALENCIA@mps.com.co;girlesa.ruiz@servipilas.com;joriescobar64@gmail.com</v>
      </c>
      <c r="G1410" s="143">
        <v>44461</v>
      </c>
      <c r="H1410" s="38" t="s">
        <v>17</v>
      </c>
      <c r="I1410" s="30">
        <v>44426</v>
      </c>
      <c r="J1410" s="58">
        <v>1801124</v>
      </c>
      <c r="K1410" s="32">
        <v>671300</v>
      </c>
      <c r="L1410" s="32"/>
      <c r="M1410" s="33">
        <v>29317</v>
      </c>
      <c r="N1410" s="34"/>
      <c r="O1410" s="33">
        <f>+PROVEEDORES[[#This Row],[Descuento sobre subtotal %]]*(PROVEEDORES[[#This Row],[SUBTOTAL]]-PROVEEDORES[[#This Row],[descuento antes de IVA]])</f>
        <v>0</v>
      </c>
      <c r="P14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0" s="33">
        <f>+(PROVEEDORES[[#This Row],[SUBTOTAL]]-PROVEEDORES[[#This Row],[descuento antes de IVA]])*PROVEEDORES[[#This Row],[Rete Fuente %]]</f>
        <v>0</v>
      </c>
      <c r="R1410" s="32">
        <f>+PROVEEDORES[[#This Row],[SUBTOTAL]]+PROVEEDORES[[#This Row],[IVA 19%]]-PROVEEDORES[[#This Row],[descuento antes de IVA]]-PROVEEDORES[[#This Row],[Descuento sobre subtotal $]]-PROVEEDORES[[#This Row],[Rete Fuente $]]</f>
        <v>700617</v>
      </c>
      <c r="S141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1" spans="1:19" ht="21.95" hidden="1" customHeight="1" x14ac:dyDescent="0.25">
      <c r="A1411" s="35" t="str">
        <f>+IF(PROVEEDORES[[#This Row],[FECHA DE PAGO]]=PROVEEDORES[[#This Row],[FECHA DE FACTURACIÓN]],"DE CONTADO","CRÉDITO")</f>
        <v>CRÉDITO</v>
      </c>
      <c r="B1411" s="70" t="str">
        <f>+IF((PROVEEDORES[[#This Row],[FECHA DE PAGO]]-PROVEEDORES[[#This Row],[FECHA DE FACTURACIÓN]])&gt;PROVEEDORES[[#This Row],[PLAZO Días]],"PAGO VENCIDO")</f>
        <v>PAGO VENCIDO</v>
      </c>
      <c r="C1411" s="27">
        <f>+VLOOKUP(PROVEEDORES[[#This Row],[PROVEEDOR]],TERCEROS_INFO[#All],2,FALSE)</f>
        <v>30</v>
      </c>
      <c r="D1411" s="37">
        <f>+SUMIFS(PROVEEDORES[Total],PROVEEDORES[PROVEEDOR],PROVEEDORES[[#This Row],[PROVEEDOR]],PROVEEDORES[FECHA DE PAGO],"")</f>
        <v>0</v>
      </c>
      <c r="E1411" s="37"/>
      <c r="F1411" s="108" t="str">
        <f>+VLOOKUP(PROVEEDORES[[#This Row],[PROVEEDOR]],TERCEROS_INFO[[PROVEEDOR]:[CORREO]],5,FALSE)</f>
        <v>MVALENCIA@mps.com.co;girlesa.ruiz@servipilas.com;joriescobar64@gmail.com</v>
      </c>
      <c r="G1411" s="143">
        <v>44461</v>
      </c>
      <c r="H1411" s="38" t="s">
        <v>17</v>
      </c>
      <c r="I1411" s="30">
        <v>44426</v>
      </c>
      <c r="J1411" s="58">
        <v>1801133</v>
      </c>
      <c r="K1411" s="32">
        <v>577200</v>
      </c>
      <c r="L1411" s="32"/>
      <c r="M1411" s="33">
        <f>(PROVEEDORES[[#This Row],[SUBTOTAL]]-PROVEEDORES[[#This Row],[descuento antes de IVA]])*VLOOKUP(PROVEEDORES[[#This Row],[PROVEEDOR]],TERCEROS_INFO[#All],3,FALSE)</f>
        <v>109668</v>
      </c>
      <c r="N1411" s="34"/>
      <c r="O1411" s="33">
        <f>+PROVEEDORES[[#This Row],[Descuento sobre subtotal %]]*(PROVEEDORES[[#This Row],[SUBTOTAL]]-PROVEEDORES[[#This Row],[descuento antes de IVA]])</f>
        <v>0</v>
      </c>
      <c r="P14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1" s="33">
        <f>+(PROVEEDORES[[#This Row],[SUBTOTAL]]-PROVEEDORES[[#This Row],[descuento antes de IVA]])*PROVEEDORES[[#This Row],[Rete Fuente %]]</f>
        <v>0</v>
      </c>
      <c r="R1411" s="32">
        <f>+PROVEEDORES[[#This Row],[SUBTOTAL]]+PROVEEDORES[[#This Row],[IVA 19%]]-PROVEEDORES[[#This Row],[descuento antes de IVA]]-PROVEEDORES[[#This Row],[Descuento sobre subtotal $]]-PROVEEDORES[[#This Row],[Rete Fuente $]]</f>
        <v>686868</v>
      </c>
      <c r="S141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2" spans="1:19" ht="21.95" hidden="1" customHeight="1" x14ac:dyDescent="0.25">
      <c r="A1412" s="142" t="str">
        <f>+IF(PROVEEDORES[[#This Row],[FECHA DE PAGO]]=PROVEEDORES[[#This Row],[FECHA DE FACTURACIÓN]],"DE CONTADO","CRÉDITO")</f>
        <v>CRÉDITO</v>
      </c>
      <c r="B1412" s="70" t="b">
        <f>+IF((PROVEEDORES[[#This Row],[FECHA DE PAGO]]-PROVEEDORES[[#This Row],[FECHA DE FACTURACIÓN]])&gt;PROVEEDORES[[#This Row],[PLAZO Días]],"PAGO VENCIDO")</f>
        <v>0</v>
      </c>
      <c r="C1412" s="27">
        <f>+VLOOKUP(PROVEEDORES[[#This Row],[PROVEEDOR]],TERCEROS_INFO[#All],2,FALSE)</f>
        <v>30</v>
      </c>
      <c r="D1412" s="37">
        <f>+SUMIFS(PROVEEDORES[Total],PROVEEDORES[PROVEEDOR],PROVEEDORES[[#This Row],[PROVEEDOR]],PROVEEDORES[FECHA DE PAGO],"")</f>
        <v>0</v>
      </c>
      <c r="E1412" s="37"/>
      <c r="F1412" s="108" t="str">
        <f>+VLOOKUP(PROVEEDORES[[#This Row],[PROVEEDOR]],TERCEROS_INFO[[PROVEEDOR]:[CORREO]],5,FALSE)</f>
        <v>MVALENCIA@mps.com.co;girlesa.ruiz@servipilas.com;joriescobar64@gmail.com</v>
      </c>
      <c r="G1412" s="143">
        <v>44461</v>
      </c>
      <c r="H1412" s="38" t="s">
        <v>17</v>
      </c>
      <c r="I1412" s="30">
        <v>44432</v>
      </c>
      <c r="J1412" s="58">
        <v>1803380</v>
      </c>
      <c r="K1412" s="32">
        <v>849915</v>
      </c>
      <c r="L1412" s="32"/>
      <c r="M1412" s="33">
        <f>(PROVEEDORES[[#This Row],[SUBTOTAL]]-PROVEEDORES[[#This Row],[descuento antes de IVA]])*VLOOKUP(PROVEEDORES[[#This Row],[PROVEEDOR]],TERCEROS_INFO[#All],3,FALSE)</f>
        <v>161483.85</v>
      </c>
      <c r="N1412" s="34"/>
      <c r="O1412" s="33">
        <f>+PROVEEDORES[[#This Row],[Descuento sobre subtotal %]]*(PROVEEDORES[[#This Row],[SUBTOTAL]]-PROVEEDORES[[#This Row],[descuento antes de IVA]])</f>
        <v>0</v>
      </c>
      <c r="P14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2" s="33">
        <f>+(PROVEEDORES[[#This Row],[SUBTOTAL]]-PROVEEDORES[[#This Row],[descuento antes de IVA]])*PROVEEDORES[[#This Row],[Rete Fuente %]]</f>
        <v>0</v>
      </c>
      <c r="R1412" s="32">
        <f>+PROVEEDORES[[#This Row],[SUBTOTAL]]+PROVEEDORES[[#This Row],[IVA 19%]]-PROVEEDORES[[#This Row],[descuento antes de IVA]]-PROVEEDORES[[#This Row],[Descuento sobre subtotal $]]-PROVEEDORES[[#This Row],[Rete Fuente $]]</f>
        <v>1011398.85</v>
      </c>
      <c r="S1412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3" spans="1:19" ht="21.95" hidden="1" customHeight="1" x14ac:dyDescent="0.25">
      <c r="A1413" s="153" t="str">
        <f>+IF(PROVEEDORES[[#This Row],[FECHA DE PAGO]]=PROVEEDORES[[#This Row],[FECHA DE FACTURACIÓN]],"DE CONTADO","CRÉDITO")</f>
        <v>CRÉDITO</v>
      </c>
      <c r="B1413" s="70" t="str">
        <f>+IF((PROVEEDORES[[#This Row],[FECHA DE PAGO]]-PROVEEDORES[[#This Row],[FECHA DE FACTURACIÓN]])&gt;PROVEEDORES[[#This Row],[PLAZO Días]],"PAGO VENCIDO")</f>
        <v>PAGO VENCIDO</v>
      </c>
      <c r="C1413" s="27">
        <f>+VLOOKUP(PROVEEDORES[[#This Row],[PROVEEDOR]],TERCEROS_INFO[#All],2,FALSE)</f>
        <v>30</v>
      </c>
      <c r="D1413" s="37">
        <f>+SUMIFS(PROVEEDORES[Total],PROVEEDORES[PROVEEDOR],PROVEEDORES[[#This Row],[PROVEEDOR]],PROVEEDORES[FECHA DE PAGO],"")</f>
        <v>0</v>
      </c>
      <c r="E1413" s="37"/>
      <c r="F1413" s="108" t="str">
        <f>+VLOOKUP(PROVEEDORES[[#This Row],[PROVEEDOR]],TERCEROS_INFO[[PROVEEDOR]:[CORREO]],5,FALSE)</f>
        <v>MVALENCIA@mps.com.co;girlesa.ruiz@servipilas.com;joriescobar64@gmail.com</v>
      </c>
      <c r="G1413" s="143">
        <v>44488</v>
      </c>
      <c r="H1413" s="38" t="s">
        <v>17</v>
      </c>
      <c r="I1413" s="30">
        <v>44456</v>
      </c>
      <c r="J1413" s="58">
        <v>1815050</v>
      </c>
      <c r="K1413" s="32">
        <v>210000</v>
      </c>
      <c r="L1413" s="32"/>
      <c r="M1413" s="33">
        <f>(PROVEEDORES[[#This Row],[SUBTOTAL]]-PROVEEDORES[[#This Row],[descuento antes de IVA]])*VLOOKUP(PROVEEDORES[[#This Row],[PROVEEDOR]],TERCEROS_INFO[#All],3,FALSE)</f>
        <v>39900</v>
      </c>
      <c r="N1413" s="34"/>
      <c r="O1413" s="33">
        <f>+PROVEEDORES[[#This Row],[Descuento sobre subtotal %]]*(PROVEEDORES[[#This Row],[SUBTOTAL]]-PROVEEDORES[[#This Row],[descuento antes de IVA]])</f>
        <v>0</v>
      </c>
      <c r="P14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3" s="33">
        <f>+(PROVEEDORES[[#This Row],[SUBTOTAL]]-PROVEEDORES[[#This Row],[descuento antes de IVA]])*PROVEEDORES[[#This Row],[Rete Fuente %]]</f>
        <v>0</v>
      </c>
      <c r="R1413" s="32">
        <f>+PROVEEDORES[[#This Row],[SUBTOTAL]]+PROVEEDORES[[#This Row],[IVA 19%]]-PROVEEDORES[[#This Row],[descuento antes de IVA]]-PROVEEDORES[[#This Row],[Descuento sobre subtotal $]]-PROVEEDORES[[#This Row],[Rete Fuente $]]</f>
        <v>249900</v>
      </c>
      <c r="S1413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4" spans="1:19" ht="21.95" hidden="1" customHeight="1" x14ac:dyDescent="0.25">
      <c r="A1414" s="153" t="str">
        <f>+IF(PROVEEDORES[[#This Row],[FECHA DE PAGO]]=PROVEEDORES[[#This Row],[FECHA DE FACTURACIÓN]],"DE CONTADO","CRÉDITO")</f>
        <v>CRÉDITO</v>
      </c>
      <c r="B1414" s="70" t="str">
        <f>+IF((PROVEEDORES[[#This Row],[FECHA DE PAGO]]-PROVEEDORES[[#This Row],[FECHA DE FACTURACIÓN]])&gt;PROVEEDORES[[#This Row],[PLAZO Días]],"PAGO VENCIDO")</f>
        <v>PAGO VENCIDO</v>
      </c>
      <c r="C1414" s="27">
        <f>+VLOOKUP(PROVEEDORES[[#This Row],[PROVEEDOR]],TERCEROS_INFO[#All],2,FALSE)</f>
        <v>30</v>
      </c>
      <c r="D1414" s="37">
        <f>+SUMIFS(PROVEEDORES[Total],PROVEEDORES[PROVEEDOR],PROVEEDORES[[#This Row],[PROVEEDOR]],PROVEEDORES[FECHA DE PAGO],"")</f>
        <v>0</v>
      </c>
      <c r="E1414" s="37"/>
      <c r="F1414" s="108" t="str">
        <f>+VLOOKUP(PROVEEDORES[[#This Row],[PROVEEDOR]],TERCEROS_INFO[[PROVEEDOR]:[CORREO]],5,FALSE)</f>
        <v>MVALENCIA@mps.com.co;girlesa.ruiz@servipilas.com;joriescobar64@gmail.com</v>
      </c>
      <c r="G1414" s="143">
        <v>44498</v>
      </c>
      <c r="H1414" s="38" t="s">
        <v>17</v>
      </c>
      <c r="I1414" s="30">
        <v>44460</v>
      </c>
      <c r="J1414" s="58">
        <v>1815851</v>
      </c>
      <c r="K1414" s="32">
        <v>718000</v>
      </c>
      <c r="L1414" s="32"/>
      <c r="M1414" s="33">
        <f>(PROVEEDORES[[#This Row],[SUBTOTAL]]-PROVEEDORES[[#This Row],[descuento antes de IVA]])*VLOOKUP(PROVEEDORES[[#This Row],[PROVEEDOR]],TERCEROS_INFO[#All],3,FALSE)</f>
        <v>136420</v>
      </c>
      <c r="N1414" s="34"/>
      <c r="O1414" s="33">
        <f>+PROVEEDORES[[#This Row],[Descuento sobre subtotal %]]*(PROVEEDORES[[#This Row],[SUBTOTAL]]-PROVEEDORES[[#This Row],[descuento antes de IVA]])</f>
        <v>0</v>
      </c>
      <c r="P14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4" s="33">
        <f>+(PROVEEDORES[[#This Row],[SUBTOTAL]]-PROVEEDORES[[#This Row],[descuento antes de IVA]])*PROVEEDORES[[#This Row],[Rete Fuente %]]</f>
        <v>0</v>
      </c>
      <c r="R1414" s="32">
        <f>+PROVEEDORES[[#This Row],[SUBTOTAL]]+PROVEEDORES[[#This Row],[IVA 19%]]-PROVEEDORES[[#This Row],[descuento antes de IVA]]-PROVEEDORES[[#This Row],[Descuento sobre subtotal $]]-PROVEEDORES[[#This Row],[Rete Fuente $]]</f>
        <v>854420</v>
      </c>
      <c r="S1414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5" spans="1:19" ht="21.95" hidden="1" customHeight="1" x14ac:dyDescent="0.25">
      <c r="A1415" s="155" t="str">
        <f>+IF(PROVEEDORES[[#This Row],[FECHA DE PAGO]]=PROVEEDORES[[#This Row],[FECHA DE FACTURACIÓN]],"DE CONTADO","CRÉDITO")</f>
        <v>CRÉDITO</v>
      </c>
      <c r="B1415" s="70" t="str">
        <f>+IF((PROVEEDORES[[#This Row],[FECHA DE PAGO]]-PROVEEDORES[[#This Row],[FECHA DE FACTURACIÓN]])&gt;PROVEEDORES[[#This Row],[PLAZO Días]],"PAGO VENCIDO")</f>
        <v>PAGO VENCIDO</v>
      </c>
      <c r="C1415" s="27">
        <f>+VLOOKUP(PROVEEDORES[[#This Row],[PROVEEDOR]],TERCEROS_INFO[#All],2,FALSE)</f>
        <v>30</v>
      </c>
      <c r="D1415" s="37">
        <f>+SUMIFS(PROVEEDORES[Total],PROVEEDORES[PROVEEDOR],PROVEEDORES[[#This Row],[PROVEEDOR]],PROVEEDORES[FECHA DE PAGO],"")</f>
        <v>0</v>
      </c>
      <c r="E1415" s="37"/>
      <c r="F1415" s="108" t="str">
        <f>+VLOOKUP(PROVEEDORES[[#This Row],[PROVEEDOR]],TERCEROS_INFO[[PROVEEDOR]:[CORREO]],5,FALSE)</f>
        <v>MVALENCIA@mps.com.co;girlesa.ruiz@servipilas.com;joriescobar64@gmail.com</v>
      </c>
      <c r="G1415" s="143">
        <v>44510</v>
      </c>
      <c r="H1415" s="38" t="s">
        <v>17</v>
      </c>
      <c r="I1415" s="30">
        <v>44474</v>
      </c>
      <c r="J1415" s="58">
        <v>1822901</v>
      </c>
      <c r="K1415" s="32">
        <v>521600</v>
      </c>
      <c r="L1415" s="32"/>
      <c r="M1415" s="33">
        <f>(PROVEEDORES[[#This Row],[SUBTOTAL]]-PROVEEDORES[[#This Row],[descuento antes de IVA]])*VLOOKUP(PROVEEDORES[[#This Row],[PROVEEDOR]],TERCEROS_INFO[#All],3,FALSE)</f>
        <v>99104</v>
      </c>
      <c r="N1415" s="34"/>
      <c r="O1415" s="33">
        <f>+PROVEEDORES[[#This Row],[Descuento sobre subtotal %]]*(PROVEEDORES[[#This Row],[SUBTOTAL]]-PROVEEDORES[[#This Row],[descuento antes de IVA]])</f>
        <v>0</v>
      </c>
      <c r="P14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5" s="33">
        <f>+(PROVEEDORES[[#This Row],[SUBTOTAL]]-PROVEEDORES[[#This Row],[descuento antes de IVA]])*PROVEEDORES[[#This Row],[Rete Fuente %]]</f>
        <v>0</v>
      </c>
      <c r="R1415" s="32">
        <f>+PROVEEDORES[[#This Row],[SUBTOTAL]]+PROVEEDORES[[#This Row],[IVA 19%]]-PROVEEDORES[[#This Row],[descuento antes de IVA]]-PROVEEDORES[[#This Row],[Descuento sobre subtotal $]]-PROVEEDORES[[#This Row],[Rete Fuente $]]</f>
        <v>620704</v>
      </c>
      <c r="S1415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6" spans="1:19" ht="21.95" hidden="1" customHeight="1" x14ac:dyDescent="0.25">
      <c r="A1416" s="155" t="str">
        <f>+IF(PROVEEDORES[[#This Row],[FECHA DE PAGO]]=PROVEEDORES[[#This Row],[FECHA DE FACTURACIÓN]],"DE CONTADO","CRÉDITO")</f>
        <v>CRÉDITO</v>
      </c>
      <c r="B1416" s="70" t="str">
        <f>+IF((PROVEEDORES[[#This Row],[FECHA DE PAGO]]-PROVEEDORES[[#This Row],[FECHA DE FACTURACIÓN]])&gt;PROVEEDORES[[#This Row],[PLAZO Días]],"PAGO VENCIDO")</f>
        <v>PAGO VENCIDO</v>
      </c>
      <c r="C1416" s="27">
        <f>+VLOOKUP(PROVEEDORES[[#This Row],[PROVEEDOR]],TERCEROS_INFO[#All],2,FALSE)</f>
        <v>30</v>
      </c>
      <c r="D1416" s="37">
        <f>+SUMIFS(PROVEEDORES[Total],PROVEEDORES[PROVEEDOR],PROVEEDORES[[#This Row],[PROVEEDOR]],PROVEEDORES[FECHA DE PAGO],"")</f>
        <v>0</v>
      </c>
      <c r="E1416" s="37"/>
      <c r="F1416" s="108" t="str">
        <f>+VLOOKUP(PROVEEDORES[[#This Row],[PROVEEDOR]],TERCEROS_INFO[[PROVEEDOR]:[CORREO]],5,FALSE)</f>
        <v>MVALENCIA@mps.com.co;girlesa.ruiz@servipilas.com;joriescobar64@gmail.com</v>
      </c>
      <c r="G1416" s="143">
        <v>44510</v>
      </c>
      <c r="H1416" s="38" t="s">
        <v>17</v>
      </c>
      <c r="I1416" s="30">
        <v>44474</v>
      </c>
      <c r="J1416" s="58">
        <v>1823038</v>
      </c>
      <c r="K1416" s="32">
        <v>501900</v>
      </c>
      <c r="L1416" s="32"/>
      <c r="M1416" s="33">
        <f>(PROVEEDORES[[#This Row],[SUBTOTAL]]-PROVEEDORES[[#This Row],[descuento antes de IVA]])*VLOOKUP(PROVEEDORES[[#This Row],[PROVEEDOR]],TERCEROS_INFO[#All],3,FALSE)</f>
        <v>95361</v>
      </c>
      <c r="N1416" s="34"/>
      <c r="O1416" s="33">
        <f>+PROVEEDORES[[#This Row],[Descuento sobre subtotal %]]*(PROVEEDORES[[#This Row],[SUBTOTAL]]-PROVEEDORES[[#This Row],[descuento antes de IVA]])</f>
        <v>0</v>
      </c>
      <c r="P14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6" s="33">
        <f>+(PROVEEDORES[[#This Row],[SUBTOTAL]]-PROVEEDORES[[#This Row],[descuento antes de IVA]])*PROVEEDORES[[#This Row],[Rete Fuente %]]</f>
        <v>0</v>
      </c>
      <c r="R1416" s="32">
        <f>+PROVEEDORES[[#This Row],[SUBTOTAL]]+PROVEEDORES[[#This Row],[IVA 19%]]-PROVEEDORES[[#This Row],[descuento antes de IVA]]-PROVEEDORES[[#This Row],[Descuento sobre subtotal $]]-PROVEEDORES[[#This Row],[Rete Fuente $]]</f>
        <v>597261</v>
      </c>
      <c r="S1416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7" spans="1:19" ht="21.95" hidden="1" customHeight="1" x14ac:dyDescent="0.25">
      <c r="A1417" s="155" t="str">
        <f>+IF(PROVEEDORES[[#This Row],[FECHA DE PAGO]]=PROVEEDORES[[#This Row],[FECHA DE FACTURACIÓN]],"DE CONTADO","CRÉDITO")</f>
        <v>CRÉDITO</v>
      </c>
      <c r="B1417" s="70" t="str">
        <f>+IF((PROVEEDORES[[#This Row],[FECHA DE PAGO]]-PROVEEDORES[[#This Row],[FECHA DE FACTURACIÓN]])&gt;PROVEEDORES[[#This Row],[PLAZO Días]],"PAGO VENCIDO")</f>
        <v>PAGO VENCIDO</v>
      </c>
      <c r="C1417" s="27">
        <f>+VLOOKUP(PROVEEDORES[[#This Row],[PROVEEDOR]],TERCEROS_INFO[#All],2,FALSE)</f>
        <v>30</v>
      </c>
      <c r="D1417" s="37">
        <f>+SUMIFS(PROVEEDORES[Total],PROVEEDORES[PROVEEDOR],PROVEEDORES[[#This Row],[PROVEEDOR]],PROVEEDORES[FECHA DE PAGO],"")</f>
        <v>0</v>
      </c>
      <c r="E1417" s="37"/>
      <c r="F1417" s="108" t="str">
        <f>+VLOOKUP(PROVEEDORES[[#This Row],[PROVEEDOR]],TERCEROS_INFO[[PROVEEDOR]:[CORREO]],5,FALSE)</f>
        <v>MVALENCIA@mps.com.co;girlesa.ruiz@servipilas.com;joriescobar64@gmail.com</v>
      </c>
      <c r="G1417" s="143">
        <v>44510</v>
      </c>
      <c r="H1417" s="38" t="s">
        <v>17</v>
      </c>
      <c r="I1417" s="30">
        <v>44475</v>
      </c>
      <c r="J1417" s="58" t="s">
        <v>1269</v>
      </c>
      <c r="K1417" s="32">
        <v>1336624</v>
      </c>
      <c r="L1417" s="32"/>
      <c r="M1417" s="33"/>
      <c r="N1417" s="34"/>
      <c r="O1417" s="33">
        <f>+PROVEEDORES[[#This Row],[Descuento sobre subtotal %]]*(PROVEEDORES[[#This Row],[SUBTOTAL]]-PROVEEDORES[[#This Row],[descuento antes de IVA]])</f>
        <v>0</v>
      </c>
      <c r="P14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7" s="33">
        <f>+(PROVEEDORES[[#This Row],[SUBTOTAL]]-PROVEEDORES[[#This Row],[descuento antes de IVA]])*PROVEEDORES[[#This Row],[Rete Fuente %]]</f>
        <v>0</v>
      </c>
      <c r="R1417" s="32">
        <f>+PROVEEDORES[[#This Row],[SUBTOTAL]]+PROVEEDORES[[#This Row],[IVA 19%]]-PROVEEDORES[[#This Row],[descuento antes de IVA]]-PROVEEDORES[[#This Row],[Descuento sobre subtotal $]]-PROVEEDORES[[#This Row],[Rete Fuente $]]</f>
        <v>1336624</v>
      </c>
      <c r="S1417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8" spans="1:19" ht="21.95" hidden="1" customHeight="1" x14ac:dyDescent="0.25">
      <c r="A1418" s="157" t="str">
        <f>+IF(PROVEEDORES[[#This Row],[FECHA DE PAGO]]=PROVEEDORES[[#This Row],[FECHA DE FACTURACIÓN]],"DE CONTADO","CRÉDITO")</f>
        <v>CRÉDITO</v>
      </c>
      <c r="B1418" s="70" t="str">
        <f>+IF((PROVEEDORES[[#This Row],[FECHA DE PAGO]]-PROVEEDORES[[#This Row],[FECHA DE FACTURACIÓN]])&gt;PROVEEDORES[[#This Row],[PLAZO Días]],"PAGO VENCIDO")</f>
        <v>PAGO VENCIDO</v>
      </c>
      <c r="C1418" s="27">
        <f>+VLOOKUP(PROVEEDORES[[#This Row],[PROVEEDOR]],TERCEROS_INFO[#All],2,FALSE)</f>
        <v>30</v>
      </c>
      <c r="D1418" s="37">
        <f>+SUMIFS(PROVEEDORES[Total],PROVEEDORES[PROVEEDOR],PROVEEDORES[[#This Row],[PROVEEDOR]],PROVEEDORES[FECHA DE PAGO],"")</f>
        <v>0</v>
      </c>
      <c r="E1418" s="37"/>
      <c r="F1418" s="108" t="str">
        <f>+VLOOKUP(PROVEEDORES[[#This Row],[PROVEEDOR]],TERCEROS_INFO[[PROVEEDOR]:[CORREO]],5,FALSE)</f>
        <v>MVALENCIA@mps.com.co;girlesa.ruiz@servipilas.com;joriescobar64@gmail.com</v>
      </c>
      <c r="G1418" s="143">
        <v>44523</v>
      </c>
      <c r="H1418" s="38" t="s">
        <v>17</v>
      </c>
      <c r="I1418" s="30">
        <v>44483</v>
      </c>
      <c r="J1418" s="58" t="s">
        <v>1275</v>
      </c>
      <c r="K1418" s="32">
        <v>1753211.05</v>
      </c>
      <c r="L1418" s="32"/>
      <c r="M1418" s="33">
        <v>14289</v>
      </c>
      <c r="N1418" s="34"/>
      <c r="O1418" s="33">
        <f>+PROVEEDORES[[#This Row],[Descuento sobre subtotal %]]*(PROVEEDORES[[#This Row],[SUBTOTAL]]-PROVEEDORES[[#This Row],[descuento antes de IVA]])</f>
        <v>0</v>
      </c>
      <c r="P14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8" s="33">
        <f>+(PROVEEDORES[[#This Row],[SUBTOTAL]]-PROVEEDORES[[#This Row],[descuento antes de IVA]])*PROVEEDORES[[#This Row],[Rete Fuente %]]</f>
        <v>0</v>
      </c>
      <c r="R1418" s="32">
        <f>+PROVEEDORES[[#This Row],[SUBTOTAL]]+PROVEEDORES[[#This Row],[IVA 19%]]-PROVEEDORES[[#This Row],[descuento antes de IVA]]-PROVEEDORES[[#This Row],[Descuento sobre subtotal $]]-PROVEEDORES[[#This Row],[Rete Fuente $]]</f>
        <v>1767500.05</v>
      </c>
      <c r="S1418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19" spans="1:19" ht="21.95" hidden="1" customHeight="1" x14ac:dyDescent="0.25">
      <c r="A1419" s="165" t="str">
        <f>+IF(PROVEEDORES[[#This Row],[FECHA DE PAGO]]=PROVEEDORES[[#This Row],[FECHA DE FACTURACIÓN]],"DE CONTADO","CRÉDITO")</f>
        <v>CRÉDITO</v>
      </c>
      <c r="B1419" s="70" t="b">
        <f>+IF((PROVEEDORES[[#This Row],[FECHA DE PAGO]]-PROVEEDORES[[#This Row],[FECHA DE FACTURACIÓN]])&gt;PROVEEDORES[[#This Row],[PLAZO Días]],"PAGO VENCIDO")</f>
        <v>0</v>
      </c>
      <c r="C1419" s="27">
        <f>+VLOOKUP(PROVEEDORES[[#This Row],[PROVEEDOR]],TERCEROS_INFO[#All],2,FALSE)</f>
        <v>30</v>
      </c>
      <c r="D1419" s="37">
        <f>+SUMIFS(PROVEEDORES[Total],PROVEEDORES[PROVEEDOR],PROVEEDORES[[#This Row],[PROVEEDOR]],PROVEEDORES[FECHA DE PAGO],"")</f>
        <v>0</v>
      </c>
      <c r="E1419" s="37"/>
      <c r="F1419" s="108" t="str">
        <f>+VLOOKUP(PROVEEDORES[[#This Row],[PROVEEDOR]],TERCEROS_INFO[[PROVEEDOR]:[CORREO]],5,FALSE)</f>
        <v>MVALENCIA@mps.com.co;girlesa.ruiz@servipilas.com;joriescobar64@gmail.com</v>
      </c>
      <c r="G1419" s="143">
        <v>44537</v>
      </c>
      <c r="H1419" s="38" t="s">
        <v>17</v>
      </c>
      <c r="I1419" s="30">
        <v>44517</v>
      </c>
      <c r="J1419" s="58">
        <v>1840884</v>
      </c>
      <c r="K1419" s="32">
        <v>361000</v>
      </c>
      <c r="L1419" s="32"/>
      <c r="M1419" s="33">
        <f>(PROVEEDORES[[#This Row],[SUBTOTAL]]-PROVEEDORES[[#This Row],[descuento antes de IVA]])*VLOOKUP(PROVEEDORES[[#This Row],[PROVEEDOR]],TERCEROS_INFO[#All],3,FALSE)</f>
        <v>68590</v>
      </c>
      <c r="N1419" s="34"/>
      <c r="O1419" s="33">
        <f>+PROVEEDORES[[#This Row],[Descuento sobre subtotal %]]*(PROVEEDORES[[#This Row],[SUBTOTAL]]-PROVEEDORES[[#This Row],[descuento antes de IVA]])</f>
        <v>0</v>
      </c>
      <c r="P14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19" s="33">
        <f>+(PROVEEDORES[[#This Row],[SUBTOTAL]]-PROVEEDORES[[#This Row],[descuento antes de IVA]])*PROVEEDORES[[#This Row],[Rete Fuente %]]</f>
        <v>0</v>
      </c>
      <c r="R1419" s="32">
        <f>+PROVEEDORES[[#This Row],[SUBTOTAL]]+PROVEEDORES[[#This Row],[IVA 19%]]-PROVEEDORES[[#This Row],[descuento antes de IVA]]-PROVEEDORES[[#This Row],[Descuento sobre subtotal $]]-PROVEEDORES[[#This Row],[Rete Fuente $]]</f>
        <v>429590</v>
      </c>
      <c r="S1419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0" spans="1:19" ht="21.95" hidden="1" customHeight="1" x14ac:dyDescent="0.25">
      <c r="A1420" s="165" t="str">
        <f>+IF(PROVEEDORES[[#This Row],[FECHA DE PAGO]]=PROVEEDORES[[#This Row],[FECHA DE FACTURACIÓN]],"DE CONTADO","CRÉDITO")</f>
        <v>CRÉDITO</v>
      </c>
      <c r="B1420" s="70" t="b">
        <f>+IF((PROVEEDORES[[#This Row],[FECHA DE PAGO]]-PROVEEDORES[[#This Row],[FECHA DE FACTURACIÓN]])&gt;PROVEEDORES[[#This Row],[PLAZO Días]],"PAGO VENCIDO")</f>
        <v>0</v>
      </c>
      <c r="C1420" s="27">
        <f>+VLOOKUP(PROVEEDORES[[#This Row],[PROVEEDOR]],TERCEROS_INFO[#All],2,FALSE)</f>
        <v>30</v>
      </c>
      <c r="D1420" s="37">
        <f>+SUMIFS(PROVEEDORES[Total],PROVEEDORES[PROVEEDOR],PROVEEDORES[[#This Row],[PROVEEDOR]],PROVEEDORES[FECHA DE PAGO],"")</f>
        <v>0</v>
      </c>
      <c r="E1420" s="37"/>
      <c r="F1420" s="108" t="str">
        <f>+VLOOKUP(PROVEEDORES[[#This Row],[PROVEEDOR]],TERCEROS_INFO[[PROVEEDOR]:[CORREO]],5,FALSE)</f>
        <v>MVALENCIA@mps.com.co;girlesa.ruiz@servipilas.com;joriescobar64@gmail.com</v>
      </c>
      <c r="G1420" s="143">
        <v>44537</v>
      </c>
      <c r="H1420" s="38" t="s">
        <v>17</v>
      </c>
      <c r="I1420" s="30">
        <v>44517</v>
      </c>
      <c r="J1420" s="58">
        <v>1840769</v>
      </c>
      <c r="K1420" s="32">
        <v>775710</v>
      </c>
      <c r="L1420" s="32"/>
      <c r="M1420" s="33">
        <f>(PROVEEDORES[[#This Row],[SUBTOTAL]]-PROVEEDORES[[#This Row],[descuento antes de IVA]])*VLOOKUP(PROVEEDORES[[#This Row],[PROVEEDOR]],TERCEROS_INFO[#All],3,FALSE)</f>
        <v>147384.9</v>
      </c>
      <c r="N1420" s="34"/>
      <c r="O1420" s="33">
        <f>+PROVEEDORES[[#This Row],[Descuento sobre subtotal %]]*(PROVEEDORES[[#This Row],[SUBTOTAL]]-PROVEEDORES[[#This Row],[descuento antes de IVA]])</f>
        <v>0</v>
      </c>
      <c r="P14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0" s="33">
        <f>+(PROVEEDORES[[#This Row],[SUBTOTAL]]-PROVEEDORES[[#This Row],[descuento antes de IVA]])*PROVEEDORES[[#This Row],[Rete Fuente %]]</f>
        <v>0</v>
      </c>
      <c r="R1420" s="32">
        <f>+PROVEEDORES[[#This Row],[SUBTOTAL]]+PROVEEDORES[[#This Row],[IVA 19%]]-PROVEEDORES[[#This Row],[descuento antes de IVA]]-PROVEEDORES[[#This Row],[Descuento sobre subtotal $]]-PROVEEDORES[[#This Row],[Rete Fuente $]]</f>
        <v>923094.9</v>
      </c>
      <c r="S1420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1" spans="1:19" ht="21.95" hidden="1" customHeight="1" x14ac:dyDescent="0.25">
      <c r="A1421" s="165" t="str">
        <f>+IF(PROVEEDORES[[#This Row],[FECHA DE PAGO]]=PROVEEDORES[[#This Row],[FECHA DE FACTURACIÓN]],"DE CONTADO","CRÉDITO")</f>
        <v>CRÉDITO</v>
      </c>
      <c r="B1421" s="70" t="b">
        <f>+IF((PROVEEDORES[[#This Row],[FECHA DE PAGO]]-PROVEEDORES[[#This Row],[FECHA DE FACTURACIÓN]])&gt;PROVEEDORES[[#This Row],[PLAZO Días]],"PAGO VENCIDO")</f>
        <v>0</v>
      </c>
      <c r="C1421" s="27">
        <f>+VLOOKUP(PROVEEDORES[[#This Row],[PROVEEDOR]],TERCEROS_INFO[#All],2,FALSE)</f>
        <v>30</v>
      </c>
      <c r="D1421" s="37">
        <f>+SUMIFS(PROVEEDORES[Total],PROVEEDORES[PROVEEDOR],PROVEEDORES[[#This Row],[PROVEEDOR]],PROVEEDORES[FECHA DE PAGO],"")</f>
        <v>0</v>
      </c>
      <c r="E1421" s="37"/>
      <c r="F1421" s="108" t="str">
        <f>+VLOOKUP(PROVEEDORES[[#This Row],[PROVEEDOR]],TERCEROS_INFO[[PROVEEDOR]:[CORREO]],5,FALSE)</f>
        <v>MVALENCIA@mps.com.co;girlesa.ruiz@servipilas.com;joriescobar64@gmail.com</v>
      </c>
      <c r="G1421" s="143">
        <v>44537</v>
      </c>
      <c r="H1421" s="38" t="s">
        <v>17</v>
      </c>
      <c r="I1421" s="30">
        <v>44517</v>
      </c>
      <c r="J1421" s="58">
        <v>1840740</v>
      </c>
      <c r="K1421" s="32">
        <v>753350</v>
      </c>
      <c r="L1421" s="32"/>
      <c r="M1421" s="33">
        <f>(PROVEEDORES[[#This Row],[SUBTOTAL]]-PROVEEDORES[[#This Row],[descuento antes de IVA]])*VLOOKUP(PROVEEDORES[[#This Row],[PROVEEDOR]],TERCEROS_INFO[#All],3,FALSE)</f>
        <v>143136.5</v>
      </c>
      <c r="N1421" s="34"/>
      <c r="O1421" s="33">
        <f>+PROVEEDORES[[#This Row],[Descuento sobre subtotal %]]*(PROVEEDORES[[#This Row],[SUBTOTAL]]-PROVEEDORES[[#This Row],[descuento antes de IVA]])</f>
        <v>0</v>
      </c>
      <c r="P14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1" s="33">
        <f>+(PROVEEDORES[[#This Row],[SUBTOTAL]]-PROVEEDORES[[#This Row],[descuento antes de IVA]])*PROVEEDORES[[#This Row],[Rete Fuente %]]</f>
        <v>0</v>
      </c>
      <c r="R1421" s="32">
        <f>+PROVEEDORES[[#This Row],[SUBTOTAL]]+PROVEEDORES[[#This Row],[IVA 19%]]-PROVEEDORES[[#This Row],[descuento antes de IVA]]-PROVEEDORES[[#This Row],[Descuento sobre subtotal $]]-PROVEEDORES[[#This Row],[Rete Fuente $]]</f>
        <v>896486.5</v>
      </c>
      <c r="S1421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2" spans="1:19" ht="21.95" hidden="1" customHeight="1" x14ac:dyDescent="0.25">
      <c r="A1422" s="167" t="str">
        <f>+IF(PROVEEDORES[[#This Row],[FECHA DE PAGO]]=PROVEEDORES[[#This Row],[FECHA DE FACTURACIÓN]],"DE CONTADO","CRÉDITO")</f>
        <v>CRÉDITO</v>
      </c>
      <c r="B1422" s="70" t="str">
        <f>+IF((PROVEEDORES[[#This Row],[FECHA DE PAGO]]-PROVEEDORES[[#This Row],[FECHA DE FACTURACIÓN]])&gt;PROVEEDORES[[#This Row],[PLAZO Días]],"PAGO VENCIDO")</f>
        <v>PAGO VENCIDO</v>
      </c>
      <c r="C1422" s="27">
        <f>+VLOOKUP(PROVEEDORES[[#This Row],[PROVEEDOR]],TERCEROS_INFO[#All],2,FALSE)</f>
        <v>30</v>
      </c>
      <c r="D1422" s="37">
        <f>+SUMIFS(PROVEEDORES[Total],PROVEEDORES[PROVEEDOR],PROVEEDORES[[#This Row],[PROVEEDOR]],PROVEEDORES[FECHA DE PAGO],"")</f>
        <v>0</v>
      </c>
      <c r="E1422" s="37"/>
      <c r="F1422" s="108" t="str">
        <f>+VLOOKUP(PROVEEDORES[[#This Row],[PROVEEDOR]],TERCEROS_INFO[[PROVEEDOR]:[CORREO]],5,FALSE)</f>
        <v>MVALENCIA@mps.com.co;girlesa.ruiz@servipilas.com;joriescobar64@gmail.com</v>
      </c>
      <c r="G1422" s="143">
        <v>44558</v>
      </c>
      <c r="H1422" s="38" t="s">
        <v>17</v>
      </c>
      <c r="I1422" s="30">
        <v>44524</v>
      </c>
      <c r="J1422" s="58">
        <v>1844241</v>
      </c>
      <c r="K1422" s="32">
        <v>594000</v>
      </c>
      <c r="L1422" s="32"/>
      <c r="M1422" s="33">
        <f>(PROVEEDORES[[#This Row],[SUBTOTAL]]-PROVEEDORES[[#This Row],[descuento antes de IVA]])*VLOOKUP(PROVEEDORES[[#This Row],[PROVEEDOR]],TERCEROS_INFO[#All],3,FALSE)</f>
        <v>112860</v>
      </c>
      <c r="N1422" s="34"/>
      <c r="O1422" s="33">
        <f>+PROVEEDORES[[#This Row],[Descuento sobre subtotal %]]*(PROVEEDORES[[#This Row],[SUBTOTAL]]-PROVEEDORES[[#This Row],[descuento antes de IVA]])</f>
        <v>0</v>
      </c>
      <c r="P14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2" s="33">
        <f>+(PROVEEDORES[[#This Row],[SUBTOTAL]]-PROVEEDORES[[#This Row],[descuento antes de IVA]])*PROVEEDORES[[#This Row],[Rete Fuente %]]</f>
        <v>0</v>
      </c>
      <c r="R1422" s="32">
        <f>+PROVEEDORES[[#This Row],[SUBTOTAL]]+PROVEEDORES[[#This Row],[IVA 19%]]-PROVEEDORES[[#This Row],[descuento antes de IVA]]-PROVEEDORES[[#This Row],[Descuento sobre subtotal $]]-PROVEEDORES[[#This Row],[Rete Fuente $]]</f>
        <v>706860</v>
      </c>
      <c r="S1422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3" spans="1:19" ht="21.95" hidden="1" customHeight="1" x14ac:dyDescent="0.25">
      <c r="A1423" s="167" t="str">
        <f>+IF(PROVEEDORES[[#This Row],[FECHA DE PAGO]]=PROVEEDORES[[#This Row],[FECHA DE FACTURACIÓN]],"DE CONTADO","CRÉDITO")</f>
        <v>CRÉDITO</v>
      </c>
      <c r="B1423" s="70" t="str">
        <f>+IF((PROVEEDORES[[#This Row],[FECHA DE PAGO]]-PROVEEDORES[[#This Row],[FECHA DE FACTURACIÓN]])&gt;PROVEEDORES[[#This Row],[PLAZO Días]],"PAGO VENCIDO")</f>
        <v>PAGO VENCIDO</v>
      </c>
      <c r="C1423" s="27">
        <f>+VLOOKUP(PROVEEDORES[[#This Row],[PROVEEDOR]],TERCEROS_INFO[#All],2,FALSE)</f>
        <v>30</v>
      </c>
      <c r="D1423" s="37">
        <f>+SUMIFS(PROVEEDORES[Total],PROVEEDORES[PROVEEDOR],PROVEEDORES[[#This Row],[PROVEEDOR]],PROVEEDORES[FECHA DE PAGO],"")</f>
        <v>0</v>
      </c>
      <c r="E1423" s="37"/>
      <c r="F1423" s="108" t="str">
        <f>+VLOOKUP(PROVEEDORES[[#This Row],[PROVEEDOR]],TERCEROS_INFO[[PROVEEDOR]:[CORREO]],5,FALSE)</f>
        <v>MVALENCIA@mps.com.co;girlesa.ruiz@servipilas.com;joriescobar64@gmail.com</v>
      </c>
      <c r="G1423" s="143">
        <v>44558</v>
      </c>
      <c r="H1423" s="38" t="s">
        <v>17</v>
      </c>
      <c r="I1423" s="30">
        <v>44524</v>
      </c>
      <c r="J1423" s="58">
        <v>1844279</v>
      </c>
      <c r="K1423" s="32">
        <v>219500</v>
      </c>
      <c r="L1423" s="32"/>
      <c r="M1423" s="33">
        <f>(PROVEEDORES[[#This Row],[SUBTOTAL]]-PROVEEDORES[[#This Row],[descuento antes de IVA]])*VLOOKUP(PROVEEDORES[[#This Row],[PROVEEDOR]],TERCEROS_INFO[#All],3,FALSE)</f>
        <v>41705</v>
      </c>
      <c r="N1423" s="34"/>
      <c r="O1423" s="33">
        <f>+PROVEEDORES[[#This Row],[Descuento sobre subtotal %]]*(PROVEEDORES[[#This Row],[SUBTOTAL]]-PROVEEDORES[[#This Row],[descuento antes de IVA]])</f>
        <v>0</v>
      </c>
      <c r="P14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3" s="33">
        <f>+(PROVEEDORES[[#This Row],[SUBTOTAL]]-PROVEEDORES[[#This Row],[descuento antes de IVA]])*PROVEEDORES[[#This Row],[Rete Fuente %]]</f>
        <v>0</v>
      </c>
      <c r="R1423" s="32">
        <f>+PROVEEDORES[[#This Row],[SUBTOTAL]]+PROVEEDORES[[#This Row],[IVA 19%]]-PROVEEDORES[[#This Row],[descuento antes de IVA]]-PROVEEDORES[[#This Row],[Descuento sobre subtotal $]]-PROVEEDORES[[#This Row],[Rete Fuente $]]</f>
        <v>261205</v>
      </c>
      <c r="S1423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4" spans="1:19" ht="21.95" hidden="1" customHeight="1" x14ac:dyDescent="0.25">
      <c r="A1424" s="167" t="str">
        <f>+IF(PROVEEDORES[[#This Row],[FECHA DE PAGO]]=PROVEEDORES[[#This Row],[FECHA DE FACTURACIÓN]],"DE CONTADO","CRÉDITO")</f>
        <v>CRÉDITO</v>
      </c>
      <c r="B1424" s="70" t="b">
        <f>+IF((PROVEEDORES[[#This Row],[FECHA DE PAGO]]-PROVEEDORES[[#This Row],[FECHA DE FACTURACIÓN]])&gt;PROVEEDORES[[#This Row],[PLAZO Días]],"PAGO VENCIDO")</f>
        <v>0</v>
      </c>
      <c r="C1424" s="27">
        <f>+VLOOKUP(PROVEEDORES[[#This Row],[PROVEEDOR]],TERCEROS_INFO[#All],2,FALSE)</f>
        <v>30</v>
      </c>
      <c r="D1424" s="37">
        <f>+SUMIFS(PROVEEDORES[Total],PROVEEDORES[PROVEEDOR],PROVEEDORES[[#This Row],[PROVEEDOR]],PROVEEDORES[FECHA DE PAGO],"")</f>
        <v>0</v>
      </c>
      <c r="E1424" s="37" t="s">
        <v>988</v>
      </c>
      <c r="F1424" s="108" t="str">
        <f>+VLOOKUP(PROVEEDORES[[#This Row],[PROVEEDOR]],TERCEROS_INFO[[PROVEEDOR]:[CORREO]],5,FALSE)</f>
        <v>MVALENCIA@mps.com.co;girlesa.ruiz@servipilas.com;joriescobar64@gmail.com</v>
      </c>
      <c r="G1424" s="143">
        <v>44558</v>
      </c>
      <c r="H1424" s="38" t="s">
        <v>17</v>
      </c>
      <c r="I1424" s="30">
        <v>44529</v>
      </c>
      <c r="J1424" s="58">
        <v>1846298</v>
      </c>
      <c r="K1424" s="32">
        <v>300000</v>
      </c>
      <c r="L1424" s="32"/>
      <c r="M1424" s="33">
        <f>(PROVEEDORES[[#This Row],[SUBTOTAL]]-PROVEEDORES[[#This Row],[descuento antes de IVA]])*VLOOKUP(PROVEEDORES[[#This Row],[PROVEEDOR]],TERCEROS_INFO[#All],3,FALSE)</f>
        <v>57000</v>
      </c>
      <c r="N1424" s="34"/>
      <c r="O1424" s="33">
        <f>+PROVEEDORES[[#This Row],[Descuento sobre subtotal %]]*(PROVEEDORES[[#This Row],[SUBTOTAL]]-PROVEEDORES[[#This Row],[descuento antes de IVA]])</f>
        <v>0</v>
      </c>
      <c r="P14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4" s="33">
        <f>+(PROVEEDORES[[#This Row],[SUBTOTAL]]-PROVEEDORES[[#This Row],[descuento antes de IVA]])*PROVEEDORES[[#This Row],[Rete Fuente %]]</f>
        <v>0</v>
      </c>
      <c r="R1424" s="32">
        <f>+PROVEEDORES[[#This Row],[SUBTOTAL]]+PROVEEDORES[[#This Row],[IVA 19%]]-PROVEEDORES[[#This Row],[descuento antes de IVA]]-PROVEEDORES[[#This Row],[Descuento sobre subtotal $]]-PROVEEDORES[[#This Row],[Rete Fuente $]]</f>
        <v>357000</v>
      </c>
      <c r="S1424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5" spans="1:19" ht="21.95" hidden="1" customHeight="1" x14ac:dyDescent="0.25">
      <c r="A1425" s="35" t="str">
        <f>+IF(PROVEEDORES[[#This Row],[FECHA DE PAGO]]=PROVEEDORES[[#This Row],[FECHA DE FACTURACIÓN]],"DE CONTADO","CRÉDITO")</f>
        <v>CRÉDITO</v>
      </c>
      <c r="B1425" s="70" t="b">
        <f>+IF((PROVEEDORES[[#This Row],[FECHA DE PAGO]]-PROVEEDORES[[#This Row],[FECHA DE FACTURACIÓN]])&gt;PROVEEDORES[[#This Row],[PLAZO Días]],"PAGO VENCIDO")</f>
        <v>0</v>
      </c>
      <c r="C1425" s="27">
        <f>+VLOOKUP(PROVEEDORES[[#This Row],[PROVEEDOR]],TERCEROS_INFO[#All],2,FALSE)</f>
        <v>30</v>
      </c>
      <c r="D1425" s="37">
        <f>+SUMIFS(PROVEEDORES[Total],PROVEEDORES[PROVEEDOR],PROVEEDORES[[#This Row],[PROVEEDOR]],PROVEEDORES[FECHA DE PAGO],"")</f>
        <v>0</v>
      </c>
      <c r="E1425" s="37"/>
      <c r="F1425" s="108" t="str">
        <f>+VLOOKUP(PROVEEDORES[[#This Row],[PROVEEDOR]],TERCEROS_INFO[[PROVEEDOR]:[CORREO]],5,FALSE)</f>
        <v>MVALENCIA@mps.com.co;girlesa.ruiz@servipilas.com;joriescobar64@gmail.com</v>
      </c>
      <c r="G1425" s="143">
        <v>44558</v>
      </c>
      <c r="H1425" s="38" t="s">
        <v>17</v>
      </c>
      <c r="I1425" s="30">
        <v>44539</v>
      </c>
      <c r="J1425" s="58">
        <v>1851854</v>
      </c>
      <c r="K1425" s="32">
        <v>1045000</v>
      </c>
      <c r="L1425" s="32"/>
      <c r="M1425" s="33">
        <f>(PROVEEDORES[[#This Row],[SUBTOTAL]]-PROVEEDORES[[#This Row],[descuento antes de IVA]])*VLOOKUP(PROVEEDORES[[#This Row],[PROVEEDOR]],TERCEROS_INFO[#All],3,FALSE)</f>
        <v>198550</v>
      </c>
      <c r="N1425" s="34"/>
      <c r="O1425" s="33">
        <f>+PROVEEDORES[[#This Row],[Descuento sobre subtotal %]]*(PROVEEDORES[[#This Row],[SUBTOTAL]]-PROVEEDORES[[#This Row],[descuento antes de IVA]])</f>
        <v>0</v>
      </c>
      <c r="P14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5" s="33">
        <f>+(PROVEEDORES[[#This Row],[SUBTOTAL]]-PROVEEDORES[[#This Row],[descuento antes de IVA]])*PROVEEDORES[[#This Row],[Rete Fuente %]]</f>
        <v>0</v>
      </c>
      <c r="R1425" s="32">
        <f>+PROVEEDORES[[#This Row],[SUBTOTAL]]+PROVEEDORES[[#This Row],[IVA 19%]]-PROVEEDORES[[#This Row],[descuento antes de IVA]]-PROVEEDORES[[#This Row],[Descuento sobre subtotal $]]-PROVEEDORES[[#This Row],[Rete Fuente $]]</f>
        <v>1243550</v>
      </c>
      <c r="S142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6" spans="1:19" ht="21.95" hidden="1" customHeight="1" x14ac:dyDescent="0.25">
      <c r="A1426" s="35" t="str">
        <f>+IF(PROVEEDORES[[#This Row],[FECHA DE PAGO]]=PROVEEDORES[[#This Row],[FECHA DE FACTURACIÓN]],"DE CONTADO","CRÉDITO")</f>
        <v>CRÉDITO</v>
      </c>
      <c r="B1426" s="70" t="b">
        <f>+IF((PROVEEDORES[[#This Row],[FECHA DE PAGO]]-PROVEEDORES[[#This Row],[FECHA DE FACTURACIÓN]])&gt;PROVEEDORES[[#This Row],[PLAZO Días]],"PAGO VENCIDO")</f>
        <v>0</v>
      </c>
      <c r="C1426" s="27">
        <f>+VLOOKUP(PROVEEDORES[[#This Row],[PROVEEDOR]],TERCEROS_INFO[#All],2,FALSE)</f>
        <v>10</v>
      </c>
      <c r="D1426" s="37">
        <f>+SUMIFS(PROVEEDORES[Total],PROVEEDORES[PROVEEDOR],PROVEEDORES[[#This Row],[PROVEEDOR]],PROVEEDORES[FECHA DE PAGO],"")</f>
        <v>0</v>
      </c>
      <c r="E1426" s="37"/>
      <c r="F1426" s="108" t="str">
        <f>+VLOOKUP(PROVEEDORES[[#This Row],[PROVEEDOR]],TERCEROS_INFO[[PROVEEDOR]:[CORREO]],5,FALSE)</f>
        <v>asistente@mslcorporate.com.co;girlesa.ruiz@servipilas.com;joriescobar64@gmail.com</v>
      </c>
      <c r="G1426" s="143">
        <v>44320</v>
      </c>
      <c r="H1426" s="57" t="s">
        <v>615</v>
      </c>
      <c r="I1426" s="30">
        <v>44319</v>
      </c>
      <c r="J1426" s="58">
        <v>114001</v>
      </c>
      <c r="K1426" s="32">
        <f>3754.51*729.63</f>
        <v>2739403.1313</v>
      </c>
      <c r="L1426" s="32"/>
      <c r="M1426" s="33">
        <f>(PROVEEDORES[[#This Row],[SUBTOTAL]]-PROVEEDORES[[#This Row],[descuento antes de IVA]])*VLOOKUP(PROVEEDORES[[#This Row],[PROVEEDOR]],TERCEROS_INFO[#All],3,FALSE)</f>
        <v>0</v>
      </c>
      <c r="N1426" s="34"/>
      <c r="O1426" s="33">
        <f>+PROVEEDORES[[#This Row],[Descuento sobre subtotal %]]*(PROVEEDORES[[#This Row],[SUBTOTAL]]-PROVEEDORES[[#This Row],[descuento antes de IVA]])</f>
        <v>0</v>
      </c>
      <c r="P14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6" s="33">
        <f>+(PROVEEDORES[[#This Row],[SUBTOTAL]]-PROVEEDORES[[#This Row],[descuento antes de IVA]])*PROVEEDORES[[#This Row],[Rete Fuente %]]</f>
        <v>0</v>
      </c>
      <c r="R1426" s="32">
        <f>+PROVEEDORES[[#This Row],[SUBTOTAL]]+PROVEEDORES[[#This Row],[IVA 19%]]-PROVEEDORES[[#This Row],[descuento antes de IVA]]-PROVEEDORES[[#This Row],[Descuento sobre subtotal $]]-PROVEEDORES[[#This Row],[Rete Fuente $]]</f>
        <v>2739403.1313</v>
      </c>
      <c r="S142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7" spans="1:19" ht="21.95" hidden="1" customHeight="1" x14ac:dyDescent="0.25">
      <c r="A1427" s="107" t="str">
        <f>+IF(PROVEEDORES[[#This Row],[FECHA DE PAGO]]=PROVEEDORES[[#This Row],[FECHA DE FACTURACIÓN]],"DE CONTADO","CRÉDITO")</f>
        <v>CRÉDITO</v>
      </c>
      <c r="B1427" s="70" t="b">
        <f>+IF((PROVEEDORES[[#This Row],[FECHA DE PAGO]]-PROVEEDORES[[#This Row],[FECHA DE FACTURACIÓN]])&gt;PROVEEDORES[[#This Row],[PLAZO Días]],"PAGO VENCIDO")</f>
        <v>0</v>
      </c>
      <c r="C1427" s="27">
        <f>+VLOOKUP(PROVEEDORES[[#This Row],[PROVEEDOR]],TERCEROS_INFO[#All],2,FALSE)</f>
        <v>10</v>
      </c>
      <c r="D1427" s="37">
        <f>+SUMIFS(PROVEEDORES[Total],PROVEEDORES[PROVEEDOR],PROVEEDORES[[#This Row],[PROVEEDOR]],PROVEEDORES[FECHA DE PAGO],"")</f>
        <v>0</v>
      </c>
      <c r="E1427" s="37"/>
      <c r="F1427" s="108" t="str">
        <f>+VLOOKUP(PROVEEDORES[[#This Row],[PROVEEDOR]],TERCEROS_INFO[[PROVEEDOR]:[CORREO]],5,FALSE)</f>
        <v>comercial@munditonner.com.co;girlesa.ruiz@servipilas.com;joriescobar64@gmail.com</v>
      </c>
      <c r="G1427" s="143">
        <v>44321</v>
      </c>
      <c r="H1427" s="57" t="s">
        <v>656</v>
      </c>
      <c r="I1427" s="30">
        <v>44320</v>
      </c>
      <c r="J1427" s="58" t="s">
        <v>658</v>
      </c>
      <c r="K1427" s="32">
        <v>70000</v>
      </c>
      <c r="L1427" s="32"/>
      <c r="M1427" s="33">
        <f>(PROVEEDORES[[#This Row],[SUBTOTAL]]-PROVEEDORES[[#This Row],[descuento antes de IVA]])*VLOOKUP(PROVEEDORES[[#This Row],[PROVEEDOR]],TERCEROS_INFO[#All],3,FALSE)</f>
        <v>13300</v>
      </c>
      <c r="N1427" s="34"/>
      <c r="O1427" s="33">
        <f>+PROVEEDORES[[#This Row],[Descuento sobre subtotal %]]*(PROVEEDORES[[#This Row],[SUBTOTAL]]-PROVEEDORES[[#This Row],[descuento antes de IVA]])</f>
        <v>0</v>
      </c>
      <c r="P14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7" s="33">
        <f>+(PROVEEDORES[[#This Row],[SUBTOTAL]]-PROVEEDORES[[#This Row],[descuento antes de IVA]])*PROVEEDORES[[#This Row],[Rete Fuente %]]</f>
        <v>0</v>
      </c>
      <c r="R1427" s="32">
        <f>+PROVEEDORES[[#This Row],[SUBTOTAL]]+PROVEEDORES[[#This Row],[IVA 19%]]-PROVEEDORES[[#This Row],[descuento antes de IVA]]-PROVEEDORES[[#This Row],[Descuento sobre subtotal $]]-PROVEEDORES[[#This Row],[Rete Fuente $]]</f>
        <v>83300</v>
      </c>
      <c r="S1427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8" spans="1:19" ht="21.95" hidden="1" customHeight="1" x14ac:dyDescent="0.25">
      <c r="A1428" s="39" t="str">
        <f>+IF(PROVEEDORES[[#This Row],[FECHA DE PAGO]]=PROVEEDORES[[#This Row],[FECHA DE FACTURACIÓN]],"DE CONTADO","CRÉDITO")</f>
        <v>CRÉDITO</v>
      </c>
      <c r="B1428" s="67" t="str">
        <f>+IF((PROVEEDORES[[#This Row],[FECHA DE PAGO]]-PROVEEDORES[[#This Row],[FECHA DE FACTURACIÓN]])&gt;PROVEEDORES[[#This Row],[PLAZO Días]],"PAGO VENCIDO")</f>
        <v>PAGO VENCIDO</v>
      </c>
      <c r="C1428" s="27">
        <f>+VLOOKUP(PROVEEDORES[[#This Row],[PROVEEDOR]],TERCEROS_INFO[#All],2,FALSE)</f>
        <v>30</v>
      </c>
      <c r="D1428" s="37">
        <f>+SUMIFS(PROVEEDORES[Total],PROVEEDORES[PROVEEDOR],PROVEEDORES[[#This Row],[PROVEEDOR]],PROVEEDORES[FECHA DE PAGO],"")</f>
        <v>3361887.1</v>
      </c>
      <c r="E1428" s="37"/>
      <c r="F1428" s="108" t="str">
        <f>+VLOOKUP(PROVEEDORES[[#This Row],[PROVEEDOR]],TERCEROS_INFO[[PROVEEDOR]:[CORREO]],5,FALSE)</f>
        <v>financiera@nalpicentral.com;girlesa.ruiz@servipilas.com;joriescobar64@gmail.com</v>
      </c>
      <c r="G1428" s="143">
        <v>43899</v>
      </c>
      <c r="H1428" s="38" t="s">
        <v>22</v>
      </c>
      <c r="I1428" s="30">
        <v>43845</v>
      </c>
      <c r="J1428" s="58">
        <v>15428</v>
      </c>
      <c r="K1428" s="32">
        <v>2252659.6638655462</v>
      </c>
      <c r="L1428" s="32"/>
      <c r="M1428" s="33">
        <f>(PROVEEDORES[[#This Row],[SUBTOTAL]]-PROVEEDORES[[#This Row],[descuento antes de IVA]])*VLOOKUP(PROVEEDORES[[#This Row],[PROVEEDOR]],TERCEROS_INFO[#All],3,FALSE)</f>
        <v>428005.33613445377</v>
      </c>
      <c r="N1428" s="34"/>
      <c r="O1428" s="33">
        <f>+PROVEEDORES[[#This Row],[Descuento sobre subtotal %]]*(PROVEEDORES[[#This Row],[SUBTOTAL]]-PROVEEDORES[[#This Row],[descuento antes de IVA]])</f>
        <v>0</v>
      </c>
      <c r="P14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28" s="33">
        <f>+(PROVEEDORES[[#This Row],[SUBTOTAL]]-PROVEEDORES[[#This Row],[descuento antes de IVA]])*PROVEEDORES[[#This Row],[Rete Fuente %]]</f>
        <v>56316.491596638662</v>
      </c>
      <c r="R1428" s="32">
        <f>+PROVEEDORES[[#This Row],[SUBTOTAL]]+PROVEEDORES[[#This Row],[IVA 19%]]-PROVEEDORES[[#This Row],[descuento antes de IVA]]-PROVEEDORES[[#This Row],[Descuento sobre subtotal $]]-PROVEEDORES[[#This Row],[Rete Fuente $]]</f>
        <v>2624348.5084033613</v>
      </c>
      <c r="S142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29" spans="1:19" ht="21.95" hidden="1" customHeight="1" x14ac:dyDescent="0.25">
      <c r="A1429" s="39" t="str">
        <f>+IF(PROVEEDORES[[#This Row],[FECHA DE PAGO]]=PROVEEDORES[[#This Row],[FECHA DE FACTURACIÓN]],"DE CONTADO","CRÉDITO")</f>
        <v>CRÉDITO</v>
      </c>
      <c r="B1429" s="67" t="str">
        <f>+IF((PROVEEDORES[[#This Row],[FECHA DE PAGO]]-PROVEEDORES[[#This Row],[FECHA DE FACTURACIÓN]])&gt;PROVEEDORES[[#This Row],[PLAZO Días]],"PAGO VENCIDO")</f>
        <v>PAGO VENCIDO</v>
      </c>
      <c r="C1429" s="27">
        <f>+VLOOKUP(PROVEEDORES[[#This Row],[PROVEEDOR]],TERCEROS_INFO[#All],2,FALSE)</f>
        <v>30</v>
      </c>
      <c r="D1429" s="37">
        <f>+SUMIFS(PROVEEDORES[Total],PROVEEDORES[PROVEEDOR],PROVEEDORES[[#This Row],[PROVEEDOR]],PROVEEDORES[FECHA DE PAGO],"")</f>
        <v>3361887.1</v>
      </c>
      <c r="E1429" s="37" t="s">
        <v>365</v>
      </c>
      <c r="F1429" s="108" t="str">
        <f>+VLOOKUP(PROVEEDORES[[#This Row],[PROVEEDOR]],TERCEROS_INFO[[PROVEEDOR]:[CORREO]],5,FALSE)</f>
        <v>financiera@nalpicentral.com;girlesa.ruiz@servipilas.com;joriescobar64@gmail.com</v>
      </c>
      <c r="G1429" s="143">
        <v>43899</v>
      </c>
      <c r="H1429" s="38" t="s">
        <v>22</v>
      </c>
      <c r="I1429" s="30">
        <v>43845</v>
      </c>
      <c r="J1429" s="58" t="s">
        <v>1028</v>
      </c>
      <c r="K1429" s="32">
        <v>-18697.478991596639</v>
      </c>
      <c r="L1429" s="32"/>
      <c r="M1429" s="33">
        <f>(PROVEEDORES[[#This Row],[SUBTOTAL]]-PROVEEDORES[[#This Row],[descuento antes de IVA]])*VLOOKUP(PROVEEDORES[[#This Row],[PROVEEDOR]],TERCEROS_INFO[#All],3,FALSE)</f>
        <v>-3552.5210084033615</v>
      </c>
      <c r="N1429" s="34"/>
      <c r="O1429" s="33">
        <f>+PROVEEDORES[[#This Row],[Descuento sobre subtotal %]]*(PROVEEDORES[[#This Row],[SUBTOTAL]]-PROVEEDORES[[#This Row],[descuento antes de IVA]])</f>
        <v>0</v>
      </c>
      <c r="P14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29" s="33">
        <f>+(PROVEEDORES[[#This Row],[SUBTOTAL]]-PROVEEDORES[[#This Row],[descuento antes de IVA]])*PROVEEDORES[[#This Row],[Rete Fuente %]]</f>
        <v>0</v>
      </c>
      <c r="R1429" s="32">
        <f>+PROVEEDORES[[#This Row],[SUBTOTAL]]+PROVEEDORES[[#This Row],[IVA 19%]]-PROVEEDORES[[#This Row],[descuento antes de IVA]]-PROVEEDORES[[#This Row],[Descuento sobre subtotal $]]-PROVEEDORES[[#This Row],[Rete Fuente $]]</f>
        <v>-22250</v>
      </c>
      <c r="S142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0" spans="1:19" ht="21.95" hidden="1" customHeight="1" x14ac:dyDescent="0.25">
      <c r="A1430" s="39" t="str">
        <f>+IF(PROVEEDORES[[#This Row],[FECHA DE PAGO]]=PROVEEDORES[[#This Row],[FECHA DE FACTURACIÓN]],"DE CONTADO","CRÉDITO")</f>
        <v>CRÉDITO</v>
      </c>
      <c r="B1430" s="67" t="str">
        <f>+IF((PROVEEDORES[[#This Row],[FECHA DE PAGO]]-PROVEEDORES[[#This Row],[FECHA DE FACTURACIÓN]])&gt;PROVEEDORES[[#This Row],[PLAZO Días]],"PAGO VENCIDO")</f>
        <v>PAGO VENCIDO</v>
      </c>
      <c r="C1430" s="27">
        <f>+VLOOKUP(PROVEEDORES[[#This Row],[PROVEEDOR]],TERCEROS_INFO[#All],2,FALSE)</f>
        <v>30</v>
      </c>
      <c r="D1430" s="37">
        <f>+SUMIFS(PROVEEDORES[Total],PROVEEDORES[PROVEEDOR],PROVEEDORES[[#This Row],[PROVEEDOR]],PROVEEDORES[FECHA DE PAGO],"")</f>
        <v>3361887.1</v>
      </c>
      <c r="E1430" s="37"/>
      <c r="F1430" s="108" t="str">
        <f>+VLOOKUP(PROVEEDORES[[#This Row],[PROVEEDOR]],TERCEROS_INFO[[PROVEEDOR]:[CORREO]],5,FALSE)</f>
        <v>financiera@nalpicentral.com;girlesa.ruiz@servipilas.com;joriescobar64@gmail.com</v>
      </c>
      <c r="G1430" s="143">
        <v>43901</v>
      </c>
      <c r="H1430" s="38" t="s">
        <v>22</v>
      </c>
      <c r="I1430" s="30">
        <v>43852</v>
      </c>
      <c r="J1430" s="58">
        <v>15523</v>
      </c>
      <c r="K1430" s="32">
        <v>1527226.8907563025</v>
      </c>
      <c r="L1430" s="32"/>
      <c r="M1430" s="33">
        <f>(PROVEEDORES[[#This Row],[SUBTOTAL]]-PROVEEDORES[[#This Row],[descuento antes de IVA]])*VLOOKUP(PROVEEDORES[[#This Row],[PROVEEDOR]],TERCEROS_INFO[#All],3,FALSE)</f>
        <v>290173.10924369749</v>
      </c>
      <c r="N1430" s="34"/>
      <c r="O1430" s="33">
        <f>+PROVEEDORES[[#This Row],[Descuento sobre subtotal %]]*(PROVEEDORES[[#This Row],[SUBTOTAL]]-PROVEEDORES[[#This Row],[descuento antes de IVA]])</f>
        <v>0</v>
      </c>
      <c r="P14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30" s="33">
        <f>+(PROVEEDORES[[#This Row],[SUBTOTAL]]-PROVEEDORES[[#This Row],[descuento antes de IVA]])*PROVEEDORES[[#This Row],[Rete Fuente %]]</f>
        <v>38180.672268907561</v>
      </c>
      <c r="R1430" s="32">
        <f>+PROVEEDORES[[#This Row],[SUBTOTAL]]+PROVEEDORES[[#This Row],[IVA 19%]]-PROVEEDORES[[#This Row],[descuento antes de IVA]]-PROVEEDORES[[#This Row],[Descuento sobre subtotal $]]-PROVEEDORES[[#This Row],[Rete Fuente $]]</f>
        <v>1779219.3277310925</v>
      </c>
      <c r="S143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1" spans="1:19" ht="21.95" hidden="1" customHeight="1" x14ac:dyDescent="0.25">
      <c r="A1431" s="39" t="str">
        <f>+IF(PROVEEDORES[[#This Row],[FECHA DE PAGO]]=PROVEEDORES[[#This Row],[FECHA DE FACTURACIÓN]],"DE CONTADO","CRÉDITO")</f>
        <v>CRÉDITO</v>
      </c>
      <c r="B1431" s="67" t="str">
        <f>+IF((PROVEEDORES[[#This Row],[FECHA DE PAGO]]-PROVEEDORES[[#This Row],[FECHA DE FACTURACIÓN]])&gt;PROVEEDORES[[#This Row],[PLAZO Días]],"PAGO VENCIDO")</f>
        <v>PAGO VENCIDO</v>
      </c>
      <c r="C1431" s="27">
        <f>+VLOOKUP(PROVEEDORES[[#This Row],[PROVEEDOR]],TERCEROS_INFO[#All],2,FALSE)</f>
        <v>30</v>
      </c>
      <c r="D1431" s="37">
        <f>+SUMIFS(PROVEEDORES[Total],PROVEEDORES[PROVEEDOR],PROVEEDORES[[#This Row],[PROVEEDOR]],PROVEEDORES[FECHA DE PAGO],"")</f>
        <v>3361887.1</v>
      </c>
      <c r="E1431" s="37"/>
      <c r="F1431" s="108" t="str">
        <f>+VLOOKUP(PROVEEDORES[[#This Row],[PROVEEDOR]],TERCEROS_INFO[[PROVEEDOR]:[CORREO]],5,FALSE)</f>
        <v>financiera@nalpicentral.com;girlesa.ruiz@servipilas.com;joriescobar64@gmail.com</v>
      </c>
      <c r="G1431" s="143">
        <v>43901</v>
      </c>
      <c r="H1431" s="38" t="s">
        <v>22</v>
      </c>
      <c r="I1431" s="30">
        <v>43854</v>
      </c>
      <c r="J1431" s="58">
        <v>15561</v>
      </c>
      <c r="K1431" s="32">
        <v>75000</v>
      </c>
      <c r="L1431" s="32"/>
      <c r="M1431" s="33">
        <f>(PROVEEDORES[[#This Row],[SUBTOTAL]]-PROVEEDORES[[#This Row],[descuento antes de IVA]])*VLOOKUP(PROVEEDORES[[#This Row],[PROVEEDOR]],TERCEROS_INFO[#All],3,FALSE)</f>
        <v>14250</v>
      </c>
      <c r="N1431" s="34"/>
      <c r="O1431" s="33">
        <f>+PROVEEDORES[[#This Row],[Descuento sobre subtotal %]]*(PROVEEDORES[[#This Row],[SUBTOTAL]]-PROVEEDORES[[#This Row],[descuento antes de IVA]])</f>
        <v>0</v>
      </c>
      <c r="P14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31" s="33">
        <f>+(PROVEEDORES[[#This Row],[SUBTOTAL]]-PROVEEDORES[[#This Row],[descuento antes de IVA]])*PROVEEDORES[[#This Row],[Rete Fuente %]]</f>
        <v>0</v>
      </c>
      <c r="R1431" s="32">
        <f>+PROVEEDORES[[#This Row],[SUBTOTAL]]+PROVEEDORES[[#This Row],[IVA 19%]]-PROVEEDORES[[#This Row],[descuento antes de IVA]]-PROVEEDORES[[#This Row],[Descuento sobre subtotal $]]-PROVEEDORES[[#This Row],[Rete Fuente $]]</f>
        <v>89250</v>
      </c>
      <c r="S143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2" spans="1:19" ht="21.95" hidden="1" customHeight="1" x14ac:dyDescent="0.25">
      <c r="A1432" s="39" t="str">
        <f>+IF(PROVEEDORES[[#This Row],[FECHA DE PAGO]]=PROVEEDORES[[#This Row],[FECHA DE FACTURACIÓN]],"DE CONTADO","CRÉDITO")</f>
        <v>CRÉDITO</v>
      </c>
      <c r="B1432" s="67" t="str">
        <f>+IF((PROVEEDORES[[#This Row],[FECHA DE PAGO]]-PROVEEDORES[[#This Row],[FECHA DE FACTURACIÓN]])&gt;PROVEEDORES[[#This Row],[PLAZO Días]],"PAGO VENCIDO")</f>
        <v>PAGO VENCIDO</v>
      </c>
      <c r="C1432" s="27">
        <f>+VLOOKUP(PROVEEDORES[[#This Row],[PROVEEDOR]],TERCEROS_INFO[#All],2,FALSE)</f>
        <v>30</v>
      </c>
      <c r="D1432" s="37">
        <f>+SUMIFS(PROVEEDORES[Total],PROVEEDORES[PROVEEDOR],PROVEEDORES[[#This Row],[PROVEEDOR]],PROVEEDORES[FECHA DE PAGO],"")</f>
        <v>3361887.1</v>
      </c>
      <c r="E1432" s="37"/>
      <c r="F1432" s="108" t="str">
        <f>+VLOOKUP(PROVEEDORES[[#This Row],[PROVEEDOR]],TERCEROS_INFO[[PROVEEDOR]:[CORREO]],5,FALSE)</f>
        <v>financiera@nalpicentral.com;girlesa.ruiz@servipilas.com;joriescobar64@gmail.com</v>
      </c>
      <c r="G1432" s="143">
        <v>43973</v>
      </c>
      <c r="H1432" s="38" t="s">
        <v>22</v>
      </c>
      <c r="I1432" s="30">
        <v>43872</v>
      </c>
      <c r="J1432" s="58">
        <v>15835</v>
      </c>
      <c r="K1432" s="32">
        <v>1765709.2436974791</v>
      </c>
      <c r="L1432" s="32"/>
      <c r="M1432" s="33">
        <f>(PROVEEDORES[[#This Row],[SUBTOTAL]]-PROVEEDORES[[#This Row],[descuento antes de IVA]])*VLOOKUP(PROVEEDORES[[#This Row],[PROVEEDOR]],TERCEROS_INFO[#All],3,FALSE)</f>
        <v>335484.75630252104</v>
      </c>
      <c r="N1432" s="34"/>
      <c r="O1432" s="33">
        <f>+PROVEEDORES[[#This Row],[Descuento sobre subtotal %]]*(PROVEEDORES[[#This Row],[SUBTOTAL]]-PROVEEDORES[[#This Row],[descuento antes de IVA]])</f>
        <v>0</v>
      </c>
      <c r="P14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32" s="33">
        <f>+(PROVEEDORES[[#This Row],[SUBTOTAL]]-PROVEEDORES[[#This Row],[descuento antes de IVA]])*PROVEEDORES[[#This Row],[Rete Fuente %]]</f>
        <v>44142.731092436981</v>
      </c>
      <c r="R1432" s="32">
        <f>+PROVEEDORES[[#This Row],[SUBTOTAL]]+PROVEEDORES[[#This Row],[IVA 19%]]-PROVEEDORES[[#This Row],[descuento antes de IVA]]-PROVEEDORES[[#This Row],[Descuento sobre subtotal $]]-PROVEEDORES[[#This Row],[Rete Fuente $]]</f>
        <v>2057051.2689075631</v>
      </c>
      <c r="S143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3" spans="1:19" ht="21.95" hidden="1" customHeight="1" x14ac:dyDescent="0.25">
      <c r="A1433" s="39" t="str">
        <f>+IF(PROVEEDORES[[#This Row],[FECHA DE PAGO]]=PROVEEDORES[[#This Row],[FECHA DE FACTURACIÓN]],"DE CONTADO","CRÉDITO")</f>
        <v>CRÉDITO</v>
      </c>
      <c r="B1433" s="67" t="str">
        <f>+IF((PROVEEDORES[[#This Row],[FECHA DE PAGO]]-PROVEEDORES[[#This Row],[FECHA DE FACTURACIÓN]])&gt;PROVEEDORES[[#This Row],[PLAZO Días]],"PAGO VENCIDO")</f>
        <v>PAGO VENCIDO</v>
      </c>
      <c r="C1433" s="27">
        <f>+VLOOKUP(PROVEEDORES[[#This Row],[PROVEEDOR]],TERCEROS_INFO[#All],2,FALSE)</f>
        <v>30</v>
      </c>
      <c r="D1433" s="37">
        <f>+SUMIFS(PROVEEDORES[Total],PROVEEDORES[PROVEEDOR],PROVEEDORES[[#This Row],[PROVEEDOR]],PROVEEDORES[FECHA DE PAGO],"")</f>
        <v>3361887.1</v>
      </c>
      <c r="E1433" s="37"/>
      <c r="F1433" s="108" t="str">
        <f>+VLOOKUP(PROVEEDORES[[#This Row],[PROVEEDOR]],TERCEROS_INFO[[PROVEEDOR]:[CORREO]],5,FALSE)</f>
        <v>financiera@nalpicentral.com;girlesa.ruiz@servipilas.com;joriescobar64@gmail.com</v>
      </c>
      <c r="G1433" s="143">
        <v>43973</v>
      </c>
      <c r="H1433" s="38" t="s">
        <v>22</v>
      </c>
      <c r="I1433" s="30">
        <v>43902</v>
      </c>
      <c r="J1433" s="58">
        <v>16264</v>
      </c>
      <c r="K1433" s="32">
        <v>475000</v>
      </c>
      <c r="L1433" s="32"/>
      <c r="M1433" s="33">
        <f>(PROVEEDORES[[#This Row],[SUBTOTAL]]-PROVEEDORES[[#This Row],[descuento antes de IVA]])*VLOOKUP(PROVEEDORES[[#This Row],[PROVEEDOR]],TERCEROS_INFO[#All],3,FALSE)</f>
        <v>90250</v>
      </c>
      <c r="N1433" s="34"/>
      <c r="O1433" s="33">
        <f>+PROVEEDORES[[#This Row],[Descuento sobre subtotal %]]*(PROVEEDORES[[#This Row],[SUBTOTAL]]-PROVEEDORES[[#This Row],[descuento antes de IVA]])</f>
        <v>0</v>
      </c>
      <c r="P14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33" s="33">
        <f>+(PROVEEDORES[[#This Row],[SUBTOTAL]]-PROVEEDORES[[#This Row],[descuento antes de IVA]])*PROVEEDORES[[#This Row],[Rete Fuente %]]</f>
        <v>0</v>
      </c>
      <c r="R1433" s="32">
        <f>+PROVEEDORES[[#This Row],[SUBTOTAL]]+PROVEEDORES[[#This Row],[IVA 19%]]-PROVEEDORES[[#This Row],[descuento antes de IVA]]-PROVEEDORES[[#This Row],[Descuento sobre subtotal $]]-PROVEEDORES[[#This Row],[Rete Fuente $]]</f>
        <v>565250</v>
      </c>
      <c r="S143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4" spans="1:19" ht="21.95" hidden="1" customHeight="1" x14ac:dyDescent="0.25">
      <c r="A1434" s="39" t="str">
        <f>+IF(PROVEEDORES[[#This Row],[FECHA DE PAGO]]=PROVEEDORES[[#This Row],[FECHA DE FACTURACIÓN]],"DE CONTADO","CRÉDITO")</f>
        <v>CRÉDITO</v>
      </c>
      <c r="B1434" s="67" t="str">
        <f>+IF((PROVEEDORES[[#This Row],[FECHA DE PAGO]]-PROVEEDORES[[#This Row],[FECHA DE FACTURACIÓN]])&gt;PROVEEDORES[[#This Row],[PLAZO Días]],"PAGO VENCIDO")</f>
        <v>PAGO VENCIDO</v>
      </c>
      <c r="C1434" s="27">
        <f>+VLOOKUP(PROVEEDORES[[#This Row],[PROVEEDOR]],TERCEROS_INFO[#All],2,FALSE)</f>
        <v>30</v>
      </c>
      <c r="D1434" s="37">
        <f>+SUMIFS(PROVEEDORES[Total],PROVEEDORES[PROVEEDOR],PROVEEDORES[[#This Row],[PROVEEDOR]],PROVEEDORES[FECHA DE PAGO],"")</f>
        <v>3361887.1</v>
      </c>
      <c r="E1434" s="37"/>
      <c r="F1434" s="108" t="str">
        <f>+VLOOKUP(PROVEEDORES[[#This Row],[PROVEEDOR]],TERCEROS_INFO[[PROVEEDOR]:[CORREO]],5,FALSE)</f>
        <v>financiera@nalpicentral.com;girlesa.ruiz@servipilas.com;joriescobar64@gmail.com</v>
      </c>
      <c r="G1434" s="143">
        <v>44004</v>
      </c>
      <c r="H1434" s="38" t="s">
        <v>22</v>
      </c>
      <c r="I1434" s="30">
        <v>43950</v>
      </c>
      <c r="J1434" s="58">
        <v>16352</v>
      </c>
      <c r="K1434" s="32">
        <v>2165137.8151260507</v>
      </c>
      <c r="L1434" s="32"/>
      <c r="M1434" s="33">
        <f>(PROVEEDORES[[#This Row],[SUBTOTAL]]-PROVEEDORES[[#This Row],[descuento antes de IVA]])*VLOOKUP(PROVEEDORES[[#This Row],[PROVEEDOR]],TERCEROS_INFO[#All],3,FALSE)</f>
        <v>411376.18487394962</v>
      </c>
      <c r="N1434" s="34"/>
      <c r="O1434" s="33">
        <f>+PROVEEDORES[[#This Row],[Descuento sobre subtotal %]]*(PROVEEDORES[[#This Row],[SUBTOTAL]]-PROVEEDORES[[#This Row],[descuento antes de IVA]])</f>
        <v>0</v>
      </c>
      <c r="P14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34" s="33">
        <f>+(PROVEEDORES[[#This Row],[SUBTOTAL]]-PROVEEDORES[[#This Row],[descuento antes de IVA]])*PROVEEDORES[[#This Row],[Rete Fuente %]]</f>
        <v>54128.445378151271</v>
      </c>
      <c r="R1434" s="32">
        <f>+PROVEEDORES[[#This Row],[SUBTOTAL]]+PROVEEDORES[[#This Row],[IVA 19%]]-PROVEEDORES[[#This Row],[descuento antes de IVA]]-PROVEEDORES[[#This Row],[Descuento sobre subtotal $]]-PROVEEDORES[[#This Row],[Rete Fuente $]]</f>
        <v>2522385.5546218492</v>
      </c>
      <c r="S143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5" spans="1:19" ht="21.95" hidden="1" customHeight="1" x14ac:dyDescent="0.25">
      <c r="A1435" s="39" t="str">
        <f>+IF(PROVEEDORES[[#This Row],[FECHA DE PAGO]]=PROVEEDORES[[#This Row],[FECHA DE FACTURACIÓN]],"DE CONTADO","CRÉDITO")</f>
        <v>CRÉDITO</v>
      </c>
      <c r="B1435" s="67" t="str">
        <f>+IF((PROVEEDORES[[#This Row],[FECHA DE PAGO]]-PROVEEDORES[[#This Row],[FECHA DE FACTURACIÓN]])&gt;PROVEEDORES[[#This Row],[PLAZO Días]],"PAGO VENCIDO")</f>
        <v>PAGO VENCIDO</v>
      </c>
      <c r="C1435" s="27">
        <f>+VLOOKUP(PROVEEDORES[[#This Row],[PROVEEDOR]],TERCEROS_INFO[#All],2,FALSE)</f>
        <v>30</v>
      </c>
      <c r="D1435" s="37">
        <f>+SUMIFS(PROVEEDORES[Total],PROVEEDORES[PROVEEDOR],PROVEEDORES[[#This Row],[PROVEEDOR]],PROVEEDORES[FECHA DE PAGO],"")</f>
        <v>3361887.1</v>
      </c>
      <c r="E1435" s="37"/>
      <c r="F1435" s="108" t="str">
        <f>+VLOOKUP(PROVEEDORES[[#This Row],[PROVEEDOR]],TERCEROS_INFO[[PROVEEDOR]:[CORREO]],5,FALSE)</f>
        <v>financiera@nalpicentral.com;girlesa.ruiz@servipilas.com;joriescobar64@gmail.com</v>
      </c>
      <c r="G1435" s="143">
        <v>44004</v>
      </c>
      <c r="H1435" s="38" t="s">
        <v>22</v>
      </c>
      <c r="I1435" s="30">
        <v>43967</v>
      </c>
      <c r="J1435" s="58">
        <v>16439</v>
      </c>
      <c r="K1435" s="32">
        <v>492500</v>
      </c>
      <c r="L1435" s="32"/>
      <c r="M1435" s="33">
        <f>(PROVEEDORES[[#This Row],[SUBTOTAL]]-PROVEEDORES[[#This Row],[descuento antes de IVA]])*VLOOKUP(PROVEEDORES[[#This Row],[PROVEEDOR]],TERCEROS_INFO[#All],3,FALSE)</f>
        <v>93575</v>
      </c>
      <c r="N1435" s="34"/>
      <c r="O1435" s="33">
        <f>+PROVEEDORES[[#This Row],[Descuento sobre subtotal %]]*(PROVEEDORES[[#This Row],[SUBTOTAL]]-PROVEEDORES[[#This Row],[descuento antes de IVA]])</f>
        <v>0</v>
      </c>
      <c r="P14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35" s="33">
        <f>+(PROVEEDORES[[#This Row],[SUBTOTAL]]-PROVEEDORES[[#This Row],[descuento antes de IVA]])*PROVEEDORES[[#This Row],[Rete Fuente %]]</f>
        <v>0</v>
      </c>
      <c r="R1435" s="32">
        <f>+PROVEEDORES[[#This Row],[SUBTOTAL]]+PROVEEDORES[[#This Row],[IVA 19%]]-PROVEEDORES[[#This Row],[descuento antes de IVA]]-PROVEEDORES[[#This Row],[Descuento sobre subtotal $]]-PROVEEDORES[[#This Row],[Rete Fuente $]]</f>
        <v>586075</v>
      </c>
      <c r="S143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6" spans="1:19" ht="21.95" hidden="1" customHeight="1" x14ac:dyDescent="0.25">
      <c r="A1436" s="39" t="str">
        <f>+IF(PROVEEDORES[[#This Row],[FECHA DE PAGO]]=PROVEEDORES[[#This Row],[FECHA DE FACTURACIÓN]],"DE CONTADO","CRÉDITO")</f>
        <v>CRÉDITO</v>
      </c>
      <c r="B1436" s="67" t="b">
        <f>+IF((PROVEEDORES[[#This Row],[FECHA DE PAGO]]-PROVEEDORES[[#This Row],[FECHA DE FACTURACIÓN]])&gt;PROVEEDORES[[#This Row],[PLAZO Días]],"PAGO VENCIDO")</f>
        <v>0</v>
      </c>
      <c r="C1436" s="27">
        <f>+VLOOKUP(PROVEEDORES[[#This Row],[PROVEEDOR]],TERCEROS_INFO[#All],2,FALSE)</f>
        <v>30</v>
      </c>
      <c r="D1436" s="37">
        <f>+SUMIFS(PROVEEDORES[Total],PROVEEDORES[PROVEEDOR],PROVEEDORES[[#This Row],[PROVEEDOR]],PROVEEDORES[FECHA DE PAGO],"")</f>
        <v>3361887.1</v>
      </c>
      <c r="E1436" s="37"/>
      <c r="F1436" s="108" t="str">
        <f>+VLOOKUP(PROVEEDORES[[#This Row],[PROVEEDOR]],TERCEROS_INFO[[PROVEEDOR]:[CORREO]],5,FALSE)</f>
        <v>financiera@nalpicentral.com;girlesa.ruiz@servipilas.com;joriescobar64@gmail.com</v>
      </c>
      <c r="G1436" s="143">
        <v>43994</v>
      </c>
      <c r="H1436" s="38" t="s">
        <v>22</v>
      </c>
      <c r="I1436" s="30">
        <v>43980</v>
      </c>
      <c r="J1436" s="58">
        <v>16515</v>
      </c>
      <c r="K1436" s="32">
        <v>1674075.630252101</v>
      </c>
      <c r="L1436" s="32"/>
      <c r="M1436" s="33">
        <f>(PROVEEDORES[[#This Row],[SUBTOTAL]]-PROVEEDORES[[#This Row],[descuento antes de IVA]])*VLOOKUP(PROVEEDORES[[#This Row],[PROVEEDOR]],TERCEROS_INFO[#All],3,FALSE)</f>
        <v>318074.36974789918</v>
      </c>
      <c r="N1436" s="34">
        <v>5.1072961373390555E-2</v>
      </c>
      <c r="O1436" s="33">
        <f>+PROVEEDORES[[#This Row],[Descuento sobre subtotal %]]*(PROVEEDORES[[#This Row],[SUBTOTAL]]-PROVEEDORES[[#This Row],[descuento antes de IVA]])</f>
        <v>85500</v>
      </c>
      <c r="P14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36" s="33">
        <f>+(PROVEEDORES[[#This Row],[SUBTOTAL]]-PROVEEDORES[[#This Row],[descuento antes de IVA]])*PROVEEDORES[[#This Row],[Rete Fuente %]]</f>
        <v>41851.890756302528</v>
      </c>
      <c r="R1436" s="32">
        <f>+PROVEEDORES[[#This Row],[SUBTOTAL]]+PROVEEDORES[[#This Row],[IVA 19%]]-PROVEEDORES[[#This Row],[descuento antes de IVA]]-PROVEEDORES[[#This Row],[Descuento sobre subtotal $]]-PROVEEDORES[[#This Row],[Rete Fuente $]]</f>
        <v>1864798.1092436977</v>
      </c>
      <c r="S143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7" spans="1:19" ht="21.95" hidden="1" customHeight="1" x14ac:dyDescent="0.25">
      <c r="A1437" s="39" t="str">
        <f>+IF(PROVEEDORES[[#This Row],[FECHA DE PAGO]]=PROVEEDORES[[#This Row],[FECHA DE FACTURACIÓN]],"DE CONTADO","CRÉDITO")</f>
        <v>CRÉDITO</v>
      </c>
      <c r="B1437" s="67" t="b">
        <f>+IF((PROVEEDORES[[#This Row],[FECHA DE PAGO]]-PROVEEDORES[[#This Row],[FECHA DE FACTURACIÓN]])&gt;PROVEEDORES[[#This Row],[PLAZO Días]],"PAGO VENCIDO")</f>
        <v>0</v>
      </c>
      <c r="C1437" s="27">
        <f>+VLOOKUP(PROVEEDORES[[#This Row],[PROVEEDOR]],TERCEROS_INFO[#All],2,FALSE)</f>
        <v>30</v>
      </c>
      <c r="D1437" s="37">
        <f>+SUMIFS(PROVEEDORES[Total],PROVEEDORES[PROVEEDOR],PROVEEDORES[[#This Row],[PROVEEDOR]],PROVEEDORES[FECHA DE PAGO],"")</f>
        <v>3361887.1</v>
      </c>
      <c r="E1437" s="37"/>
      <c r="F1437" s="108" t="str">
        <f>+VLOOKUP(PROVEEDORES[[#This Row],[PROVEEDOR]],TERCEROS_INFO[[PROVEEDOR]:[CORREO]],5,FALSE)</f>
        <v>financiera@nalpicentral.com;girlesa.ruiz@servipilas.com;joriescobar64@gmail.com</v>
      </c>
      <c r="G1437" s="143">
        <v>44013</v>
      </c>
      <c r="H1437" s="38" t="s">
        <v>22</v>
      </c>
      <c r="I1437" s="30">
        <v>44000</v>
      </c>
      <c r="J1437" s="58">
        <v>16708</v>
      </c>
      <c r="K1437" s="32">
        <v>1671941.1764705882</v>
      </c>
      <c r="L1437" s="32"/>
      <c r="M1437" s="33">
        <f>(PROVEEDORES[[#This Row],[SUBTOTAL]]-PROVEEDORES[[#This Row],[descuento antes de IVA]])*VLOOKUP(PROVEEDORES[[#This Row],[PROVEEDOR]],TERCEROS_INFO[#All],3,FALSE)</f>
        <v>317668.82352941175</v>
      </c>
      <c r="N1437" s="34"/>
      <c r="O1437" s="33">
        <f>+PROVEEDORES[[#This Row],[Descuento sobre subtotal %]]*(PROVEEDORES[[#This Row],[SUBTOTAL]]-PROVEEDORES[[#This Row],[descuento antes de IVA]])</f>
        <v>0</v>
      </c>
      <c r="P14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37" s="33">
        <f>+(PROVEEDORES[[#This Row],[SUBTOTAL]]-PROVEEDORES[[#This Row],[descuento antes de IVA]])*PROVEEDORES[[#This Row],[Rete Fuente %]]</f>
        <v>41798.529411764706</v>
      </c>
      <c r="R1437" s="32">
        <f>+PROVEEDORES[[#This Row],[SUBTOTAL]]+PROVEEDORES[[#This Row],[IVA 19%]]-PROVEEDORES[[#This Row],[descuento antes de IVA]]-PROVEEDORES[[#This Row],[Descuento sobre subtotal $]]-PROVEEDORES[[#This Row],[Rete Fuente $]]</f>
        <v>1947811.4705882352</v>
      </c>
      <c r="S143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8" spans="1:19" ht="21.95" hidden="1" customHeight="1" x14ac:dyDescent="0.25">
      <c r="A1438" s="39" t="str">
        <f>+IF(PROVEEDORES[[#This Row],[FECHA DE PAGO]]=PROVEEDORES[[#This Row],[FECHA DE FACTURACIÓN]],"DE CONTADO","CRÉDITO")</f>
        <v>CRÉDITO</v>
      </c>
      <c r="B1438" s="67" t="str">
        <f>+IF((PROVEEDORES[[#This Row],[FECHA DE PAGO]]-PROVEEDORES[[#This Row],[FECHA DE FACTURACIÓN]])&gt;PROVEEDORES[[#This Row],[PLAZO Días]],"PAGO VENCIDO")</f>
        <v>PAGO VENCIDO</v>
      </c>
      <c r="C1438" s="27">
        <f>+VLOOKUP(PROVEEDORES[[#This Row],[PROVEEDOR]],TERCEROS_INFO[#All],2,FALSE)</f>
        <v>30</v>
      </c>
      <c r="D1438" s="37">
        <f>+SUMIFS(PROVEEDORES[Total],PROVEEDORES[PROVEEDOR],PROVEEDORES[[#This Row],[PROVEEDOR]],PROVEEDORES[FECHA DE PAGO],"")</f>
        <v>3361887.1</v>
      </c>
      <c r="E1438" s="37"/>
      <c r="F1438" s="108" t="str">
        <f>+VLOOKUP(PROVEEDORES[[#This Row],[PROVEEDOR]],TERCEROS_INFO[[PROVEEDOR]:[CORREO]],5,FALSE)</f>
        <v>financiera@nalpicentral.com;girlesa.ruiz@servipilas.com;joriescobar64@gmail.com</v>
      </c>
      <c r="G1438" s="143">
        <v>44068</v>
      </c>
      <c r="H1438" s="38" t="s">
        <v>22</v>
      </c>
      <c r="I1438" s="30">
        <v>44020</v>
      </c>
      <c r="J1438" s="58">
        <v>16929</v>
      </c>
      <c r="K1438" s="32">
        <v>1104302.5210084035</v>
      </c>
      <c r="L1438" s="32"/>
      <c r="M1438" s="33">
        <f>(PROVEEDORES[[#This Row],[SUBTOTAL]]-PROVEEDORES[[#This Row],[descuento antes de IVA]])*VLOOKUP(PROVEEDORES[[#This Row],[PROVEEDOR]],TERCEROS_INFO[#All],3,FALSE)</f>
        <v>209817.47899159667</v>
      </c>
      <c r="N1438" s="34"/>
      <c r="O1438" s="33">
        <f>+PROVEEDORES[[#This Row],[Descuento sobre subtotal %]]*(PROVEEDORES[[#This Row],[SUBTOTAL]]-PROVEEDORES[[#This Row],[descuento antes de IVA]])</f>
        <v>0</v>
      </c>
      <c r="P14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38" s="33">
        <f>+(PROVEEDORES[[#This Row],[SUBTOTAL]]-PROVEEDORES[[#This Row],[descuento antes de IVA]])*PROVEEDORES[[#This Row],[Rete Fuente %]]</f>
        <v>27607.563025210089</v>
      </c>
      <c r="R1438" s="32">
        <f>+PROVEEDORES[[#This Row],[SUBTOTAL]]+PROVEEDORES[[#This Row],[IVA 19%]]-PROVEEDORES[[#This Row],[descuento antes de IVA]]-PROVEEDORES[[#This Row],[Descuento sobre subtotal $]]-PROVEEDORES[[#This Row],[Rete Fuente $]]</f>
        <v>1286512.4369747902</v>
      </c>
      <c r="S143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39" spans="1:19" ht="21.95" hidden="1" customHeight="1" x14ac:dyDescent="0.25">
      <c r="A1439" s="39" t="str">
        <f>+IF(PROVEEDORES[[#This Row],[FECHA DE PAGO]]=PROVEEDORES[[#This Row],[FECHA DE FACTURACIÓN]],"DE CONTADO","CRÉDITO")</f>
        <v>DE CONTADO</v>
      </c>
      <c r="B1439" s="67" t="b">
        <f>+IF((PROVEEDORES[[#This Row],[FECHA DE PAGO]]-PROVEEDORES[[#This Row],[FECHA DE FACTURACIÓN]])&gt;PROVEEDORES[[#This Row],[PLAZO Días]],"PAGO VENCIDO")</f>
        <v>0</v>
      </c>
      <c r="C1439" s="27">
        <f>+VLOOKUP(PROVEEDORES[[#This Row],[PROVEEDOR]],TERCEROS_INFO[#All],2,FALSE)</f>
        <v>30</v>
      </c>
      <c r="D1439" s="37">
        <f>+SUMIFS(PROVEEDORES[Total],PROVEEDORES[PROVEEDOR],PROVEEDORES[[#This Row],[PROVEEDOR]],PROVEEDORES[FECHA DE PAGO],"")</f>
        <v>3361887.1</v>
      </c>
      <c r="E1439" s="37"/>
      <c r="F1439" s="108" t="str">
        <f>+VLOOKUP(PROVEEDORES[[#This Row],[PROVEEDOR]],TERCEROS_INFO[[PROVEEDOR]:[CORREO]],5,FALSE)</f>
        <v>financiera@nalpicentral.com;girlesa.ruiz@servipilas.com;joriescobar64@gmail.com</v>
      </c>
      <c r="G1439" s="143">
        <v>44040</v>
      </c>
      <c r="H1439" s="38" t="s">
        <v>22</v>
      </c>
      <c r="I1439" s="30">
        <v>44040</v>
      </c>
      <c r="J1439" s="58">
        <v>17090</v>
      </c>
      <c r="K1439" s="32">
        <v>108000</v>
      </c>
      <c r="L1439" s="32"/>
      <c r="M1439" s="33">
        <f>(PROVEEDORES[[#This Row],[SUBTOTAL]]-PROVEEDORES[[#This Row],[descuento antes de IVA]])*VLOOKUP(PROVEEDORES[[#This Row],[PROVEEDOR]],TERCEROS_INFO[#All],3,FALSE)</f>
        <v>20520</v>
      </c>
      <c r="N1439" s="34"/>
      <c r="O1439" s="33">
        <f>+PROVEEDORES[[#This Row],[Descuento sobre subtotal %]]*(PROVEEDORES[[#This Row],[SUBTOTAL]]-PROVEEDORES[[#This Row],[descuento antes de IVA]])</f>
        <v>0</v>
      </c>
      <c r="P14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39" s="33">
        <f>+(PROVEEDORES[[#This Row],[SUBTOTAL]]-PROVEEDORES[[#This Row],[descuento antes de IVA]])*PROVEEDORES[[#This Row],[Rete Fuente %]]</f>
        <v>0</v>
      </c>
      <c r="R1439" s="32">
        <f>+PROVEEDORES[[#This Row],[SUBTOTAL]]+PROVEEDORES[[#This Row],[IVA 19%]]-PROVEEDORES[[#This Row],[descuento antes de IVA]]-PROVEEDORES[[#This Row],[Descuento sobre subtotal $]]-PROVEEDORES[[#This Row],[Rete Fuente $]]</f>
        <v>128520</v>
      </c>
      <c r="S143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0" spans="1:19" ht="21.95" hidden="1" customHeight="1" x14ac:dyDescent="0.25">
      <c r="A1440" s="39" t="str">
        <f>+IF(PROVEEDORES[[#This Row],[FECHA DE PAGO]]=PROVEEDORES[[#This Row],[FECHA DE FACTURACIÓN]],"DE CONTADO","CRÉDITO")</f>
        <v>CRÉDITO</v>
      </c>
      <c r="B1440" s="67" t="str">
        <f>+IF((PROVEEDORES[[#This Row],[FECHA DE PAGO]]-PROVEEDORES[[#This Row],[FECHA DE FACTURACIÓN]])&gt;PROVEEDORES[[#This Row],[PLAZO Días]],"PAGO VENCIDO")</f>
        <v>PAGO VENCIDO</v>
      </c>
      <c r="C1440" s="27">
        <f>+VLOOKUP(PROVEEDORES[[#This Row],[PROVEEDOR]],TERCEROS_INFO[#All],2,FALSE)</f>
        <v>30</v>
      </c>
      <c r="D1440" s="37">
        <f>+SUMIFS(PROVEEDORES[Total],PROVEEDORES[PROVEEDOR],PROVEEDORES[[#This Row],[PROVEEDOR]],PROVEEDORES[FECHA DE PAGO],"")</f>
        <v>3361887.1</v>
      </c>
      <c r="E1440" s="37"/>
      <c r="F1440" s="108" t="str">
        <f>+VLOOKUP(PROVEEDORES[[#This Row],[PROVEEDOR]],TERCEROS_INFO[[PROVEEDOR]:[CORREO]],5,FALSE)</f>
        <v>financiera@nalpicentral.com;girlesa.ruiz@servipilas.com;joriescobar64@gmail.com</v>
      </c>
      <c r="G1440" s="143">
        <v>44110</v>
      </c>
      <c r="H1440" s="38" t="s">
        <v>22</v>
      </c>
      <c r="I1440" s="30">
        <v>44047</v>
      </c>
      <c r="J1440" s="58">
        <v>17178</v>
      </c>
      <c r="K1440" s="32">
        <v>1233529.411764706</v>
      </c>
      <c r="L1440" s="32"/>
      <c r="M1440" s="33">
        <f>(PROVEEDORES[[#This Row],[SUBTOTAL]]-PROVEEDORES[[#This Row],[descuento antes de IVA]])*VLOOKUP(PROVEEDORES[[#This Row],[PROVEEDOR]],TERCEROS_INFO[#All],3,FALSE)</f>
        <v>234370.58823529416</v>
      </c>
      <c r="N1440" s="34"/>
      <c r="O1440" s="33">
        <f>+PROVEEDORES[[#This Row],[Descuento sobre subtotal %]]*(PROVEEDORES[[#This Row],[SUBTOTAL]]-PROVEEDORES[[#This Row],[descuento antes de IVA]])</f>
        <v>0</v>
      </c>
      <c r="P14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40" s="33">
        <f>+(PROVEEDORES[[#This Row],[SUBTOTAL]]-PROVEEDORES[[#This Row],[descuento antes de IVA]])*PROVEEDORES[[#This Row],[Rete Fuente %]]</f>
        <v>30838.23529411765</v>
      </c>
      <c r="R1440" s="32">
        <f>+PROVEEDORES[[#This Row],[SUBTOTAL]]+PROVEEDORES[[#This Row],[IVA 19%]]-PROVEEDORES[[#This Row],[descuento antes de IVA]]-PROVEEDORES[[#This Row],[Descuento sobre subtotal $]]-PROVEEDORES[[#This Row],[Rete Fuente $]]</f>
        <v>1437061.7647058826</v>
      </c>
      <c r="S14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1" spans="1:19" ht="21.95" hidden="1" customHeight="1" x14ac:dyDescent="0.25">
      <c r="A1441" s="39" t="str">
        <f>+IF(PROVEEDORES[[#This Row],[FECHA DE PAGO]]=PROVEEDORES[[#This Row],[FECHA DE FACTURACIÓN]],"DE CONTADO","CRÉDITO")</f>
        <v>CRÉDITO</v>
      </c>
      <c r="B1441" s="67" t="str">
        <f>+IF((PROVEEDORES[[#This Row],[FECHA DE PAGO]]-PROVEEDORES[[#This Row],[FECHA DE FACTURACIÓN]])&gt;PROVEEDORES[[#This Row],[PLAZO Días]],"PAGO VENCIDO")</f>
        <v>PAGO VENCIDO</v>
      </c>
      <c r="C1441" s="27">
        <f>+VLOOKUP(PROVEEDORES[[#This Row],[PROVEEDOR]],TERCEROS_INFO[#All],2,FALSE)</f>
        <v>30</v>
      </c>
      <c r="D1441" s="37">
        <f>+SUMIFS(PROVEEDORES[Total],PROVEEDORES[PROVEEDOR],PROVEEDORES[[#This Row],[PROVEEDOR]],PROVEEDORES[FECHA DE PAGO],"")</f>
        <v>3361887.1</v>
      </c>
      <c r="E1441" s="37"/>
      <c r="F1441" s="108" t="str">
        <f>+VLOOKUP(PROVEEDORES[[#This Row],[PROVEEDOR]],TERCEROS_INFO[[PROVEEDOR]:[CORREO]],5,FALSE)</f>
        <v>financiera@nalpicentral.com;girlesa.ruiz@servipilas.com;joriescobar64@gmail.com</v>
      </c>
      <c r="G1441" s="143">
        <v>44110</v>
      </c>
      <c r="H1441" s="38" t="s">
        <v>22</v>
      </c>
      <c r="I1441" s="30">
        <v>44074</v>
      </c>
      <c r="J1441" s="58">
        <v>17509</v>
      </c>
      <c r="K1441" s="32">
        <v>920252.10084033618</v>
      </c>
      <c r="L1441" s="32"/>
      <c r="M1441" s="33">
        <f>(PROVEEDORES[[#This Row],[SUBTOTAL]]-PROVEEDORES[[#This Row],[descuento antes de IVA]])*VLOOKUP(PROVEEDORES[[#This Row],[PROVEEDOR]],TERCEROS_INFO[#All],3,FALSE)</f>
        <v>174847.89915966388</v>
      </c>
      <c r="N1441" s="34"/>
      <c r="O1441" s="33">
        <f>+PROVEEDORES[[#This Row],[Descuento sobre subtotal %]]*(PROVEEDORES[[#This Row],[SUBTOTAL]]-PROVEEDORES[[#This Row],[descuento antes de IVA]])</f>
        <v>0</v>
      </c>
      <c r="P14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41" s="33">
        <f>+(PROVEEDORES[[#This Row],[SUBTOTAL]]-PROVEEDORES[[#This Row],[descuento antes de IVA]])*PROVEEDORES[[#This Row],[Rete Fuente %]]</f>
        <v>0</v>
      </c>
      <c r="R1441" s="32">
        <f>+PROVEEDORES[[#This Row],[SUBTOTAL]]+PROVEEDORES[[#This Row],[IVA 19%]]-PROVEEDORES[[#This Row],[descuento antes de IVA]]-PROVEEDORES[[#This Row],[Descuento sobre subtotal $]]-PROVEEDORES[[#This Row],[Rete Fuente $]]</f>
        <v>1095100</v>
      </c>
      <c r="S14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2" spans="1:19" ht="21.95" hidden="1" customHeight="1" x14ac:dyDescent="0.25">
      <c r="A1442" s="39" t="str">
        <f>+IF(PROVEEDORES[[#This Row],[FECHA DE PAGO]]=PROVEEDORES[[#This Row],[FECHA DE FACTURACIÓN]],"DE CONTADO","CRÉDITO")</f>
        <v>CRÉDITO</v>
      </c>
      <c r="B1442" s="67" t="str">
        <f>+IF((PROVEEDORES[[#This Row],[FECHA DE PAGO]]-PROVEEDORES[[#This Row],[FECHA DE FACTURACIÓN]])&gt;PROVEEDORES[[#This Row],[PLAZO Días]],"PAGO VENCIDO")</f>
        <v>PAGO VENCIDO</v>
      </c>
      <c r="C1442" s="27">
        <f>+VLOOKUP(PROVEEDORES[[#This Row],[PROVEEDOR]],TERCEROS_INFO[#All],2,FALSE)</f>
        <v>30</v>
      </c>
      <c r="D1442" s="37">
        <f>+SUMIFS(PROVEEDORES[Total],PROVEEDORES[PROVEEDOR],PROVEEDORES[[#This Row],[PROVEEDOR]],PROVEEDORES[FECHA DE PAGO],"")</f>
        <v>3361887.1</v>
      </c>
      <c r="E1442" s="37"/>
      <c r="F1442" s="108" t="str">
        <f>+VLOOKUP(PROVEEDORES[[#This Row],[PROVEEDOR]],TERCEROS_INFO[[PROVEEDOR]:[CORREO]],5,FALSE)</f>
        <v>financiera@nalpicentral.com;girlesa.ruiz@servipilas.com;joriescobar64@gmail.com</v>
      </c>
      <c r="G1442" s="143">
        <v>44158</v>
      </c>
      <c r="H1442" s="38" t="s">
        <v>22</v>
      </c>
      <c r="I1442" s="30">
        <v>44095</v>
      </c>
      <c r="J1442" s="58">
        <v>17780</v>
      </c>
      <c r="K1442" s="32">
        <v>384000</v>
      </c>
      <c r="L1442" s="32"/>
      <c r="M1442" s="33">
        <f>(PROVEEDORES[[#This Row],[SUBTOTAL]]-PROVEEDORES[[#This Row],[descuento antes de IVA]])*VLOOKUP(PROVEEDORES[[#This Row],[PROVEEDOR]],TERCEROS_INFO[#All],3,FALSE)</f>
        <v>72960</v>
      </c>
      <c r="N1442" s="34"/>
      <c r="O1442" s="33">
        <f>+PROVEEDORES[[#This Row],[Descuento sobre subtotal %]]*(PROVEEDORES[[#This Row],[SUBTOTAL]]-PROVEEDORES[[#This Row],[descuento antes de IVA]])</f>
        <v>0</v>
      </c>
      <c r="P14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42" s="33">
        <f>+(PROVEEDORES[[#This Row],[SUBTOTAL]]-PROVEEDORES[[#This Row],[descuento antes de IVA]])*PROVEEDORES[[#This Row],[Rete Fuente %]]</f>
        <v>0</v>
      </c>
      <c r="R1442" s="32">
        <f>+PROVEEDORES[[#This Row],[SUBTOTAL]]+PROVEEDORES[[#This Row],[IVA 19%]]-PROVEEDORES[[#This Row],[descuento antes de IVA]]-PROVEEDORES[[#This Row],[Descuento sobre subtotal $]]-PROVEEDORES[[#This Row],[Rete Fuente $]]</f>
        <v>456960</v>
      </c>
      <c r="S14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3" spans="1:19" ht="21.95" hidden="1" customHeight="1" x14ac:dyDescent="0.25">
      <c r="A1443" s="39" t="str">
        <f>+IF(PROVEEDORES[[#This Row],[FECHA DE PAGO]]=PROVEEDORES[[#This Row],[FECHA DE FACTURACIÓN]],"DE CONTADO","CRÉDITO")</f>
        <v>CRÉDITO</v>
      </c>
      <c r="B1443" s="67" t="str">
        <f>+IF((PROVEEDORES[[#This Row],[FECHA DE PAGO]]-PROVEEDORES[[#This Row],[FECHA DE FACTURACIÓN]])&gt;PROVEEDORES[[#This Row],[PLAZO Días]],"PAGO VENCIDO")</f>
        <v>PAGO VENCIDO</v>
      </c>
      <c r="C1443" s="27">
        <f>+VLOOKUP(PROVEEDORES[[#This Row],[PROVEEDOR]],TERCEROS_INFO[#All],2,FALSE)</f>
        <v>30</v>
      </c>
      <c r="D1443" s="37">
        <f>+SUMIFS(PROVEEDORES[Total],PROVEEDORES[PROVEEDOR],PROVEEDORES[[#This Row],[PROVEEDOR]],PROVEEDORES[FECHA DE PAGO],"")</f>
        <v>3361887.1</v>
      </c>
      <c r="E1443" s="37"/>
      <c r="F1443" s="108" t="str">
        <f>+VLOOKUP(PROVEEDORES[[#This Row],[PROVEEDOR]],TERCEROS_INFO[[PROVEEDOR]:[CORREO]],5,FALSE)</f>
        <v>financiera@nalpicentral.com;girlesa.ruiz@servipilas.com;joriescobar64@gmail.com</v>
      </c>
      <c r="G1443" s="143">
        <v>44158</v>
      </c>
      <c r="H1443" s="38" t="s">
        <v>22</v>
      </c>
      <c r="I1443" s="30">
        <v>44102</v>
      </c>
      <c r="J1443" s="58">
        <v>17865</v>
      </c>
      <c r="K1443" s="32">
        <v>324000</v>
      </c>
      <c r="L1443" s="32"/>
      <c r="M1443" s="33">
        <f>(PROVEEDORES[[#This Row],[SUBTOTAL]]-PROVEEDORES[[#This Row],[descuento antes de IVA]])*VLOOKUP(PROVEEDORES[[#This Row],[PROVEEDOR]],TERCEROS_INFO[#All],3,FALSE)</f>
        <v>61560</v>
      </c>
      <c r="N1443" s="34"/>
      <c r="O1443" s="33">
        <f>+PROVEEDORES[[#This Row],[Descuento sobre subtotal %]]*(PROVEEDORES[[#This Row],[SUBTOTAL]]-PROVEEDORES[[#This Row],[descuento antes de IVA]])</f>
        <v>0</v>
      </c>
      <c r="P14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43" s="33">
        <f>+(PROVEEDORES[[#This Row],[SUBTOTAL]]-PROVEEDORES[[#This Row],[descuento antes de IVA]])*PROVEEDORES[[#This Row],[Rete Fuente %]]</f>
        <v>0</v>
      </c>
      <c r="R1443" s="32">
        <f>+PROVEEDORES[[#This Row],[SUBTOTAL]]+PROVEEDORES[[#This Row],[IVA 19%]]-PROVEEDORES[[#This Row],[descuento antes de IVA]]-PROVEEDORES[[#This Row],[Descuento sobre subtotal $]]-PROVEEDORES[[#This Row],[Rete Fuente $]]</f>
        <v>385560</v>
      </c>
      <c r="S14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4" spans="1:19" ht="21.95" hidden="1" customHeight="1" x14ac:dyDescent="0.25">
      <c r="A1444" s="39" t="str">
        <f>+IF(PROVEEDORES[[#This Row],[FECHA DE PAGO]]=PROVEEDORES[[#This Row],[FECHA DE FACTURACIÓN]],"DE CONTADO","CRÉDITO")</f>
        <v>CRÉDITO</v>
      </c>
      <c r="B1444" s="67" t="str">
        <f>+IF((PROVEEDORES[[#This Row],[FECHA DE PAGO]]-PROVEEDORES[[#This Row],[FECHA DE FACTURACIÓN]])&gt;PROVEEDORES[[#This Row],[PLAZO Días]],"PAGO VENCIDO")</f>
        <v>PAGO VENCIDO</v>
      </c>
      <c r="C1444" s="27">
        <f>+VLOOKUP(PROVEEDORES[[#This Row],[PROVEEDOR]],TERCEROS_INFO[#All],2,FALSE)</f>
        <v>30</v>
      </c>
      <c r="D1444" s="37">
        <f>+SUMIFS(PROVEEDORES[Total],PROVEEDORES[PROVEEDOR],PROVEEDORES[[#This Row],[PROVEEDOR]],PROVEEDORES[FECHA DE PAGO],"")</f>
        <v>3361887.1</v>
      </c>
      <c r="E1444" s="37"/>
      <c r="F1444" s="108" t="str">
        <f>+VLOOKUP(PROVEEDORES[[#This Row],[PROVEEDOR]],TERCEROS_INFO[[PROVEEDOR]:[CORREO]],5,FALSE)</f>
        <v>financiera@nalpicentral.com;girlesa.ruiz@servipilas.com;joriescobar64@gmail.com</v>
      </c>
      <c r="G1444" s="143">
        <v>44180</v>
      </c>
      <c r="H1444" s="38" t="s">
        <v>22</v>
      </c>
      <c r="I1444" s="30">
        <v>44119</v>
      </c>
      <c r="J1444" s="58">
        <v>18106</v>
      </c>
      <c r="K1444" s="32">
        <v>788000</v>
      </c>
      <c r="L1444" s="32"/>
      <c r="M1444" s="33">
        <f>(PROVEEDORES[[#This Row],[SUBTOTAL]]-PROVEEDORES[[#This Row],[descuento antes de IVA]])*VLOOKUP(PROVEEDORES[[#This Row],[PROVEEDOR]],TERCEROS_INFO[#All],3,FALSE)</f>
        <v>149720</v>
      </c>
      <c r="N1444" s="34"/>
      <c r="O1444" s="33">
        <f>+PROVEEDORES[[#This Row],[Descuento sobre subtotal %]]*(PROVEEDORES[[#This Row],[SUBTOTAL]]-PROVEEDORES[[#This Row],[descuento antes de IVA]])</f>
        <v>0</v>
      </c>
      <c r="P14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44" s="33">
        <f>+(PROVEEDORES[[#This Row],[SUBTOTAL]]-PROVEEDORES[[#This Row],[descuento antes de IVA]])*PROVEEDORES[[#This Row],[Rete Fuente %]]</f>
        <v>0</v>
      </c>
      <c r="R1444" s="32">
        <f>+PROVEEDORES[[#This Row],[SUBTOTAL]]+PROVEEDORES[[#This Row],[IVA 19%]]-PROVEEDORES[[#This Row],[descuento antes de IVA]]-PROVEEDORES[[#This Row],[Descuento sobre subtotal $]]-PROVEEDORES[[#This Row],[Rete Fuente $]]</f>
        <v>937720</v>
      </c>
      <c r="S14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5" spans="1:19" ht="21.95" hidden="1" customHeight="1" x14ac:dyDescent="0.25">
      <c r="A1445" s="39" t="str">
        <f>+IF(PROVEEDORES[[#This Row],[FECHA DE PAGO]]=PROVEEDORES[[#This Row],[FECHA DE FACTURACIÓN]],"DE CONTADO","CRÉDITO")</f>
        <v>CRÉDITO</v>
      </c>
      <c r="B1445" s="67" t="str">
        <f>+IF((PROVEEDORES[[#This Row],[FECHA DE PAGO]]-PROVEEDORES[[#This Row],[FECHA DE FACTURACIÓN]])&gt;PROVEEDORES[[#This Row],[PLAZO Días]],"PAGO VENCIDO")</f>
        <v>PAGO VENCIDO</v>
      </c>
      <c r="C1445" s="27">
        <f>+VLOOKUP(PROVEEDORES[[#This Row],[PROVEEDOR]],TERCEROS_INFO[#All],2,FALSE)</f>
        <v>30</v>
      </c>
      <c r="D1445" s="37">
        <f>+SUMIFS(PROVEEDORES[Total],PROVEEDORES[PROVEEDOR],PROVEEDORES[[#This Row],[PROVEEDOR]],PROVEEDORES[FECHA DE PAGO],"")</f>
        <v>3361887.1</v>
      </c>
      <c r="E1445" s="37"/>
      <c r="F1445" s="108" t="str">
        <f>+VLOOKUP(PROVEEDORES[[#This Row],[PROVEEDOR]],TERCEROS_INFO[[PROVEEDOR]:[CORREO]],5,FALSE)</f>
        <v>financiera@nalpicentral.com;girlesa.ruiz@servipilas.com;joriescobar64@gmail.com</v>
      </c>
      <c r="G1445" s="143">
        <v>44208</v>
      </c>
      <c r="H1445" s="38" t="s">
        <v>22</v>
      </c>
      <c r="I1445" s="30">
        <v>44141</v>
      </c>
      <c r="J1445" s="58">
        <v>18451</v>
      </c>
      <c r="K1445" s="32">
        <v>3219863.8655462186</v>
      </c>
      <c r="L1445" s="32"/>
      <c r="M1445" s="33">
        <f>(PROVEEDORES[[#This Row],[SUBTOTAL]]-PROVEEDORES[[#This Row],[descuento antes de IVA]])*VLOOKUP(PROVEEDORES[[#This Row],[PROVEEDOR]],TERCEROS_INFO[#All],3,FALSE)</f>
        <v>611774.13445378153</v>
      </c>
      <c r="N1445" s="34"/>
      <c r="O1445" s="33">
        <f>+PROVEEDORES[[#This Row],[Descuento sobre subtotal %]]*(PROVEEDORES[[#This Row],[SUBTOTAL]]-PROVEEDORES[[#This Row],[descuento antes de IVA]])</f>
        <v>0</v>
      </c>
      <c r="P14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45" s="33">
        <f>+(PROVEEDORES[[#This Row],[SUBTOTAL]]-PROVEEDORES[[#This Row],[descuento antes de IVA]])*PROVEEDORES[[#This Row],[Rete Fuente %]]</f>
        <v>80496.596638655465</v>
      </c>
      <c r="R1445" s="32">
        <f>+PROVEEDORES[[#This Row],[SUBTOTAL]]+PROVEEDORES[[#This Row],[IVA 19%]]-PROVEEDORES[[#This Row],[descuento antes de IVA]]-PROVEEDORES[[#This Row],[Descuento sobre subtotal $]]-PROVEEDORES[[#This Row],[Rete Fuente $]]</f>
        <v>3751141.4033613447</v>
      </c>
      <c r="S14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6" spans="1:19" ht="21.95" hidden="1" customHeight="1" x14ac:dyDescent="0.25">
      <c r="A1446" s="39" t="str">
        <f>+IF(PROVEEDORES[[#This Row],[FECHA DE PAGO]]=PROVEEDORES[[#This Row],[FECHA DE FACTURACIÓN]],"DE CONTADO","CRÉDITO")</f>
        <v>CRÉDITO</v>
      </c>
      <c r="B1446" s="67" t="str">
        <f>+IF((PROVEEDORES[[#This Row],[FECHA DE PAGO]]-PROVEEDORES[[#This Row],[FECHA DE FACTURACIÓN]])&gt;PROVEEDORES[[#This Row],[PLAZO Días]],"PAGO VENCIDO")</f>
        <v>PAGO VENCIDO</v>
      </c>
      <c r="C1446" s="27">
        <f>+VLOOKUP(PROVEEDORES[[#This Row],[PROVEEDOR]],TERCEROS_INFO[#All],2,FALSE)</f>
        <v>30</v>
      </c>
      <c r="D1446" s="37">
        <f>+SUMIFS(PROVEEDORES[Total],PROVEEDORES[PROVEEDOR],PROVEEDORES[[#This Row],[PROVEEDOR]],PROVEEDORES[FECHA DE PAGO],"")</f>
        <v>3361887.1</v>
      </c>
      <c r="E1446" s="37"/>
      <c r="F1446" s="108" t="str">
        <f>+VLOOKUP(PROVEEDORES[[#This Row],[PROVEEDOR]],TERCEROS_INFO[[PROVEEDOR]:[CORREO]],5,FALSE)</f>
        <v>financiera@nalpicentral.com;girlesa.ruiz@servipilas.com;joriescobar64@gmail.com</v>
      </c>
      <c r="G1446" s="143">
        <v>44208</v>
      </c>
      <c r="H1446" s="38" t="s">
        <v>22</v>
      </c>
      <c r="I1446" s="30">
        <v>44177</v>
      </c>
      <c r="J1446" s="58">
        <v>18964</v>
      </c>
      <c r="K1446" s="32">
        <v>539495.79831932776</v>
      </c>
      <c r="L1446" s="32"/>
      <c r="M1446" s="33">
        <f>(PROVEEDORES[[#This Row],[SUBTOTAL]]-PROVEEDORES[[#This Row],[descuento antes de IVA]])*VLOOKUP(PROVEEDORES[[#This Row],[PROVEEDOR]],TERCEROS_INFO[#All],3,FALSE)</f>
        <v>102504.20168067228</v>
      </c>
      <c r="N1446" s="34"/>
      <c r="O1446" s="33">
        <f>+PROVEEDORES[[#This Row],[Descuento sobre subtotal %]]*(PROVEEDORES[[#This Row],[SUBTOTAL]]-PROVEEDORES[[#This Row],[descuento antes de IVA]])</f>
        <v>0</v>
      </c>
      <c r="P14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46" s="33">
        <f>+(PROVEEDORES[[#This Row],[SUBTOTAL]]-PROVEEDORES[[#This Row],[descuento antes de IVA]])*PROVEEDORES[[#This Row],[Rete Fuente %]]</f>
        <v>0</v>
      </c>
      <c r="R1446" s="32">
        <f>+PROVEEDORES[[#This Row],[SUBTOTAL]]+PROVEEDORES[[#This Row],[IVA 19%]]-PROVEEDORES[[#This Row],[descuento antes de IVA]]-PROVEEDORES[[#This Row],[Descuento sobre subtotal $]]-PROVEEDORES[[#This Row],[Rete Fuente $]]</f>
        <v>642000</v>
      </c>
      <c r="S14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7" spans="1:19" ht="21.95" hidden="1" customHeight="1" x14ac:dyDescent="0.25">
      <c r="A1447" s="39" t="str">
        <f>+IF(PROVEEDORES[[#This Row],[FECHA DE PAGO]]=PROVEEDORES[[#This Row],[FECHA DE FACTURACIÓN]],"DE CONTADO","CRÉDITO")</f>
        <v>CRÉDITO</v>
      </c>
      <c r="B1447" s="67" t="str">
        <f>+IF((PROVEEDORES[[#This Row],[FECHA DE PAGO]]-PROVEEDORES[[#This Row],[FECHA DE FACTURACIÓN]])&gt;PROVEEDORES[[#This Row],[PLAZO Días]],"PAGO VENCIDO")</f>
        <v>PAGO VENCIDO</v>
      </c>
      <c r="C1447" s="27">
        <f>+VLOOKUP(PROVEEDORES[[#This Row],[PROVEEDOR]],TERCEROS_INFO[#All],2,FALSE)</f>
        <v>30</v>
      </c>
      <c r="D1447" s="37">
        <f>+SUMIFS(PROVEEDORES[Total],PROVEEDORES[PROVEEDOR],PROVEEDORES[[#This Row],[PROVEEDOR]],PROVEEDORES[FECHA DE PAGO],"")</f>
        <v>3361887.1</v>
      </c>
      <c r="E1447" s="37"/>
      <c r="F1447" s="108" t="str">
        <f>+VLOOKUP(PROVEEDORES[[#This Row],[PROVEEDOR]],TERCEROS_INFO[[PROVEEDOR]:[CORREO]],5,FALSE)</f>
        <v>financiera@nalpicentral.com;girlesa.ruiz@servipilas.com;joriescobar64@gmail.com</v>
      </c>
      <c r="G1447" s="143">
        <v>44257</v>
      </c>
      <c r="H1447" s="38" t="s">
        <v>22</v>
      </c>
      <c r="I1447" s="30">
        <v>44180</v>
      </c>
      <c r="J1447" s="58">
        <v>19269</v>
      </c>
      <c r="K1447" s="32">
        <v>3336616</v>
      </c>
      <c r="L1447" s="32">
        <v>71448</v>
      </c>
      <c r="M1447" s="33">
        <f>(PROVEEDORES[[#This Row],[SUBTOTAL]]-PROVEEDORES[[#This Row],[descuento antes de IVA]])*VLOOKUP(PROVEEDORES[[#This Row],[PROVEEDOR]],TERCEROS_INFO[#All],3,FALSE)</f>
        <v>620381.92000000004</v>
      </c>
      <c r="N1447" s="34"/>
      <c r="O1447" s="33">
        <f>+PROVEEDORES[[#This Row],[Descuento sobre subtotal %]]*(PROVEEDORES[[#This Row],[SUBTOTAL]]-PROVEEDORES[[#This Row],[descuento antes de IVA]])</f>
        <v>0</v>
      </c>
      <c r="P14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47" s="33">
        <f>+(PROVEEDORES[[#This Row],[SUBTOTAL]]-PROVEEDORES[[#This Row],[descuento antes de IVA]])*PROVEEDORES[[#This Row],[Rete Fuente %]]</f>
        <v>81629.200000000012</v>
      </c>
      <c r="R1447" s="32">
        <f>+PROVEEDORES[[#This Row],[SUBTOTAL]]+PROVEEDORES[[#This Row],[IVA 19%]]-PROVEEDORES[[#This Row],[descuento antes de IVA]]-PROVEEDORES[[#This Row],[Descuento sobre subtotal $]]-PROVEEDORES[[#This Row],[Rete Fuente $]]</f>
        <v>3803920.7199999997</v>
      </c>
      <c r="S14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8" spans="1:19" ht="21.95" hidden="1" customHeight="1" x14ac:dyDescent="0.25">
      <c r="A1448" s="39" t="str">
        <f>+IF(PROVEEDORES[[#This Row],[FECHA DE PAGO]]=PROVEEDORES[[#This Row],[FECHA DE FACTURACIÓN]],"DE CONTADO","CRÉDITO")</f>
        <v>CRÉDITO</v>
      </c>
      <c r="B1448" s="67" t="str">
        <f>+IF((PROVEEDORES[[#This Row],[FECHA DE PAGO]]-PROVEEDORES[[#This Row],[FECHA DE FACTURACIÓN]])&gt;PROVEEDORES[[#This Row],[PLAZO Días]],"PAGO VENCIDO")</f>
        <v>PAGO VENCIDO</v>
      </c>
      <c r="C1448" s="27">
        <f>+VLOOKUP(PROVEEDORES[[#This Row],[PROVEEDOR]],TERCEROS_INFO[#All],2,FALSE)</f>
        <v>30</v>
      </c>
      <c r="D1448" s="37">
        <f>+SUMIFS(PROVEEDORES[Total],PROVEEDORES[PROVEEDOR],PROVEEDORES[[#This Row],[PROVEEDOR]],PROVEEDORES[FECHA DE PAGO],"")</f>
        <v>3361887.1</v>
      </c>
      <c r="E1448" s="37"/>
      <c r="F1448" s="108" t="str">
        <f>+VLOOKUP(PROVEEDORES[[#This Row],[PROVEEDOR]],TERCEROS_INFO[[PROVEEDOR]:[CORREO]],5,FALSE)</f>
        <v>financiera@nalpicentral.com;girlesa.ruiz@servipilas.com;joriescobar64@gmail.com</v>
      </c>
      <c r="G1448" s="143">
        <v>44257</v>
      </c>
      <c r="H1448" s="38" t="s">
        <v>22</v>
      </c>
      <c r="I1448" s="30">
        <v>44183</v>
      </c>
      <c r="J1448" s="58">
        <v>19328</v>
      </c>
      <c r="K1448" s="32">
        <v>1465068</v>
      </c>
      <c r="L1448" s="32">
        <v>133188</v>
      </c>
      <c r="M1448" s="33">
        <f>(PROVEEDORES[[#This Row],[SUBTOTAL]]-PROVEEDORES[[#This Row],[descuento antes de IVA]])*VLOOKUP(PROVEEDORES[[#This Row],[PROVEEDOR]],TERCEROS_INFO[#All],3,FALSE)</f>
        <v>253057.2</v>
      </c>
      <c r="N1448" s="34"/>
      <c r="O1448" s="33">
        <f>+PROVEEDORES[[#This Row],[Descuento sobre subtotal %]]*(PROVEEDORES[[#This Row],[SUBTOTAL]]-PROVEEDORES[[#This Row],[descuento antes de IVA]])</f>
        <v>0</v>
      </c>
      <c r="P14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48" s="33">
        <f>+(PROVEEDORES[[#This Row],[SUBTOTAL]]-PROVEEDORES[[#This Row],[descuento antes de IVA]])*PROVEEDORES[[#This Row],[Rete Fuente %]]</f>
        <v>33297</v>
      </c>
      <c r="R1448" s="32">
        <f>+PROVEEDORES[[#This Row],[SUBTOTAL]]+PROVEEDORES[[#This Row],[IVA 19%]]-PROVEEDORES[[#This Row],[descuento antes de IVA]]-PROVEEDORES[[#This Row],[Descuento sobre subtotal $]]-PROVEEDORES[[#This Row],[Rete Fuente $]]</f>
        <v>1551640.2</v>
      </c>
      <c r="S14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49" spans="1:19" ht="21.95" hidden="1" customHeight="1" x14ac:dyDescent="0.25">
      <c r="A1449" s="66" t="str">
        <f>+IF(PROVEEDORES[[#This Row],[FECHA DE PAGO]]=PROVEEDORES[[#This Row],[FECHA DE FACTURACIÓN]],"DE CONTADO","CRÉDITO")</f>
        <v>CRÉDITO</v>
      </c>
      <c r="B1449" s="68" t="str">
        <f>+IF((PROVEEDORES[[#This Row],[FECHA DE PAGO]]-PROVEEDORES[[#This Row],[FECHA DE FACTURACIÓN]])&gt;PROVEEDORES[[#This Row],[PLAZO Días]],"PAGO VENCIDO")</f>
        <v>PAGO VENCIDO</v>
      </c>
      <c r="C1449" s="27">
        <f>+VLOOKUP(PROVEEDORES[[#This Row],[PROVEEDOR]],TERCEROS_INFO[#All],2,FALSE)</f>
        <v>30</v>
      </c>
      <c r="D1449" s="37">
        <f>+SUMIFS(PROVEEDORES[Total],PROVEEDORES[PROVEEDOR],PROVEEDORES[[#This Row],[PROVEEDOR]],PROVEEDORES[FECHA DE PAGO],"")</f>
        <v>3361887.1</v>
      </c>
      <c r="E1449" s="37"/>
      <c r="F1449" s="108" t="str">
        <f>+VLOOKUP(PROVEEDORES[[#This Row],[PROVEEDOR]],TERCEROS_INFO[[PROVEEDOR]:[CORREO]],5,FALSE)</f>
        <v>financiera@nalpicentral.com;girlesa.ruiz@servipilas.com;joriescobar64@gmail.com</v>
      </c>
      <c r="G1449" s="143">
        <v>44307</v>
      </c>
      <c r="H1449" s="38" t="s">
        <v>22</v>
      </c>
      <c r="I1449" s="30">
        <v>44234</v>
      </c>
      <c r="J1449" s="58">
        <v>19824</v>
      </c>
      <c r="K1449" s="32">
        <v>1900000</v>
      </c>
      <c r="L1449" s="32"/>
      <c r="M1449" s="33">
        <f>(PROVEEDORES[[#This Row],[SUBTOTAL]]-PROVEEDORES[[#This Row],[descuento antes de IVA]])*VLOOKUP(PROVEEDORES[[#This Row],[PROVEEDOR]],TERCEROS_INFO[#All],3,FALSE)</f>
        <v>361000</v>
      </c>
      <c r="N1449" s="34"/>
      <c r="O1449" s="33">
        <f>+PROVEEDORES[[#This Row],[Descuento sobre subtotal %]]*(PROVEEDORES[[#This Row],[SUBTOTAL]]-PROVEEDORES[[#This Row],[descuento antes de IVA]])</f>
        <v>0</v>
      </c>
      <c r="P14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49" s="33">
        <f>+(PROVEEDORES[[#This Row],[SUBTOTAL]]-PROVEEDORES[[#This Row],[descuento antes de IVA]])*PROVEEDORES[[#This Row],[Rete Fuente %]]</f>
        <v>47500</v>
      </c>
      <c r="R1449" s="32">
        <f>+PROVEEDORES[[#This Row],[SUBTOTAL]]+PROVEEDORES[[#This Row],[IVA 19%]]-PROVEEDORES[[#This Row],[descuento antes de IVA]]-PROVEEDORES[[#This Row],[Descuento sobre subtotal $]]-PROVEEDORES[[#This Row],[Rete Fuente $]]</f>
        <v>2213500</v>
      </c>
      <c r="S1449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0" spans="1:19" ht="21.95" hidden="1" customHeight="1" x14ac:dyDescent="0.25">
      <c r="A1450" s="88" t="str">
        <f>+IF(PROVEEDORES[[#This Row],[FECHA DE PAGO]]=PROVEEDORES[[#This Row],[FECHA DE FACTURACIÓN]],"DE CONTADO","CRÉDITO")</f>
        <v>CRÉDITO</v>
      </c>
      <c r="B1450" s="70" t="str">
        <f>+IF((PROVEEDORES[[#This Row],[FECHA DE PAGO]]-PROVEEDORES[[#This Row],[FECHA DE FACTURACIÓN]])&gt;PROVEEDORES[[#This Row],[PLAZO Días]],"PAGO VENCIDO")</f>
        <v>PAGO VENCIDO</v>
      </c>
      <c r="C1450" s="27">
        <f>+VLOOKUP(PROVEEDORES[[#This Row],[PROVEEDOR]],TERCEROS_INFO[#All],2,FALSE)</f>
        <v>30</v>
      </c>
      <c r="D1450" s="37">
        <f>+SUMIFS(PROVEEDORES[Total],PROVEEDORES[PROVEEDOR],PROVEEDORES[[#This Row],[PROVEEDOR]],PROVEEDORES[FECHA DE PAGO],"")</f>
        <v>3361887.1</v>
      </c>
      <c r="E1450" s="37"/>
      <c r="F1450" s="108" t="str">
        <f>+VLOOKUP(PROVEEDORES[[#This Row],[PROVEEDOR]],TERCEROS_INFO[[PROVEEDOR]:[CORREO]],5,FALSE)</f>
        <v>financiera@nalpicentral.com;girlesa.ruiz@servipilas.com;joriescobar64@gmail.com</v>
      </c>
      <c r="G1450" s="143">
        <v>44348</v>
      </c>
      <c r="H1450" s="38" t="s">
        <v>22</v>
      </c>
      <c r="I1450" s="30">
        <v>44253</v>
      </c>
      <c r="J1450" s="58">
        <v>20108</v>
      </c>
      <c r="K1450" s="32">
        <v>1018772</v>
      </c>
      <c r="L1450" s="32"/>
      <c r="M1450" s="33">
        <f>(PROVEEDORES[[#This Row],[SUBTOTAL]]-PROVEEDORES[[#This Row],[descuento antes de IVA]])*VLOOKUP(PROVEEDORES[[#This Row],[PROVEEDOR]],TERCEROS_INFO[#All],3,FALSE)</f>
        <v>193566.68</v>
      </c>
      <c r="N1450" s="34"/>
      <c r="O1450" s="33">
        <f>+PROVEEDORES[[#This Row],[Descuento sobre subtotal %]]*(PROVEEDORES[[#This Row],[SUBTOTAL]]-PROVEEDORES[[#This Row],[descuento antes de IVA]])</f>
        <v>0</v>
      </c>
      <c r="P14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50" s="33">
        <f>+(PROVEEDORES[[#This Row],[SUBTOTAL]]-PROVEEDORES[[#This Row],[descuento antes de IVA]])*PROVEEDORES[[#This Row],[Rete Fuente %]]</f>
        <v>25469.300000000003</v>
      </c>
      <c r="R1450" s="32">
        <f>+PROVEEDORES[[#This Row],[SUBTOTAL]]+PROVEEDORES[[#This Row],[IVA 19%]]-PROVEEDORES[[#This Row],[descuento antes de IVA]]-PROVEEDORES[[#This Row],[Descuento sobre subtotal $]]-PROVEEDORES[[#This Row],[Rete Fuente $]]</f>
        <v>1186869.3799999999</v>
      </c>
      <c r="S1450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1" spans="1:19" ht="21.95" hidden="1" customHeight="1" x14ac:dyDescent="0.25">
      <c r="A1451" s="88" t="str">
        <f>+IF(PROVEEDORES[[#This Row],[FECHA DE PAGO]]=PROVEEDORES[[#This Row],[FECHA DE FACTURACIÓN]],"DE CONTADO","CRÉDITO")</f>
        <v>CRÉDITO</v>
      </c>
      <c r="B1451" s="70" t="str">
        <f>+IF((PROVEEDORES[[#This Row],[FECHA DE PAGO]]-PROVEEDORES[[#This Row],[FECHA DE FACTURACIÓN]])&gt;PROVEEDORES[[#This Row],[PLAZO Días]],"PAGO VENCIDO")</f>
        <v>PAGO VENCIDO</v>
      </c>
      <c r="C1451" s="27">
        <f>+VLOOKUP(PROVEEDORES[[#This Row],[PROVEEDOR]],TERCEROS_INFO[#All],2,FALSE)</f>
        <v>30</v>
      </c>
      <c r="D1451" s="37">
        <f>+SUMIFS(PROVEEDORES[Total],PROVEEDORES[PROVEEDOR],PROVEEDORES[[#This Row],[PROVEEDOR]],PROVEEDORES[FECHA DE PAGO],"")</f>
        <v>3361887.1</v>
      </c>
      <c r="E1451" s="37"/>
      <c r="F1451" s="108" t="str">
        <f>+VLOOKUP(PROVEEDORES[[#This Row],[PROVEEDOR]],TERCEROS_INFO[[PROVEEDOR]:[CORREO]],5,FALSE)</f>
        <v>financiera@nalpicentral.com;girlesa.ruiz@servipilas.com;joriescobar64@gmail.com</v>
      </c>
      <c r="G1451" s="143">
        <v>44348</v>
      </c>
      <c r="H1451" s="38" t="s">
        <v>22</v>
      </c>
      <c r="I1451" s="30">
        <v>44263</v>
      </c>
      <c r="J1451" s="58">
        <v>20217</v>
      </c>
      <c r="K1451" s="32">
        <v>1560000</v>
      </c>
      <c r="L1451" s="32"/>
      <c r="M1451" s="33">
        <f>(PROVEEDORES[[#This Row],[SUBTOTAL]]-PROVEEDORES[[#This Row],[descuento antes de IVA]])*VLOOKUP(PROVEEDORES[[#This Row],[PROVEEDOR]],TERCEROS_INFO[#All],3,FALSE)</f>
        <v>296400</v>
      </c>
      <c r="N1451" s="34"/>
      <c r="O1451" s="33">
        <f>+PROVEEDORES[[#This Row],[Descuento sobre subtotal %]]*(PROVEEDORES[[#This Row],[SUBTOTAL]]-PROVEEDORES[[#This Row],[descuento antes de IVA]])</f>
        <v>0</v>
      </c>
      <c r="P14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51" s="33">
        <f>+(PROVEEDORES[[#This Row],[SUBTOTAL]]-PROVEEDORES[[#This Row],[descuento antes de IVA]])*PROVEEDORES[[#This Row],[Rete Fuente %]]</f>
        <v>39000</v>
      </c>
      <c r="R1451" s="32">
        <f>+PROVEEDORES[[#This Row],[SUBTOTAL]]+PROVEEDORES[[#This Row],[IVA 19%]]-PROVEEDORES[[#This Row],[descuento antes de IVA]]-PROVEEDORES[[#This Row],[Descuento sobre subtotal $]]-PROVEEDORES[[#This Row],[Rete Fuente $]]</f>
        <v>1817400</v>
      </c>
      <c r="S1451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2" spans="1:19" ht="21.95" hidden="1" customHeight="1" x14ac:dyDescent="0.25">
      <c r="A1452" s="88" t="str">
        <f>+IF(PROVEEDORES[[#This Row],[FECHA DE PAGO]]=PROVEEDORES[[#This Row],[FECHA DE FACTURACIÓN]],"DE CONTADO","CRÉDITO")</f>
        <v>CRÉDITO</v>
      </c>
      <c r="B1452" s="70" t="str">
        <f>+IF((PROVEEDORES[[#This Row],[FECHA DE PAGO]]-PROVEEDORES[[#This Row],[FECHA DE FACTURACIÓN]])&gt;PROVEEDORES[[#This Row],[PLAZO Días]],"PAGO VENCIDO")</f>
        <v>PAGO VENCIDO</v>
      </c>
      <c r="C1452" s="27">
        <f>+VLOOKUP(PROVEEDORES[[#This Row],[PROVEEDOR]],TERCEROS_INFO[#All],2,FALSE)</f>
        <v>30</v>
      </c>
      <c r="D1452" s="37">
        <f>+SUMIFS(PROVEEDORES[Total],PROVEEDORES[PROVEEDOR],PROVEEDORES[[#This Row],[PROVEEDOR]],PROVEEDORES[FECHA DE PAGO],"")</f>
        <v>3361887.1</v>
      </c>
      <c r="E1452" s="37"/>
      <c r="F1452" s="108" t="str">
        <f>+VLOOKUP(PROVEEDORES[[#This Row],[PROVEEDOR]],TERCEROS_INFO[[PROVEEDOR]:[CORREO]],5,FALSE)</f>
        <v>financiera@nalpicentral.com;girlesa.ruiz@servipilas.com;joriescobar64@gmail.com</v>
      </c>
      <c r="G1452" s="143">
        <v>44348</v>
      </c>
      <c r="H1452" s="38" t="s">
        <v>22</v>
      </c>
      <c r="I1452" s="30">
        <v>44279</v>
      </c>
      <c r="J1452" s="58">
        <v>20403</v>
      </c>
      <c r="K1452" s="32">
        <v>1417944</v>
      </c>
      <c r="L1452" s="32"/>
      <c r="M1452" s="33">
        <f>(PROVEEDORES[[#This Row],[SUBTOTAL]]-PROVEEDORES[[#This Row],[descuento antes de IVA]])*VLOOKUP(PROVEEDORES[[#This Row],[PROVEEDOR]],TERCEROS_INFO[#All],3,FALSE)</f>
        <v>269409.36</v>
      </c>
      <c r="N1452" s="34"/>
      <c r="O1452" s="33">
        <f>+PROVEEDORES[[#This Row],[Descuento sobre subtotal %]]*(PROVEEDORES[[#This Row],[SUBTOTAL]]-PROVEEDORES[[#This Row],[descuento antes de IVA]])</f>
        <v>0</v>
      </c>
      <c r="P14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52" s="33">
        <f>+(PROVEEDORES[[#This Row],[SUBTOTAL]]-PROVEEDORES[[#This Row],[descuento antes de IVA]])*PROVEEDORES[[#This Row],[Rete Fuente %]]</f>
        <v>35448.6</v>
      </c>
      <c r="R1452" s="32">
        <f>+PROVEEDORES[[#This Row],[SUBTOTAL]]+PROVEEDORES[[#This Row],[IVA 19%]]-PROVEEDORES[[#This Row],[descuento antes de IVA]]-PROVEEDORES[[#This Row],[Descuento sobre subtotal $]]-PROVEEDORES[[#This Row],[Rete Fuente $]]</f>
        <v>1651904.7599999998</v>
      </c>
      <c r="S145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3" spans="1:19" ht="21.95" hidden="1" customHeight="1" x14ac:dyDescent="0.25">
      <c r="A1453" s="88" t="str">
        <f>+IF(PROVEEDORES[[#This Row],[FECHA DE PAGO]]=PROVEEDORES[[#This Row],[FECHA DE FACTURACIÓN]],"DE CONTADO","CRÉDITO")</f>
        <v>CRÉDITO</v>
      </c>
      <c r="B1453" s="70" t="str">
        <f>+IF((PROVEEDORES[[#This Row],[FECHA DE PAGO]]-PROVEEDORES[[#This Row],[FECHA DE FACTURACIÓN]])&gt;PROVEEDORES[[#This Row],[PLAZO Días]],"PAGO VENCIDO")</f>
        <v>PAGO VENCIDO</v>
      </c>
      <c r="C1453" s="27">
        <f>+VLOOKUP(PROVEEDORES[[#This Row],[PROVEEDOR]],TERCEROS_INFO[#All],2,FALSE)</f>
        <v>30</v>
      </c>
      <c r="D1453" s="37">
        <f>+SUMIFS(PROVEEDORES[Total],PROVEEDORES[PROVEEDOR],PROVEEDORES[[#This Row],[PROVEEDOR]],PROVEEDORES[FECHA DE PAGO],"")</f>
        <v>3361887.1</v>
      </c>
      <c r="E1453" s="37"/>
      <c r="F1453" s="108" t="str">
        <f>+VLOOKUP(PROVEEDORES[[#This Row],[PROVEEDOR]],TERCEROS_INFO[[PROVEEDOR]:[CORREO]],5,FALSE)</f>
        <v>financiera@nalpicentral.com;girlesa.ruiz@servipilas.com;joriescobar64@gmail.com</v>
      </c>
      <c r="G1453" s="143">
        <v>44348</v>
      </c>
      <c r="H1453" s="38" t="s">
        <v>22</v>
      </c>
      <c r="I1453" s="30">
        <v>44280</v>
      </c>
      <c r="J1453" s="58" t="s">
        <v>662</v>
      </c>
      <c r="K1453" s="32">
        <v>-384000</v>
      </c>
      <c r="L1453" s="32"/>
      <c r="M1453" s="33">
        <f>(PROVEEDORES[[#This Row],[SUBTOTAL]]-PROVEEDORES[[#This Row],[descuento antes de IVA]])*VLOOKUP(PROVEEDORES[[#This Row],[PROVEEDOR]],TERCEROS_INFO[#All],3,FALSE)</f>
        <v>-72960</v>
      </c>
      <c r="N1453" s="34"/>
      <c r="O1453" s="33">
        <f>+PROVEEDORES[[#This Row],[Descuento sobre subtotal %]]*(PROVEEDORES[[#This Row],[SUBTOTAL]]-PROVEEDORES[[#This Row],[descuento antes de IVA]])</f>
        <v>0</v>
      </c>
      <c r="P1453" s="34">
        <v>2.5000000000000001E-2</v>
      </c>
      <c r="Q1453" s="33">
        <f>+(PROVEEDORES[[#This Row],[SUBTOTAL]]-PROVEEDORES[[#This Row],[descuento antes de IVA]])*PROVEEDORES[[#This Row],[Rete Fuente %]]</f>
        <v>-9600</v>
      </c>
      <c r="R1453" s="32">
        <f>+PROVEEDORES[[#This Row],[SUBTOTAL]]+PROVEEDORES[[#This Row],[IVA 19%]]-PROVEEDORES[[#This Row],[descuento antes de IVA]]-PROVEEDORES[[#This Row],[Descuento sobre subtotal $]]-PROVEEDORES[[#This Row],[Rete Fuente $]]</f>
        <v>-447360</v>
      </c>
      <c r="S145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4" spans="1:19" ht="21.95" hidden="1" customHeight="1" x14ac:dyDescent="0.25">
      <c r="A1454" s="103" t="str">
        <f>+IF(PROVEEDORES[[#This Row],[FECHA DE PAGO]]=PROVEEDORES[[#This Row],[FECHA DE FACTURACIÓN]],"DE CONTADO","CRÉDITO")</f>
        <v>CRÉDITO</v>
      </c>
      <c r="B1454" s="70" t="str">
        <f>+IF((PROVEEDORES[[#This Row],[FECHA DE PAGO]]-PROVEEDORES[[#This Row],[FECHA DE FACTURACIÓN]])&gt;PROVEEDORES[[#This Row],[PLAZO Días]],"PAGO VENCIDO")</f>
        <v>PAGO VENCIDO</v>
      </c>
      <c r="C1454" s="27">
        <f>+VLOOKUP(PROVEEDORES[[#This Row],[PROVEEDOR]],TERCEROS_INFO[#All],2,FALSE)</f>
        <v>30</v>
      </c>
      <c r="D1454" s="37">
        <f>+SUMIFS(PROVEEDORES[Total],PROVEEDORES[PROVEEDOR],PROVEEDORES[[#This Row],[PROVEEDOR]],PROVEEDORES[FECHA DE PAGO],"")</f>
        <v>3361887.1</v>
      </c>
      <c r="E1454" s="37"/>
      <c r="F1454" s="108" t="str">
        <f>+VLOOKUP(PROVEEDORES[[#This Row],[PROVEEDOR]],TERCEROS_INFO[[PROVEEDOR]:[CORREO]],5,FALSE)</f>
        <v>financiera@nalpicentral.com;girlesa.ruiz@servipilas.com;joriescobar64@gmail.com</v>
      </c>
      <c r="G1454" s="143">
        <v>44348</v>
      </c>
      <c r="H1454" s="38" t="s">
        <v>22</v>
      </c>
      <c r="I1454" s="30">
        <v>44307</v>
      </c>
      <c r="J1454" s="58">
        <v>20716</v>
      </c>
      <c r="K1454" s="32">
        <v>1928928</v>
      </c>
      <c r="L1454" s="32">
        <v>133188</v>
      </c>
      <c r="M1454" s="33">
        <f>(PROVEEDORES[[#This Row],[SUBTOTAL]]-PROVEEDORES[[#This Row],[descuento antes de IVA]])*VLOOKUP(PROVEEDORES[[#This Row],[PROVEEDOR]],TERCEROS_INFO[#All],3,FALSE)</f>
        <v>341190.6</v>
      </c>
      <c r="N1454" s="34"/>
      <c r="O1454" s="33">
        <f>+PROVEEDORES[[#This Row],[Descuento sobre subtotal %]]*(PROVEEDORES[[#This Row],[SUBTOTAL]]-PROVEEDORES[[#This Row],[descuento antes de IVA]])</f>
        <v>0</v>
      </c>
      <c r="P14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54" s="33">
        <f>+(PROVEEDORES[[#This Row],[SUBTOTAL]]-PROVEEDORES[[#This Row],[descuento antes de IVA]])*PROVEEDORES[[#This Row],[Rete Fuente %]]</f>
        <v>44893.5</v>
      </c>
      <c r="R1454" s="32">
        <f>+PROVEEDORES[[#This Row],[SUBTOTAL]]+PROVEEDORES[[#This Row],[IVA 19%]]-PROVEEDORES[[#This Row],[descuento antes de IVA]]-PROVEEDORES[[#This Row],[Descuento sobre subtotal $]]-PROVEEDORES[[#This Row],[Rete Fuente $]]</f>
        <v>2092037.1</v>
      </c>
      <c r="S1454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5" spans="1:19" ht="21.95" hidden="1" customHeight="1" x14ac:dyDescent="0.25">
      <c r="A1455" s="35" t="str">
        <f>+IF(PROVEEDORES[[#This Row],[FECHA DE PAGO]]=PROVEEDORES[[#This Row],[FECHA DE FACTURACIÓN]],"DE CONTADO","CRÉDITO")</f>
        <v>CRÉDITO</v>
      </c>
      <c r="B1455" s="70" t="str">
        <f>+IF((PROVEEDORES[[#This Row],[FECHA DE PAGO]]-PROVEEDORES[[#This Row],[FECHA DE FACTURACIÓN]])&gt;PROVEEDORES[[#This Row],[PLAZO Días]],"PAGO VENCIDO")</f>
        <v>PAGO VENCIDO</v>
      </c>
      <c r="C1455" s="27">
        <f>+VLOOKUP(PROVEEDORES[[#This Row],[PROVEEDOR]],TERCEROS_INFO[#All],2,FALSE)</f>
        <v>30</v>
      </c>
      <c r="D1455" s="37">
        <f>+SUMIFS(PROVEEDORES[Total],PROVEEDORES[PROVEEDOR],PROVEEDORES[[#This Row],[PROVEEDOR]],PROVEEDORES[FECHA DE PAGO],"")</f>
        <v>3361887.1</v>
      </c>
      <c r="E1455" s="37"/>
      <c r="F1455" s="108" t="str">
        <f>+VLOOKUP(PROVEEDORES[[#This Row],[PROVEEDOR]],TERCEROS_INFO[[PROVEEDOR]:[CORREO]],5,FALSE)</f>
        <v>financiera@nalpicentral.com;girlesa.ruiz@servipilas.com;joriescobar64@gmail.com</v>
      </c>
      <c r="G1455" s="143">
        <v>44389</v>
      </c>
      <c r="H1455" s="38" t="s">
        <v>22</v>
      </c>
      <c r="I1455" s="30">
        <v>44343</v>
      </c>
      <c r="J1455" s="58">
        <v>7562</v>
      </c>
      <c r="K1455" s="32">
        <v>444000</v>
      </c>
      <c r="L1455" s="32"/>
      <c r="M1455" s="33">
        <f>(PROVEEDORES[[#This Row],[SUBTOTAL]]-PROVEEDORES[[#This Row],[descuento antes de IVA]])*VLOOKUP(PROVEEDORES[[#This Row],[PROVEEDOR]],TERCEROS_INFO[#All],3,FALSE)</f>
        <v>84360</v>
      </c>
      <c r="N1455" s="34"/>
      <c r="O1455" s="33">
        <f>+PROVEEDORES[[#This Row],[Descuento sobre subtotal %]]*(PROVEEDORES[[#This Row],[SUBTOTAL]]-PROVEEDORES[[#This Row],[descuento antes de IVA]])</f>
        <v>0</v>
      </c>
      <c r="P14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55" s="33">
        <f>+(PROVEEDORES[[#This Row],[SUBTOTAL]]-PROVEEDORES[[#This Row],[descuento antes de IVA]])*PROVEEDORES[[#This Row],[Rete Fuente %]]</f>
        <v>0</v>
      </c>
      <c r="R1455" s="32">
        <f>+PROVEEDORES[[#This Row],[SUBTOTAL]]+PROVEEDORES[[#This Row],[IVA 19%]]-PROVEEDORES[[#This Row],[descuento antes de IVA]]-PROVEEDORES[[#This Row],[Descuento sobre subtotal $]]-PROVEEDORES[[#This Row],[Rete Fuente $]]</f>
        <v>528360</v>
      </c>
      <c r="S145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6" spans="1:19" ht="21.95" hidden="1" customHeight="1" x14ac:dyDescent="0.25">
      <c r="A1456" s="119" t="str">
        <f>+IF(PROVEEDORES[[#This Row],[FECHA DE PAGO]]=PROVEEDORES[[#This Row],[FECHA DE FACTURACIÓN]],"DE CONTADO","CRÉDITO")</f>
        <v>CRÉDITO</v>
      </c>
      <c r="B1456" s="70" t="str">
        <f>+IF((PROVEEDORES[[#This Row],[FECHA DE PAGO]]-PROVEEDORES[[#This Row],[FECHA DE FACTURACIÓN]])&gt;PROVEEDORES[[#This Row],[PLAZO Días]],"PAGO VENCIDO")</f>
        <v>PAGO VENCIDO</v>
      </c>
      <c r="C1456" s="27">
        <f>+VLOOKUP(PROVEEDORES[[#This Row],[PROVEEDOR]],TERCEROS_INFO[#All],2,FALSE)</f>
        <v>30</v>
      </c>
      <c r="D1456" s="37">
        <f>+SUMIFS(PROVEEDORES[Total],PROVEEDORES[PROVEEDOR],PROVEEDORES[[#This Row],[PROVEEDOR]],PROVEEDORES[FECHA DE PAGO],"")</f>
        <v>3361887.1</v>
      </c>
      <c r="E1456" s="37"/>
      <c r="F1456" s="108" t="str">
        <f>+VLOOKUP(PROVEEDORES[[#This Row],[PROVEEDOR]],TERCEROS_INFO[[PROVEEDOR]:[CORREO]],5,FALSE)</f>
        <v>financiera@nalpicentral.com;girlesa.ruiz@servipilas.com;joriescobar64@gmail.com</v>
      </c>
      <c r="G1456" s="143">
        <v>44418</v>
      </c>
      <c r="H1456" s="38" t="s">
        <v>22</v>
      </c>
      <c r="I1456" s="30">
        <v>44350</v>
      </c>
      <c r="J1456" s="58">
        <v>21170</v>
      </c>
      <c r="K1456" s="32">
        <v>1354078</v>
      </c>
      <c r="L1456" s="32">
        <v>22198</v>
      </c>
      <c r="M1456" s="33">
        <f>(PROVEEDORES[[#This Row],[SUBTOTAL]]-PROVEEDORES[[#This Row],[descuento antes de IVA]])*VLOOKUP(PROVEEDORES[[#This Row],[PROVEEDOR]],TERCEROS_INFO[#All],3,FALSE)</f>
        <v>253057.2</v>
      </c>
      <c r="N1456" s="34"/>
      <c r="O1456" s="33">
        <f>+PROVEEDORES[[#This Row],[Descuento sobre subtotal %]]*(PROVEEDORES[[#This Row],[SUBTOTAL]]-PROVEEDORES[[#This Row],[descuento antes de IVA]])</f>
        <v>0</v>
      </c>
      <c r="P14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56" s="33">
        <f>+(PROVEEDORES[[#This Row],[SUBTOTAL]]-PROVEEDORES[[#This Row],[descuento antes de IVA]])*PROVEEDORES[[#This Row],[Rete Fuente %]]</f>
        <v>33297</v>
      </c>
      <c r="R1456" s="32">
        <f>+PROVEEDORES[[#This Row],[SUBTOTAL]]+PROVEEDORES[[#This Row],[IVA 19%]]-PROVEEDORES[[#This Row],[descuento antes de IVA]]-PROVEEDORES[[#This Row],[Descuento sobre subtotal $]]-PROVEEDORES[[#This Row],[Rete Fuente $]]</f>
        <v>1551640.2</v>
      </c>
      <c r="S1456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7" spans="1:19" ht="21.95" hidden="1" customHeight="1" x14ac:dyDescent="0.25">
      <c r="A1457" s="134" t="str">
        <f>+IF(PROVEEDORES[[#This Row],[FECHA DE PAGO]]=PROVEEDORES[[#This Row],[FECHA DE FACTURACIÓN]],"DE CONTADO","CRÉDITO")</f>
        <v>CRÉDITO</v>
      </c>
      <c r="B1457" s="70" t="str">
        <f>+IF((PROVEEDORES[[#This Row],[FECHA DE PAGO]]-PROVEEDORES[[#This Row],[FECHA DE FACTURACIÓN]])&gt;PROVEEDORES[[#This Row],[PLAZO Días]],"PAGO VENCIDO")</f>
        <v>PAGO VENCIDO</v>
      </c>
      <c r="C1457" s="27">
        <f>+VLOOKUP(PROVEEDORES[[#This Row],[PROVEEDOR]],TERCEROS_INFO[#All],2,FALSE)</f>
        <v>30</v>
      </c>
      <c r="D1457" s="37">
        <f>+SUMIFS(PROVEEDORES[Total],PROVEEDORES[PROVEEDOR],PROVEEDORES[[#This Row],[PROVEEDOR]],PROVEEDORES[FECHA DE PAGO],"")</f>
        <v>3361887.1</v>
      </c>
      <c r="E1457" s="37"/>
      <c r="F1457" s="108" t="str">
        <f>+VLOOKUP(PROVEEDORES[[#This Row],[PROVEEDOR]],TERCEROS_INFO[[PROVEEDOR]:[CORREO]],5,FALSE)</f>
        <v>financiera@nalpicentral.com;girlesa.ruiz@servipilas.com;joriescobar64@gmail.com</v>
      </c>
      <c r="G1457" s="143">
        <v>44442</v>
      </c>
      <c r="H1457" s="38" t="s">
        <v>22</v>
      </c>
      <c r="I1457" s="30">
        <v>44400</v>
      </c>
      <c r="J1457" s="58">
        <v>21790</v>
      </c>
      <c r="K1457" s="32">
        <v>232800</v>
      </c>
      <c r="L1457" s="32"/>
      <c r="M1457" s="33">
        <f>(PROVEEDORES[[#This Row],[SUBTOTAL]]-PROVEEDORES[[#This Row],[descuento antes de IVA]])*VLOOKUP(PROVEEDORES[[#This Row],[PROVEEDOR]],TERCEROS_INFO[#All],3,FALSE)</f>
        <v>44232</v>
      </c>
      <c r="N1457" s="34"/>
      <c r="O1457" s="33">
        <f>+PROVEEDORES[[#This Row],[Descuento sobre subtotal %]]*(PROVEEDORES[[#This Row],[SUBTOTAL]]-PROVEEDORES[[#This Row],[descuento antes de IVA]])</f>
        <v>0</v>
      </c>
      <c r="P14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57" s="33">
        <f>+(PROVEEDORES[[#This Row],[SUBTOTAL]]-PROVEEDORES[[#This Row],[descuento antes de IVA]])*PROVEEDORES[[#This Row],[Rete Fuente %]]</f>
        <v>0</v>
      </c>
      <c r="R1457" s="32">
        <f>+PROVEEDORES[[#This Row],[SUBTOTAL]]+PROVEEDORES[[#This Row],[IVA 19%]]-PROVEEDORES[[#This Row],[descuento antes de IVA]]-PROVEEDORES[[#This Row],[Descuento sobre subtotal $]]-PROVEEDORES[[#This Row],[Rete Fuente $]]</f>
        <v>277032</v>
      </c>
      <c r="S1457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8" spans="1:19" ht="21.95" hidden="1" customHeight="1" x14ac:dyDescent="0.25">
      <c r="A1458" s="35" t="str">
        <f>+IF(PROVEEDORES[[#This Row],[FECHA DE PAGO]]=PROVEEDORES[[#This Row],[FECHA DE FACTURACIÓN]],"DE CONTADO","CRÉDITO")</f>
        <v>CRÉDITO</v>
      </c>
      <c r="B1458" s="70" t="str">
        <f>+IF((PROVEEDORES[[#This Row],[FECHA DE PAGO]]-PROVEEDORES[[#This Row],[FECHA DE FACTURACIÓN]])&gt;PROVEEDORES[[#This Row],[PLAZO Días]],"PAGO VENCIDO")</f>
        <v>PAGO VENCIDO</v>
      </c>
      <c r="C1458" s="27">
        <f>+VLOOKUP(PROVEEDORES[[#This Row],[PROVEEDOR]],TERCEROS_INFO[#All],2,FALSE)</f>
        <v>30</v>
      </c>
      <c r="D1458" s="37">
        <f>+SUMIFS(PROVEEDORES[Total],PROVEEDORES[PROVEEDOR],PROVEEDORES[[#This Row],[PROVEEDOR]],PROVEEDORES[FECHA DE PAGO],"")</f>
        <v>3361887.1</v>
      </c>
      <c r="E1458" s="37"/>
      <c r="F1458" s="108" t="str">
        <f>+VLOOKUP(PROVEEDORES[[#This Row],[PROVEEDOR]],TERCEROS_INFO[[PROVEEDOR]:[CORREO]],5,FALSE)</f>
        <v>financiera@nalpicentral.com;girlesa.ruiz@servipilas.com;joriescobar64@gmail.com</v>
      </c>
      <c r="G1458" s="143">
        <v>44452</v>
      </c>
      <c r="H1458" s="38" t="s">
        <v>22</v>
      </c>
      <c r="I1458" s="30">
        <v>44417</v>
      </c>
      <c r="J1458" s="58">
        <v>22029</v>
      </c>
      <c r="K1458" s="32">
        <v>384000</v>
      </c>
      <c r="L1458" s="32"/>
      <c r="M1458" s="33">
        <f>(PROVEEDORES[[#This Row],[SUBTOTAL]]-PROVEEDORES[[#This Row],[descuento antes de IVA]])*VLOOKUP(PROVEEDORES[[#This Row],[PROVEEDOR]],TERCEROS_INFO[#All],3,FALSE)</f>
        <v>72960</v>
      </c>
      <c r="N1458" s="34"/>
      <c r="O1458" s="33">
        <f>+PROVEEDORES[[#This Row],[Descuento sobre subtotal %]]*(PROVEEDORES[[#This Row],[SUBTOTAL]]-PROVEEDORES[[#This Row],[descuento antes de IVA]])</f>
        <v>0</v>
      </c>
      <c r="P14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58" s="33">
        <f>+(PROVEEDORES[[#This Row],[SUBTOTAL]]-PROVEEDORES[[#This Row],[descuento antes de IVA]])*PROVEEDORES[[#This Row],[Rete Fuente %]]</f>
        <v>0</v>
      </c>
      <c r="R1458" s="32">
        <f>+PROVEEDORES[[#This Row],[SUBTOTAL]]+PROVEEDORES[[#This Row],[IVA 19%]]-PROVEEDORES[[#This Row],[descuento antes de IVA]]-PROVEEDORES[[#This Row],[Descuento sobre subtotal $]]-PROVEEDORES[[#This Row],[Rete Fuente $]]</f>
        <v>456960</v>
      </c>
      <c r="S145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59" spans="1:19" ht="21.95" hidden="1" customHeight="1" x14ac:dyDescent="0.25">
      <c r="A1459" s="142" t="str">
        <f>+IF(PROVEEDORES[[#This Row],[FECHA DE PAGO]]=PROVEEDORES[[#This Row],[FECHA DE FACTURACIÓN]],"DE CONTADO","CRÉDITO")</f>
        <v>CRÉDITO</v>
      </c>
      <c r="B1459" s="70" t="str">
        <f>+IF((PROVEEDORES[[#This Row],[FECHA DE PAGO]]-PROVEEDORES[[#This Row],[FECHA DE FACTURACIÓN]])&gt;PROVEEDORES[[#This Row],[PLAZO Días]],"PAGO VENCIDO")</f>
        <v>PAGO VENCIDO</v>
      </c>
      <c r="C1459" s="27">
        <f>+VLOOKUP(PROVEEDORES[[#This Row],[PROVEEDOR]],TERCEROS_INFO[#All],2,FALSE)</f>
        <v>30</v>
      </c>
      <c r="D1459" s="37">
        <f>+SUMIFS(PROVEEDORES[Total],PROVEEDORES[PROVEEDOR],PROVEEDORES[[#This Row],[PROVEEDOR]],PROVEEDORES[FECHA DE PAGO],"")</f>
        <v>3361887.1</v>
      </c>
      <c r="E1459" s="37"/>
      <c r="F1459" s="108" t="str">
        <f>+VLOOKUP(PROVEEDORES[[#This Row],[PROVEEDOR]],TERCEROS_INFO[[PROVEEDOR]:[CORREO]],5,FALSE)</f>
        <v>financiera@nalpicentral.com;girlesa.ruiz@servipilas.com;joriescobar64@gmail.com</v>
      </c>
      <c r="G1459" s="143">
        <v>44498</v>
      </c>
      <c r="H1459" s="38" t="s">
        <v>22</v>
      </c>
      <c r="I1459" s="30">
        <v>44427</v>
      </c>
      <c r="J1459" s="58">
        <v>22156</v>
      </c>
      <c r="K1459" s="32">
        <v>376000</v>
      </c>
      <c r="L1459" s="32"/>
      <c r="M1459" s="33">
        <f>(PROVEEDORES[[#This Row],[SUBTOTAL]]-PROVEEDORES[[#This Row],[descuento antes de IVA]])*VLOOKUP(PROVEEDORES[[#This Row],[PROVEEDOR]],TERCEROS_INFO[#All],3,FALSE)</f>
        <v>71440</v>
      </c>
      <c r="N1459" s="34"/>
      <c r="O1459" s="33">
        <f>+PROVEEDORES[[#This Row],[Descuento sobre subtotal %]]*(PROVEEDORES[[#This Row],[SUBTOTAL]]-PROVEEDORES[[#This Row],[descuento antes de IVA]])</f>
        <v>0</v>
      </c>
      <c r="P14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59" s="33">
        <f>+(PROVEEDORES[[#This Row],[SUBTOTAL]]-PROVEEDORES[[#This Row],[descuento antes de IVA]])*PROVEEDORES[[#This Row],[Rete Fuente %]]</f>
        <v>0</v>
      </c>
      <c r="R1459" s="32">
        <f>+PROVEEDORES[[#This Row],[SUBTOTAL]]+PROVEEDORES[[#This Row],[IVA 19%]]-PROVEEDORES[[#This Row],[descuento antes de IVA]]-PROVEEDORES[[#This Row],[Descuento sobre subtotal $]]-PROVEEDORES[[#This Row],[Rete Fuente $]]</f>
        <v>447440</v>
      </c>
      <c r="S1459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60" spans="1:19" ht="21.95" hidden="1" customHeight="1" x14ac:dyDescent="0.25">
      <c r="A1460" s="144" t="str">
        <f>+IF(PROVEEDORES[[#This Row],[FECHA DE PAGO]]=PROVEEDORES[[#This Row],[FECHA DE FACTURACIÓN]],"DE CONTADO","CRÉDITO")</f>
        <v>CRÉDITO</v>
      </c>
      <c r="B1460" s="70" t="str">
        <f>+IF((PROVEEDORES[[#This Row],[FECHA DE PAGO]]-PROVEEDORES[[#This Row],[FECHA DE FACTURACIÓN]])&gt;PROVEEDORES[[#This Row],[PLAZO Días]],"PAGO VENCIDO")</f>
        <v>PAGO VENCIDO</v>
      </c>
      <c r="C1460" s="27">
        <f>+VLOOKUP(PROVEEDORES[[#This Row],[PROVEEDOR]],TERCEROS_INFO[#All],2,FALSE)</f>
        <v>30</v>
      </c>
      <c r="D1460" s="37">
        <f>+SUMIFS(PROVEEDORES[Total],PROVEEDORES[PROVEEDOR],PROVEEDORES[[#This Row],[PROVEEDOR]],PROVEEDORES[FECHA DE PAGO],"")</f>
        <v>3361887.1</v>
      </c>
      <c r="E1460" s="37"/>
      <c r="F1460" s="108" t="str">
        <f>+VLOOKUP(PROVEEDORES[[#This Row],[PROVEEDOR]],TERCEROS_INFO[[PROVEEDOR]:[CORREO]],5,FALSE)</f>
        <v>financiera@nalpicentral.com;girlesa.ruiz@servipilas.com;joriescobar64@gmail.com</v>
      </c>
      <c r="G1460" s="143">
        <v>44498</v>
      </c>
      <c r="H1460" s="38" t="s">
        <v>22</v>
      </c>
      <c r="I1460" s="30">
        <v>44434</v>
      </c>
      <c r="J1460" s="58">
        <v>22248</v>
      </c>
      <c r="K1460" s="32">
        <v>1912672</v>
      </c>
      <c r="L1460" s="32">
        <v>88792</v>
      </c>
      <c r="M1460" s="33">
        <f>(PROVEEDORES[[#This Row],[SUBTOTAL]]-PROVEEDORES[[#This Row],[descuento antes de IVA]])*VLOOKUP(PROVEEDORES[[#This Row],[PROVEEDOR]],TERCEROS_INFO[#All],3,FALSE)</f>
        <v>346537.2</v>
      </c>
      <c r="N1460" s="34"/>
      <c r="O1460" s="33">
        <f>+PROVEEDORES[[#This Row],[Descuento sobre subtotal %]]*(PROVEEDORES[[#This Row],[SUBTOTAL]]-PROVEEDORES[[#This Row],[descuento antes de IVA]])</f>
        <v>0</v>
      </c>
      <c r="P14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60" s="33">
        <f>+(PROVEEDORES[[#This Row],[SUBTOTAL]]-PROVEEDORES[[#This Row],[descuento antes de IVA]])*PROVEEDORES[[#This Row],[Rete Fuente %]]</f>
        <v>45597</v>
      </c>
      <c r="R1460" s="32">
        <f>+PROVEEDORES[[#This Row],[SUBTOTAL]]+PROVEEDORES[[#This Row],[IVA 19%]]-PROVEEDORES[[#This Row],[descuento antes de IVA]]-PROVEEDORES[[#This Row],[Descuento sobre subtotal $]]-PROVEEDORES[[#This Row],[Rete Fuente $]]</f>
        <v>2124820.2000000002</v>
      </c>
      <c r="S1460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61" spans="1:19" ht="21.95" hidden="1" customHeight="1" x14ac:dyDescent="0.25">
      <c r="A1461" s="155" t="str">
        <f>+IF(PROVEEDORES[[#This Row],[FECHA DE PAGO]]=PROVEEDORES[[#This Row],[FECHA DE FACTURACIÓN]],"DE CONTADO","CRÉDITO")</f>
        <v>CRÉDITO</v>
      </c>
      <c r="B1461" s="70" t="str">
        <f>+IF((PROVEEDORES[[#This Row],[FECHA DE PAGO]]-PROVEEDORES[[#This Row],[FECHA DE FACTURACIÓN]])&gt;PROVEEDORES[[#This Row],[PLAZO Días]],"PAGO VENCIDO")</f>
        <v>PAGO VENCIDO</v>
      </c>
      <c r="C1461" s="27">
        <f>+VLOOKUP(PROVEEDORES[[#This Row],[PROVEEDOR]],TERCEROS_INFO[#All],2,FALSE)</f>
        <v>30</v>
      </c>
      <c r="D1461" s="37">
        <f>+SUMIFS(PROVEEDORES[Total],PROVEEDORES[PROVEEDOR],PROVEEDORES[[#This Row],[PROVEEDOR]],PROVEEDORES[FECHA DE PAGO],"")</f>
        <v>3361887.1</v>
      </c>
      <c r="E1461" s="37"/>
      <c r="F1461" s="108" t="str">
        <f>+VLOOKUP(PROVEEDORES[[#This Row],[PROVEEDOR]],TERCEROS_INFO[[PROVEEDOR]:[CORREO]],5,FALSE)</f>
        <v>financiera@nalpicentral.com;girlesa.ruiz@servipilas.com;joriescobar64@gmail.com</v>
      </c>
      <c r="G1461" s="143">
        <v>44537</v>
      </c>
      <c r="H1461" s="38" t="s">
        <v>22</v>
      </c>
      <c r="I1461" s="30">
        <v>44475</v>
      </c>
      <c r="J1461" s="58">
        <v>22816</v>
      </c>
      <c r="K1461" s="32">
        <v>870000</v>
      </c>
      <c r="L1461" s="32"/>
      <c r="M1461" s="33">
        <f>(PROVEEDORES[[#This Row],[SUBTOTAL]]-PROVEEDORES[[#This Row],[descuento antes de IVA]])*VLOOKUP(PROVEEDORES[[#This Row],[PROVEEDOR]],TERCEROS_INFO[#All],3,FALSE)</f>
        <v>165300</v>
      </c>
      <c r="N1461" s="34"/>
      <c r="O1461" s="33">
        <f>+PROVEEDORES[[#This Row],[Descuento sobre subtotal %]]*(PROVEEDORES[[#This Row],[SUBTOTAL]]-PROVEEDORES[[#This Row],[descuento antes de IVA]])</f>
        <v>0</v>
      </c>
      <c r="P14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61" s="33">
        <f>+(PROVEEDORES[[#This Row],[SUBTOTAL]]-PROVEEDORES[[#This Row],[descuento antes de IVA]])*PROVEEDORES[[#This Row],[Rete Fuente %]]</f>
        <v>0</v>
      </c>
      <c r="R1461" s="32">
        <f>+PROVEEDORES[[#This Row],[SUBTOTAL]]+PROVEEDORES[[#This Row],[IVA 19%]]-PROVEEDORES[[#This Row],[descuento antes de IVA]]-PROVEEDORES[[#This Row],[Descuento sobre subtotal $]]-PROVEEDORES[[#This Row],[Rete Fuente $]]</f>
        <v>1035300</v>
      </c>
      <c r="S1461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62" spans="1:19" ht="21.95" hidden="1" customHeight="1" x14ac:dyDescent="0.25">
      <c r="A1462" s="156" t="str">
        <f>+IF(PROVEEDORES[[#This Row],[FECHA DE PAGO]]=PROVEEDORES[[#This Row],[FECHA DE FACTURACIÓN]],"DE CONTADO","CRÉDITO")</f>
        <v>CRÉDITO</v>
      </c>
      <c r="B1462" s="70" t="str">
        <f>+IF((PROVEEDORES[[#This Row],[FECHA DE PAGO]]-PROVEEDORES[[#This Row],[FECHA DE FACTURACIÓN]])&gt;PROVEEDORES[[#This Row],[PLAZO Días]],"PAGO VENCIDO")</f>
        <v>PAGO VENCIDO</v>
      </c>
      <c r="C1462" s="27">
        <f>+VLOOKUP(PROVEEDORES[[#This Row],[PROVEEDOR]],TERCEROS_INFO[#All],2,FALSE)</f>
        <v>30</v>
      </c>
      <c r="D1462" s="37">
        <f>+SUMIFS(PROVEEDORES[Total],PROVEEDORES[PROVEEDOR],PROVEEDORES[[#This Row],[PROVEEDOR]],PROVEEDORES[FECHA DE PAGO],"")</f>
        <v>3361887.1</v>
      </c>
      <c r="E1462" s="37"/>
      <c r="F1462" s="108" t="str">
        <f>+VLOOKUP(PROVEEDORES[[#This Row],[PROVEEDOR]],TERCEROS_INFO[[PROVEEDOR]:[CORREO]],5,FALSE)</f>
        <v>financiera@nalpicentral.com;girlesa.ruiz@servipilas.com;joriescobar64@gmail.com</v>
      </c>
      <c r="G1462" s="143">
        <v>44537</v>
      </c>
      <c r="H1462" s="38" t="s">
        <v>22</v>
      </c>
      <c r="I1462" s="30">
        <v>44482</v>
      </c>
      <c r="J1462" s="58">
        <v>22907</v>
      </c>
      <c r="K1462" s="32">
        <v>300000</v>
      </c>
      <c r="L1462" s="32"/>
      <c r="M1462" s="33">
        <f>(PROVEEDORES[[#This Row],[SUBTOTAL]]-PROVEEDORES[[#This Row],[descuento antes de IVA]])*VLOOKUP(PROVEEDORES[[#This Row],[PROVEEDOR]],TERCEROS_INFO[#All],3,FALSE)</f>
        <v>57000</v>
      </c>
      <c r="N1462" s="34"/>
      <c r="O1462" s="33">
        <f>+PROVEEDORES[[#This Row],[Descuento sobre subtotal %]]*(PROVEEDORES[[#This Row],[SUBTOTAL]]-PROVEEDORES[[#This Row],[descuento antes de IVA]])</f>
        <v>0</v>
      </c>
      <c r="P14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62" s="33">
        <f>+(PROVEEDORES[[#This Row],[SUBTOTAL]]-PROVEEDORES[[#This Row],[descuento antes de IVA]])*PROVEEDORES[[#This Row],[Rete Fuente %]]</f>
        <v>0</v>
      </c>
      <c r="R1462" s="32">
        <f>+PROVEEDORES[[#This Row],[SUBTOTAL]]+PROVEEDORES[[#This Row],[IVA 19%]]-PROVEEDORES[[#This Row],[descuento antes de IVA]]-PROVEEDORES[[#This Row],[Descuento sobre subtotal $]]-PROVEEDORES[[#This Row],[Rete Fuente $]]</f>
        <v>357000</v>
      </c>
      <c r="S1462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63" spans="1:19" ht="21.95" hidden="1" customHeight="1" x14ac:dyDescent="0.25">
      <c r="A1463" s="157" t="str">
        <f>+IF(PROVEEDORES[[#This Row],[FECHA DE PAGO]]=PROVEEDORES[[#This Row],[FECHA DE FACTURACIÓN]],"DE CONTADO","CRÉDITO")</f>
        <v>CRÉDITO</v>
      </c>
      <c r="B1463" s="70" t="str">
        <f>+IF((PROVEEDORES[[#This Row],[FECHA DE PAGO]]-PROVEEDORES[[#This Row],[FECHA DE FACTURACIÓN]])&gt;PROVEEDORES[[#This Row],[PLAZO Días]],"PAGO VENCIDO")</f>
        <v>PAGO VENCIDO</v>
      </c>
      <c r="C1463" s="27">
        <f>+VLOOKUP(PROVEEDORES[[#This Row],[PROVEEDOR]],TERCEROS_INFO[#All],2,FALSE)</f>
        <v>30</v>
      </c>
      <c r="D1463" s="37">
        <f>+SUMIFS(PROVEEDORES[Total],PROVEEDORES[PROVEEDOR],PROVEEDORES[[#This Row],[PROVEEDOR]],PROVEEDORES[FECHA DE PAGO],"")</f>
        <v>3361887.1</v>
      </c>
      <c r="E1463" s="37"/>
      <c r="F1463" s="108" t="str">
        <f>+VLOOKUP(PROVEEDORES[[#This Row],[PROVEEDOR]],TERCEROS_INFO[[PROVEEDOR]:[CORREO]],5,FALSE)</f>
        <v>financiera@nalpicentral.com;girlesa.ruiz@servipilas.com;joriescobar64@gmail.com</v>
      </c>
      <c r="G1463" s="143">
        <v>44537</v>
      </c>
      <c r="H1463" s="38" t="s">
        <v>22</v>
      </c>
      <c r="I1463" s="30">
        <v>44490</v>
      </c>
      <c r="J1463" s="58">
        <v>23042</v>
      </c>
      <c r="K1463" s="32">
        <v>2798870</v>
      </c>
      <c r="L1463" s="32">
        <v>110990</v>
      </c>
      <c r="M1463" s="33">
        <f>(PROVEEDORES[[#This Row],[SUBTOTAL]]-PROVEEDORES[[#This Row],[descuento antes de IVA]])*VLOOKUP(PROVEEDORES[[#This Row],[PROVEEDOR]],TERCEROS_INFO[#All],3,FALSE)</f>
        <v>510697.2</v>
      </c>
      <c r="N1463" s="34"/>
      <c r="O1463" s="33">
        <f>+PROVEEDORES[[#This Row],[Descuento sobre subtotal %]]*(PROVEEDORES[[#This Row],[SUBTOTAL]]-PROVEEDORES[[#This Row],[descuento antes de IVA]])</f>
        <v>0</v>
      </c>
      <c r="P14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63" s="33">
        <f>+(PROVEEDORES[[#This Row],[SUBTOTAL]]-PROVEEDORES[[#This Row],[descuento antes de IVA]])*PROVEEDORES[[#This Row],[Rete Fuente %]]</f>
        <v>67197</v>
      </c>
      <c r="R1463" s="32">
        <f>+PROVEEDORES[[#This Row],[SUBTOTAL]]+PROVEEDORES[[#This Row],[IVA 19%]]-PROVEEDORES[[#This Row],[descuento antes de IVA]]-PROVEEDORES[[#This Row],[Descuento sobre subtotal $]]-PROVEEDORES[[#This Row],[Rete Fuente $]]</f>
        <v>3131380.2</v>
      </c>
      <c r="S1463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64" spans="1:19" ht="21.95" hidden="1" customHeight="1" x14ac:dyDescent="0.25">
      <c r="A1464" s="165" t="str">
        <f>+IF(PROVEEDORES[[#This Row],[FECHA DE PAGO]]=PROVEEDORES[[#This Row],[FECHA DE FACTURACIÓN]],"DE CONTADO","CRÉDITO")</f>
        <v>CRÉDITO</v>
      </c>
      <c r="B1464" s="70" t="str">
        <f>+IF((PROVEEDORES[[#This Row],[FECHA DE PAGO]]-PROVEEDORES[[#This Row],[FECHA DE FACTURACIÓN]])&gt;PROVEEDORES[[#This Row],[PLAZO Días]],"PAGO VENCIDO")</f>
        <v>PAGO VENCIDO</v>
      </c>
      <c r="C1464" s="27">
        <f>+VLOOKUP(PROVEEDORES[[#This Row],[PROVEEDOR]],TERCEROS_INFO[#All],2,FALSE)</f>
        <v>30</v>
      </c>
      <c r="D1464" s="37">
        <f>+SUMIFS(PROVEEDORES[Total],PROVEEDORES[PROVEEDOR],PROVEEDORES[[#This Row],[PROVEEDOR]],PROVEEDORES[FECHA DE PAGO],"")</f>
        <v>3361887.1</v>
      </c>
      <c r="E1464" s="37"/>
      <c r="F1464" s="108" t="str">
        <f>+VLOOKUP(PROVEEDORES[[#This Row],[PROVEEDOR]],TERCEROS_INFO[[PROVEEDOR]:[CORREO]],5,FALSE)</f>
        <v>financiera@nalpicentral.com;girlesa.ruiz@servipilas.com;joriescobar64@gmail.com</v>
      </c>
      <c r="G1464" s="143">
        <v>44554</v>
      </c>
      <c r="H1464" s="38" t="s">
        <v>22</v>
      </c>
      <c r="I1464" s="30">
        <v>44522</v>
      </c>
      <c r="J1464" s="58">
        <v>7732</v>
      </c>
      <c r="K1464" s="32">
        <v>256000</v>
      </c>
      <c r="L1464" s="32"/>
      <c r="M1464" s="33">
        <f>(PROVEEDORES[[#This Row],[SUBTOTAL]]-PROVEEDORES[[#This Row],[descuento antes de IVA]])*VLOOKUP(PROVEEDORES[[#This Row],[PROVEEDOR]],TERCEROS_INFO[#All],3,FALSE)</f>
        <v>48640</v>
      </c>
      <c r="N1464" s="34"/>
      <c r="O1464" s="33">
        <f>+PROVEEDORES[[#This Row],[Descuento sobre subtotal %]]*(PROVEEDORES[[#This Row],[SUBTOTAL]]-PROVEEDORES[[#This Row],[descuento antes de IVA]])</f>
        <v>0</v>
      </c>
      <c r="P14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64" s="33">
        <f>+(PROVEEDORES[[#This Row],[SUBTOTAL]]-PROVEEDORES[[#This Row],[descuento antes de IVA]])*PROVEEDORES[[#This Row],[Rete Fuente %]]</f>
        <v>0</v>
      </c>
      <c r="R1464" s="32">
        <f>+PROVEEDORES[[#This Row],[SUBTOTAL]]+PROVEEDORES[[#This Row],[IVA 19%]]-PROVEEDORES[[#This Row],[descuento antes de IVA]]-PROVEEDORES[[#This Row],[Descuento sobre subtotal $]]-PROVEEDORES[[#This Row],[Rete Fuente $]]</f>
        <v>304640</v>
      </c>
      <c r="S1464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65" spans="1:19" ht="21.95" hidden="1" customHeight="1" x14ac:dyDescent="0.25">
      <c r="A1465" s="167" t="str">
        <f>+IF(PROVEEDORES[[#This Row],[FECHA DE PAGO]]=PROVEEDORES[[#This Row],[FECHA DE FACTURACIÓN]],"DE CONTADO","CRÉDITO")</f>
        <v>CRÉDITO</v>
      </c>
      <c r="B1465" s="70" t="b">
        <f>+IF((PROVEEDORES[[#This Row],[FECHA DE PAGO]]-PROVEEDORES[[#This Row],[FECHA DE FACTURACIÓN]])&gt;PROVEEDORES[[#This Row],[PLAZO Días]],"PAGO VENCIDO")</f>
        <v>0</v>
      </c>
      <c r="C1465" s="27">
        <f>+VLOOKUP(PROVEEDORES[[#This Row],[PROVEEDOR]],TERCEROS_INFO[#All],2,FALSE)</f>
        <v>30</v>
      </c>
      <c r="D1465" s="37">
        <f>+SUMIFS(PROVEEDORES[Total],PROVEEDORES[PROVEEDOR],PROVEEDORES[[#This Row],[PROVEEDOR]],PROVEEDORES[FECHA DE PAGO],"")</f>
        <v>3361887.1</v>
      </c>
      <c r="E1465" s="37"/>
      <c r="F1465" s="108" t="str">
        <f>+VLOOKUP(PROVEEDORES[[#This Row],[PROVEEDOR]],TERCEROS_INFO[[PROVEEDOR]:[CORREO]],5,FALSE)</f>
        <v>financiera@nalpicentral.com;girlesa.ruiz@servipilas.com;joriescobar64@gmail.com</v>
      </c>
      <c r="G1465" s="143">
        <v>44558</v>
      </c>
      <c r="H1465" s="38" t="s">
        <v>22</v>
      </c>
      <c r="I1465" s="30">
        <v>44530</v>
      </c>
      <c r="J1465" s="58">
        <v>23709</v>
      </c>
      <c r="K1465" s="32">
        <v>736000</v>
      </c>
      <c r="L1465" s="32"/>
      <c r="M1465" s="33">
        <f>(PROVEEDORES[[#This Row],[SUBTOTAL]]-PROVEEDORES[[#This Row],[descuento antes de IVA]])*VLOOKUP(PROVEEDORES[[#This Row],[PROVEEDOR]],TERCEROS_INFO[#All],3,FALSE)</f>
        <v>139840</v>
      </c>
      <c r="N1465" s="34"/>
      <c r="O1465" s="33">
        <f>+PROVEEDORES[[#This Row],[Descuento sobre subtotal %]]*(PROVEEDORES[[#This Row],[SUBTOTAL]]-PROVEEDORES[[#This Row],[descuento antes de IVA]])</f>
        <v>0</v>
      </c>
      <c r="P14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65" s="33">
        <f>+(PROVEEDORES[[#This Row],[SUBTOTAL]]-PROVEEDORES[[#This Row],[descuento antes de IVA]])*PROVEEDORES[[#This Row],[Rete Fuente %]]</f>
        <v>0</v>
      </c>
      <c r="R1465" s="32">
        <f>+PROVEEDORES[[#This Row],[SUBTOTAL]]+PROVEEDORES[[#This Row],[IVA 19%]]-PROVEEDORES[[#This Row],[descuento antes de IVA]]-PROVEEDORES[[#This Row],[Descuento sobre subtotal $]]-PROVEEDORES[[#This Row],[Rete Fuente $]]</f>
        <v>875840</v>
      </c>
      <c r="S1465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66" spans="1:19" ht="21.95" hidden="1" customHeight="1" x14ac:dyDescent="0.25">
      <c r="A1466" s="35" t="str">
        <f>+IF(PROVEEDORES[[#This Row],[FECHA DE PAGO]]=PROVEEDORES[[#This Row],[FECHA DE FACTURACIÓN]],"DE CONTADO","CRÉDITO")</f>
        <v>CRÉDITO</v>
      </c>
      <c r="B1466" s="70" t="b">
        <f>+IF((PROVEEDORES[[#This Row],[FECHA DE PAGO]]-PROVEEDORES[[#This Row],[FECHA DE FACTURACIÓN]])&gt;PROVEEDORES[[#This Row],[PLAZO Días]],"PAGO VENCIDO")</f>
        <v>0</v>
      </c>
      <c r="C1466" s="27">
        <f>+VLOOKUP(PROVEEDORES[[#This Row],[PROVEEDOR]],TERCEROS_INFO[#All],2,FALSE)</f>
        <v>30</v>
      </c>
      <c r="D1466" s="37">
        <f>+SUMIFS(PROVEEDORES[Total],PROVEEDORES[PROVEEDOR],PROVEEDORES[[#This Row],[PROVEEDOR]],PROVEEDORES[FECHA DE PAGO],"")</f>
        <v>3361887.1</v>
      </c>
      <c r="E1466" s="37"/>
      <c r="F1466" s="108" t="str">
        <f>+VLOOKUP(PROVEEDORES[[#This Row],[PROVEEDOR]],TERCEROS_INFO[[PROVEEDOR]:[CORREO]],5,FALSE)</f>
        <v>financiera@nalpicentral.com;girlesa.ruiz@servipilas.com;joriescobar64@gmail.com</v>
      </c>
      <c r="H1466" s="38" t="s">
        <v>22</v>
      </c>
      <c r="I1466" s="30">
        <v>44550</v>
      </c>
      <c r="J1466" s="58">
        <v>24019</v>
      </c>
      <c r="K1466" s="32">
        <v>2885740</v>
      </c>
      <c r="L1466" s="32"/>
      <c r="M1466" s="33">
        <f>(PROVEEDORES[[#This Row],[SUBTOTAL]]-PROVEEDORES[[#This Row],[descuento antes de IVA]])*VLOOKUP(PROVEEDORES[[#This Row],[PROVEEDOR]],TERCEROS_INFO[#All],3,FALSE)</f>
        <v>548290.6</v>
      </c>
      <c r="N1466" s="34"/>
      <c r="O1466" s="33">
        <f>+PROVEEDORES[[#This Row],[Descuento sobre subtotal %]]*(PROVEEDORES[[#This Row],[SUBTOTAL]]-PROVEEDORES[[#This Row],[descuento antes de IVA]])</f>
        <v>0</v>
      </c>
      <c r="P14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66" s="33">
        <f>+(PROVEEDORES[[#This Row],[SUBTOTAL]]-PROVEEDORES[[#This Row],[descuento antes de IVA]])*PROVEEDORES[[#This Row],[Rete Fuente %]]</f>
        <v>72143.5</v>
      </c>
      <c r="R1466" s="32">
        <f>+PROVEEDORES[[#This Row],[SUBTOTAL]]+PROVEEDORES[[#This Row],[IVA 19%]]-PROVEEDORES[[#This Row],[descuento antes de IVA]]-PROVEEDORES[[#This Row],[Descuento sobre subtotal $]]-PROVEEDORES[[#This Row],[Rete Fuente $]]</f>
        <v>3361887.1</v>
      </c>
      <c r="S1466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467" spans="1:19" ht="21.95" hidden="1" customHeight="1" x14ac:dyDescent="0.25">
      <c r="A1467" s="39" t="str">
        <f>+IF(PROVEEDORES[[#This Row],[FECHA DE PAGO]]=PROVEEDORES[[#This Row],[FECHA DE FACTURACIÓN]],"DE CONTADO","CRÉDITO")</f>
        <v>CRÉDITO</v>
      </c>
      <c r="B1467" s="67" t="str">
        <f>+IF((PROVEEDORES[[#This Row],[FECHA DE PAGO]]-PROVEEDORES[[#This Row],[FECHA DE FACTURACIÓN]])&gt;PROVEEDORES[[#This Row],[PLAZO Días]],"PAGO VENCIDO")</f>
        <v>PAGO VENCIDO</v>
      </c>
      <c r="C1467" s="27">
        <f>+VLOOKUP(PROVEEDORES[[#This Row],[PROVEEDOR]],TERCEROS_INFO[#All],2,FALSE)</f>
        <v>30</v>
      </c>
      <c r="D1467" s="37">
        <f>+SUMIFS(PROVEEDORES[Total],PROVEEDORES[PROVEEDOR],PROVEEDORES[[#This Row],[PROVEEDOR]],PROVEEDORES[FECHA DE PAGO],"")</f>
        <v>4644429.7750000004</v>
      </c>
      <c r="E1467" s="37"/>
      <c r="F1467" s="108" t="str">
        <f>+VLOOKUP(PROVEEDORES[[#This Row],[PROVEEDOR]],TERCEROS_INFO[[PROVEEDOR]:[CORREO]],5,FALSE)</f>
        <v>supervisorventasbridge@gmail.com;newtimewatches1@gmail.com;girlesa.ruiz@servipilas.com;joriescobar64@gmail.com</v>
      </c>
      <c r="G1467" s="143">
        <v>43990</v>
      </c>
      <c r="H1467" s="38" t="s">
        <v>330</v>
      </c>
      <c r="I1467" s="30">
        <v>43878</v>
      </c>
      <c r="J1467" s="58">
        <v>504</v>
      </c>
      <c r="K1467" s="32">
        <v>568383.19327731093</v>
      </c>
      <c r="L1467" s="32"/>
      <c r="M1467" s="33">
        <f>(PROVEEDORES[[#This Row],[SUBTOTAL]]-PROVEEDORES[[#This Row],[descuento antes de IVA]])*VLOOKUP(PROVEEDORES[[#This Row],[PROVEEDOR]],TERCEROS_INFO[#All],3,FALSE)</f>
        <v>107992.80672268907</v>
      </c>
      <c r="N1467" s="34"/>
      <c r="O1467" s="33">
        <f>+PROVEEDORES[[#This Row],[Descuento sobre subtotal %]]*(PROVEEDORES[[#This Row],[SUBTOTAL]]-PROVEEDORES[[#This Row],[descuento antes de IVA]])</f>
        <v>0</v>
      </c>
      <c r="P14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67" s="33">
        <f>+(PROVEEDORES[[#This Row],[SUBTOTAL]]-PROVEEDORES[[#This Row],[descuento antes de IVA]])*PROVEEDORES[[#This Row],[Rete Fuente %]]</f>
        <v>0</v>
      </c>
      <c r="R1467" s="32">
        <f>+PROVEEDORES[[#This Row],[SUBTOTAL]]+PROVEEDORES[[#This Row],[IVA 19%]]-PROVEEDORES[[#This Row],[descuento antes de IVA]]-PROVEEDORES[[#This Row],[Descuento sobre subtotal $]]-PROVEEDORES[[#This Row],[Rete Fuente $]]</f>
        <v>676376</v>
      </c>
      <c r="S146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68" spans="1:19" ht="21.95" hidden="1" customHeight="1" x14ac:dyDescent="0.25">
      <c r="A1468" s="39" t="str">
        <f>+IF(PROVEEDORES[[#This Row],[FECHA DE PAGO]]=PROVEEDORES[[#This Row],[FECHA DE FACTURACIÓN]],"DE CONTADO","CRÉDITO")</f>
        <v>CRÉDITO</v>
      </c>
      <c r="B1468" s="67" t="str">
        <f>+IF((PROVEEDORES[[#This Row],[FECHA DE PAGO]]-PROVEEDORES[[#This Row],[FECHA DE FACTURACIÓN]])&gt;PROVEEDORES[[#This Row],[PLAZO Días]],"PAGO VENCIDO")</f>
        <v>PAGO VENCIDO</v>
      </c>
      <c r="C1468" s="27">
        <f>+VLOOKUP(PROVEEDORES[[#This Row],[PROVEEDOR]],TERCEROS_INFO[#All],2,FALSE)</f>
        <v>30</v>
      </c>
      <c r="D1468" s="37">
        <f>+SUMIFS(PROVEEDORES[Total],PROVEEDORES[PROVEEDOR],PROVEEDORES[[#This Row],[PROVEEDOR]],PROVEEDORES[FECHA DE PAGO],"")</f>
        <v>4644429.7750000004</v>
      </c>
      <c r="E1468" s="37"/>
      <c r="F1468" s="108" t="str">
        <f>+VLOOKUP(PROVEEDORES[[#This Row],[PROVEEDOR]],TERCEROS_INFO[[PROVEEDOR]:[CORREO]],5,FALSE)</f>
        <v>supervisorventasbridge@gmail.com;newtimewatches1@gmail.com;girlesa.ruiz@servipilas.com;joriescobar64@gmail.com</v>
      </c>
      <c r="G1468" s="143">
        <v>44168</v>
      </c>
      <c r="H1468" s="38" t="s">
        <v>330</v>
      </c>
      <c r="I1468" s="30">
        <v>44131</v>
      </c>
      <c r="J1468" s="58">
        <v>19</v>
      </c>
      <c r="K1468" s="32">
        <v>698162.18487394962</v>
      </c>
      <c r="L1468" s="32"/>
      <c r="M1468" s="33">
        <f>(PROVEEDORES[[#This Row],[SUBTOTAL]]-PROVEEDORES[[#This Row],[descuento antes de IVA]])*VLOOKUP(PROVEEDORES[[#This Row],[PROVEEDOR]],TERCEROS_INFO[#All],3,FALSE)</f>
        <v>132650.81512605044</v>
      </c>
      <c r="N1468" s="34"/>
      <c r="O1468" s="33">
        <f>+PROVEEDORES[[#This Row],[Descuento sobre subtotal %]]*(PROVEEDORES[[#This Row],[SUBTOTAL]]-PROVEEDORES[[#This Row],[descuento antes de IVA]])</f>
        <v>0</v>
      </c>
      <c r="P14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68" s="33">
        <f>+(PROVEEDORES[[#This Row],[SUBTOTAL]]-PROVEEDORES[[#This Row],[descuento antes de IVA]])*PROVEEDORES[[#This Row],[Rete Fuente %]]</f>
        <v>0</v>
      </c>
      <c r="R1468" s="32">
        <f>+PROVEEDORES[[#This Row],[SUBTOTAL]]+PROVEEDORES[[#This Row],[IVA 19%]]-PROVEEDORES[[#This Row],[descuento antes de IVA]]-PROVEEDORES[[#This Row],[Descuento sobre subtotal $]]-PROVEEDORES[[#This Row],[Rete Fuente $]]</f>
        <v>830813</v>
      </c>
      <c r="S146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69" spans="1:19" ht="21.95" hidden="1" customHeight="1" x14ac:dyDescent="0.25">
      <c r="A1469" s="88" t="str">
        <f>+IF(PROVEEDORES[[#This Row],[FECHA DE PAGO]]=PROVEEDORES[[#This Row],[FECHA DE FACTURACIÓN]],"DE CONTADO","CRÉDITO")</f>
        <v>CRÉDITO</v>
      </c>
      <c r="B1469" s="70" t="str">
        <f>+IF((PROVEEDORES[[#This Row],[FECHA DE PAGO]]-PROVEEDORES[[#This Row],[FECHA DE FACTURACIÓN]])&gt;PROVEEDORES[[#This Row],[PLAZO Días]],"PAGO VENCIDO")</f>
        <v>PAGO VENCIDO</v>
      </c>
      <c r="C1469" s="27">
        <f>+VLOOKUP(PROVEEDORES[[#This Row],[PROVEEDOR]],TERCEROS_INFO[#All],2,FALSE)</f>
        <v>30</v>
      </c>
      <c r="D1469" s="37">
        <f>+SUMIFS(PROVEEDORES[Total],PROVEEDORES[PROVEEDOR],PROVEEDORES[[#This Row],[PROVEEDOR]],PROVEEDORES[FECHA DE PAGO],"")</f>
        <v>4644429.7750000004</v>
      </c>
      <c r="E1469" s="37"/>
      <c r="F1469" s="108" t="str">
        <f>+VLOOKUP(PROVEEDORES[[#This Row],[PROVEEDOR]],TERCEROS_INFO[[PROVEEDOR]:[CORREO]],5,FALSE)</f>
        <v>supervisorventasbridge@gmail.com;newtimewatches1@gmail.com;girlesa.ruiz@servipilas.com;joriescobar64@gmail.com</v>
      </c>
      <c r="G1469" s="143">
        <v>44285</v>
      </c>
      <c r="H1469" s="38" t="s">
        <v>330</v>
      </c>
      <c r="I1469" s="30">
        <v>44246</v>
      </c>
      <c r="J1469" s="58" t="s">
        <v>506</v>
      </c>
      <c r="K1469" s="32">
        <v>1335643</v>
      </c>
      <c r="L1469" s="32">
        <v>128222</v>
      </c>
      <c r="M1469" s="33">
        <f>(PROVEEDORES[[#This Row],[SUBTOTAL]]-PROVEEDORES[[#This Row],[descuento antes de IVA]])*VLOOKUP(PROVEEDORES[[#This Row],[PROVEEDOR]],TERCEROS_INFO[#All],3,FALSE)</f>
        <v>229409.99</v>
      </c>
      <c r="N1469" s="34"/>
      <c r="O1469" s="33">
        <f>+PROVEEDORES[[#This Row],[Descuento sobre subtotal %]]*(PROVEEDORES[[#This Row],[SUBTOTAL]]-PROVEEDORES[[#This Row],[descuento antes de IVA]])</f>
        <v>0</v>
      </c>
      <c r="P14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69" s="33">
        <f>+(PROVEEDORES[[#This Row],[SUBTOTAL]]-PROVEEDORES[[#This Row],[descuento antes de IVA]])*PROVEEDORES[[#This Row],[Rete Fuente %]]</f>
        <v>30185.525000000001</v>
      </c>
      <c r="R1469" s="32">
        <f>+PROVEEDORES[[#This Row],[SUBTOTAL]]+PROVEEDORES[[#This Row],[IVA 19%]]-PROVEEDORES[[#This Row],[descuento antes de IVA]]-PROVEEDORES[[#This Row],[Descuento sobre subtotal $]]-PROVEEDORES[[#This Row],[Rete Fuente $]]</f>
        <v>1406645.4650000001</v>
      </c>
      <c r="S146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70" spans="1:19" ht="21.95" hidden="1" customHeight="1" x14ac:dyDescent="0.25">
      <c r="A1470" s="133" t="str">
        <f>+IF(PROVEEDORES[[#This Row],[FECHA DE PAGO]]=PROVEEDORES[[#This Row],[FECHA DE FACTURACIÓN]],"DE CONTADO","CRÉDITO")</f>
        <v>CRÉDITO</v>
      </c>
      <c r="B1470" s="70" t="str">
        <f>+IF((PROVEEDORES[[#This Row],[FECHA DE PAGO]]-PROVEEDORES[[#This Row],[FECHA DE FACTURACIÓN]])&gt;PROVEEDORES[[#This Row],[PLAZO Días]],"PAGO VENCIDO")</f>
        <v>PAGO VENCIDO</v>
      </c>
      <c r="C1470" s="27">
        <f>+VLOOKUP(PROVEEDORES[[#This Row],[PROVEEDOR]],TERCEROS_INFO[#All],2,FALSE)</f>
        <v>30</v>
      </c>
      <c r="D1470" s="37">
        <f>+SUMIFS(PROVEEDORES[Total],PROVEEDORES[PROVEEDOR],PROVEEDORES[[#This Row],[PROVEEDOR]],PROVEEDORES[FECHA DE PAGO],"")</f>
        <v>4644429.7750000004</v>
      </c>
      <c r="E1470" s="37"/>
      <c r="F1470" s="108" t="str">
        <f>+VLOOKUP(PROVEEDORES[[#This Row],[PROVEEDOR]],TERCEROS_INFO[[PROVEEDOR]:[CORREO]],5,FALSE)</f>
        <v>supervisorventasbridge@gmail.com;newtimewatches1@gmail.com;girlesa.ruiz@servipilas.com;joriescobar64@gmail.com</v>
      </c>
      <c r="G1470" s="143">
        <v>44396</v>
      </c>
      <c r="H1470" s="38" t="s">
        <v>330</v>
      </c>
      <c r="I1470" s="30">
        <v>44347</v>
      </c>
      <c r="J1470" s="58">
        <v>34</v>
      </c>
      <c r="K1470" s="32">
        <v>2163521</v>
      </c>
      <c r="L1470" s="32">
        <v>349434</v>
      </c>
      <c r="M1470" s="33">
        <f>(PROVEEDORES[[#This Row],[SUBTOTAL]]-PROVEEDORES[[#This Row],[descuento antes de IVA]])*VLOOKUP(PROVEEDORES[[#This Row],[PROVEEDOR]],TERCEROS_INFO[#All],3,FALSE)</f>
        <v>344676.53</v>
      </c>
      <c r="N1470" s="34"/>
      <c r="O1470" s="33">
        <f>+PROVEEDORES[[#This Row],[Descuento sobre subtotal %]]*(PROVEEDORES[[#This Row],[SUBTOTAL]]-PROVEEDORES[[#This Row],[descuento antes de IVA]])</f>
        <v>0</v>
      </c>
      <c r="P14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70" s="33">
        <f>+(PROVEEDORES[[#This Row],[SUBTOTAL]]-PROVEEDORES[[#This Row],[descuento antes de IVA]])*PROVEEDORES[[#This Row],[Rete Fuente %]]</f>
        <v>45352.175000000003</v>
      </c>
      <c r="R1470" s="32">
        <f>+PROVEEDORES[[#This Row],[SUBTOTAL]]+PROVEEDORES[[#This Row],[IVA 19%]]-PROVEEDORES[[#This Row],[descuento antes de IVA]]-PROVEEDORES[[#This Row],[Descuento sobre subtotal $]]-PROVEEDORES[[#This Row],[Rete Fuente $]]</f>
        <v>2113411.3550000004</v>
      </c>
      <c r="S1470" s="13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71" spans="1:19" ht="21.95" hidden="1" customHeight="1" x14ac:dyDescent="0.25">
      <c r="A1471" s="135" t="str">
        <f>+IF(PROVEEDORES[[#This Row],[FECHA DE PAGO]]=PROVEEDORES[[#This Row],[FECHA DE FACTURACIÓN]],"DE CONTADO","CRÉDITO")</f>
        <v>CRÉDITO</v>
      </c>
      <c r="B1471" s="70" t="str">
        <f>+IF((PROVEEDORES[[#This Row],[FECHA DE PAGO]]-PROVEEDORES[[#This Row],[FECHA DE FACTURACIÓN]])&gt;PROVEEDORES[[#This Row],[PLAZO Días]],"PAGO VENCIDO")</f>
        <v>PAGO VENCIDO</v>
      </c>
      <c r="C1471" s="27">
        <f>+VLOOKUP(PROVEEDORES[[#This Row],[PROVEEDOR]],TERCEROS_INFO[#All],2,FALSE)</f>
        <v>30</v>
      </c>
      <c r="D1471" s="37">
        <f>+SUMIFS(PROVEEDORES[Total],PROVEEDORES[PROVEEDOR],PROVEEDORES[[#This Row],[PROVEEDOR]],PROVEEDORES[FECHA DE PAGO],"")</f>
        <v>4644429.7750000004</v>
      </c>
      <c r="E1471" s="37"/>
      <c r="F1471" s="108" t="str">
        <f>+VLOOKUP(PROVEEDORES[[#This Row],[PROVEEDOR]],TERCEROS_INFO[[PROVEEDOR]:[CORREO]],5,FALSE)</f>
        <v>supervisorventasbridge@gmail.com;newtimewatches1@gmail.com;girlesa.ruiz@servipilas.com;joriescobar64@gmail.com</v>
      </c>
      <c r="G1471" s="143">
        <v>44442</v>
      </c>
      <c r="H1471" s="38" t="s">
        <v>330</v>
      </c>
      <c r="I1471" s="30">
        <v>44404</v>
      </c>
      <c r="J1471" s="58">
        <v>37</v>
      </c>
      <c r="K1471" s="32">
        <v>504000</v>
      </c>
      <c r="L1471" s="32">
        <v>100800</v>
      </c>
      <c r="M1471" s="33">
        <f>(PROVEEDORES[[#This Row],[SUBTOTAL]]-PROVEEDORES[[#This Row],[descuento antes de IVA]])*VLOOKUP(PROVEEDORES[[#This Row],[PROVEEDOR]],TERCEROS_INFO[#All],3,FALSE)</f>
        <v>76608</v>
      </c>
      <c r="N1471" s="34"/>
      <c r="O1471" s="33">
        <f>+PROVEEDORES[[#This Row],[Descuento sobre subtotal %]]*(PROVEEDORES[[#This Row],[SUBTOTAL]]-PROVEEDORES[[#This Row],[descuento antes de IVA]])</f>
        <v>0</v>
      </c>
      <c r="P14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71" s="33">
        <f>+(PROVEEDORES[[#This Row],[SUBTOTAL]]-PROVEEDORES[[#This Row],[descuento antes de IVA]])*PROVEEDORES[[#This Row],[Rete Fuente %]]</f>
        <v>0</v>
      </c>
      <c r="R1471" s="32">
        <f>+PROVEEDORES[[#This Row],[SUBTOTAL]]+PROVEEDORES[[#This Row],[IVA 19%]]-PROVEEDORES[[#This Row],[descuento antes de IVA]]-PROVEEDORES[[#This Row],[Descuento sobre subtotal $]]-PROVEEDORES[[#This Row],[Rete Fuente $]]</f>
        <v>479808</v>
      </c>
      <c r="S1471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72" spans="1:19" ht="21.95" hidden="1" customHeight="1" x14ac:dyDescent="0.25">
      <c r="A1472" s="142" t="str">
        <f>+IF(PROVEEDORES[[#This Row],[FECHA DE PAGO]]=PROVEEDORES[[#This Row],[FECHA DE FACTURACIÓN]],"DE CONTADO","CRÉDITO")</f>
        <v>CRÉDITO</v>
      </c>
      <c r="B1472" s="70" t="str">
        <f>+IF((PROVEEDORES[[#This Row],[FECHA DE PAGO]]-PROVEEDORES[[#This Row],[FECHA DE FACTURACIÓN]])&gt;PROVEEDORES[[#This Row],[PLAZO Días]],"PAGO VENCIDO")</f>
        <v>PAGO VENCIDO</v>
      </c>
      <c r="C1472" s="27">
        <f>+VLOOKUP(PROVEEDORES[[#This Row],[PROVEEDOR]],TERCEROS_INFO[#All],2,FALSE)</f>
        <v>30</v>
      </c>
      <c r="D1472" s="37">
        <f>+SUMIFS(PROVEEDORES[Total],PROVEEDORES[PROVEEDOR],PROVEEDORES[[#This Row],[PROVEEDOR]],PROVEEDORES[FECHA DE PAGO],"")</f>
        <v>4644429.7750000004</v>
      </c>
      <c r="E1472" s="37"/>
      <c r="F1472" s="108" t="str">
        <f>+VLOOKUP(PROVEEDORES[[#This Row],[PROVEEDOR]],TERCEROS_INFO[[PROVEEDOR]:[CORREO]],5,FALSE)</f>
        <v>supervisorventasbridge@gmail.com;newtimewatches1@gmail.com;girlesa.ruiz@servipilas.com;joriescobar64@gmail.com</v>
      </c>
      <c r="G1472" s="143">
        <v>44488</v>
      </c>
      <c r="H1472" s="38" t="s">
        <v>330</v>
      </c>
      <c r="I1472" s="30">
        <v>44432</v>
      </c>
      <c r="J1472" s="58">
        <v>40</v>
      </c>
      <c r="K1472" s="32">
        <v>522353</v>
      </c>
      <c r="L1472" s="32"/>
      <c r="M1472" s="33">
        <f>(PROVEEDORES[[#This Row],[SUBTOTAL]]-PROVEEDORES[[#This Row],[descuento antes de IVA]])*VLOOKUP(PROVEEDORES[[#This Row],[PROVEEDOR]],TERCEROS_INFO[#All],3,FALSE)</f>
        <v>99247.07</v>
      </c>
      <c r="N1472" s="34"/>
      <c r="O1472" s="33">
        <f>+PROVEEDORES[[#This Row],[Descuento sobre subtotal %]]*(PROVEEDORES[[#This Row],[SUBTOTAL]]-PROVEEDORES[[#This Row],[descuento antes de IVA]])</f>
        <v>0</v>
      </c>
      <c r="P14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72" s="33">
        <f>+(PROVEEDORES[[#This Row],[SUBTOTAL]]-PROVEEDORES[[#This Row],[descuento antes de IVA]])*PROVEEDORES[[#This Row],[Rete Fuente %]]</f>
        <v>0</v>
      </c>
      <c r="R1472" s="32">
        <f>+PROVEEDORES[[#This Row],[SUBTOTAL]]+PROVEEDORES[[#This Row],[IVA 19%]]-PROVEEDORES[[#This Row],[descuento antes de IVA]]-PROVEEDORES[[#This Row],[Descuento sobre subtotal $]]-PROVEEDORES[[#This Row],[Rete Fuente $]]</f>
        <v>621600.07000000007</v>
      </c>
      <c r="S1472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73" spans="1:19" ht="21.95" hidden="1" customHeight="1" x14ac:dyDescent="0.25">
      <c r="A1473" s="161" t="str">
        <f>+IF(PROVEEDORES[[#This Row],[FECHA DE PAGO]]=PROVEEDORES[[#This Row],[FECHA DE FACTURACIÓN]],"DE CONTADO","CRÉDITO")</f>
        <v>CRÉDITO</v>
      </c>
      <c r="B1473" s="70" t="str">
        <f>+IF((PROVEEDORES[[#This Row],[FECHA DE PAGO]]-PROVEEDORES[[#This Row],[FECHA DE FACTURACIÓN]])&gt;PROVEEDORES[[#This Row],[PLAZO Días]],"PAGO VENCIDO")</f>
        <v>PAGO VENCIDO</v>
      </c>
      <c r="C1473" s="27">
        <f>+VLOOKUP(PROVEEDORES[[#This Row],[PROVEEDOR]],TERCEROS_INFO[#All],2,FALSE)</f>
        <v>30</v>
      </c>
      <c r="D1473" s="37">
        <f>+SUMIFS(PROVEEDORES[Total],PROVEEDORES[PROVEEDOR],PROVEEDORES[[#This Row],[PROVEEDOR]],PROVEEDORES[FECHA DE PAGO],"")</f>
        <v>4644429.7750000004</v>
      </c>
      <c r="E1473" s="37"/>
      <c r="F1473" s="108" t="str">
        <f>+VLOOKUP(PROVEEDORES[[#This Row],[PROVEEDOR]],TERCEROS_INFO[[PROVEEDOR]:[CORREO]],5,FALSE)</f>
        <v>supervisorventasbridge@gmail.com;newtimewatches1@gmail.com;girlesa.ruiz@servipilas.com;joriescobar64@gmail.com</v>
      </c>
      <c r="G1473" s="143">
        <v>44537</v>
      </c>
      <c r="H1473" s="38" t="s">
        <v>330</v>
      </c>
      <c r="I1473" s="30">
        <v>44491</v>
      </c>
      <c r="J1473" s="58">
        <v>43</v>
      </c>
      <c r="K1473" s="32">
        <v>522353</v>
      </c>
      <c r="L1473" s="32"/>
      <c r="M1473" s="33">
        <f>(PROVEEDORES[[#This Row],[SUBTOTAL]]-PROVEEDORES[[#This Row],[descuento antes de IVA]])*VLOOKUP(PROVEEDORES[[#This Row],[PROVEEDOR]],TERCEROS_INFO[#All],3,FALSE)</f>
        <v>99247.07</v>
      </c>
      <c r="N1473" s="34"/>
      <c r="O1473" s="33">
        <f>+PROVEEDORES[[#This Row],[Descuento sobre subtotal %]]*(PROVEEDORES[[#This Row],[SUBTOTAL]]-PROVEEDORES[[#This Row],[descuento antes de IVA]])</f>
        <v>0</v>
      </c>
      <c r="P14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73" s="33">
        <f>+(PROVEEDORES[[#This Row],[SUBTOTAL]]-PROVEEDORES[[#This Row],[descuento antes de IVA]])*PROVEEDORES[[#This Row],[Rete Fuente %]]</f>
        <v>0</v>
      </c>
      <c r="R1473" s="32">
        <f>+PROVEEDORES[[#This Row],[SUBTOTAL]]+PROVEEDORES[[#This Row],[IVA 19%]]-PROVEEDORES[[#This Row],[descuento antes de IVA]]-PROVEEDORES[[#This Row],[Descuento sobre subtotal $]]-PROVEEDORES[[#This Row],[Rete Fuente $]]</f>
        <v>621600.07000000007</v>
      </c>
      <c r="S1473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74" spans="1:19" ht="21.95" hidden="1" customHeight="1" x14ac:dyDescent="0.25">
      <c r="A1474" s="35" t="str">
        <f>+IF(PROVEEDORES[[#This Row],[FECHA DE PAGO]]=PROVEEDORES[[#This Row],[FECHA DE FACTURACIÓN]],"DE CONTADO","CRÉDITO")</f>
        <v>CRÉDITO</v>
      </c>
      <c r="B1474" s="70" t="b">
        <f>+IF((PROVEEDORES[[#This Row],[FECHA DE PAGO]]-PROVEEDORES[[#This Row],[FECHA DE FACTURACIÓN]])&gt;PROVEEDORES[[#This Row],[PLAZO Días]],"PAGO VENCIDO")</f>
        <v>0</v>
      </c>
      <c r="C1474" s="27">
        <f>+VLOOKUP(PROVEEDORES[[#This Row],[PROVEEDOR]],TERCEROS_INFO[#All],2,FALSE)</f>
        <v>30</v>
      </c>
      <c r="D1474" s="37">
        <f>+SUMIFS(PROVEEDORES[Total],PROVEEDORES[PROVEEDOR],PROVEEDORES[[#This Row],[PROVEEDOR]],PROVEEDORES[FECHA DE PAGO],"")</f>
        <v>4644429.7750000004</v>
      </c>
      <c r="E1474" s="37"/>
      <c r="F1474" s="108" t="str">
        <f>+VLOOKUP(PROVEEDORES[[#This Row],[PROVEEDOR]],TERCEROS_INFO[[PROVEEDOR]:[CORREO]],5,FALSE)</f>
        <v>supervisorventasbridge@gmail.com;newtimewatches1@gmail.com;girlesa.ruiz@servipilas.com;joriescobar64@gmail.com</v>
      </c>
      <c r="H1474" s="38" t="s">
        <v>330</v>
      </c>
      <c r="I1474" s="30">
        <v>44541</v>
      </c>
      <c r="J1474" s="58"/>
      <c r="K1474" s="32">
        <v>3986635</v>
      </c>
      <c r="L1474" s="32"/>
      <c r="M1474" s="33">
        <f>(PROVEEDORES[[#This Row],[SUBTOTAL]]-PROVEEDORES[[#This Row],[descuento antes de IVA]])*VLOOKUP(PROVEEDORES[[#This Row],[PROVEEDOR]],TERCEROS_INFO[#All],3,FALSE)</f>
        <v>757460.65</v>
      </c>
      <c r="N1474" s="34"/>
      <c r="O1474" s="33">
        <f>+PROVEEDORES[[#This Row],[Descuento sobre subtotal %]]*(PROVEEDORES[[#This Row],[SUBTOTAL]]-PROVEEDORES[[#This Row],[descuento antes de IVA]])</f>
        <v>0</v>
      </c>
      <c r="P14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74" s="33">
        <f>+(PROVEEDORES[[#This Row],[SUBTOTAL]]-PROVEEDORES[[#This Row],[descuento antes de IVA]])*PROVEEDORES[[#This Row],[Rete Fuente %]]</f>
        <v>99665.875</v>
      </c>
      <c r="R1474" s="32">
        <f>+PROVEEDORES[[#This Row],[SUBTOTAL]]+PROVEEDORES[[#This Row],[IVA 19%]]-PROVEEDORES[[#This Row],[descuento antes de IVA]]-PROVEEDORES[[#This Row],[Descuento sobre subtotal $]]-PROVEEDORES[[#This Row],[Rete Fuente $]]</f>
        <v>4644429.7750000004</v>
      </c>
      <c r="S1474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475" spans="1:19" ht="21.95" hidden="1" customHeight="1" x14ac:dyDescent="0.25">
      <c r="A1475" s="39" t="str">
        <f>+IF(PROVEEDORES[[#This Row],[FECHA DE PAGO]]=PROVEEDORES[[#This Row],[FECHA DE FACTURACIÓN]],"DE CONTADO","CRÉDITO")</f>
        <v>DE CONTADO</v>
      </c>
      <c r="B1475" s="67" t="b">
        <f>+IF((PROVEEDORES[[#This Row],[FECHA DE PAGO]]-PROVEEDORES[[#This Row],[FECHA DE FACTURACIÓN]])&gt;PROVEEDORES[[#This Row],[PLAZO Días]],"PAGO VENCIDO")</f>
        <v>0</v>
      </c>
      <c r="C1475" s="27">
        <f>+VLOOKUP(PROVEEDORES[[#This Row],[PROVEEDOR]],TERCEROS_INFO[#All],2,FALSE)</f>
        <v>30</v>
      </c>
      <c r="D1475" s="37">
        <f>+SUMIFS(PROVEEDORES[Total],PROVEEDORES[PROVEEDOR],PROVEEDORES[[#This Row],[PROVEEDOR]],PROVEEDORES[FECHA DE PAGO],"")</f>
        <v>0</v>
      </c>
      <c r="E1475" s="37"/>
      <c r="F1475" s="108" t="str">
        <f>+VLOOKUP(PROVEEDORES[[#This Row],[PROVEEDOR]],TERCEROS_INFO[[PROVEEDOR]:[CORREO]],5,FALSE)</f>
        <v>cartera@ienewline.com;andres.arroyave@ienewline.com;girlesa.ruiz@servipilas.com;joriescobar64@gmail.com</v>
      </c>
      <c r="G1475" s="143">
        <v>43936</v>
      </c>
      <c r="H1475" s="38" t="s">
        <v>37</v>
      </c>
      <c r="I1475" s="30">
        <v>43936</v>
      </c>
      <c r="J1475" s="58">
        <v>3782</v>
      </c>
      <c r="K1475" s="32">
        <v>809100</v>
      </c>
      <c r="L1475" s="32"/>
      <c r="M1475" s="33">
        <f>(PROVEEDORES[[#This Row],[SUBTOTAL]]-PROVEEDORES[[#This Row],[descuento antes de IVA]])*VLOOKUP(PROVEEDORES[[#This Row],[PROVEEDOR]],TERCEROS_INFO[#All],3,FALSE)</f>
        <v>153729</v>
      </c>
      <c r="N1475" s="34"/>
      <c r="O1475" s="33">
        <f>+PROVEEDORES[[#This Row],[Descuento sobre subtotal %]]*(PROVEEDORES[[#This Row],[SUBTOTAL]]-PROVEEDORES[[#This Row],[descuento antes de IVA]])</f>
        <v>0</v>
      </c>
      <c r="P14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75" s="33">
        <f>+(PROVEEDORES[[#This Row],[SUBTOTAL]]-PROVEEDORES[[#This Row],[descuento antes de IVA]])*PROVEEDORES[[#This Row],[Rete Fuente %]]</f>
        <v>0</v>
      </c>
      <c r="R1475" s="32">
        <f>+PROVEEDORES[[#This Row],[SUBTOTAL]]+PROVEEDORES[[#This Row],[IVA 19%]]-PROVEEDORES[[#This Row],[descuento antes de IVA]]-PROVEEDORES[[#This Row],[Descuento sobre subtotal $]]-PROVEEDORES[[#This Row],[Rete Fuente $]]</f>
        <v>962829</v>
      </c>
      <c r="S147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76" spans="1:19" ht="21.95" hidden="1" customHeight="1" x14ac:dyDescent="0.25">
      <c r="A1476" s="39" t="str">
        <f>+IF(PROVEEDORES[[#This Row],[FECHA DE PAGO]]=PROVEEDORES[[#This Row],[FECHA DE FACTURACIÓN]],"DE CONTADO","CRÉDITO")</f>
        <v>DE CONTADO</v>
      </c>
      <c r="B1476" s="67" t="b">
        <f>+IF((PROVEEDORES[[#This Row],[FECHA DE PAGO]]-PROVEEDORES[[#This Row],[FECHA DE FACTURACIÓN]])&gt;PROVEEDORES[[#This Row],[PLAZO Días]],"PAGO VENCIDO")</f>
        <v>0</v>
      </c>
      <c r="C1476" s="27">
        <f>+VLOOKUP(PROVEEDORES[[#This Row],[PROVEEDOR]],TERCEROS_INFO[#All],2,FALSE)</f>
        <v>30</v>
      </c>
      <c r="D1476" s="37">
        <f>+SUMIFS(PROVEEDORES[Total],PROVEEDORES[PROVEEDOR],PROVEEDORES[[#This Row],[PROVEEDOR]],PROVEEDORES[FECHA DE PAGO],"")</f>
        <v>0</v>
      </c>
      <c r="E1476" s="37"/>
      <c r="F1476" s="108" t="str">
        <f>+VLOOKUP(PROVEEDORES[[#This Row],[PROVEEDOR]],TERCEROS_INFO[[PROVEEDOR]:[CORREO]],5,FALSE)</f>
        <v>cartera@ienewline.com;andres.arroyave@ienewline.com;girlesa.ruiz@servipilas.com;joriescobar64@gmail.com</v>
      </c>
      <c r="G1476" s="143">
        <v>44039</v>
      </c>
      <c r="H1476" s="38" t="s">
        <v>37</v>
      </c>
      <c r="I1476" s="30">
        <v>44039</v>
      </c>
      <c r="J1476" s="58">
        <v>6447</v>
      </c>
      <c r="K1476" s="32">
        <v>1556596.6386554623</v>
      </c>
      <c r="L1476" s="32"/>
      <c r="M1476" s="33">
        <f>(PROVEEDORES[[#This Row],[SUBTOTAL]]-PROVEEDORES[[#This Row],[descuento antes de IVA]])*VLOOKUP(PROVEEDORES[[#This Row],[PROVEEDOR]],TERCEROS_INFO[#All],3,FALSE)</f>
        <v>295753.36134453781</v>
      </c>
      <c r="N1476" s="34"/>
      <c r="O1476" s="33">
        <f>+PROVEEDORES[[#This Row],[Descuento sobre subtotal %]]*(PROVEEDORES[[#This Row],[SUBTOTAL]]-PROVEEDORES[[#This Row],[descuento antes de IVA]])</f>
        <v>0</v>
      </c>
      <c r="P14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76" s="33">
        <f>+(PROVEEDORES[[#This Row],[SUBTOTAL]]-PROVEEDORES[[#This Row],[descuento antes de IVA]])*PROVEEDORES[[#This Row],[Rete Fuente %]]</f>
        <v>38914.915966386558</v>
      </c>
      <c r="R1476" s="32">
        <f>+PROVEEDORES[[#This Row],[SUBTOTAL]]+PROVEEDORES[[#This Row],[IVA 19%]]-PROVEEDORES[[#This Row],[descuento antes de IVA]]-PROVEEDORES[[#This Row],[Descuento sobre subtotal $]]-PROVEEDORES[[#This Row],[Rete Fuente $]]</f>
        <v>1813435.0840336136</v>
      </c>
      <c r="S147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77" spans="1:19" ht="21.95" hidden="1" customHeight="1" x14ac:dyDescent="0.25">
      <c r="A1477" s="39" t="str">
        <f>+IF(PROVEEDORES[[#This Row],[FECHA DE PAGO]]=PROVEEDORES[[#This Row],[FECHA DE FACTURACIÓN]],"DE CONTADO","CRÉDITO")</f>
        <v>DE CONTADO</v>
      </c>
      <c r="B1477" s="67" t="b">
        <f>+IF((PROVEEDORES[[#This Row],[FECHA DE PAGO]]-PROVEEDORES[[#This Row],[FECHA DE FACTURACIÓN]])&gt;PROVEEDORES[[#This Row],[PLAZO Días]],"PAGO VENCIDO")</f>
        <v>0</v>
      </c>
      <c r="C1477" s="27">
        <f>+VLOOKUP(PROVEEDORES[[#This Row],[PROVEEDOR]],TERCEROS_INFO[#All],2,FALSE)</f>
        <v>30</v>
      </c>
      <c r="D1477" s="37">
        <f>+SUMIFS(PROVEEDORES[Total],PROVEEDORES[PROVEEDOR],PROVEEDORES[[#This Row],[PROVEEDOR]],PROVEEDORES[FECHA DE PAGO],"")</f>
        <v>0</v>
      </c>
      <c r="E1477" s="37"/>
      <c r="F1477" s="108" t="str">
        <f>+VLOOKUP(PROVEEDORES[[#This Row],[PROVEEDOR]],TERCEROS_INFO[[PROVEEDOR]:[CORREO]],5,FALSE)</f>
        <v>cartera@ienewline.com;andres.arroyave@ienewline.com;girlesa.ruiz@servipilas.com;joriescobar64@gmail.com</v>
      </c>
      <c r="G1477" s="143">
        <v>44040</v>
      </c>
      <c r="H1477" s="38" t="s">
        <v>37</v>
      </c>
      <c r="I1477" s="30">
        <v>44040</v>
      </c>
      <c r="J1477" s="58">
        <v>6453</v>
      </c>
      <c r="K1477" s="32">
        <v>372000</v>
      </c>
      <c r="L1477" s="32"/>
      <c r="M1477" s="33">
        <f>(PROVEEDORES[[#This Row],[SUBTOTAL]]-PROVEEDORES[[#This Row],[descuento antes de IVA]])*VLOOKUP(PROVEEDORES[[#This Row],[PROVEEDOR]],TERCEROS_INFO[#All],3,FALSE)</f>
        <v>70680</v>
      </c>
      <c r="N1477" s="34"/>
      <c r="O1477" s="33">
        <f>+PROVEEDORES[[#This Row],[Descuento sobre subtotal %]]*(PROVEEDORES[[#This Row],[SUBTOTAL]]-PROVEEDORES[[#This Row],[descuento antes de IVA]])</f>
        <v>0</v>
      </c>
      <c r="P14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77" s="33">
        <f>+(PROVEEDORES[[#This Row],[SUBTOTAL]]-PROVEEDORES[[#This Row],[descuento antes de IVA]])*PROVEEDORES[[#This Row],[Rete Fuente %]]</f>
        <v>0</v>
      </c>
      <c r="R1477" s="32">
        <f>+PROVEEDORES[[#This Row],[SUBTOTAL]]+PROVEEDORES[[#This Row],[IVA 19%]]-PROVEEDORES[[#This Row],[descuento antes de IVA]]-PROVEEDORES[[#This Row],[Descuento sobre subtotal $]]-PROVEEDORES[[#This Row],[Rete Fuente $]]</f>
        <v>442680</v>
      </c>
      <c r="S147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78" spans="1:19" ht="21.95" hidden="1" customHeight="1" x14ac:dyDescent="0.25">
      <c r="A1478" s="39" t="str">
        <f>+IF(PROVEEDORES[[#This Row],[FECHA DE PAGO]]=PROVEEDORES[[#This Row],[FECHA DE FACTURACIÓN]],"DE CONTADO","CRÉDITO")</f>
        <v>DE CONTADO</v>
      </c>
      <c r="B1478" s="67" t="b">
        <f>+IF((PROVEEDORES[[#This Row],[FECHA DE PAGO]]-PROVEEDORES[[#This Row],[FECHA DE FACTURACIÓN]])&gt;PROVEEDORES[[#This Row],[PLAZO Días]],"PAGO VENCIDO")</f>
        <v>0</v>
      </c>
      <c r="C1478" s="27">
        <f>+VLOOKUP(PROVEEDORES[[#This Row],[PROVEEDOR]],TERCEROS_INFO[#All],2,FALSE)</f>
        <v>30</v>
      </c>
      <c r="D1478" s="37">
        <f>+SUMIFS(PROVEEDORES[Total],PROVEEDORES[PROVEEDOR],PROVEEDORES[[#This Row],[PROVEEDOR]],PROVEEDORES[FECHA DE PAGO],"")</f>
        <v>0</v>
      </c>
      <c r="E1478" s="37"/>
      <c r="F1478" s="108" t="str">
        <f>+VLOOKUP(PROVEEDORES[[#This Row],[PROVEEDOR]],TERCEROS_INFO[[PROVEEDOR]:[CORREO]],5,FALSE)</f>
        <v>cartera@ienewline.com;andres.arroyave@ienewline.com;girlesa.ruiz@servipilas.com;joriescobar64@gmail.com</v>
      </c>
      <c r="G1478" s="143">
        <v>44083</v>
      </c>
      <c r="H1478" s="38" t="s">
        <v>37</v>
      </c>
      <c r="I1478" s="30">
        <v>44083</v>
      </c>
      <c r="J1478" s="58">
        <v>8165</v>
      </c>
      <c r="K1478" s="32">
        <v>122140.33613445378</v>
      </c>
      <c r="L1478" s="32"/>
      <c r="M1478" s="33">
        <f>(PROVEEDORES[[#This Row],[SUBTOTAL]]-PROVEEDORES[[#This Row],[descuento antes de IVA]])*VLOOKUP(PROVEEDORES[[#This Row],[PROVEEDOR]],TERCEROS_INFO[#All],3,FALSE)</f>
        <v>23206.663865546219</v>
      </c>
      <c r="N1478" s="34"/>
      <c r="O1478" s="33">
        <f>+PROVEEDORES[[#This Row],[Descuento sobre subtotal %]]*(PROVEEDORES[[#This Row],[SUBTOTAL]]-PROVEEDORES[[#This Row],[descuento antes de IVA]])</f>
        <v>0</v>
      </c>
      <c r="P14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78" s="33">
        <f>+(PROVEEDORES[[#This Row],[SUBTOTAL]]-PROVEEDORES[[#This Row],[descuento antes de IVA]])*PROVEEDORES[[#This Row],[Rete Fuente %]]</f>
        <v>0</v>
      </c>
      <c r="R1478" s="32">
        <f>+PROVEEDORES[[#This Row],[SUBTOTAL]]+PROVEEDORES[[#This Row],[IVA 19%]]-PROVEEDORES[[#This Row],[descuento antes de IVA]]-PROVEEDORES[[#This Row],[Descuento sobre subtotal $]]-PROVEEDORES[[#This Row],[Rete Fuente $]]</f>
        <v>145347</v>
      </c>
      <c r="S147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79" spans="1:19" ht="21.95" hidden="1" customHeight="1" x14ac:dyDescent="0.25">
      <c r="A1479" s="39" t="str">
        <f>+IF(PROVEEDORES[[#This Row],[FECHA DE PAGO]]=PROVEEDORES[[#This Row],[FECHA DE FACTURACIÓN]],"DE CONTADO","CRÉDITO")</f>
        <v>DE CONTADO</v>
      </c>
      <c r="B1479" s="67" t="b">
        <f>+IF((PROVEEDORES[[#This Row],[FECHA DE PAGO]]-PROVEEDORES[[#This Row],[FECHA DE FACTURACIÓN]])&gt;PROVEEDORES[[#This Row],[PLAZO Días]],"PAGO VENCIDO")</f>
        <v>0</v>
      </c>
      <c r="C1479" s="27">
        <f>+VLOOKUP(PROVEEDORES[[#This Row],[PROVEEDOR]],TERCEROS_INFO[#All],2,FALSE)</f>
        <v>30</v>
      </c>
      <c r="D1479" s="37">
        <f>+SUMIFS(PROVEEDORES[Total],PROVEEDORES[PROVEEDOR],PROVEEDORES[[#This Row],[PROVEEDOR]],PROVEEDORES[FECHA DE PAGO],"")</f>
        <v>0</v>
      </c>
      <c r="E1479" s="37"/>
      <c r="F1479" s="108" t="str">
        <f>+VLOOKUP(PROVEEDORES[[#This Row],[PROVEEDOR]],TERCEROS_INFO[[PROVEEDOR]:[CORREO]],5,FALSE)</f>
        <v>cartera@ienewline.com;andres.arroyave@ienewline.com;girlesa.ruiz@servipilas.com;joriescobar64@gmail.com</v>
      </c>
      <c r="G1479" s="143">
        <v>44174</v>
      </c>
      <c r="H1479" s="38" t="s">
        <v>37</v>
      </c>
      <c r="I1479" s="30">
        <v>44174</v>
      </c>
      <c r="J1479" s="58">
        <v>11667</v>
      </c>
      <c r="K1479" s="32">
        <v>1539579.8319327731</v>
      </c>
      <c r="L1479" s="32"/>
      <c r="M1479" s="33">
        <f>(PROVEEDORES[[#This Row],[SUBTOTAL]]-PROVEEDORES[[#This Row],[descuento antes de IVA]])*VLOOKUP(PROVEEDORES[[#This Row],[PROVEEDOR]],TERCEROS_INFO[#All],3,FALSE)</f>
        <v>292520.16806722688</v>
      </c>
      <c r="N1479" s="34"/>
      <c r="O1479" s="33">
        <f>+PROVEEDORES[[#This Row],[Descuento sobre subtotal %]]*(PROVEEDORES[[#This Row],[SUBTOTAL]]-PROVEEDORES[[#This Row],[descuento antes de IVA]])</f>
        <v>0</v>
      </c>
      <c r="P14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79" s="33">
        <f>+(PROVEEDORES[[#This Row],[SUBTOTAL]]-PROVEEDORES[[#This Row],[descuento antes de IVA]])*PROVEEDORES[[#This Row],[Rete Fuente %]]</f>
        <v>38489.495798319331</v>
      </c>
      <c r="R1479" s="32">
        <f>+PROVEEDORES[[#This Row],[SUBTOTAL]]+PROVEEDORES[[#This Row],[IVA 19%]]-PROVEEDORES[[#This Row],[descuento antes de IVA]]-PROVEEDORES[[#This Row],[Descuento sobre subtotal $]]-PROVEEDORES[[#This Row],[Rete Fuente $]]</f>
        <v>1793610.5042016807</v>
      </c>
      <c r="S147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0" spans="1:19" ht="21.95" hidden="1" customHeight="1" x14ac:dyDescent="0.25">
      <c r="A1480" s="39" t="str">
        <f>+IF(PROVEEDORES[[#This Row],[FECHA DE PAGO]]=PROVEEDORES[[#This Row],[FECHA DE FACTURACIÓN]],"DE CONTADO","CRÉDITO")</f>
        <v>DE CONTADO</v>
      </c>
      <c r="B1480" s="67" t="b">
        <f>+IF((PROVEEDORES[[#This Row],[FECHA DE PAGO]]-PROVEEDORES[[#This Row],[FECHA DE FACTURACIÓN]])&gt;PROVEEDORES[[#This Row],[PLAZO Días]],"PAGO VENCIDO")</f>
        <v>0</v>
      </c>
      <c r="C1480" s="27">
        <f>+VLOOKUP(PROVEEDORES[[#This Row],[PROVEEDOR]],TERCEROS_INFO[#All],2,FALSE)</f>
        <v>30</v>
      </c>
      <c r="D1480" s="37">
        <f>+SUMIFS(PROVEEDORES[Total],PROVEEDORES[PROVEEDOR],PROVEEDORES[[#This Row],[PROVEEDOR]],PROVEEDORES[FECHA DE PAGO],"")</f>
        <v>0</v>
      </c>
      <c r="E1480" s="37"/>
      <c r="F1480" s="108" t="str">
        <f>+VLOOKUP(PROVEEDORES[[#This Row],[PROVEEDOR]],TERCEROS_INFO[[PROVEEDOR]:[CORREO]],5,FALSE)</f>
        <v>cartera@ienewline.com;andres.arroyave@ienewline.com;girlesa.ruiz@servipilas.com;joriescobar64@gmail.com</v>
      </c>
      <c r="G1480" s="143">
        <v>44222</v>
      </c>
      <c r="H1480" s="38" t="s">
        <v>37</v>
      </c>
      <c r="I1480" s="30">
        <v>44222</v>
      </c>
      <c r="J1480" s="58" t="s">
        <v>1030</v>
      </c>
      <c r="K1480" s="32">
        <v>1587200</v>
      </c>
      <c r="L1480" s="32"/>
      <c r="M1480" s="33">
        <f>(PROVEEDORES[[#This Row],[SUBTOTAL]]-PROVEEDORES[[#This Row],[descuento antes de IVA]])*VLOOKUP(PROVEEDORES[[#This Row],[PROVEEDOR]],TERCEROS_INFO[#All],3,FALSE)</f>
        <v>301568</v>
      </c>
      <c r="N1480" s="34"/>
      <c r="O1480" s="33">
        <f>+PROVEEDORES[[#This Row],[Descuento sobre subtotal %]]*(PROVEEDORES[[#This Row],[SUBTOTAL]]-PROVEEDORES[[#This Row],[descuento antes de IVA]])</f>
        <v>0</v>
      </c>
      <c r="P14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80" s="33">
        <f>+(PROVEEDORES[[#This Row],[SUBTOTAL]]-PROVEEDORES[[#This Row],[descuento antes de IVA]])*PROVEEDORES[[#This Row],[Rete Fuente %]]</f>
        <v>39680</v>
      </c>
      <c r="R1480" s="32">
        <f>+PROVEEDORES[[#This Row],[SUBTOTAL]]+PROVEEDORES[[#This Row],[IVA 19%]]-PROVEEDORES[[#This Row],[descuento antes de IVA]]-PROVEEDORES[[#This Row],[Descuento sobre subtotal $]]-PROVEEDORES[[#This Row],[Rete Fuente $]]</f>
        <v>1849088</v>
      </c>
      <c r="S148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1" spans="1:19" ht="21.95" hidden="1" customHeight="1" x14ac:dyDescent="0.25">
      <c r="A1481" s="88" t="str">
        <f>+IF(PROVEEDORES[[#This Row],[FECHA DE PAGO]]=PROVEEDORES[[#This Row],[FECHA DE FACTURACIÓN]],"DE CONTADO","CRÉDITO")</f>
        <v>CRÉDITO</v>
      </c>
      <c r="B1481" s="70" t="str">
        <f>+IF((PROVEEDORES[[#This Row],[FECHA DE PAGO]]-PROVEEDORES[[#This Row],[FECHA DE FACTURACIÓN]])&gt;PROVEEDORES[[#This Row],[PLAZO Días]],"PAGO VENCIDO")</f>
        <v>PAGO VENCIDO</v>
      </c>
      <c r="C1481" s="27">
        <f>+VLOOKUP(PROVEEDORES[[#This Row],[PROVEEDOR]],TERCEROS_INFO[#All],2,FALSE)</f>
        <v>30</v>
      </c>
      <c r="D1481" s="37">
        <f>+SUMIFS(PROVEEDORES[Total],PROVEEDORES[PROVEEDOR],PROVEEDORES[[#This Row],[PROVEEDOR]],PROVEEDORES[FECHA DE PAGO],"")</f>
        <v>0</v>
      </c>
      <c r="E1481" s="37"/>
      <c r="F1481" s="108" t="str">
        <f>+VLOOKUP(PROVEEDORES[[#This Row],[PROVEEDOR]],TERCEROS_INFO[[PROVEEDOR]:[CORREO]],5,FALSE)</f>
        <v>cartera@ienewline.com;andres.arroyave@ienewline.com;girlesa.ruiz@servipilas.com;joriescobar64@gmail.com</v>
      </c>
      <c r="G1481" s="143">
        <v>44298</v>
      </c>
      <c r="H1481" s="38" t="s">
        <v>37</v>
      </c>
      <c r="I1481" s="30">
        <v>44260</v>
      </c>
      <c r="J1481" s="58">
        <v>14581</v>
      </c>
      <c r="K1481" s="32">
        <v>1708000</v>
      </c>
      <c r="L1481" s="32"/>
      <c r="M1481" s="33">
        <f>(PROVEEDORES[[#This Row],[SUBTOTAL]]-PROVEEDORES[[#This Row],[descuento antes de IVA]])*VLOOKUP(PROVEEDORES[[#This Row],[PROVEEDOR]],TERCEROS_INFO[#All],3,FALSE)</f>
        <v>324520</v>
      </c>
      <c r="N1481" s="34"/>
      <c r="O1481" s="33">
        <f>+PROVEEDORES[[#This Row],[Descuento sobre subtotal %]]*(PROVEEDORES[[#This Row],[SUBTOTAL]]-PROVEEDORES[[#This Row],[descuento antes de IVA]])</f>
        <v>0</v>
      </c>
      <c r="P14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81" s="33">
        <f>+(PROVEEDORES[[#This Row],[SUBTOTAL]]-PROVEEDORES[[#This Row],[descuento antes de IVA]])*PROVEEDORES[[#This Row],[Rete Fuente %]]</f>
        <v>42700</v>
      </c>
      <c r="R1481" s="32">
        <f>+PROVEEDORES[[#This Row],[SUBTOTAL]]+PROVEEDORES[[#This Row],[IVA 19%]]-PROVEEDORES[[#This Row],[descuento antes de IVA]]-PROVEEDORES[[#This Row],[Descuento sobre subtotal $]]-PROVEEDORES[[#This Row],[Rete Fuente $]]</f>
        <v>1989820</v>
      </c>
      <c r="S1481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2" spans="1:19" ht="21.95" hidden="1" customHeight="1" x14ac:dyDescent="0.25">
      <c r="A1482" s="88" t="str">
        <f>+IF(PROVEEDORES[[#This Row],[FECHA DE PAGO]]=PROVEEDORES[[#This Row],[FECHA DE FACTURACIÓN]],"DE CONTADO","CRÉDITO")</f>
        <v>CRÉDITO</v>
      </c>
      <c r="B1482" s="70" t="str">
        <f>+IF((PROVEEDORES[[#This Row],[FECHA DE PAGO]]-PROVEEDORES[[#This Row],[FECHA DE FACTURACIÓN]])&gt;PROVEEDORES[[#This Row],[PLAZO Días]],"PAGO VENCIDO")</f>
        <v>PAGO VENCIDO</v>
      </c>
      <c r="C1482" s="27">
        <f>+VLOOKUP(PROVEEDORES[[#This Row],[PROVEEDOR]],TERCEROS_INFO[#All],2,FALSE)</f>
        <v>30</v>
      </c>
      <c r="D1482" s="37">
        <f>+SUMIFS(PROVEEDORES[Total],PROVEEDORES[PROVEEDOR],PROVEEDORES[[#This Row],[PROVEEDOR]],PROVEEDORES[FECHA DE PAGO],"")</f>
        <v>0</v>
      </c>
      <c r="E1482" s="37"/>
      <c r="F1482" s="108" t="str">
        <f>+VLOOKUP(PROVEEDORES[[#This Row],[PROVEEDOR]],TERCEROS_INFO[[PROVEEDOR]:[CORREO]],5,FALSE)</f>
        <v>cartera@ienewline.com;andres.arroyave@ienewline.com;girlesa.ruiz@servipilas.com;joriescobar64@gmail.com</v>
      </c>
      <c r="G1482" s="143">
        <v>44319</v>
      </c>
      <c r="H1482" s="38" t="s">
        <v>37</v>
      </c>
      <c r="I1482" s="30">
        <v>44275</v>
      </c>
      <c r="J1482" s="58">
        <v>15294</v>
      </c>
      <c r="K1482" s="32">
        <v>1463200</v>
      </c>
      <c r="L1482" s="32"/>
      <c r="M1482" s="33">
        <f>(PROVEEDORES[[#This Row],[SUBTOTAL]]-PROVEEDORES[[#This Row],[descuento antes de IVA]])*VLOOKUP(PROVEEDORES[[#This Row],[PROVEEDOR]],TERCEROS_INFO[#All],3,FALSE)</f>
        <v>278008</v>
      </c>
      <c r="N1482" s="34"/>
      <c r="O1482" s="33">
        <f>+PROVEEDORES[[#This Row],[Descuento sobre subtotal %]]*(PROVEEDORES[[#This Row],[SUBTOTAL]]-PROVEEDORES[[#This Row],[descuento antes de IVA]])</f>
        <v>0</v>
      </c>
      <c r="P14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82" s="33">
        <f>+(PROVEEDORES[[#This Row],[SUBTOTAL]]-PROVEEDORES[[#This Row],[descuento antes de IVA]])*PROVEEDORES[[#This Row],[Rete Fuente %]]</f>
        <v>36580</v>
      </c>
      <c r="R1482" s="32">
        <f>+PROVEEDORES[[#This Row],[SUBTOTAL]]+PROVEEDORES[[#This Row],[IVA 19%]]-PROVEEDORES[[#This Row],[descuento antes de IVA]]-PROVEEDORES[[#This Row],[Descuento sobre subtotal $]]-PROVEEDORES[[#This Row],[Rete Fuente $]]</f>
        <v>1704628</v>
      </c>
      <c r="S148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3" spans="1:19" ht="21.95" hidden="1" customHeight="1" x14ac:dyDescent="0.25">
      <c r="A1483" s="100" t="str">
        <f>+IF(PROVEEDORES[[#This Row],[FECHA DE PAGO]]=PROVEEDORES[[#This Row],[FECHA DE FACTURACIÓN]],"DE CONTADO","CRÉDITO")</f>
        <v>CRÉDITO</v>
      </c>
      <c r="B1483" s="70" t="str">
        <f>+IF((PROVEEDORES[[#This Row],[FECHA DE PAGO]]-PROVEEDORES[[#This Row],[FECHA DE FACTURACIÓN]])&gt;PROVEEDORES[[#This Row],[PLAZO Días]],"PAGO VENCIDO")</f>
        <v>PAGO VENCIDO</v>
      </c>
      <c r="C1483" s="27">
        <f>+VLOOKUP(PROVEEDORES[[#This Row],[PROVEEDOR]],TERCEROS_INFO[#All],2,FALSE)</f>
        <v>30</v>
      </c>
      <c r="D1483" s="37">
        <f>+SUMIFS(PROVEEDORES[Total],PROVEEDORES[PROVEEDOR],PROVEEDORES[[#This Row],[PROVEEDOR]],PROVEEDORES[FECHA DE PAGO],"")</f>
        <v>0</v>
      </c>
      <c r="E1483" s="37"/>
      <c r="F1483" s="108" t="str">
        <f>+VLOOKUP(PROVEEDORES[[#This Row],[PROVEEDOR]],TERCEROS_INFO[[PROVEEDOR]:[CORREO]],5,FALSE)</f>
        <v>cartera@ienewline.com;andres.arroyave@ienewline.com;girlesa.ruiz@servipilas.com;joriescobar64@gmail.com</v>
      </c>
      <c r="G1483" s="143">
        <v>44343</v>
      </c>
      <c r="H1483" s="38" t="s">
        <v>37</v>
      </c>
      <c r="I1483" s="30">
        <v>44284</v>
      </c>
      <c r="J1483" s="58">
        <v>15631</v>
      </c>
      <c r="K1483" s="32">
        <v>11868000</v>
      </c>
      <c r="L1483" s="32"/>
      <c r="M1483" s="33">
        <f>(PROVEEDORES[[#This Row],[SUBTOTAL]]-PROVEEDORES[[#This Row],[descuento antes de IVA]])*VLOOKUP(PROVEEDORES[[#This Row],[PROVEEDOR]],TERCEROS_INFO[#All],3,FALSE)</f>
        <v>2254920</v>
      </c>
      <c r="N1483" s="34"/>
      <c r="O1483" s="33">
        <f>+PROVEEDORES[[#This Row],[Descuento sobre subtotal %]]*(PROVEEDORES[[#This Row],[SUBTOTAL]]-PROVEEDORES[[#This Row],[descuento antes de IVA]])</f>
        <v>0</v>
      </c>
      <c r="P14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83" s="33">
        <f>+(PROVEEDORES[[#This Row],[SUBTOTAL]]-PROVEEDORES[[#This Row],[descuento antes de IVA]])*PROVEEDORES[[#This Row],[Rete Fuente %]]</f>
        <v>296700</v>
      </c>
      <c r="R1483" s="32">
        <f>+PROVEEDORES[[#This Row],[SUBTOTAL]]+PROVEEDORES[[#This Row],[IVA 19%]]-PROVEEDORES[[#This Row],[descuento antes de IVA]]-PROVEEDORES[[#This Row],[Descuento sobre subtotal $]]-PROVEEDORES[[#This Row],[Rete Fuente $]]</f>
        <v>13826220</v>
      </c>
      <c r="S1483" s="10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4" spans="1:19" ht="21.95" hidden="1" customHeight="1" x14ac:dyDescent="0.25">
      <c r="A1484" s="35" t="str">
        <f>+IF(PROVEEDORES[[#This Row],[FECHA DE PAGO]]=PROVEEDORES[[#This Row],[FECHA DE FACTURACIÓN]],"DE CONTADO","CRÉDITO")</f>
        <v>CRÉDITO</v>
      </c>
      <c r="B1484" s="70" t="str">
        <f>+IF((PROVEEDORES[[#This Row],[FECHA DE PAGO]]-PROVEEDORES[[#This Row],[FECHA DE FACTURACIÓN]])&gt;PROVEEDORES[[#This Row],[PLAZO Días]],"PAGO VENCIDO")</f>
        <v>PAGO VENCIDO</v>
      </c>
      <c r="C1484" s="27">
        <f>+VLOOKUP(PROVEEDORES[[#This Row],[PROVEEDOR]],TERCEROS_INFO[#All],2,FALSE)</f>
        <v>30</v>
      </c>
      <c r="D1484" s="37">
        <f>+SUMIFS(PROVEEDORES[Total],PROVEEDORES[PROVEEDOR],PROVEEDORES[[#This Row],[PROVEEDOR]],PROVEEDORES[FECHA DE PAGO],"")</f>
        <v>0</v>
      </c>
      <c r="E1484" s="37"/>
      <c r="F1484" s="108" t="str">
        <f>+VLOOKUP(PROVEEDORES[[#This Row],[PROVEEDOR]],TERCEROS_INFO[[PROVEEDOR]:[CORREO]],5,FALSE)</f>
        <v>cartera@ienewline.com;andres.arroyave@ienewline.com;girlesa.ruiz@servipilas.com;joriescobar64@gmail.com</v>
      </c>
      <c r="G1484" s="143">
        <v>44389</v>
      </c>
      <c r="H1484" s="38" t="s">
        <v>37</v>
      </c>
      <c r="I1484" s="30">
        <v>44343</v>
      </c>
      <c r="J1484" s="58">
        <v>17710</v>
      </c>
      <c r="K1484" s="32">
        <v>12588000</v>
      </c>
      <c r="L1484" s="32"/>
      <c r="M1484" s="33">
        <f>(PROVEEDORES[[#This Row],[SUBTOTAL]]-PROVEEDORES[[#This Row],[descuento antes de IVA]])*VLOOKUP(PROVEEDORES[[#This Row],[PROVEEDOR]],TERCEROS_INFO[#All],3,FALSE)</f>
        <v>2391720</v>
      </c>
      <c r="N1484" s="34"/>
      <c r="O1484" s="33">
        <f>+PROVEEDORES[[#This Row],[Descuento sobre subtotal %]]*(PROVEEDORES[[#This Row],[SUBTOTAL]]-PROVEEDORES[[#This Row],[descuento antes de IVA]])</f>
        <v>0</v>
      </c>
      <c r="P14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84" s="33">
        <f>+(PROVEEDORES[[#This Row],[SUBTOTAL]]-PROVEEDORES[[#This Row],[descuento antes de IVA]])*PROVEEDORES[[#This Row],[Rete Fuente %]]</f>
        <v>314700</v>
      </c>
      <c r="R1484" s="32">
        <f>+PROVEEDORES[[#This Row],[SUBTOTAL]]+PROVEEDORES[[#This Row],[IVA 19%]]-PROVEEDORES[[#This Row],[descuento antes de IVA]]-PROVEEDORES[[#This Row],[Descuento sobre subtotal $]]-PROVEEDORES[[#This Row],[Rete Fuente $]]</f>
        <v>14665020</v>
      </c>
      <c r="S148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5" spans="1:19" ht="21.95" hidden="1" customHeight="1" x14ac:dyDescent="0.25">
      <c r="A1485" s="134" t="str">
        <f>+IF(PROVEEDORES[[#This Row],[FECHA DE PAGO]]=PROVEEDORES[[#This Row],[FECHA DE FACTURACIÓN]],"DE CONTADO","CRÉDITO")</f>
        <v>CRÉDITO</v>
      </c>
      <c r="B1485" s="70" t="str">
        <f>+IF((PROVEEDORES[[#This Row],[FECHA DE PAGO]]-PROVEEDORES[[#This Row],[FECHA DE FACTURACIÓN]])&gt;PROVEEDORES[[#This Row],[PLAZO Días]],"PAGO VENCIDO")</f>
        <v>PAGO VENCIDO</v>
      </c>
      <c r="C1485" s="27">
        <f>+VLOOKUP(PROVEEDORES[[#This Row],[PROVEEDOR]],TERCEROS_INFO[#All],2,FALSE)</f>
        <v>30</v>
      </c>
      <c r="D1485" s="37">
        <f>+SUMIFS(PROVEEDORES[Total],PROVEEDORES[PROVEEDOR],PROVEEDORES[[#This Row],[PROVEEDOR]],PROVEEDORES[FECHA DE PAGO],"")</f>
        <v>0</v>
      </c>
      <c r="E1485" s="37"/>
      <c r="F1485" s="108" t="str">
        <f>+VLOOKUP(PROVEEDORES[[#This Row],[PROVEEDOR]],TERCEROS_INFO[[PROVEEDOR]:[CORREO]],5,FALSE)</f>
        <v>cartera@ienewline.com;andres.arroyave@ienewline.com;girlesa.ruiz@servipilas.com;joriescobar64@gmail.com</v>
      </c>
      <c r="G1485" s="143">
        <v>44426</v>
      </c>
      <c r="H1485" s="38" t="s">
        <v>37</v>
      </c>
      <c r="I1485" s="30">
        <v>44390</v>
      </c>
      <c r="J1485" s="58">
        <v>19575</v>
      </c>
      <c r="K1485" s="32">
        <v>9750000</v>
      </c>
      <c r="L1485" s="32"/>
      <c r="M1485" s="33">
        <f>(PROVEEDORES[[#This Row],[SUBTOTAL]]-PROVEEDORES[[#This Row],[descuento antes de IVA]])*VLOOKUP(PROVEEDORES[[#This Row],[PROVEEDOR]],TERCEROS_INFO[#All],3,FALSE)</f>
        <v>1852500</v>
      </c>
      <c r="N1485" s="34"/>
      <c r="O1485" s="33">
        <f>+PROVEEDORES[[#This Row],[Descuento sobre subtotal %]]*(PROVEEDORES[[#This Row],[SUBTOTAL]]-PROVEEDORES[[#This Row],[descuento antes de IVA]])</f>
        <v>0</v>
      </c>
      <c r="P14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85" s="33">
        <f>+(PROVEEDORES[[#This Row],[SUBTOTAL]]-PROVEEDORES[[#This Row],[descuento antes de IVA]])*PROVEEDORES[[#This Row],[Rete Fuente %]]</f>
        <v>243750</v>
      </c>
      <c r="R1485" s="32">
        <f>+PROVEEDORES[[#This Row],[SUBTOTAL]]+PROVEEDORES[[#This Row],[IVA 19%]]-PROVEEDORES[[#This Row],[descuento antes de IVA]]-PROVEEDORES[[#This Row],[Descuento sobre subtotal $]]-PROVEEDORES[[#This Row],[Rete Fuente $]]</f>
        <v>11358750</v>
      </c>
      <c r="S1485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6" spans="1:19" ht="21.95" hidden="1" customHeight="1" x14ac:dyDescent="0.25">
      <c r="A1486" s="134" t="str">
        <f>+IF(PROVEEDORES[[#This Row],[FECHA DE PAGO]]=PROVEEDORES[[#This Row],[FECHA DE FACTURACIÓN]],"DE CONTADO","CRÉDITO")</f>
        <v>CRÉDITO</v>
      </c>
      <c r="B1486" s="70" t="str">
        <f>+IF((PROVEEDORES[[#This Row],[FECHA DE PAGO]]-PROVEEDORES[[#This Row],[FECHA DE FACTURACIÓN]])&gt;PROVEEDORES[[#This Row],[PLAZO Días]],"PAGO VENCIDO")</f>
        <v>PAGO VENCIDO</v>
      </c>
      <c r="C1486" s="27">
        <f>+VLOOKUP(PROVEEDORES[[#This Row],[PROVEEDOR]],TERCEROS_INFO[#All],2,FALSE)</f>
        <v>30</v>
      </c>
      <c r="D1486" s="37">
        <f>+SUMIFS(PROVEEDORES[Total],PROVEEDORES[PROVEEDOR],PROVEEDORES[[#This Row],[PROVEEDOR]],PROVEEDORES[FECHA DE PAGO],"")</f>
        <v>0</v>
      </c>
      <c r="E1486" s="37"/>
      <c r="F1486" s="108" t="str">
        <f>+VLOOKUP(PROVEEDORES[[#This Row],[PROVEEDOR]],TERCEROS_INFO[[PROVEEDOR]:[CORREO]],5,FALSE)</f>
        <v>cartera@ienewline.com;andres.arroyave@ienewline.com;girlesa.ruiz@servipilas.com;joriescobar64@gmail.com</v>
      </c>
      <c r="G1486" s="143">
        <v>44427</v>
      </c>
      <c r="H1486" s="38" t="s">
        <v>37</v>
      </c>
      <c r="I1486" s="30">
        <v>44390</v>
      </c>
      <c r="J1486" s="58">
        <v>19589</v>
      </c>
      <c r="K1486" s="32">
        <v>114000</v>
      </c>
      <c r="L1486" s="32"/>
      <c r="M1486" s="33">
        <f>(PROVEEDORES[[#This Row],[SUBTOTAL]]-PROVEEDORES[[#This Row],[descuento antes de IVA]])*VLOOKUP(PROVEEDORES[[#This Row],[PROVEEDOR]],TERCEROS_INFO[#All],3,FALSE)</f>
        <v>21660</v>
      </c>
      <c r="N1486" s="34"/>
      <c r="O1486" s="33">
        <f>+PROVEEDORES[[#This Row],[Descuento sobre subtotal %]]*(PROVEEDORES[[#This Row],[SUBTOTAL]]-PROVEEDORES[[#This Row],[descuento antes de IVA]])</f>
        <v>0</v>
      </c>
      <c r="P14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86" s="33">
        <f>+(PROVEEDORES[[#This Row],[SUBTOTAL]]-PROVEEDORES[[#This Row],[descuento antes de IVA]])*PROVEEDORES[[#This Row],[Rete Fuente %]]</f>
        <v>0</v>
      </c>
      <c r="R1486" s="32">
        <f>+PROVEEDORES[[#This Row],[SUBTOTAL]]+PROVEEDORES[[#This Row],[IVA 19%]]-PROVEEDORES[[#This Row],[descuento antes de IVA]]-PROVEEDORES[[#This Row],[Descuento sobre subtotal $]]-PROVEEDORES[[#This Row],[Rete Fuente $]]</f>
        <v>135660</v>
      </c>
      <c r="S1486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7" spans="1:19" ht="21.95" hidden="1" customHeight="1" x14ac:dyDescent="0.25">
      <c r="A1487" s="134" t="str">
        <f>+IF(PROVEEDORES[[#This Row],[FECHA DE PAGO]]=PROVEEDORES[[#This Row],[FECHA DE FACTURACIÓN]],"DE CONTADO","CRÉDITO")</f>
        <v>CRÉDITO</v>
      </c>
      <c r="B1487" s="70" t="str">
        <f>+IF((PROVEEDORES[[#This Row],[FECHA DE PAGO]]-PROVEEDORES[[#This Row],[FECHA DE FACTURACIÓN]])&gt;PROVEEDORES[[#This Row],[PLAZO Días]],"PAGO VENCIDO")</f>
        <v>PAGO VENCIDO</v>
      </c>
      <c r="C1487" s="27">
        <f>+VLOOKUP(PROVEEDORES[[#This Row],[PROVEEDOR]],TERCEROS_INFO[#All],2,FALSE)</f>
        <v>30</v>
      </c>
      <c r="D1487" s="37">
        <f>+SUMIFS(PROVEEDORES[Total],PROVEEDORES[PROVEEDOR],PROVEEDORES[[#This Row],[PROVEEDOR]],PROVEEDORES[FECHA DE PAGO],"")</f>
        <v>0</v>
      </c>
      <c r="E1487" s="37"/>
      <c r="F1487" s="108" t="str">
        <f>+VLOOKUP(PROVEEDORES[[#This Row],[PROVEEDOR]],TERCEROS_INFO[[PROVEEDOR]:[CORREO]],5,FALSE)</f>
        <v>cartera@ienewline.com;andres.arroyave@ienewline.com;girlesa.ruiz@servipilas.com;joriescobar64@gmail.com</v>
      </c>
      <c r="G1487" s="143">
        <v>44427</v>
      </c>
      <c r="H1487" s="38" t="s">
        <v>37</v>
      </c>
      <c r="I1487" s="30">
        <v>44394</v>
      </c>
      <c r="J1487" s="58">
        <v>19771</v>
      </c>
      <c r="K1487" s="32">
        <v>2139000</v>
      </c>
      <c r="L1487" s="32"/>
      <c r="M1487" s="33">
        <f>(PROVEEDORES[[#This Row],[SUBTOTAL]]-PROVEEDORES[[#This Row],[descuento antes de IVA]])*VLOOKUP(PROVEEDORES[[#This Row],[PROVEEDOR]],TERCEROS_INFO[#All],3,FALSE)</f>
        <v>406410</v>
      </c>
      <c r="N1487" s="34"/>
      <c r="O1487" s="33">
        <f>+PROVEEDORES[[#This Row],[Descuento sobre subtotal %]]*(PROVEEDORES[[#This Row],[SUBTOTAL]]-PROVEEDORES[[#This Row],[descuento antes de IVA]])</f>
        <v>0</v>
      </c>
      <c r="P14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87" s="33">
        <f>+(PROVEEDORES[[#This Row],[SUBTOTAL]]-PROVEEDORES[[#This Row],[descuento antes de IVA]])*PROVEEDORES[[#This Row],[Rete Fuente %]]</f>
        <v>53475</v>
      </c>
      <c r="R1487" s="32">
        <f>+PROVEEDORES[[#This Row],[SUBTOTAL]]+PROVEEDORES[[#This Row],[IVA 19%]]-PROVEEDORES[[#This Row],[descuento antes de IVA]]-PROVEEDORES[[#This Row],[Descuento sobre subtotal $]]-PROVEEDORES[[#This Row],[Rete Fuente $]]</f>
        <v>2491935</v>
      </c>
      <c r="S1487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8" spans="1:19" ht="21.95" hidden="1" customHeight="1" x14ac:dyDescent="0.25">
      <c r="A1488" s="138" t="str">
        <f>+IF(PROVEEDORES[[#This Row],[FECHA DE PAGO]]=PROVEEDORES[[#This Row],[FECHA DE FACTURACIÓN]],"DE CONTADO","CRÉDITO")</f>
        <v>CRÉDITO</v>
      </c>
      <c r="B1488" s="70" t="str">
        <f>+IF((PROVEEDORES[[#This Row],[FECHA DE PAGO]]-PROVEEDORES[[#This Row],[FECHA DE FACTURACIÓN]])&gt;PROVEEDORES[[#This Row],[PLAZO Días]],"PAGO VENCIDO")</f>
        <v>PAGO VENCIDO</v>
      </c>
      <c r="C1488" s="27">
        <f>+VLOOKUP(PROVEEDORES[[#This Row],[PROVEEDOR]],TERCEROS_INFO[#All],2,FALSE)</f>
        <v>30</v>
      </c>
      <c r="D1488" s="37">
        <f>+SUMIFS(PROVEEDORES[Total],PROVEEDORES[PROVEEDOR],PROVEEDORES[[#This Row],[PROVEEDOR]],PROVEEDORES[FECHA DE PAGO],"")</f>
        <v>0</v>
      </c>
      <c r="E1488" s="37"/>
      <c r="F1488" s="108" t="str">
        <f>+VLOOKUP(PROVEEDORES[[#This Row],[PROVEEDOR]],TERCEROS_INFO[[PROVEEDOR]:[CORREO]],5,FALSE)</f>
        <v>cartera@ienewline.com;andres.arroyave@ienewline.com;girlesa.ruiz@servipilas.com;joriescobar64@gmail.com</v>
      </c>
      <c r="G1488" s="143">
        <v>44442</v>
      </c>
      <c r="H1488" s="38" t="s">
        <v>37</v>
      </c>
      <c r="I1488" s="30">
        <v>44411</v>
      </c>
      <c r="J1488" s="58">
        <v>20400</v>
      </c>
      <c r="K1488" s="32">
        <v>4769920</v>
      </c>
      <c r="L1488" s="32"/>
      <c r="M1488" s="33">
        <f>(PROVEEDORES[[#This Row],[SUBTOTAL]]-PROVEEDORES[[#This Row],[descuento antes de IVA]])*VLOOKUP(PROVEEDORES[[#This Row],[PROVEEDOR]],TERCEROS_INFO[#All],3,FALSE)</f>
        <v>906284.8</v>
      </c>
      <c r="N1488" s="34"/>
      <c r="O1488" s="33">
        <f>+PROVEEDORES[[#This Row],[Descuento sobre subtotal %]]*(PROVEEDORES[[#This Row],[SUBTOTAL]]-PROVEEDORES[[#This Row],[descuento antes de IVA]])</f>
        <v>0</v>
      </c>
      <c r="P14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88" s="33">
        <f>+(PROVEEDORES[[#This Row],[SUBTOTAL]]-PROVEEDORES[[#This Row],[descuento antes de IVA]])*PROVEEDORES[[#This Row],[Rete Fuente %]]</f>
        <v>119248</v>
      </c>
      <c r="R1488" s="32">
        <f>+PROVEEDORES[[#This Row],[SUBTOTAL]]+PROVEEDORES[[#This Row],[IVA 19%]]-PROVEEDORES[[#This Row],[descuento antes de IVA]]-PROVEEDORES[[#This Row],[Descuento sobre subtotal $]]-PROVEEDORES[[#This Row],[Rete Fuente $]]</f>
        <v>5556956.7999999998</v>
      </c>
      <c r="S1488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89" spans="1:19" ht="21.95" hidden="1" customHeight="1" x14ac:dyDescent="0.25">
      <c r="A1489" s="141" t="str">
        <f>+IF(PROVEEDORES[[#This Row],[FECHA DE PAGO]]=PROVEEDORES[[#This Row],[FECHA DE FACTURACIÓN]],"DE CONTADO","CRÉDITO")</f>
        <v>CRÉDITO</v>
      </c>
      <c r="B1489" s="70" t="str">
        <f>+IF((PROVEEDORES[[#This Row],[FECHA DE PAGO]]-PROVEEDORES[[#This Row],[FECHA DE FACTURACIÓN]])&gt;PROVEEDORES[[#This Row],[PLAZO Días]],"PAGO VENCIDO")</f>
        <v>PAGO VENCIDO</v>
      </c>
      <c r="C1489" s="27">
        <f>+VLOOKUP(PROVEEDORES[[#This Row],[PROVEEDOR]],TERCEROS_INFO[#All],2,FALSE)</f>
        <v>30</v>
      </c>
      <c r="D1489" s="37">
        <f>+SUMIFS(PROVEEDORES[Total],PROVEEDORES[PROVEEDOR],PROVEEDORES[[#This Row],[PROVEEDOR]],PROVEEDORES[FECHA DE PAGO],"")</f>
        <v>0</v>
      </c>
      <c r="E1489" s="37"/>
      <c r="F1489" s="108" t="str">
        <f>+VLOOKUP(PROVEEDORES[[#This Row],[PROVEEDOR]],TERCEROS_INFO[[PROVEEDOR]:[CORREO]],5,FALSE)</f>
        <v>cartera@ienewline.com;andres.arroyave@ienewline.com;girlesa.ruiz@servipilas.com;joriescobar64@gmail.com</v>
      </c>
      <c r="G1489" s="143">
        <v>44459</v>
      </c>
      <c r="H1489" s="38" t="s">
        <v>37</v>
      </c>
      <c r="I1489" s="30">
        <v>44421</v>
      </c>
      <c r="J1489" s="58">
        <v>20899</v>
      </c>
      <c r="K1489" s="32">
        <v>3552000</v>
      </c>
      <c r="L1489" s="32"/>
      <c r="M1489" s="33">
        <f>(PROVEEDORES[[#This Row],[SUBTOTAL]]-PROVEEDORES[[#This Row],[descuento antes de IVA]])*VLOOKUP(PROVEEDORES[[#This Row],[PROVEEDOR]],TERCEROS_INFO[#All],3,FALSE)</f>
        <v>674880</v>
      </c>
      <c r="N1489" s="34"/>
      <c r="O1489" s="33">
        <f>+PROVEEDORES[[#This Row],[Descuento sobre subtotal %]]*(PROVEEDORES[[#This Row],[SUBTOTAL]]-PROVEEDORES[[#This Row],[descuento antes de IVA]])</f>
        <v>0</v>
      </c>
      <c r="P14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89" s="33">
        <f>+(PROVEEDORES[[#This Row],[SUBTOTAL]]-PROVEEDORES[[#This Row],[descuento antes de IVA]])*PROVEEDORES[[#This Row],[Rete Fuente %]]</f>
        <v>88800</v>
      </c>
      <c r="R1489" s="32">
        <f>+PROVEEDORES[[#This Row],[SUBTOTAL]]+PROVEEDORES[[#This Row],[IVA 19%]]-PROVEEDORES[[#This Row],[descuento antes de IVA]]-PROVEEDORES[[#This Row],[Descuento sobre subtotal $]]-PROVEEDORES[[#This Row],[Rete Fuente $]]</f>
        <v>4138080</v>
      </c>
      <c r="S1489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0" spans="1:19" ht="21.95" hidden="1" customHeight="1" x14ac:dyDescent="0.25">
      <c r="A1490" s="35" t="str">
        <f>+IF(PROVEEDORES[[#This Row],[FECHA DE PAGO]]=PROVEEDORES[[#This Row],[FECHA DE FACTURACIÓN]],"DE CONTADO","CRÉDITO")</f>
        <v>CRÉDITO</v>
      </c>
      <c r="B1490" s="70" t="b">
        <f>+IF((PROVEEDORES[[#This Row],[FECHA DE PAGO]]-PROVEEDORES[[#This Row],[FECHA DE FACTURACIÓN]])&gt;PROVEEDORES[[#This Row],[PLAZO Días]],"PAGO VENCIDO")</f>
        <v>0</v>
      </c>
      <c r="C1490" s="27">
        <f>+VLOOKUP(PROVEEDORES[[#This Row],[PROVEEDOR]],TERCEROS_INFO[#All],2,FALSE)</f>
        <v>30</v>
      </c>
      <c r="D1490" s="37">
        <f>+SUMIFS(PROVEEDORES[Total],PROVEEDORES[PROVEEDOR],PROVEEDORES[[#This Row],[PROVEEDOR]],PROVEEDORES[FECHA DE PAGO],"")</f>
        <v>0</v>
      </c>
      <c r="E1490" s="37"/>
      <c r="F1490" s="108" t="str">
        <f>+VLOOKUP(PROVEEDORES[[#This Row],[PROVEEDOR]],TERCEROS_INFO[[PROVEEDOR]:[CORREO]],5,FALSE)</f>
        <v>cartera@ienewline.com;andres.arroyave@ienewline.com;girlesa.ruiz@servipilas.com;joriescobar64@gmail.com</v>
      </c>
      <c r="G1490" s="143">
        <v>44459</v>
      </c>
      <c r="H1490" s="38" t="s">
        <v>37</v>
      </c>
      <c r="I1490" s="30">
        <v>44429</v>
      </c>
      <c r="J1490" s="58">
        <v>21160</v>
      </c>
      <c r="K1490" s="32">
        <v>1620000</v>
      </c>
      <c r="L1490" s="32"/>
      <c r="M1490" s="33">
        <f>(PROVEEDORES[[#This Row],[SUBTOTAL]]-PROVEEDORES[[#This Row],[descuento antes de IVA]])*VLOOKUP(PROVEEDORES[[#This Row],[PROVEEDOR]],TERCEROS_INFO[#All],3,FALSE)</f>
        <v>307800</v>
      </c>
      <c r="N1490" s="34"/>
      <c r="O1490" s="33">
        <f>+PROVEEDORES[[#This Row],[Descuento sobre subtotal %]]*(PROVEEDORES[[#This Row],[SUBTOTAL]]-PROVEEDORES[[#This Row],[descuento antes de IVA]])</f>
        <v>0</v>
      </c>
      <c r="P14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90" s="33">
        <f>+(PROVEEDORES[[#This Row],[SUBTOTAL]]-PROVEEDORES[[#This Row],[descuento antes de IVA]])*PROVEEDORES[[#This Row],[Rete Fuente %]]</f>
        <v>40500</v>
      </c>
      <c r="R1490" s="32">
        <f>+PROVEEDORES[[#This Row],[SUBTOTAL]]+PROVEEDORES[[#This Row],[IVA 19%]]-PROVEEDORES[[#This Row],[descuento antes de IVA]]-PROVEEDORES[[#This Row],[Descuento sobre subtotal $]]-PROVEEDORES[[#This Row],[Rete Fuente $]]</f>
        <v>1887300</v>
      </c>
      <c r="S149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1" spans="1:19" ht="21.95" hidden="1" customHeight="1" x14ac:dyDescent="0.25">
      <c r="A1491" s="148" t="str">
        <f>+IF(PROVEEDORES[[#This Row],[FECHA DE PAGO]]=PROVEEDORES[[#This Row],[FECHA DE FACTURACIÓN]],"DE CONTADO","CRÉDITO")</f>
        <v>CRÉDITO</v>
      </c>
      <c r="B1491" s="70" t="str">
        <f>+IF((PROVEEDORES[[#This Row],[FECHA DE PAGO]]-PROVEEDORES[[#This Row],[FECHA DE FACTURACIÓN]])&gt;PROVEEDORES[[#This Row],[PLAZO Días]],"PAGO VENCIDO")</f>
        <v>PAGO VENCIDO</v>
      </c>
      <c r="C1491" s="27">
        <f>+VLOOKUP(PROVEEDORES[[#This Row],[PROVEEDOR]],TERCEROS_INFO[#All],2,FALSE)</f>
        <v>30</v>
      </c>
      <c r="D1491" s="37">
        <f>+SUMIFS(PROVEEDORES[Total],PROVEEDORES[PROVEEDOR],PROVEEDORES[[#This Row],[PROVEEDOR]],PROVEEDORES[FECHA DE PAGO],"")</f>
        <v>0</v>
      </c>
      <c r="E1491" s="37"/>
      <c r="F1491" s="108" t="str">
        <f>+VLOOKUP(PROVEEDORES[[#This Row],[PROVEEDOR]],TERCEROS_INFO[[PROVEEDOR]:[CORREO]],5,FALSE)</f>
        <v>cartera@ienewline.com;andres.arroyave@ienewline.com;girlesa.ruiz@servipilas.com;joriescobar64@gmail.com</v>
      </c>
      <c r="G1491" s="143">
        <v>44483</v>
      </c>
      <c r="H1491" s="38" t="s">
        <v>37</v>
      </c>
      <c r="I1491" s="30">
        <v>44446</v>
      </c>
      <c r="J1491" s="58">
        <v>21793</v>
      </c>
      <c r="K1491" s="32">
        <v>1314400</v>
      </c>
      <c r="L1491" s="32"/>
      <c r="M1491" s="33">
        <f>(PROVEEDORES[[#This Row],[SUBTOTAL]]-PROVEEDORES[[#This Row],[descuento antes de IVA]])*VLOOKUP(PROVEEDORES[[#This Row],[PROVEEDOR]],TERCEROS_INFO[#All],3,FALSE)</f>
        <v>249736</v>
      </c>
      <c r="N1491" s="34"/>
      <c r="O1491" s="33">
        <f>+PROVEEDORES[[#This Row],[Descuento sobre subtotal %]]*(PROVEEDORES[[#This Row],[SUBTOTAL]]-PROVEEDORES[[#This Row],[descuento antes de IVA]])</f>
        <v>0</v>
      </c>
      <c r="P14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91" s="33">
        <f>+(PROVEEDORES[[#This Row],[SUBTOTAL]]-PROVEEDORES[[#This Row],[descuento antes de IVA]])*PROVEEDORES[[#This Row],[Rete Fuente %]]</f>
        <v>32860</v>
      </c>
      <c r="R1491" s="32">
        <f>+PROVEEDORES[[#This Row],[SUBTOTAL]]+PROVEEDORES[[#This Row],[IVA 19%]]-PROVEEDORES[[#This Row],[descuento antes de IVA]]-PROVEEDORES[[#This Row],[Descuento sobre subtotal $]]-PROVEEDORES[[#This Row],[Rete Fuente $]]</f>
        <v>1531276</v>
      </c>
      <c r="S1491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2" spans="1:19" ht="21.95" hidden="1" customHeight="1" x14ac:dyDescent="0.25">
      <c r="A1492" s="155" t="str">
        <f>+IF(PROVEEDORES[[#This Row],[FECHA DE PAGO]]=PROVEEDORES[[#This Row],[FECHA DE FACTURACIÓN]],"DE CONTADO","CRÉDITO")</f>
        <v>CRÉDITO</v>
      </c>
      <c r="B1492" s="70" t="str">
        <f>+IF((PROVEEDORES[[#This Row],[FECHA DE PAGO]]-PROVEEDORES[[#This Row],[FECHA DE FACTURACIÓN]])&gt;PROVEEDORES[[#This Row],[PLAZO Días]],"PAGO VENCIDO")</f>
        <v>PAGO VENCIDO</v>
      </c>
      <c r="C1492" s="27">
        <f>+VLOOKUP(PROVEEDORES[[#This Row],[PROVEEDOR]],TERCEROS_INFO[#All],2,FALSE)</f>
        <v>30</v>
      </c>
      <c r="D1492" s="37">
        <f>+SUMIFS(PROVEEDORES[Total],PROVEEDORES[PROVEEDOR],PROVEEDORES[[#This Row],[PROVEEDOR]],PROVEEDORES[FECHA DE PAGO],"")</f>
        <v>0</v>
      </c>
      <c r="E1492" s="37"/>
      <c r="F1492" s="108" t="str">
        <f>+VLOOKUP(PROVEEDORES[[#This Row],[PROVEEDOR]],TERCEROS_INFO[[PROVEEDOR]:[CORREO]],5,FALSE)</f>
        <v>cartera@ienewline.com;andres.arroyave@ienewline.com;girlesa.ruiz@servipilas.com;joriescobar64@gmail.com</v>
      </c>
      <c r="G1492" s="143">
        <v>44510</v>
      </c>
      <c r="H1492" s="38" t="s">
        <v>37</v>
      </c>
      <c r="I1492" s="30">
        <v>44471</v>
      </c>
      <c r="J1492" s="58">
        <v>22921</v>
      </c>
      <c r="K1492" s="32">
        <v>3732000</v>
      </c>
      <c r="L1492" s="32"/>
      <c r="M1492" s="33">
        <f>(PROVEEDORES[[#This Row],[SUBTOTAL]]-PROVEEDORES[[#This Row],[descuento antes de IVA]])*VLOOKUP(PROVEEDORES[[#This Row],[PROVEEDOR]],TERCEROS_INFO[#All],3,FALSE)</f>
        <v>709080</v>
      </c>
      <c r="N1492" s="34"/>
      <c r="O1492" s="33">
        <f>+PROVEEDORES[[#This Row],[Descuento sobre subtotal %]]*(PROVEEDORES[[#This Row],[SUBTOTAL]]-PROVEEDORES[[#This Row],[descuento antes de IVA]])</f>
        <v>0</v>
      </c>
      <c r="P14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92" s="33">
        <f>+(PROVEEDORES[[#This Row],[SUBTOTAL]]-PROVEEDORES[[#This Row],[descuento antes de IVA]])*PROVEEDORES[[#This Row],[Rete Fuente %]]</f>
        <v>93300</v>
      </c>
      <c r="R1492" s="32">
        <f>+PROVEEDORES[[#This Row],[SUBTOTAL]]+PROVEEDORES[[#This Row],[IVA 19%]]-PROVEEDORES[[#This Row],[descuento antes de IVA]]-PROVEEDORES[[#This Row],[Descuento sobre subtotal $]]-PROVEEDORES[[#This Row],[Rete Fuente $]]</f>
        <v>4347780</v>
      </c>
      <c r="S1492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3" spans="1:19" ht="21.95" hidden="1" customHeight="1" x14ac:dyDescent="0.25">
      <c r="A1493" s="155" t="str">
        <f>+IF(PROVEEDORES[[#This Row],[FECHA DE PAGO]]=PROVEEDORES[[#This Row],[FECHA DE FACTURACIÓN]],"DE CONTADO","CRÉDITO")</f>
        <v>CRÉDITO</v>
      </c>
      <c r="B1493" s="70" t="str">
        <f>+IF((PROVEEDORES[[#This Row],[FECHA DE PAGO]]-PROVEEDORES[[#This Row],[FECHA DE FACTURACIÓN]])&gt;PROVEEDORES[[#This Row],[PLAZO Días]],"PAGO VENCIDO")</f>
        <v>PAGO VENCIDO</v>
      </c>
      <c r="C1493" s="27">
        <f>+VLOOKUP(PROVEEDORES[[#This Row],[PROVEEDOR]],TERCEROS_INFO[#All],2,FALSE)</f>
        <v>30</v>
      </c>
      <c r="D1493" s="37">
        <f>+SUMIFS(PROVEEDORES[Total],PROVEEDORES[PROVEEDOR],PROVEEDORES[[#This Row],[PROVEEDOR]],PROVEEDORES[FECHA DE PAGO],"")</f>
        <v>0</v>
      </c>
      <c r="E1493" s="37"/>
      <c r="F1493" s="108" t="str">
        <f>+VLOOKUP(PROVEEDORES[[#This Row],[PROVEEDOR]],TERCEROS_INFO[[PROVEEDOR]:[CORREO]],5,FALSE)</f>
        <v>cartera@ienewline.com;andres.arroyave@ienewline.com;girlesa.ruiz@servipilas.com;joriescobar64@gmail.com</v>
      </c>
      <c r="G1493" s="143">
        <v>44510</v>
      </c>
      <c r="H1493" s="38" t="s">
        <v>37</v>
      </c>
      <c r="I1493" s="30">
        <v>44475</v>
      </c>
      <c r="J1493" s="58">
        <v>23081</v>
      </c>
      <c r="K1493" s="32">
        <v>1770000</v>
      </c>
      <c r="L1493" s="32"/>
      <c r="M1493" s="33">
        <f>(PROVEEDORES[[#This Row],[SUBTOTAL]]-PROVEEDORES[[#This Row],[descuento antes de IVA]])*VLOOKUP(PROVEEDORES[[#This Row],[PROVEEDOR]],TERCEROS_INFO[#All],3,FALSE)</f>
        <v>336300</v>
      </c>
      <c r="N1493" s="34"/>
      <c r="O1493" s="33">
        <f>+PROVEEDORES[[#This Row],[Descuento sobre subtotal %]]*(PROVEEDORES[[#This Row],[SUBTOTAL]]-PROVEEDORES[[#This Row],[descuento antes de IVA]])</f>
        <v>0</v>
      </c>
      <c r="P14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93" s="33">
        <f>+(PROVEEDORES[[#This Row],[SUBTOTAL]]-PROVEEDORES[[#This Row],[descuento antes de IVA]])*PROVEEDORES[[#This Row],[Rete Fuente %]]</f>
        <v>44250</v>
      </c>
      <c r="R1493" s="32">
        <f>+PROVEEDORES[[#This Row],[SUBTOTAL]]+PROVEEDORES[[#This Row],[IVA 19%]]-PROVEEDORES[[#This Row],[descuento antes de IVA]]-PROVEEDORES[[#This Row],[Descuento sobre subtotal $]]-PROVEEDORES[[#This Row],[Rete Fuente $]]</f>
        <v>2062050</v>
      </c>
      <c r="S1493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4" spans="1:19" ht="21.95" hidden="1" customHeight="1" x14ac:dyDescent="0.25">
      <c r="A1494" s="157" t="str">
        <f>+IF(PROVEEDORES[[#This Row],[FECHA DE PAGO]]=PROVEEDORES[[#This Row],[FECHA DE FACTURACIÓN]],"DE CONTADO","CRÉDITO")</f>
        <v>CRÉDITO</v>
      </c>
      <c r="B1494" s="70" t="str">
        <f>+IF((PROVEEDORES[[#This Row],[FECHA DE PAGO]]-PROVEEDORES[[#This Row],[FECHA DE FACTURACIÓN]])&gt;PROVEEDORES[[#This Row],[PLAZO Días]],"PAGO VENCIDO")</f>
        <v>PAGO VENCIDO</v>
      </c>
      <c r="C1494" s="27">
        <f>+VLOOKUP(PROVEEDORES[[#This Row],[PROVEEDOR]],TERCEROS_INFO[#All],2,FALSE)</f>
        <v>30</v>
      </c>
      <c r="D1494" s="37">
        <f>+SUMIFS(PROVEEDORES[Total],PROVEEDORES[PROVEEDOR],PROVEEDORES[[#This Row],[PROVEEDOR]],PROVEEDORES[FECHA DE PAGO],"")</f>
        <v>0</v>
      </c>
      <c r="E1494" s="37"/>
      <c r="F1494" s="108" t="str">
        <f>+VLOOKUP(PROVEEDORES[[#This Row],[PROVEEDOR]],TERCEROS_INFO[[PROVEEDOR]:[CORREO]],5,FALSE)</f>
        <v>cartera@ienewline.com;andres.arroyave@ienewline.com;girlesa.ruiz@servipilas.com;joriescobar64@gmail.com</v>
      </c>
      <c r="G1494" s="143">
        <v>44523</v>
      </c>
      <c r="H1494" s="38" t="s">
        <v>37</v>
      </c>
      <c r="I1494" s="30">
        <v>44488</v>
      </c>
      <c r="J1494" s="58">
        <v>23594</v>
      </c>
      <c r="K1494" s="32">
        <v>936200</v>
      </c>
      <c r="L1494" s="32"/>
      <c r="M1494" s="33">
        <f>(PROVEEDORES[[#This Row],[SUBTOTAL]]-PROVEEDORES[[#This Row],[descuento antes de IVA]])*VLOOKUP(PROVEEDORES[[#This Row],[PROVEEDOR]],TERCEROS_INFO[#All],3,FALSE)</f>
        <v>177878</v>
      </c>
      <c r="N1494" s="34"/>
      <c r="O1494" s="33">
        <f>+PROVEEDORES[[#This Row],[Descuento sobre subtotal %]]*(PROVEEDORES[[#This Row],[SUBTOTAL]]-PROVEEDORES[[#This Row],[descuento antes de IVA]])</f>
        <v>0</v>
      </c>
      <c r="P14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94" s="33">
        <f>+(PROVEEDORES[[#This Row],[SUBTOTAL]]-PROVEEDORES[[#This Row],[descuento antes de IVA]])*PROVEEDORES[[#This Row],[Rete Fuente %]]</f>
        <v>0</v>
      </c>
      <c r="R1494" s="32">
        <f>+PROVEEDORES[[#This Row],[SUBTOTAL]]+PROVEEDORES[[#This Row],[IVA 19%]]-PROVEEDORES[[#This Row],[descuento antes de IVA]]-PROVEEDORES[[#This Row],[Descuento sobre subtotal $]]-PROVEEDORES[[#This Row],[Rete Fuente $]]</f>
        <v>1114078</v>
      </c>
      <c r="S1494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5" spans="1:19" ht="21.95" hidden="1" customHeight="1" x14ac:dyDescent="0.25">
      <c r="A1495" s="164" t="str">
        <f>+IF(PROVEEDORES[[#This Row],[FECHA DE PAGO]]=PROVEEDORES[[#This Row],[FECHA DE FACTURACIÓN]],"DE CONTADO","CRÉDITO")</f>
        <v>CRÉDITO</v>
      </c>
      <c r="B1495" s="70" t="str">
        <f>+IF((PROVEEDORES[[#This Row],[FECHA DE PAGO]]-PROVEEDORES[[#This Row],[FECHA DE FACTURACIÓN]])&gt;PROVEEDORES[[#This Row],[PLAZO Días]],"PAGO VENCIDO")</f>
        <v>PAGO VENCIDO</v>
      </c>
      <c r="C1495" s="27">
        <f>+VLOOKUP(PROVEEDORES[[#This Row],[PROVEEDOR]],TERCEROS_INFO[#All],2,FALSE)</f>
        <v>30</v>
      </c>
      <c r="D1495" s="37">
        <f>+SUMIFS(PROVEEDORES[Total],PROVEEDORES[PROVEEDOR],PROVEEDORES[[#This Row],[PROVEEDOR]],PROVEEDORES[FECHA DE PAGO],"")</f>
        <v>0</v>
      </c>
      <c r="E1495" s="37"/>
      <c r="F1495" s="108" t="str">
        <f>+VLOOKUP(PROVEEDORES[[#This Row],[PROVEEDOR]],TERCEROS_INFO[[PROVEEDOR]:[CORREO]],5,FALSE)</f>
        <v>cartera@ienewline.com;andres.arroyave@ienewline.com;girlesa.ruiz@servipilas.com;joriescobar64@gmail.com</v>
      </c>
      <c r="G1495" s="143">
        <v>44543</v>
      </c>
      <c r="H1495" s="38" t="s">
        <v>37</v>
      </c>
      <c r="I1495" s="30">
        <v>44509</v>
      </c>
      <c r="J1495" s="58">
        <v>24521</v>
      </c>
      <c r="K1495" s="32">
        <v>3180000</v>
      </c>
      <c r="L1495" s="32"/>
      <c r="M1495" s="33">
        <f>(PROVEEDORES[[#This Row],[SUBTOTAL]]-PROVEEDORES[[#This Row],[descuento antes de IVA]])*VLOOKUP(PROVEEDORES[[#This Row],[PROVEEDOR]],TERCEROS_INFO[#All],3,FALSE)</f>
        <v>604200</v>
      </c>
      <c r="N1495" s="34"/>
      <c r="O1495" s="33">
        <f>+PROVEEDORES[[#This Row],[Descuento sobre subtotal %]]*(PROVEEDORES[[#This Row],[SUBTOTAL]]-PROVEEDORES[[#This Row],[descuento antes de IVA]])</f>
        <v>0</v>
      </c>
      <c r="P14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95" s="33">
        <f>+(PROVEEDORES[[#This Row],[SUBTOTAL]]-PROVEEDORES[[#This Row],[descuento antes de IVA]])*PROVEEDORES[[#This Row],[Rete Fuente %]]</f>
        <v>79500</v>
      </c>
      <c r="R1495" s="32">
        <f>+PROVEEDORES[[#This Row],[SUBTOTAL]]+PROVEEDORES[[#This Row],[IVA 19%]]-PROVEEDORES[[#This Row],[descuento antes de IVA]]-PROVEEDORES[[#This Row],[Descuento sobre subtotal $]]-PROVEEDORES[[#This Row],[Rete Fuente $]]</f>
        <v>3704700</v>
      </c>
      <c r="S1495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6" spans="1:19" ht="21.95" hidden="1" customHeight="1" x14ac:dyDescent="0.25">
      <c r="A1496" s="164" t="str">
        <f>+IF(PROVEEDORES[[#This Row],[FECHA DE PAGO]]=PROVEEDORES[[#This Row],[FECHA DE FACTURACIÓN]],"DE CONTADO","CRÉDITO")</f>
        <v>CRÉDITO</v>
      </c>
      <c r="B1496" s="70" t="str">
        <f>+IF((PROVEEDORES[[#This Row],[FECHA DE PAGO]]-PROVEEDORES[[#This Row],[FECHA DE FACTURACIÓN]])&gt;PROVEEDORES[[#This Row],[PLAZO Días]],"PAGO VENCIDO")</f>
        <v>PAGO VENCIDO</v>
      </c>
      <c r="C1496" s="27">
        <f>+VLOOKUP(PROVEEDORES[[#This Row],[PROVEEDOR]],TERCEROS_INFO[#All],2,FALSE)</f>
        <v>30</v>
      </c>
      <c r="D1496" s="37">
        <f>+SUMIFS(PROVEEDORES[Total],PROVEEDORES[PROVEEDOR],PROVEEDORES[[#This Row],[PROVEEDOR]],PROVEEDORES[FECHA DE PAGO],"")</f>
        <v>0</v>
      </c>
      <c r="E1496" s="37"/>
      <c r="F1496" s="108" t="str">
        <f>+VLOOKUP(PROVEEDORES[[#This Row],[PROVEEDOR]],TERCEROS_INFO[[PROVEEDOR]:[CORREO]],5,FALSE)</f>
        <v>cartera@ienewline.com;andres.arroyave@ienewline.com;girlesa.ruiz@servipilas.com;joriescobar64@gmail.com</v>
      </c>
      <c r="G1496" s="143">
        <v>44550</v>
      </c>
      <c r="H1496" s="38" t="s">
        <v>37</v>
      </c>
      <c r="I1496" s="30">
        <v>44512</v>
      </c>
      <c r="J1496" s="58">
        <v>24688</v>
      </c>
      <c r="K1496" s="32">
        <v>897164.80000000005</v>
      </c>
      <c r="L1496" s="32"/>
      <c r="M1496" s="33">
        <f>(PROVEEDORES[[#This Row],[SUBTOTAL]]-PROVEEDORES[[#This Row],[descuento antes de IVA]])*VLOOKUP(PROVEEDORES[[#This Row],[PROVEEDOR]],TERCEROS_INFO[#All],3,FALSE)</f>
        <v>170461.31200000001</v>
      </c>
      <c r="N1496" s="34"/>
      <c r="O1496" s="33">
        <f>+PROVEEDORES[[#This Row],[Descuento sobre subtotal %]]*(PROVEEDORES[[#This Row],[SUBTOTAL]]-PROVEEDORES[[#This Row],[descuento antes de IVA]])</f>
        <v>0</v>
      </c>
      <c r="P14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96" s="33">
        <f>+(PROVEEDORES[[#This Row],[SUBTOTAL]]-PROVEEDORES[[#This Row],[descuento antes de IVA]])*PROVEEDORES[[#This Row],[Rete Fuente %]]</f>
        <v>0</v>
      </c>
      <c r="R1496" s="32">
        <f>+PROVEEDORES[[#This Row],[SUBTOTAL]]+PROVEEDORES[[#This Row],[IVA 19%]]-PROVEEDORES[[#This Row],[descuento antes de IVA]]-PROVEEDORES[[#This Row],[Descuento sobre subtotal $]]-PROVEEDORES[[#This Row],[Rete Fuente $]]</f>
        <v>1067626.112</v>
      </c>
      <c r="S1496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7" spans="1:19" ht="21.95" hidden="1" customHeight="1" x14ac:dyDescent="0.25">
      <c r="A1497" s="165" t="str">
        <f>+IF(PROVEEDORES[[#This Row],[FECHA DE PAGO]]=PROVEEDORES[[#This Row],[FECHA DE FACTURACIÓN]],"DE CONTADO","CRÉDITO")</f>
        <v>CRÉDITO</v>
      </c>
      <c r="B1497" s="70" t="str">
        <f>+IF((PROVEEDORES[[#This Row],[FECHA DE PAGO]]-PROVEEDORES[[#This Row],[FECHA DE FACTURACIÓN]])&gt;PROVEEDORES[[#This Row],[PLAZO Días]],"PAGO VENCIDO")</f>
        <v>PAGO VENCIDO</v>
      </c>
      <c r="C1497" s="27">
        <f>+VLOOKUP(PROVEEDORES[[#This Row],[PROVEEDOR]],TERCEROS_INFO[#All],2,FALSE)</f>
        <v>30</v>
      </c>
      <c r="D1497" s="37">
        <f>+SUMIFS(PROVEEDORES[Total],PROVEEDORES[PROVEEDOR],PROVEEDORES[[#This Row],[PROVEEDOR]],PROVEEDORES[FECHA DE PAGO],"")</f>
        <v>0</v>
      </c>
      <c r="E1497" s="37"/>
      <c r="F1497" s="108" t="str">
        <f>+VLOOKUP(PROVEEDORES[[#This Row],[PROVEEDOR]],TERCEROS_INFO[[PROVEEDOR]:[CORREO]],5,FALSE)</f>
        <v>cartera@ienewline.com;andres.arroyave@ienewline.com;girlesa.ruiz@servipilas.com;joriescobar64@gmail.com</v>
      </c>
      <c r="G1497" s="143">
        <v>44550</v>
      </c>
      <c r="H1497" s="38" t="s">
        <v>37</v>
      </c>
      <c r="I1497" s="30">
        <v>44513</v>
      </c>
      <c r="J1497" s="58">
        <v>24746</v>
      </c>
      <c r="K1497" s="32">
        <v>1294560</v>
      </c>
      <c r="L1497" s="32"/>
      <c r="M1497" s="33">
        <f>(PROVEEDORES[[#This Row],[SUBTOTAL]]-PROVEEDORES[[#This Row],[descuento antes de IVA]])*VLOOKUP(PROVEEDORES[[#This Row],[PROVEEDOR]],TERCEROS_INFO[#All],3,FALSE)</f>
        <v>245966.4</v>
      </c>
      <c r="N1497" s="34"/>
      <c r="O1497" s="33">
        <f>+PROVEEDORES[[#This Row],[Descuento sobre subtotal %]]*(PROVEEDORES[[#This Row],[SUBTOTAL]]-PROVEEDORES[[#This Row],[descuento antes de IVA]])</f>
        <v>0</v>
      </c>
      <c r="P14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497" s="33">
        <f>+(PROVEEDORES[[#This Row],[SUBTOTAL]]-PROVEEDORES[[#This Row],[descuento antes de IVA]])*PROVEEDORES[[#This Row],[Rete Fuente %]]</f>
        <v>32364</v>
      </c>
      <c r="R1497" s="32">
        <f>+PROVEEDORES[[#This Row],[SUBTOTAL]]+PROVEEDORES[[#This Row],[IVA 19%]]-PROVEEDORES[[#This Row],[descuento antes de IVA]]-PROVEEDORES[[#This Row],[Descuento sobre subtotal $]]-PROVEEDORES[[#This Row],[Rete Fuente $]]</f>
        <v>1508162.4</v>
      </c>
      <c r="S1497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8" spans="1:19" ht="21.95" hidden="1" customHeight="1" x14ac:dyDescent="0.25">
      <c r="A1498" s="39" t="str">
        <f>+IF(PROVEEDORES[[#This Row],[FECHA DE PAGO]]=PROVEEDORES[[#This Row],[FECHA DE FACTURACIÓN]],"DE CONTADO","CRÉDITO")</f>
        <v>CRÉDITO</v>
      </c>
      <c r="B1498" s="67" t="b">
        <f>+IF((PROVEEDORES[[#This Row],[FECHA DE PAGO]]-PROVEEDORES[[#This Row],[FECHA DE FACTURACIÓN]])&gt;PROVEEDORES[[#This Row],[PLAZO Días]],"PAGO VENCIDO")</f>
        <v>0</v>
      </c>
      <c r="C1498" s="27">
        <f>+VLOOKUP(PROVEEDORES[[#This Row],[PROVEEDOR]],TERCEROS_INFO[#All],2,FALSE)</f>
        <v>45</v>
      </c>
      <c r="D1498" s="37">
        <f>+SUMIFS(PROVEEDORES[Total],PROVEEDORES[PROVEEDOR],PROVEEDORES[[#This Row],[PROVEEDOR]],PROVEEDORES[FECHA DE PAGO],"")</f>
        <v>12931968</v>
      </c>
      <c r="E1498" s="37"/>
      <c r="F1498" s="108" t="str">
        <f>+VLOOKUP(PROVEEDORES[[#This Row],[PROVEEDOR]],TERCEROS_INFO[[PROVEEDOR]:[CORREO]],5,FALSE)</f>
        <v>zully.florez@powest.com;girlesa.ruiz@servipilas.com;joriescobar64@gmail.com</v>
      </c>
      <c r="G1498" s="143">
        <v>43901</v>
      </c>
      <c r="H1498" s="38" t="s">
        <v>19</v>
      </c>
      <c r="I1498" s="30">
        <v>43861</v>
      </c>
      <c r="J1498" s="58">
        <v>8849</v>
      </c>
      <c r="K1498" s="32">
        <v>3036000</v>
      </c>
      <c r="L1498" s="32"/>
      <c r="M1498" s="33">
        <f>(PROVEEDORES[[#This Row],[SUBTOTAL]]-PROVEEDORES[[#This Row],[descuento antes de IVA]])*VLOOKUP(PROVEEDORES[[#This Row],[PROVEEDOR]],TERCEROS_INFO[#All],3,FALSE)</f>
        <v>576840</v>
      </c>
      <c r="N1498" s="34"/>
      <c r="O1498" s="33">
        <f>+PROVEEDORES[[#This Row],[Descuento sobre subtotal %]]*(PROVEEDORES[[#This Row],[SUBTOTAL]]-PROVEEDORES[[#This Row],[descuento antes de IVA]])</f>
        <v>0</v>
      </c>
      <c r="P14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98" s="33">
        <f>+(PROVEEDORES[[#This Row],[SUBTOTAL]]-PROVEEDORES[[#This Row],[descuento antes de IVA]])*PROVEEDORES[[#This Row],[Rete Fuente %]]</f>
        <v>0</v>
      </c>
      <c r="R1498" s="32">
        <f>+PROVEEDORES[[#This Row],[SUBTOTAL]]+PROVEEDORES[[#This Row],[IVA 19%]]-PROVEEDORES[[#This Row],[descuento antes de IVA]]-PROVEEDORES[[#This Row],[Descuento sobre subtotal $]]-PROVEEDORES[[#This Row],[Rete Fuente $]]</f>
        <v>3612840</v>
      </c>
      <c r="S149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499" spans="1:19" ht="21.95" hidden="1" customHeight="1" x14ac:dyDescent="0.25">
      <c r="A1499" s="39" t="str">
        <f>+IF(PROVEEDORES[[#This Row],[FECHA DE PAGO]]=PROVEEDORES[[#This Row],[FECHA DE FACTURACIÓN]],"DE CONTADO","CRÉDITO")</f>
        <v>CRÉDITO</v>
      </c>
      <c r="B1499" s="67" t="str">
        <f>+IF((PROVEEDORES[[#This Row],[FECHA DE PAGO]]-PROVEEDORES[[#This Row],[FECHA DE FACTURACIÓN]])&gt;PROVEEDORES[[#This Row],[PLAZO Días]],"PAGO VENCIDO")</f>
        <v>PAGO VENCIDO</v>
      </c>
      <c r="C1499" s="27">
        <f>+VLOOKUP(PROVEEDORES[[#This Row],[PROVEEDOR]],TERCEROS_INFO[#All],2,FALSE)</f>
        <v>45</v>
      </c>
      <c r="D1499" s="37">
        <f>+SUMIFS(PROVEEDORES[Total],PROVEEDORES[PROVEEDOR],PROVEEDORES[[#This Row],[PROVEEDOR]],PROVEEDORES[FECHA DE PAGO],"")</f>
        <v>12931968</v>
      </c>
      <c r="E1499" s="37"/>
      <c r="F1499" s="108" t="str">
        <f>+VLOOKUP(PROVEEDORES[[#This Row],[PROVEEDOR]],TERCEROS_INFO[[PROVEEDOR]:[CORREO]],5,FALSE)</f>
        <v>zully.florez@powest.com;girlesa.ruiz@servipilas.com;joriescobar64@gmail.com</v>
      </c>
      <c r="G1499" s="143">
        <v>43948</v>
      </c>
      <c r="H1499" s="38" t="s">
        <v>19</v>
      </c>
      <c r="I1499" s="30">
        <v>43882</v>
      </c>
      <c r="J1499" s="58">
        <v>10094</v>
      </c>
      <c r="K1499" s="32">
        <v>1145950.4201680673</v>
      </c>
      <c r="L1499" s="32"/>
      <c r="M1499" s="33">
        <f>(PROVEEDORES[[#This Row],[SUBTOTAL]]-PROVEEDORES[[#This Row],[descuento antes de IVA]])*VLOOKUP(PROVEEDORES[[#This Row],[PROVEEDOR]],TERCEROS_INFO[#All],3,FALSE)</f>
        <v>217730.57983193279</v>
      </c>
      <c r="N1499" s="34"/>
      <c r="O1499" s="33">
        <f>+PROVEEDORES[[#This Row],[Descuento sobre subtotal %]]*(PROVEEDORES[[#This Row],[SUBTOTAL]]-PROVEEDORES[[#This Row],[descuento antes de IVA]])</f>
        <v>0</v>
      </c>
      <c r="P14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499" s="33">
        <f>+(PROVEEDORES[[#This Row],[SUBTOTAL]]-PROVEEDORES[[#This Row],[descuento antes de IVA]])*PROVEEDORES[[#This Row],[Rete Fuente %]]</f>
        <v>0</v>
      </c>
      <c r="R1499" s="32">
        <f>+PROVEEDORES[[#This Row],[SUBTOTAL]]+PROVEEDORES[[#This Row],[IVA 19%]]-PROVEEDORES[[#This Row],[descuento antes de IVA]]-PROVEEDORES[[#This Row],[Descuento sobre subtotal $]]-PROVEEDORES[[#This Row],[Rete Fuente $]]</f>
        <v>1363681</v>
      </c>
      <c r="S149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0" spans="1:19" ht="21.95" hidden="1" customHeight="1" x14ac:dyDescent="0.25">
      <c r="A1500" s="39" t="str">
        <f>+IF(PROVEEDORES[[#This Row],[FECHA DE PAGO]]=PROVEEDORES[[#This Row],[FECHA DE FACTURACIÓN]],"DE CONTADO","CRÉDITO")</f>
        <v>CRÉDITO</v>
      </c>
      <c r="B1500" s="67" t="str">
        <f>+IF((PROVEEDORES[[#This Row],[FECHA DE PAGO]]-PROVEEDORES[[#This Row],[FECHA DE FACTURACIÓN]])&gt;PROVEEDORES[[#This Row],[PLAZO Días]],"PAGO VENCIDO")</f>
        <v>PAGO VENCIDO</v>
      </c>
      <c r="C1500" s="27">
        <f>+VLOOKUP(PROVEEDORES[[#This Row],[PROVEEDOR]],TERCEROS_INFO[#All],2,FALSE)</f>
        <v>45</v>
      </c>
      <c r="D1500" s="37">
        <f>+SUMIFS(PROVEEDORES[Total],PROVEEDORES[PROVEEDOR],PROVEEDORES[[#This Row],[PROVEEDOR]],PROVEEDORES[FECHA DE PAGO],"")</f>
        <v>12931968</v>
      </c>
      <c r="E1500" s="37"/>
      <c r="F1500" s="108" t="str">
        <f>+VLOOKUP(PROVEEDORES[[#This Row],[PROVEEDOR]],TERCEROS_INFO[[PROVEEDOR]:[CORREO]],5,FALSE)</f>
        <v>zully.florez@powest.com;girlesa.ruiz@servipilas.com;joriescobar64@gmail.com</v>
      </c>
      <c r="G1500" s="143">
        <v>43948</v>
      </c>
      <c r="H1500" s="38" t="s">
        <v>19</v>
      </c>
      <c r="I1500" s="30">
        <v>43885</v>
      </c>
      <c r="J1500" s="58">
        <v>10169</v>
      </c>
      <c r="K1500" s="32">
        <v>232950.42016806724</v>
      </c>
      <c r="L1500" s="32"/>
      <c r="M1500" s="33">
        <f>(PROVEEDORES[[#This Row],[SUBTOTAL]]-PROVEEDORES[[#This Row],[descuento antes de IVA]])*VLOOKUP(PROVEEDORES[[#This Row],[PROVEEDOR]],TERCEROS_INFO[#All],3,FALSE)</f>
        <v>44260.579831932773</v>
      </c>
      <c r="N1500" s="34"/>
      <c r="O1500" s="33">
        <f>+PROVEEDORES[[#This Row],[Descuento sobre subtotal %]]*(PROVEEDORES[[#This Row],[SUBTOTAL]]-PROVEEDORES[[#This Row],[descuento antes de IVA]])</f>
        <v>0</v>
      </c>
      <c r="P15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0" s="33">
        <f>+(PROVEEDORES[[#This Row],[SUBTOTAL]]-PROVEEDORES[[#This Row],[descuento antes de IVA]])*PROVEEDORES[[#This Row],[Rete Fuente %]]</f>
        <v>0</v>
      </c>
      <c r="R1500" s="32">
        <f>+PROVEEDORES[[#This Row],[SUBTOTAL]]+PROVEEDORES[[#This Row],[IVA 19%]]-PROVEEDORES[[#This Row],[descuento antes de IVA]]-PROVEEDORES[[#This Row],[Descuento sobre subtotal $]]-PROVEEDORES[[#This Row],[Rete Fuente $]]</f>
        <v>277211</v>
      </c>
      <c r="S150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1" spans="1:19" ht="21.95" hidden="1" customHeight="1" x14ac:dyDescent="0.25">
      <c r="A1501" s="39" t="str">
        <f>+IF(PROVEEDORES[[#This Row],[FECHA DE PAGO]]=PROVEEDORES[[#This Row],[FECHA DE FACTURACIÓN]],"DE CONTADO","CRÉDITO")</f>
        <v>CRÉDITO</v>
      </c>
      <c r="B1501" s="67" t="str">
        <f>+IF((PROVEEDORES[[#This Row],[FECHA DE PAGO]]-PROVEEDORES[[#This Row],[FECHA DE FACTURACIÓN]])&gt;PROVEEDORES[[#This Row],[PLAZO Días]],"PAGO VENCIDO")</f>
        <v>PAGO VENCIDO</v>
      </c>
      <c r="C1501" s="27">
        <f>+VLOOKUP(PROVEEDORES[[#This Row],[PROVEEDOR]],TERCEROS_INFO[#All],2,FALSE)</f>
        <v>45</v>
      </c>
      <c r="D1501" s="37">
        <f>+SUMIFS(PROVEEDORES[Total],PROVEEDORES[PROVEEDOR],PROVEEDORES[[#This Row],[PROVEEDOR]],PROVEEDORES[FECHA DE PAGO],"")</f>
        <v>12931968</v>
      </c>
      <c r="E1501" s="37"/>
      <c r="F1501" s="108" t="str">
        <f>+VLOOKUP(PROVEEDORES[[#This Row],[PROVEEDOR]],TERCEROS_INFO[[PROVEEDOR]:[CORREO]],5,FALSE)</f>
        <v>zully.florez@powest.com;girlesa.ruiz@servipilas.com;joriescobar64@gmail.com</v>
      </c>
      <c r="G1501" s="143">
        <v>43948</v>
      </c>
      <c r="H1501" s="38" t="s">
        <v>19</v>
      </c>
      <c r="I1501" s="30">
        <v>43888</v>
      </c>
      <c r="J1501" s="58">
        <v>10340</v>
      </c>
      <c r="K1501" s="32">
        <v>2157869.7478991598</v>
      </c>
      <c r="L1501" s="32"/>
      <c r="M1501" s="33">
        <f>(PROVEEDORES[[#This Row],[SUBTOTAL]]-PROVEEDORES[[#This Row],[descuento antes de IVA]])*VLOOKUP(PROVEEDORES[[#This Row],[PROVEEDOR]],TERCEROS_INFO[#All],3,FALSE)</f>
        <v>409995.25210084039</v>
      </c>
      <c r="N1501" s="34"/>
      <c r="O1501" s="33">
        <f>+PROVEEDORES[[#This Row],[Descuento sobre subtotal %]]*(PROVEEDORES[[#This Row],[SUBTOTAL]]-PROVEEDORES[[#This Row],[descuento antes de IVA]])</f>
        <v>0</v>
      </c>
      <c r="P15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1" s="33">
        <f>+(PROVEEDORES[[#This Row],[SUBTOTAL]]-PROVEEDORES[[#This Row],[descuento antes de IVA]])*PROVEEDORES[[#This Row],[Rete Fuente %]]</f>
        <v>0</v>
      </c>
      <c r="R1501" s="32">
        <f>+PROVEEDORES[[#This Row],[SUBTOTAL]]+PROVEEDORES[[#This Row],[IVA 19%]]-PROVEEDORES[[#This Row],[descuento antes de IVA]]-PROVEEDORES[[#This Row],[Descuento sobre subtotal $]]-PROVEEDORES[[#This Row],[Rete Fuente $]]</f>
        <v>2567865</v>
      </c>
      <c r="S150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2" spans="1:19" ht="21.95" hidden="1" customHeight="1" x14ac:dyDescent="0.25">
      <c r="A1502" s="39" t="str">
        <f>+IF(PROVEEDORES[[#This Row],[FECHA DE PAGO]]=PROVEEDORES[[#This Row],[FECHA DE FACTURACIÓN]],"DE CONTADO","CRÉDITO")</f>
        <v>CRÉDITO</v>
      </c>
      <c r="B1502" s="67" t="str">
        <f>+IF((PROVEEDORES[[#This Row],[FECHA DE PAGO]]-PROVEEDORES[[#This Row],[FECHA DE FACTURACIÓN]])&gt;PROVEEDORES[[#This Row],[PLAZO Días]],"PAGO VENCIDO")</f>
        <v>PAGO VENCIDO</v>
      </c>
      <c r="C1502" s="27">
        <f>+VLOOKUP(PROVEEDORES[[#This Row],[PROVEEDOR]],TERCEROS_INFO[#All],2,FALSE)</f>
        <v>45</v>
      </c>
      <c r="D1502" s="37">
        <f>+SUMIFS(PROVEEDORES[Total],PROVEEDORES[PROVEEDOR],PROVEEDORES[[#This Row],[PROVEEDOR]],PROVEEDORES[FECHA DE PAGO],"")</f>
        <v>12931968</v>
      </c>
      <c r="E1502" s="37"/>
      <c r="F1502" s="108" t="str">
        <f>+VLOOKUP(PROVEEDORES[[#This Row],[PROVEEDOR]],TERCEROS_INFO[[PROVEEDOR]:[CORREO]],5,FALSE)</f>
        <v>zully.florez@powest.com;girlesa.ruiz@servipilas.com;joriescobar64@gmail.com</v>
      </c>
      <c r="G1502" s="143">
        <v>43948</v>
      </c>
      <c r="H1502" s="38" t="s">
        <v>19</v>
      </c>
      <c r="I1502" s="30">
        <v>43889</v>
      </c>
      <c r="J1502" s="58">
        <v>10544</v>
      </c>
      <c r="K1502" s="32">
        <v>936764.70588235301</v>
      </c>
      <c r="L1502" s="32"/>
      <c r="M1502" s="33">
        <f>(PROVEEDORES[[#This Row],[SUBTOTAL]]-PROVEEDORES[[#This Row],[descuento antes de IVA]])*VLOOKUP(PROVEEDORES[[#This Row],[PROVEEDOR]],TERCEROS_INFO[#All],3,FALSE)</f>
        <v>177985.29411764708</v>
      </c>
      <c r="N1502" s="34"/>
      <c r="O1502" s="33">
        <f>+PROVEEDORES[[#This Row],[Descuento sobre subtotal %]]*(PROVEEDORES[[#This Row],[SUBTOTAL]]-PROVEEDORES[[#This Row],[descuento antes de IVA]])</f>
        <v>0</v>
      </c>
      <c r="P15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2" s="33">
        <f>+(PROVEEDORES[[#This Row],[SUBTOTAL]]-PROVEEDORES[[#This Row],[descuento antes de IVA]])*PROVEEDORES[[#This Row],[Rete Fuente %]]</f>
        <v>0</v>
      </c>
      <c r="R1502" s="32">
        <f>+PROVEEDORES[[#This Row],[SUBTOTAL]]+PROVEEDORES[[#This Row],[IVA 19%]]-PROVEEDORES[[#This Row],[descuento antes de IVA]]-PROVEEDORES[[#This Row],[Descuento sobre subtotal $]]-PROVEEDORES[[#This Row],[Rete Fuente $]]</f>
        <v>1114750</v>
      </c>
      <c r="S150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3" spans="1:19" ht="21.95" hidden="1" customHeight="1" x14ac:dyDescent="0.25">
      <c r="A1503" s="39" t="str">
        <f>+IF(PROVEEDORES[[#This Row],[FECHA DE PAGO]]=PROVEEDORES[[#This Row],[FECHA DE FACTURACIÓN]],"DE CONTADO","CRÉDITO")</f>
        <v>CRÉDITO</v>
      </c>
      <c r="B1503" s="67" t="str">
        <f>+IF((PROVEEDORES[[#This Row],[FECHA DE PAGO]]-PROVEEDORES[[#This Row],[FECHA DE FACTURACIÓN]])&gt;PROVEEDORES[[#This Row],[PLAZO Días]],"PAGO VENCIDO")</f>
        <v>PAGO VENCIDO</v>
      </c>
      <c r="C1503" s="27">
        <f>+VLOOKUP(PROVEEDORES[[#This Row],[PROVEEDOR]],TERCEROS_INFO[#All],2,FALSE)</f>
        <v>45</v>
      </c>
      <c r="D1503" s="37">
        <f>+SUMIFS(PROVEEDORES[Total],PROVEEDORES[PROVEEDOR],PROVEEDORES[[#This Row],[PROVEEDOR]],PROVEEDORES[FECHA DE PAGO],"")</f>
        <v>12931968</v>
      </c>
      <c r="E1503" s="37"/>
      <c r="F1503" s="108" t="str">
        <f>+VLOOKUP(PROVEEDORES[[#This Row],[PROVEEDOR]],TERCEROS_INFO[[PROVEEDOR]:[CORREO]],5,FALSE)</f>
        <v>zully.florez@powest.com;girlesa.ruiz@servipilas.com;joriescobar64@gmail.com</v>
      </c>
      <c r="G1503" s="143">
        <v>43948</v>
      </c>
      <c r="H1503" s="38" t="s">
        <v>19</v>
      </c>
      <c r="I1503" s="30">
        <v>43893</v>
      </c>
      <c r="J1503" s="58">
        <v>10628</v>
      </c>
      <c r="K1503" s="32">
        <v>3067050.4201680673</v>
      </c>
      <c r="L1503" s="32"/>
      <c r="M1503" s="33">
        <f>(PROVEEDORES[[#This Row],[SUBTOTAL]]-PROVEEDORES[[#This Row],[descuento antes de IVA]])*VLOOKUP(PROVEEDORES[[#This Row],[PROVEEDOR]],TERCEROS_INFO[#All],3,FALSE)</f>
        <v>582739.57983193279</v>
      </c>
      <c r="N1503" s="34"/>
      <c r="O1503" s="33">
        <f>+PROVEEDORES[[#This Row],[Descuento sobre subtotal %]]*(PROVEEDORES[[#This Row],[SUBTOTAL]]-PROVEEDORES[[#This Row],[descuento antes de IVA]])</f>
        <v>0</v>
      </c>
      <c r="P15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3" s="33">
        <f>+(PROVEEDORES[[#This Row],[SUBTOTAL]]-PROVEEDORES[[#This Row],[descuento antes de IVA]])*PROVEEDORES[[#This Row],[Rete Fuente %]]</f>
        <v>0</v>
      </c>
      <c r="R1503" s="32">
        <f>+PROVEEDORES[[#This Row],[SUBTOTAL]]+PROVEEDORES[[#This Row],[IVA 19%]]-PROVEEDORES[[#This Row],[descuento antes de IVA]]-PROVEEDORES[[#This Row],[Descuento sobre subtotal $]]-PROVEEDORES[[#This Row],[Rete Fuente $]]</f>
        <v>3649790</v>
      </c>
      <c r="S150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4" spans="1:19" ht="21.95" hidden="1" customHeight="1" x14ac:dyDescent="0.25">
      <c r="A1504" s="39" t="str">
        <f>+IF(PROVEEDORES[[#This Row],[FECHA DE PAGO]]=PROVEEDORES[[#This Row],[FECHA DE FACTURACIÓN]],"DE CONTADO","CRÉDITO")</f>
        <v>CRÉDITO</v>
      </c>
      <c r="B1504" s="67" t="str">
        <f>+IF((PROVEEDORES[[#This Row],[FECHA DE PAGO]]-PROVEEDORES[[#This Row],[FECHA DE FACTURACIÓN]])&gt;PROVEEDORES[[#This Row],[PLAZO Días]],"PAGO VENCIDO")</f>
        <v>PAGO VENCIDO</v>
      </c>
      <c r="C1504" s="27">
        <f>+VLOOKUP(PROVEEDORES[[#This Row],[PROVEEDOR]],TERCEROS_INFO[#All],2,FALSE)</f>
        <v>45</v>
      </c>
      <c r="D1504" s="37">
        <f>+SUMIFS(PROVEEDORES[Total],PROVEEDORES[PROVEEDOR],PROVEEDORES[[#This Row],[PROVEEDOR]],PROVEEDORES[FECHA DE PAGO],"")</f>
        <v>12931968</v>
      </c>
      <c r="E1504" s="37"/>
      <c r="F1504" s="108" t="str">
        <f>+VLOOKUP(PROVEEDORES[[#This Row],[PROVEEDOR]],TERCEROS_INFO[[PROVEEDOR]:[CORREO]],5,FALSE)</f>
        <v>zully.florez@powest.com;girlesa.ruiz@servipilas.com;joriescobar64@gmail.com</v>
      </c>
      <c r="G1504" s="143">
        <v>43948</v>
      </c>
      <c r="H1504" s="38" t="s">
        <v>19</v>
      </c>
      <c r="I1504" s="30">
        <v>43894</v>
      </c>
      <c r="J1504" s="58" t="s">
        <v>1059</v>
      </c>
      <c r="K1504" s="32">
        <v>-936764.70588235301</v>
      </c>
      <c r="L1504" s="32"/>
      <c r="M1504" s="33">
        <f>(PROVEEDORES[[#This Row],[SUBTOTAL]]-PROVEEDORES[[#This Row],[descuento antes de IVA]])*VLOOKUP(PROVEEDORES[[#This Row],[PROVEEDOR]],TERCEROS_INFO[#All],3,FALSE)</f>
        <v>-177985.29411764708</v>
      </c>
      <c r="N1504" s="34"/>
      <c r="O1504" s="33">
        <f>+PROVEEDORES[[#This Row],[Descuento sobre subtotal %]]*(PROVEEDORES[[#This Row],[SUBTOTAL]]-PROVEEDORES[[#This Row],[descuento antes de IVA]])</f>
        <v>0</v>
      </c>
      <c r="P15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4" s="33">
        <f>+(PROVEEDORES[[#This Row],[SUBTOTAL]]-PROVEEDORES[[#This Row],[descuento antes de IVA]])*PROVEEDORES[[#This Row],[Rete Fuente %]]</f>
        <v>0</v>
      </c>
      <c r="R1504" s="32">
        <f>+PROVEEDORES[[#This Row],[SUBTOTAL]]+PROVEEDORES[[#This Row],[IVA 19%]]-PROVEEDORES[[#This Row],[descuento antes de IVA]]-PROVEEDORES[[#This Row],[Descuento sobre subtotal $]]-PROVEEDORES[[#This Row],[Rete Fuente $]]</f>
        <v>-1114750</v>
      </c>
      <c r="S150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5" spans="1:19" ht="21.95" hidden="1" customHeight="1" x14ac:dyDescent="0.25">
      <c r="A1505" s="39" t="str">
        <f>+IF(PROVEEDORES[[#This Row],[FECHA DE PAGO]]=PROVEEDORES[[#This Row],[FECHA DE FACTURACIÓN]],"DE CONTADO","CRÉDITO")</f>
        <v>CRÉDITO</v>
      </c>
      <c r="B1505" s="67" t="str">
        <f>+IF((PROVEEDORES[[#This Row],[FECHA DE PAGO]]-PROVEEDORES[[#This Row],[FECHA DE FACTURACIÓN]])&gt;PROVEEDORES[[#This Row],[PLAZO Días]],"PAGO VENCIDO")</f>
        <v>PAGO VENCIDO</v>
      </c>
      <c r="C1505" s="27">
        <f>+VLOOKUP(PROVEEDORES[[#This Row],[PROVEEDOR]],TERCEROS_INFO[#All],2,FALSE)</f>
        <v>45</v>
      </c>
      <c r="D1505" s="37">
        <f>+SUMIFS(PROVEEDORES[Total],PROVEEDORES[PROVEEDOR],PROVEEDORES[[#This Row],[PROVEEDOR]],PROVEEDORES[FECHA DE PAGO],"")</f>
        <v>12931968</v>
      </c>
      <c r="E1505" s="37"/>
      <c r="F1505" s="108" t="str">
        <f>+VLOOKUP(PROVEEDORES[[#This Row],[PROVEEDOR]],TERCEROS_INFO[[PROVEEDOR]:[CORREO]],5,FALSE)</f>
        <v>zully.florez@powest.com;girlesa.ruiz@servipilas.com;joriescobar64@gmail.com</v>
      </c>
      <c r="G1505" s="143">
        <v>43959</v>
      </c>
      <c r="H1505" s="38" t="s">
        <v>19</v>
      </c>
      <c r="I1505" s="30">
        <v>43900</v>
      </c>
      <c r="J1505" s="58">
        <v>11026</v>
      </c>
      <c r="K1505" s="32">
        <v>3664589.9159663869</v>
      </c>
      <c r="L1505" s="32"/>
      <c r="M1505" s="33">
        <f>(PROVEEDORES[[#This Row],[SUBTOTAL]]-PROVEEDORES[[#This Row],[descuento antes de IVA]])*VLOOKUP(PROVEEDORES[[#This Row],[PROVEEDOR]],TERCEROS_INFO[#All],3,FALSE)</f>
        <v>696272.08403361356</v>
      </c>
      <c r="N1505" s="34"/>
      <c r="O1505" s="33">
        <f>+PROVEEDORES[[#This Row],[Descuento sobre subtotal %]]*(PROVEEDORES[[#This Row],[SUBTOTAL]]-PROVEEDORES[[#This Row],[descuento antes de IVA]])</f>
        <v>0</v>
      </c>
      <c r="P15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5" s="33">
        <f>+(PROVEEDORES[[#This Row],[SUBTOTAL]]-PROVEEDORES[[#This Row],[descuento antes de IVA]])*PROVEEDORES[[#This Row],[Rete Fuente %]]</f>
        <v>0</v>
      </c>
      <c r="R1505" s="32">
        <f>+PROVEEDORES[[#This Row],[SUBTOTAL]]+PROVEEDORES[[#This Row],[IVA 19%]]-PROVEEDORES[[#This Row],[descuento antes de IVA]]-PROVEEDORES[[#This Row],[Descuento sobre subtotal $]]-PROVEEDORES[[#This Row],[Rete Fuente $]]</f>
        <v>4360862</v>
      </c>
      <c r="S15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6" spans="1:19" ht="21.95" hidden="1" customHeight="1" x14ac:dyDescent="0.25">
      <c r="A1506" s="39" t="str">
        <f>+IF(PROVEEDORES[[#This Row],[FECHA DE PAGO]]=PROVEEDORES[[#This Row],[FECHA DE FACTURACIÓN]],"DE CONTADO","CRÉDITO")</f>
        <v>CRÉDITO</v>
      </c>
      <c r="B1506" s="67" t="str">
        <f>+IF((PROVEEDORES[[#This Row],[FECHA DE PAGO]]-PROVEEDORES[[#This Row],[FECHA DE FACTURACIÓN]])&gt;PROVEEDORES[[#This Row],[PLAZO Días]],"PAGO VENCIDO")</f>
        <v>PAGO VENCIDO</v>
      </c>
      <c r="C1506" s="27">
        <f>+VLOOKUP(PROVEEDORES[[#This Row],[PROVEEDOR]],TERCEROS_INFO[#All],2,FALSE)</f>
        <v>45</v>
      </c>
      <c r="D1506" s="37">
        <f>+SUMIFS(PROVEEDORES[Total],PROVEEDORES[PROVEEDOR],PROVEEDORES[[#This Row],[PROVEEDOR]],PROVEEDORES[FECHA DE PAGO],"")</f>
        <v>12931968</v>
      </c>
      <c r="E1506" s="37"/>
      <c r="F1506" s="108" t="str">
        <f>+VLOOKUP(PROVEEDORES[[#This Row],[PROVEEDOR]],TERCEROS_INFO[[PROVEEDOR]:[CORREO]],5,FALSE)</f>
        <v>zully.florez@powest.com;girlesa.ruiz@servipilas.com;joriescobar64@gmail.com</v>
      </c>
      <c r="G1506" s="143">
        <v>43959</v>
      </c>
      <c r="H1506" s="38" t="s">
        <v>19</v>
      </c>
      <c r="I1506" s="30">
        <v>43903</v>
      </c>
      <c r="J1506" s="58">
        <v>11310</v>
      </c>
      <c r="K1506" s="32">
        <v>1280640.3361344538</v>
      </c>
      <c r="L1506" s="32"/>
      <c r="M1506" s="33">
        <f>(PROVEEDORES[[#This Row],[SUBTOTAL]]-PROVEEDORES[[#This Row],[descuento antes de IVA]])*VLOOKUP(PROVEEDORES[[#This Row],[PROVEEDOR]],TERCEROS_INFO[#All],3,FALSE)</f>
        <v>243321.66386554623</v>
      </c>
      <c r="N1506" s="34"/>
      <c r="O1506" s="33">
        <f>+PROVEEDORES[[#This Row],[Descuento sobre subtotal %]]*(PROVEEDORES[[#This Row],[SUBTOTAL]]-PROVEEDORES[[#This Row],[descuento antes de IVA]])</f>
        <v>0</v>
      </c>
      <c r="P15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6" s="33">
        <f>+(PROVEEDORES[[#This Row],[SUBTOTAL]]-PROVEEDORES[[#This Row],[descuento antes de IVA]])*PROVEEDORES[[#This Row],[Rete Fuente %]]</f>
        <v>0</v>
      </c>
      <c r="R1506" s="32">
        <f>+PROVEEDORES[[#This Row],[SUBTOTAL]]+PROVEEDORES[[#This Row],[IVA 19%]]-PROVEEDORES[[#This Row],[descuento antes de IVA]]-PROVEEDORES[[#This Row],[Descuento sobre subtotal $]]-PROVEEDORES[[#This Row],[Rete Fuente $]]</f>
        <v>1523962</v>
      </c>
      <c r="S15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7" spans="1:19" ht="21.95" hidden="1" customHeight="1" x14ac:dyDescent="0.25">
      <c r="A1507" s="39" t="str">
        <f>+IF(PROVEEDORES[[#This Row],[FECHA DE PAGO]]=PROVEEDORES[[#This Row],[FECHA DE FACTURACIÓN]],"DE CONTADO","CRÉDITO")</f>
        <v>CRÉDITO</v>
      </c>
      <c r="B1507" s="67" t="str">
        <f>+IF((PROVEEDORES[[#This Row],[FECHA DE PAGO]]-PROVEEDORES[[#This Row],[FECHA DE FACTURACIÓN]])&gt;PROVEEDORES[[#This Row],[PLAZO Días]],"PAGO VENCIDO")</f>
        <v>PAGO VENCIDO</v>
      </c>
      <c r="C1507" s="27">
        <f>+VLOOKUP(PROVEEDORES[[#This Row],[PROVEEDOR]],TERCEROS_INFO[#All],2,FALSE)</f>
        <v>45</v>
      </c>
      <c r="D1507" s="37">
        <f>+SUMIFS(PROVEEDORES[Total],PROVEEDORES[PROVEEDOR],PROVEEDORES[[#This Row],[PROVEEDOR]],PROVEEDORES[FECHA DE PAGO],"")</f>
        <v>12931968</v>
      </c>
      <c r="E1507" s="37"/>
      <c r="F1507" s="108" t="str">
        <f>+VLOOKUP(PROVEEDORES[[#This Row],[PROVEEDOR]],TERCEROS_INFO[[PROVEEDOR]:[CORREO]],5,FALSE)</f>
        <v>zully.florez@powest.com;girlesa.ruiz@servipilas.com;joriescobar64@gmail.com</v>
      </c>
      <c r="G1507" s="143">
        <v>43966</v>
      </c>
      <c r="H1507" s="38" t="s">
        <v>19</v>
      </c>
      <c r="I1507" s="30">
        <v>43910</v>
      </c>
      <c r="J1507" s="58">
        <v>11677</v>
      </c>
      <c r="K1507" s="32">
        <v>3267150.4201680673</v>
      </c>
      <c r="L1507" s="32"/>
      <c r="M1507" s="33">
        <f>(PROVEEDORES[[#This Row],[SUBTOTAL]]-PROVEEDORES[[#This Row],[descuento antes de IVA]])*VLOOKUP(PROVEEDORES[[#This Row],[PROVEEDOR]],TERCEROS_INFO[#All],3,FALSE)</f>
        <v>620758.57983193279</v>
      </c>
      <c r="N1507" s="34"/>
      <c r="O1507" s="33">
        <f>+PROVEEDORES[[#This Row],[Descuento sobre subtotal %]]*(PROVEEDORES[[#This Row],[SUBTOTAL]]-PROVEEDORES[[#This Row],[descuento antes de IVA]])</f>
        <v>0</v>
      </c>
      <c r="P15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7" s="33">
        <f>+(PROVEEDORES[[#This Row],[SUBTOTAL]]-PROVEEDORES[[#This Row],[descuento antes de IVA]])*PROVEEDORES[[#This Row],[Rete Fuente %]]</f>
        <v>0</v>
      </c>
      <c r="R1507" s="32">
        <f>+PROVEEDORES[[#This Row],[SUBTOTAL]]+PROVEEDORES[[#This Row],[IVA 19%]]-PROVEEDORES[[#This Row],[descuento antes de IVA]]-PROVEEDORES[[#This Row],[Descuento sobre subtotal $]]-PROVEEDORES[[#This Row],[Rete Fuente $]]</f>
        <v>3887909</v>
      </c>
      <c r="S15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8" spans="1:19" ht="21.95" hidden="1" customHeight="1" x14ac:dyDescent="0.25">
      <c r="A1508" s="39" t="str">
        <f>+IF(PROVEEDORES[[#This Row],[FECHA DE PAGO]]=PROVEEDORES[[#This Row],[FECHA DE FACTURACIÓN]],"DE CONTADO","CRÉDITO")</f>
        <v>CRÉDITO</v>
      </c>
      <c r="B1508" s="67" t="str">
        <f>+IF((PROVEEDORES[[#This Row],[FECHA DE PAGO]]-PROVEEDORES[[#This Row],[FECHA DE FACTURACIÓN]])&gt;PROVEEDORES[[#This Row],[PLAZO Días]],"PAGO VENCIDO")</f>
        <v>PAGO VENCIDO</v>
      </c>
      <c r="C1508" s="27">
        <f>+VLOOKUP(PROVEEDORES[[#This Row],[PROVEEDOR]],TERCEROS_INFO[#All],2,FALSE)</f>
        <v>45</v>
      </c>
      <c r="D1508" s="37">
        <f>+SUMIFS(PROVEEDORES[Total],PROVEEDORES[PROVEEDOR],PROVEEDORES[[#This Row],[PROVEEDOR]],PROVEEDORES[FECHA DE PAGO],"")</f>
        <v>12931968</v>
      </c>
      <c r="E1508" s="37"/>
      <c r="F1508" s="108" t="str">
        <f>+VLOOKUP(PROVEEDORES[[#This Row],[PROVEEDOR]],TERCEROS_INFO[[PROVEEDOR]:[CORREO]],5,FALSE)</f>
        <v>zully.florez@powest.com;girlesa.ruiz@servipilas.com;joriescobar64@gmail.com</v>
      </c>
      <c r="G1508" s="143">
        <v>43966</v>
      </c>
      <c r="H1508" s="38" t="s">
        <v>19</v>
      </c>
      <c r="I1508" s="30">
        <v>43917</v>
      </c>
      <c r="J1508" s="58">
        <v>11735</v>
      </c>
      <c r="K1508" s="32">
        <v>1114750.4201680673</v>
      </c>
      <c r="L1508" s="32"/>
      <c r="M1508" s="33">
        <f>(PROVEEDORES[[#This Row],[SUBTOTAL]]-PROVEEDORES[[#This Row],[descuento antes de IVA]])*VLOOKUP(PROVEEDORES[[#This Row],[PROVEEDOR]],TERCEROS_INFO[#All],3,FALSE)</f>
        <v>211802.57983193279</v>
      </c>
      <c r="N1508" s="34"/>
      <c r="O1508" s="33">
        <f>+PROVEEDORES[[#This Row],[Descuento sobre subtotal %]]*(PROVEEDORES[[#This Row],[SUBTOTAL]]-PROVEEDORES[[#This Row],[descuento antes de IVA]])</f>
        <v>0</v>
      </c>
      <c r="P15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8" s="33">
        <f>+(PROVEEDORES[[#This Row],[SUBTOTAL]]-PROVEEDORES[[#This Row],[descuento antes de IVA]])*PROVEEDORES[[#This Row],[Rete Fuente %]]</f>
        <v>0</v>
      </c>
      <c r="R1508" s="32">
        <f>+PROVEEDORES[[#This Row],[SUBTOTAL]]+PROVEEDORES[[#This Row],[IVA 19%]]-PROVEEDORES[[#This Row],[descuento antes de IVA]]-PROVEEDORES[[#This Row],[Descuento sobre subtotal $]]-PROVEEDORES[[#This Row],[Rete Fuente $]]</f>
        <v>1326553</v>
      </c>
      <c r="S15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09" spans="1:19" ht="21.95" hidden="1" customHeight="1" x14ac:dyDescent="0.25">
      <c r="A1509" s="39" t="str">
        <f>+IF(PROVEEDORES[[#This Row],[FECHA DE PAGO]]=PROVEEDORES[[#This Row],[FECHA DE FACTURACIÓN]],"DE CONTADO","CRÉDITO")</f>
        <v>CRÉDITO</v>
      </c>
      <c r="B1509" s="67" t="b">
        <f>+IF((PROVEEDORES[[#This Row],[FECHA DE PAGO]]-PROVEEDORES[[#This Row],[FECHA DE FACTURACIÓN]])&gt;PROVEEDORES[[#This Row],[PLAZO Días]],"PAGO VENCIDO")</f>
        <v>0</v>
      </c>
      <c r="C1509" s="27">
        <f>+VLOOKUP(PROVEEDORES[[#This Row],[PROVEEDOR]],TERCEROS_INFO[#All],2,FALSE)</f>
        <v>45</v>
      </c>
      <c r="D1509" s="37">
        <f>+SUMIFS(PROVEEDORES[Total],PROVEEDORES[PROVEEDOR],PROVEEDORES[[#This Row],[PROVEEDOR]],PROVEEDORES[FECHA DE PAGO],"")</f>
        <v>12931968</v>
      </c>
      <c r="E1509" s="37"/>
      <c r="F1509" s="108" t="str">
        <f>+VLOOKUP(PROVEEDORES[[#This Row],[PROVEEDOR]],TERCEROS_INFO[[PROVEEDOR]:[CORREO]],5,FALSE)</f>
        <v>zully.florez@powest.com;girlesa.ruiz@servipilas.com;joriescobar64@gmail.com</v>
      </c>
      <c r="G1509" s="143">
        <v>43973</v>
      </c>
      <c r="H1509" s="38" t="s">
        <v>19</v>
      </c>
      <c r="I1509" s="30">
        <v>43943</v>
      </c>
      <c r="J1509" s="58">
        <v>11937</v>
      </c>
      <c r="K1509" s="32">
        <v>3109484.8739495799</v>
      </c>
      <c r="L1509" s="32"/>
      <c r="M1509" s="33">
        <f>(PROVEEDORES[[#This Row],[SUBTOTAL]]-PROVEEDORES[[#This Row],[descuento antes de IVA]])*VLOOKUP(PROVEEDORES[[#This Row],[PROVEEDOR]],TERCEROS_INFO[#All],3,FALSE)</f>
        <v>590802.12605042022</v>
      </c>
      <c r="N1509" s="34"/>
      <c r="O1509" s="33">
        <f>+PROVEEDORES[[#This Row],[Descuento sobre subtotal %]]*(PROVEEDORES[[#This Row],[SUBTOTAL]]-PROVEEDORES[[#This Row],[descuento antes de IVA]])</f>
        <v>0</v>
      </c>
      <c r="P15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09" s="33">
        <f>+(PROVEEDORES[[#This Row],[SUBTOTAL]]-PROVEEDORES[[#This Row],[descuento antes de IVA]])*PROVEEDORES[[#This Row],[Rete Fuente %]]</f>
        <v>0</v>
      </c>
      <c r="R1509" s="32">
        <f>+PROVEEDORES[[#This Row],[SUBTOTAL]]+PROVEEDORES[[#This Row],[IVA 19%]]-PROVEEDORES[[#This Row],[descuento antes de IVA]]-PROVEEDORES[[#This Row],[Descuento sobre subtotal $]]-PROVEEDORES[[#This Row],[Rete Fuente $]]</f>
        <v>3700287</v>
      </c>
      <c r="S15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0" spans="1:19" ht="21.95" hidden="1" customHeight="1" x14ac:dyDescent="0.25">
      <c r="A1510" s="39" t="str">
        <f>+IF(PROVEEDORES[[#This Row],[FECHA DE PAGO]]=PROVEEDORES[[#This Row],[FECHA DE FACTURACIÓN]],"DE CONTADO","CRÉDITO")</f>
        <v>CRÉDITO</v>
      </c>
      <c r="B1510" s="67" t="b">
        <f>+IF((PROVEEDORES[[#This Row],[FECHA DE PAGO]]-PROVEEDORES[[#This Row],[FECHA DE FACTURACIÓN]])&gt;PROVEEDORES[[#This Row],[PLAZO Días]],"PAGO VENCIDO")</f>
        <v>0</v>
      </c>
      <c r="C1510" s="27">
        <f>+VLOOKUP(PROVEEDORES[[#This Row],[PROVEEDOR]],TERCEROS_INFO[#All],2,FALSE)</f>
        <v>45</v>
      </c>
      <c r="D1510" s="37">
        <f>+SUMIFS(PROVEEDORES[Total],PROVEEDORES[PROVEEDOR],PROVEEDORES[[#This Row],[PROVEEDOR]],PROVEEDORES[FECHA DE PAGO],"")</f>
        <v>12931968</v>
      </c>
      <c r="E1510" s="37"/>
      <c r="F1510" s="108" t="str">
        <f>+VLOOKUP(PROVEEDORES[[#This Row],[PROVEEDOR]],TERCEROS_INFO[[PROVEEDOR]:[CORREO]],5,FALSE)</f>
        <v>zully.florez@powest.com;girlesa.ruiz@servipilas.com;joriescobar64@gmail.com</v>
      </c>
      <c r="G1510" s="143">
        <v>43990</v>
      </c>
      <c r="H1510" s="38" t="s">
        <v>19</v>
      </c>
      <c r="I1510" s="30">
        <v>43950</v>
      </c>
      <c r="J1510" s="58">
        <v>12080</v>
      </c>
      <c r="K1510" s="32">
        <v>1829879.8319327731</v>
      </c>
      <c r="L1510" s="32"/>
      <c r="M1510" s="33">
        <f>(PROVEEDORES[[#This Row],[SUBTOTAL]]-PROVEEDORES[[#This Row],[descuento antes de IVA]])*VLOOKUP(PROVEEDORES[[#This Row],[PROVEEDOR]],TERCEROS_INFO[#All],3,FALSE)</f>
        <v>347677.16806722688</v>
      </c>
      <c r="N1510" s="34"/>
      <c r="O1510" s="33">
        <f>+PROVEEDORES[[#This Row],[Descuento sobre subtotal %]]*(PROVEEDORES[[#This Row],[SUBTOTAL]]-PROVEEDORES[[#This Row],[descuento antes de IVA]])</f>
        <v>0</v>
      </c>
      <c r="P15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0" s="33">
        <f>+(PROVEEDORES[[#This Row],[SUBTOTAL]]-PROVEEDORES[[#This Row],[descuento antes de IVA]])*PROVEEDORES[[#This Row],[Rete Fuente %]]</f>
        <v>0</v>
      </c>
      <c r="R1510" s="32">
        <f>+PROVEEDORES[[#This Row],[SUBTOTAL]]+PROVEEDORES[[#This Row],[IVA 19%]]-PROVEEDORES[[#This Row],[descuento antes de IVA]]-PROVEEDORES[[#This Row],[Descuento sobre subtotal $]]-PROVEEDORES[[#This Row],[Rete Fuente $]]</f>
        <v>2177557</v>
      </c>
      <c r="S15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1" spans="1:19" ht="21.95" hidden="1" customHeight="1" x14ac:dyDescent="0.25">
      <c r="A1511" s="39" t="str">
        <f>+IF(PROVEEDORES[[#This Row],[FECHA DE PAGO]]=PROVEEDORES[[#This Row],[FECHA DE FACTURACIÓN]],"DE CONTADO","CRÉDITO")</f>
        <v>CRÉDITO</v>
      </c>
      <c r="B1511" s="67" t="b">
        <f>+IF((PROVEEDORES[[#This Row],[FECHA DE PAGO]]-PROVEEDORES[[#This Row],[FECHA DE FACTURACIÓN]])&gt;PROVEEDORES[[#This Row],[PLAZO Días]],"PAGO VENCIDO")</f>
        <v>0</v>
      </c>
      <c r="C1511" s="27">
        <f>+VLOOKUP(PROVEEDORES[[#This Row],[PROVEEDOR]],TERCEROS_INFO[#All],2,FALSE)</f>
        <v>45</v>
      </c>
      <c r="D1511" s="37">
        <f>+SUMIFS(PROVEEDORES[Total],PROVEEDORES[PROVEEDOR],PROVEEDORES[[#This Row],[PROVEEDOR]],PROVEEDORES[FECHA DE PAGO],"")</f>
        <v>12931968</v>
      </c>
      <c r="E1511" s="37"/>
      <c r="F1511" s="108" t="str">
        <f>+VLOOKUP(PROVEEDORES[[#This Row],[PROVEEDOR]],TERCEROS_INFO[[PROVEEDOR]:[CORREO]],5,FALSE)</f>
        <v>zully.florez@powest.com;girlesa.ruiz@servipilas.com;joriescobar64@gmail.com</v>
      </c>
      <c r="G1511" s="143">
        <v>44001</v>
      </c>
      <c r="H1511" s="38" t="s">
        <v>19</v>
      </c>
      <c r="I1511" s="30">
        <v>43971</v>
      </c>
      <c r="J1511" s="58" t="s">
        <v>69</v>
      </c>
      <c r="K1511" s="32">
        <v>8223420.1680672271</v>
      </c>
      <c r="L1511" s="32"/>
      <c r="M1511" s="33">
        <f>(PROVEEDORES[[#This Row],[SUBTOTAL]]-PROVEEDORES[[#This Row],[descuento antes de IVA]])*VLOOKUP(PROVEEDORES[[#This Row],[PROVEEDOR]],TERCEROS_INFO[#All],3,FALSE)</f>
        <v>1562449.8319327731</v>
      </c>
      <c r="N1511" s="34"/>
      <c r="O1511" s="33">
        <f>+PROVEEDORES[[#This Row],[Descuento sobre subtotal %]]*(PROVEEDORES[[#This Row],[SUBTOTAL]]-PROVEEDORES[[#This Row],[descuento antes de IVA]])</f>
        <v>0</v>
      </c>
      <c r="P15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1" s="33">
        <f>+(PROVEEDORES[[#This Row],[SUBTOTAL]]-PROVEEDORES[[#This Row],[descuento antes de IVA]])*PROVEEDORES[[#This Row],[Rete Fuente %]]</f>
        <v>0</v>
      </c>
      <c r="R1511" s="32">
        <f>+PROVEEDORES[[#This Row],[SUBTOTAL]]+PROVEEDORES[[#This Row],[IVA 19%]]-PROVEEDORES[[#This Row],[descuento antes de IVA]]-PROVEEDORES[[#This Row],[Descuento sobre subtotal $]]-PROVEEDORES[[#This Row],[Rete Fuente $]]</f>
        <v>9785870</v>
      </c>
      <c r="S15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2" spans="1:19" ht="21.95" hidden="1" customHeight="1" x14ac:dyDescent="0.25">
      <c r="A1512" s="39" t="str">
        <f>+IF(PROVEEDORES[[#This Row],[FECHA DE PAGO]]=PROVEEDORES[[#This Row],[FECHA DE FACTURACIÓN]],"DE CONTADO","CRÉDITO")</f>
        <v>CRÉDITO</v>
      </c>
      <c r="B1512" s="67" t="b">
        <f>+IF((PROVEEDORES[[#This Row],[FECHA DE PAGO]]-PROVEEDORES[[#This Row],[FECHA DE FACTURACIÓN]])&gt;PROVEEDORES[[#This Row],[PLAZO Días]],"PAGO VENCIDO")</f>
        <v>0</v>
      </c>
      <c r="C1512" s="27">
        <f>+VLOOKUP(PROVEEDORES[[#This Row],[PROVEEDOR]],TERCEROS_INFO[#All],2,FALSE)</f>
        <v>45</v>
      </c>
      <c r="D1512" s="37">
        <f>+SUMIFS(PROVEEDORES[Total],PROVEEDORES[PROVEEDOR],PROVEEDORES[[#This Row],[PROVEEDOR]],PROVEEDORES[FECHA DE PAGO],"")</f>
        <v>12931968</v>
      </c>
      <c r="E1512" s="37"/>
      <c r="F1512" s="108" t="str">
        <f>+VLOOKUP(PROVEEDORES[[#This Row],[PROVEEDOR]],TERCEROS_INFO[[PROVEEDOR]:[CORREO]],5,FALSE)</f>
        <v>zully.florez@powest.com;girlesa.ruiz@servipilas.com;joriescobar64@gmail.com</v>
      </c>
      <c r="G1512" s="143">
        <v>44019</v>
      </c>
      <c r="H1512" s="38" t="s">
        <v>19</v>
      </c>
      <c r="I1512" s="30">
        <v>43985</v>
      </c>
      <c r="J1512" s="58">
        <v>13240</v>
      </c>
      <c r="K1512" s="32">
        <v>2593424.3697478995</v>
      </c>
      <c r="L1512" s="32"/>
      <c r="M1512" s="33">
        <f>(PROVEEDORES[[#This Row],[SUBTOTAL]]-PROVEEDORES[[#This Row],[descuento antes de IVA]])*VLOOKUP(PROVEEDORES[[#This Row],[PROVEEDOR]],TERCEROS_INFO[#All],3,FALSE)</f>
        <v>492750.63025210088</v>
      </c>
      <c r="N1512" s="34"/>
      <c r="O1512" s="33">
        <f>+PROVEEDORES[[#This Row],[Descuento sobre subtotal %]]*(PROVEEDORES[[#This Row],[SUBTOTAL]]-PROVEEDORES[[#This Row],[descuento antes de IVA]])</f>
        <v>0</v>
      </c>
      <c r="P15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2" s="33">
        <f>+(PROVEEDORES[[#This Row],[SUBTOTAL]]-PROVEEDORES[[#This Row],[descuento antes de IVA]])*PROVEEDORES[[#This Row],[Rete Fuente %]]</f>
        <v>0</v>
      </c>
      <c r="R1512" s="32">
        <f>+PROVEEDORES[[#This Row],[SUBTOTAL]]+PROVEEDORES[[#This Row],[IVA 19%]]-PROVEEDORES[[#This Row],[descuento antes de IVA]]-PROVEEDORES[[#This Row],[Descuento sobre subtotal $]]-PROVEEDORES[[#This Row],[Rete Fuente $]]</f>
        <v>3086175.0000000005</v>
      </c>
      <c r="S151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3" spans="1:19" ht="21.95" hidden="1" customHeight="1" x14ac:dyDescent="0.25">
      <c r="A1513" s="39" t="str">
        <f>+IF(PROVEEDORES[[#This Row],[FECHA DE PAGO]]=PROVEEDORES[[#This Row],[FECHA DE FACTURACIÓN]],"DE CONTADO","CRÉDITO")</f>
        <v>CRÉDITO</v>
      </c>
      <c r="B1513" s="67" t="str">
        <f>+IF((PROVEEDORES[[#This Row],[FECHA DE PAGO]]-PROVEEDORES[[#This Row],[FECHA DE FACTURACIÓN]])&gt;PROVEEDORES[[#This Row],[PLAZO Días]],"PAGO VENCIDO")</f>
        <v>PAGO VENCIDO</v>
      </c>
      <c r="C1513" s="27">
        <f>+VLOOKUP(PROVEEDORES[[#This Row],[PROVEEDOR]],TERCEROS_INFO[#All],2,FALSE)</f>
        <v>45</v>
      </c>
      <c r="D1513" s="37">
        <f>+SUMIFS(PROVEEDORES[Total],PROVEEDORES[PROVEEDOR],PROVEEDORES[[#This Row],[PROVEEDOR]],PROVEEDORES[FECHA DE PAGO],"")</f>
        <v>12931968</v>
      </c>
      <c r="E1513" s="37"/>
      <c r="F1513" s="108" t="str">
        <f>+VLOOKUP(PROVEEDORES[[#This Row],[PROVEEDOR]],TERCEROS_INFO[[PROVEEDOR]:[CORREO]],5,FALSE)</f>
        <v>zully.florez@powest.com;girlesa.ruiz@servipilas.com;joriescobar64@gmail.com</v>
      </c>
      <c r="G1513" s="143">
        <v>44039</v>
      </c>
      <c r="H1513" s="38" t="s">
        <v>19</v>
      </c>
      <c r="I1513" s="30">
        <v>43993</v>
      </c>
      <c r="J1513" s="58" t="s">
        <v>78</v>
      </c>
      <c r="K1513" s="32">
        <v>6474580.6722689075</v>
      </c>
      <c r="L1513" s="32"/>
      <c r="M1513" s="33">
        <f>(PROVEEDORES[[#This Row],[SUBTOTAL]]-PROVEEDORES[[#This Row],[descuento antes de IVA]])*VLOOKUP(PROVEEDORES[[#This Row],[PROVEEDOR]],TERCEROS_INFO[#All],3,FALSE)</f>
        <v>1230170.3277310925</v>
      </c>
      <c r="N1513" s="34"/>
      <c r="O1513" s="33">
        <f>+PROVEEDORES[[#This Row],[Descuento sobre subtotal %]]*(PROVEEDORES[[#This Row],[SUBTOTAL]]-PROVEEDORES[[#This Row],[descuento antes de IVA]])</f>
        <v>0</v>
      </c>
      <c r="P15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3" s="33">
        <f>+(PROVEEDORES[[#This Row],[SUBTOTAL]]-PROVEEDORES[[#This Row],[descuento antes de IVA]])*PROVEEDORES[[#This Row],[Rete Fuente %]]</f>
        <v>0</v>
      </c>
      <c r="R1513" s="32">
        <f>+PROVEEDORES[[#This Row],[SUBTOTAL]]+PROVEEDORES[[#This Row],[IVA 19%]]-PROVEEDORES[[#This Row],[descuento antes de IVA]]-PROVEEDORES[[#This Row],[Descuento sobre subtotal $]]-PROVEEDORES[[#This Row],[Rete Fuente $]]</f>
        <v>7704751</v>
      </c>
      <c r="S151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4" spans="1:19" ht="21.95" hidden="1" customHeight="1" x14ac:dyDescent="0.25">
      <c r="A1514" s="39" t="str">
        <f>+IF(PROVEEDORES[[#This Row],[FECHA DE PAGO]]=PROVEEDORES[[#This Row],[FECHA DE FACTURACIÓN]],"DE CONTADO","CRÉDITO")</f>
        <v>CRÉDITO</v>
      </c>
      <c r="B1514" s="67" t="str">
        <f>+IF((PROVEEDORES[[#This Row],[FECHA DE PAGO]]-PROVEEDORES[[#This Row],[FECHA DE FACTURACIÓN]])&gt;PROVEEDORES[[#This Row],[PLAZO Días]],"PAGO VENCIDO")</f>
        <v>PAGO VENCIDO</v>
      </c>
      <c r="C1514" s="27">
        <f>+VLOOKUP(PROVEEDORES[[#This Row],[PROVEEDOR]],TERCEROS_INFO[#All],2,FALSE)</f>
        <v>45</v>
      </c>
      <c r="D1514" s="37">
        <f>+SUMIFS(PROVEEDORES[Total],PROVEEDORES[PROVEEDOR],PROVEEDORES[[#This Row],[PROVEEDOR]],PROVEEDORES[FECHA DE PAGO],"")</f>
        <v>12931968</v>
      </c>
      <c r="E1514" s="37"/>
      <c r="F1514" s="108" t="str">
        <f>+VLOOKUP(PROVEEDORES[[#This Row],[PROVEEDOR]],TERCEROS_INFO[[PROVEEDOR]:[CORREO]],5,FALSE)</f>
        <v>zully.florez@powest.com;girlesa.ruiz@servipilas.com;joriescobar64@gmail.com</v>
      </c>
      <c r="G1514" s="143">
        <v>44068</v>
      </c>
      <c r="H1514" s="38" t="s">
        <v>19</v>
      </c>
      <c r="I1514" s="30">
        <v>44012</v>
      </c>
      <c r="J1514" s="58" t="s">
        <v>86</v>
      </c>
      <c r="K1514" s="32">
        <v>3284400</v>
      </c>
      <c r="L1514" s="32"/>
      <c r="M1514" s="33">
        <f>(PROVEEDORES[[#This Row],[SUBTOTAL]]-PROVEEDORES[[#This Row],[descuento antes de IVA]])*VLOOKUP(PROVEEDORES[[#This Row],[PROVEEDOR]],TERCEROS_INFO[#All],3,FALSE)</f>
        <v>624036</v>
      </c>
      <c r="N1514" s="34"/>
      <c r="O1514" s="33">
        <f>+PROVEEDORES[[#This Row],[Descuento sobre subtotal %]]*(PROVEEDORES[[#This Row],[SUBTOTAL]]-PROVEEDORES[[#This Row],[descuento antes de IVA]])</f>
        <v>0</v>
      </c>
      <c r="P15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4" s="33">
        <f>+(PROVEEDORES[[#This Row],[SUBTOTAL]]-PROVEEDORES[[#This Row],[descuento antes de IVA]])*PROVEEDORES[[#This Row],[Rete Fuente %]]</f>
        <v>0</v>
      </c>
      <c r="R1514" s="32">
        <f>+PROVEEDORES[[#This Row],[SUBTOTAL]]+PROVEEDORES[[#This Row],[IVA 19%]]-PROVEEDORES[[#This Row],[descuento antes de IVA]]-PROVEEDORES[[#This Row],[Descuento sobre subtotal $]]-PROVEEDORES[[#This Row],[Rete Fuente $]]</f>
        <v>3908436</v>
      </c>
      <c r="S15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5" spans="1:19" ht="21.95" hidden="1" customHeight="1" x14ac:dyDescent="0.25">
      <c r="A1515" s="39" t="str">
        <f>+IF(PROVEEDORES[[#This Row],[FECHA DE PAGO]]=PROVEEDORES[[#This Row],[FECHA DE FACTURACIÓN]],"DE CONTADO","CRÉDITO")</f>
        <v>CRÉDITO</v>
      </c>
      <c r="B1515" s="67" t="str">
        <f>+IF((PROVEEDORES[[#This Row],[FECHA DE PAGO]]-PROVEEDORES[[#This Row],[FECHA DE FACTURACIÓN]])&gt;PROVEEDORES[[#This Row],[PLAZO Días]],"PAGO VENCIDO")</f>
        <v>PAGO VENCIDO</v>
      </c>
      <c r="C1515" s="27">
        <f>+VLOOKUP(PROVEEDORES[[#This Row],[PROVEEDOR]],TERCEROS_INFO[#All],2,FALSE)</f>
        <v>45</v>
      </c>
      <c r="D1515" s="37">
        <f>+SUMIFS(PROVEEDORES[Total],PROVEEDORES[PROVEEDOR],PROVEEDORES[[#This Row],[PROVEEDOR]],PROVEEDORES[FECHA DE PAGO],"")</f>
        <v>12931968</v>
      </c>
      <c r="E1515" s="37"/>
      <c r="F1515" s="108" t="str">
        <f>+VLOOKUP(PROVEEDORES[[#This Row],[PROVEEDOR]],TERCEROS_INFO[[PROVEEDOR]:[CORREO]],5,FALSE)</f>
        <v>zully.florez@powest.com;girlesa.ruiz@servipilas.com;joriescobar64@gmail.com</v>
      </c>
      <c r="G1515" s="143">
        <v>44088</v>
      </c>
      <c r="H1515" s="38" t="s">
        <v>19</v>
      </c>
      <c r="I1515" s="30">
        <v>44020</v>
      </c>
      <c r="J1515" s="58" t="s">
        <v>99</v>
      </c>
      <c r="K1515" s="32">
        <v>2432388.2352941176</v>
      </c>
      <c r="L1515" s="32"/>
      <c r="M1515" s="33">
        <f>(PROVEEDORES[[#This Row],[SUBTOTAL]]-PROVEEDORES[[#This Row],[descuento antes de IVA]])*VLOOKUP(PROVEEDORES[[#This Row],[PROVEEDOR]],TERCEROS_INFO[#All],3,FALSE)</f>
        <v>462153.76470588235</v>
      </c>
      <c r="N1515" s="34"/>
      <c r="O1515" s="33">
        <f>+PROVEEDORES[[#This Row],[Descuento sobre subtotal %]]*(PROVEEDORES[[#This Row],[SUBTOTAL]]-PROVEEDORES[[#This Row],[descuento antes de IVA]])</f>
        <v>0</v>
      </c>
      <c r="P15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5" s="33">
        <f>+(PROVEEDORES[[#This Row],[SUBTOTAL]]-PROVEEDORES[[#This Row],[descuento antes de IVA]])*PROVEEDORES[[#This Row],[Rete Fuente %]]</f>
        <v>0</v>
      </c>
      <c r="R1515" s="32">
        <f>+PROVEEDORES[[#This Row],[SUBTOTAL]]+PROVEEDORES[[#This Row],[IVA 19%]]-PROVEEDORES[[#This Row],[descuento antes de IVA]]-PROVEEDORES[[#This Row],[Descuento sobre subtotal $]]-PROVEEDORES[[#This Row],[Rete Fuente $]]</f>
        <v>2894542</v>
      </c>
      <c r="S15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6" spans="1:19" ht="21.95" hidden="1" customHeight="1" x14ac:dyDescent="0.25">
      <c r="A1516" s="39" t="str">
        <f>+IF(PROVEEDORES[[#This Row],[FECHA DE PAGO]]=PROVEEDORES[[#This Row],[FECHA DE FACTURACIÓN]],"DE CONTADO","CRÉDITO")</f>
        <v>CRÉDITO</v>
      </c>
      <c r="B1516" s="67" t="str">
        <f>+IF((PROVEEDORES[[#This Row],[FECHA DE PAGO]]-PROVEEDORES[[#This Row],[FECHA DE FACTURACIÓN]])&gt;PROVEEDORES[[#This Row],[PLAZO Días]],"PAGO VENCIDO")</f>
        <v>PAGO VENCIDO</v>
      </c>
      <c r="C1516" s="27">
        <f>+VLOOKUP(PROVEEDORES[[#This Row],[PROVEEDOR]],TERCEROS_INFO[#All],2,FALSE)</f>
        <v>45</v>
      </c>
      <c r="D1516" s="37">
        <f>+SUMIFS(PROVEEDORES[Total],PROVEEDORES[PROVEEDOR],PROVEEDORES[[#This Row],[PROVEEDOR]],PROVEEDORES[FECHA DE PAGO],"")</f>
        <v>12931968</v>
      </c>
      <c r="E1516" s="37"/>
      <c r="F1516" s="108" t="str">
        <f>+VLOOKUP(PROVEEDORES[[#This Row],[PROVEEDOR]],TERCEROS_INFO[[PROVEEDOR]:[CORREO]],5,FALSE)</f>
        <v>zully.florez@powest.com;girlesa.ruiz@servipilas.com;joriescobar64@gmail.com</v>
      </c>
      <c r="G1516" s="143">
        <v>44068</v>
      </c>
      <c r="H1516" s="38" t="s">
        <v>19</v>
      </c>
      <c r="I1516" s="30">
        <v>44020</v>
      </c>
      <c r="J1516" s="58" t="s">
        <v>98</v>
      </c>
      <c r="K1516" s="32">
        <v>1261320.1680672269</v>
      </c>
      <c r="L1516" s="32"/>
      <c r="M1516" s="33">
        <f>(PROVEEDORES[[#This Row],[SUBTOTAL]]-PROVEEDORES[[#This Row],[descuento antes de IVA]])*VLOOKUP(PROVEEDORES[[#This Row],[PROVEEDOR]],TERCEROS_INFO[#All],3,FALSE)</f>
        <v>239650.83193277312</v>
      </c>
      <c r="N1516" s="34"/>
      <c r="O1516" s="33">
        <f>+PROVEEDORES[[#This Row],[Descuento sobre subtotal %]]*(PROVEEDORES[[#This Row],[SUBTOTAL]]-PROVEEDORES[[#This Row],[descuento antes de IVA]])</f>
        <v>0</v>
      </c>
      <c r="P15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6" s="33">
        <f>+(PROVEEDORES[[#This Row],[SUBTOTAL]]-PROVEEDORES[[#This Row],[descuento antes de IVA]])*PROVEEDORES[[#This Row],[Rete Fuente %]]</f>
        <v>0</v>
      </c>
      <c r="R1516" s="32">
        <f>+PROVEEDORES[[#This Row],[SUBTOTAL]]+PROVEEDORES[[#This Row],[IVA 19%]]-PROVEEDORES[[#This Row],[descuento antes de IVA]]-PROVEEDORES[[#This Row],[Descuento sobre subtotal $]]-PROVEEDORES[[#This Row],[Rete Fuente $]]</f>
        <v>1500971</v>
      </c>
      <c r="S15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7" spans="1:19" ht="21.95" hidden="1" customHeight="1" x14ac:dyDescent="0.25">
      <c r="A1517" s="39" t="str">
        <f>+IF(PROVEEDORES[[#This Row],[FECHA DE PAGO]]=PROVEEDORES[[#This Row],[FECHA DE FACTURACIÓN]],"DE CONTADO","CRÉDITO")</f>
        <v>CRÉDITO</v>
      </c>
      <c r="B1517" s="67" t="str">
        <f>+IF((PROVEEDORES[[#This Row],[FECHA DE PAGO]]-PROVEEDORES[[#This Row],[FECHA DE FACTURACIÓN]])&gt;PROVEEDORES[[#This Row],[PLAZO Días]],"PAGO VENCIDO")</f>
        <v>PAGO VENCIDO</v>
      </c>
      <c r="C1517" s="27">
        <f>+VLOOKUP(PROVEEDORES[[#This Row],[PROVEEDOR]],TERCEROS_INFO[#All],2,FALSE)</f>
        <v>45</v>
      </c>
      <c r="D1517" s="37">
        <f>+SUMIFS(PROVEEDORES[Total],PROVEEDORES[PROVEEDOR],PROVEEDORES[[#This Row],[PROVEEDOR]],PROVEEDORES[FECHA DE PAGO],"")</f>
        <v>12931968</v>
      </c>
      <c r="E1517" s="37"/>
      <c r="F1517" s="108" t="str">
        <f>+VLOOKUP(PROVEEDORES[[#This Row],[PROVEEDOR]],TERCEROS_INFO[[PROVEEDOR]:[CORREO]],5,FALSE)</f>
        <v>zully.florez@powest.com;girlesa.ruiz@servipilas.com;joriescobar64@gmail.com</v>
      </c>
      <c r="G1517" s="143">
        <v>44088</v>
      </c>
      <c r="H1517" s="38" t="s">
        <v>19</v>
      </c>
      <c r="I1517" s="30">
        <v>44027</v>
      </c>
      <c r="J1517" s="58" t="s">
        <v>102</v>
      </c>
      <c r="K1517" s="32">
        <v>3191250.4201680673</v>
      </c>
      <c r="L1517" s="32"/>
      <c r="M1517" s="33">
        <f>(PROVEEDORES[[#This Row],[SUBTOTAL]]-PROVEEDORES[[#This Row],[descuento antes de IVA]])*VLOOKUP(PROVEEDORES[[#This Row],[PROVEEDOR]],TERCEROS_INFO[#All],3,FALSE)</f>
        <v>606337.57983193279</v>
      </c>
      <c r="N1517" s="34"/>
      <c r="O1517" s="33">
        <f>+PROVEEDORES[[#This Row],[Descuento sobre subtotal %]]*(PROVEEDORES[[#This Row],[SUBTOTAL]]-PROVEEDORES[[#This Row],[descuento antes de IVA]])</f>
        <v>0</v>
      </c>
      <c r="P15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7" s="33">
        <f>+(PROVEEDORES[[#This Row],[SUBTOTAL]]-PROVEEDORES[[#This Row],[descuento antes de IVA]])*PROVEEDORES[[#This Row],[Rete Fuente %]]</f>
        <v>0</v>
      </c>
      <c r="R1517" s="32">
        <f>+PROVEEDORES[[#This Row],[SUBTOTAL]]+PROVEEDORES[[#This Row],[IVA 19%]]-PROVEEDORES[[#This Row],[descuento antes de IVA]]-PROVEEDORES[[#This Row],[Descuento sobre subtotal $]]-PROVEEDORES[[#This Row],[Rete Fuente $]]</f>
        <v>3797588</v>
      </c>
      <c r="S151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8" spans="1:19" ht="21.95" hidden="1" customHeight="1" x14ac:dyDescent="0.25">
      <c r="A1518" s="39" t="str">
        <f>+IF(PROVEEDORES[[#This Row],[FECHA DE PAGO]]=PROVEEDORES[[#This Row],[FECHA DE FACTURACIÓN]],"DE CONTADO","CRÉDITO")</f>
        <v>CRÉDITO</v>
      </c>
      <c r="B1518" s="67" t="str">
        <f>+IF((PROVEEDORES[[#This Row],[FECHA DE PAGO]]-PROVEEDORES[[#This Row],[FECHA DE FACTURACIÓN]])&gt;PROVEEDORES[[#This Row],[PLAZO Días]],"PAGO VENCIDO")</f>
        <v>PAGO VENCIDO</v>
      </c>
      <c r="C1518" s="27">
        <f>+VLOOKUP(PROVEEDORES[[#This Row],[PROVEEDOR]],TERCEROS_INFO[#All],2,FALSE)</f>
        <v>45</v>
      </c>
      <c r="D1518" s="37">
        <f>+SUMIFS(PROVEEDORES[Total],PROVEEDORES[PROVEEDOR],PROVEEDORES[[#This Row],[PROVEEDOR]],PROVEEDORES[FECHA DE PAGO],"")</f>
        <v>12931968</v>
      </c>
      <c r="E1518" s="37"/>
      <c r="F1518" s="108" t="str">
        <f>+VLOOKUP(PROVEEDORES[[#This Row],[PROVEEDOR]],TERCEROS_INFO[[PROVEEDOR]:[CORREO]],5,FALSE)</f>
        <v>zully.florez@powest.com;girlesa.ruiz@servipilas.com;joriescobar64@gmail.com</v>
      </c>
      <c r="G1518" s="143">
        <v>44095</v>
      </c>
      <c r="H1518" s="38" t="s">
        <v>19</v>
      </c>
      <c r="I1518" s="30">
        <v>44046</v>
      </c>
      <c r="J1518" s="58" t="s">
        <v>112</v>
      </c>
      <c r="K1518" s="32">
        <v>3080850.4201680673</v>
      </c>
      <c r="L1518" s="32"/>
      <c r="M1518" s="33">
        <f>(PROVEEDORES[[#This Row],[SUBTOTAL]]-PROVEEDORES[[#This Row],[descuento antes de IVA]])*VLOOKUP(PROVEEDORES[[#This Row],[PROVEEDOR]],TERCEROS_INFO[#All],3,FALSE)</f>
        <v>585361.57983193279</v>
      </c>
      <c r="N1518" s="34"/>
      <c r="O1518" s="33">
        <f>+PROVEEDORES[[#This Row],[Descuento sobre subtotal %]]*(PROVEEDORES[[#This Row],[SUBTOTAL]]-PROVEEDORES[[#This Row],[descuento antes de IVA]])</f>
        <v>0</v>
      </c>
      <c r="P15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8" s="33">
        <f>+(PROVEEDORES[[#This Row],[SUBTOTAL]]-PROVEEDORES[[#This Row],[descuento antes de IVA]])*PROVEEDORES[[#This Row],[Rete Fuente %]]</f>
        <v>0</v>
      </c>
      <c r="R1518" s="32">
        <f>+PROVEEDORES[[#This Row],[SUBTOTAL]]+PROVEEDORES[[#This Row],[IVA 19%]]-PROVEEDORES[[#This Row],[descuento antes de IVA]]-PROVEEDORES[[#This Row],[Descuento sobre subtotal $]]-PROVEEDORES[[#This Row],[Rete Fuente $]]</f>
        <v>3666212</v>
      </c>
      <c r="S15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19" spans="1:19" ht="21.95" hidden="1" customHeight="1" x14ac:dyDescent="0.25">
      <c r="A1519" s="39" t="str">
        <f>+IF(PROVEEDORES[[#This Row],[FECHA DE PAGO]]=PROVEEDORES[[#This Row],[FECHA DE FACTURACIÓN]],"DE CONTADO","CRÉDITO")</f>
        <v>CRÉDITO</v>
      </c>
      <c r="B1519" s="67" t="str">
        <f>+IF((PROVEEDORES[[#This Row],[FECHA DE PAGO]]-PROVEEDORES[[#This Row],[FECHA DE FACTURACIÓN]])&gt;PROVEEDORES[[#This Row],[PLAZO Días]],"PAGO VENCIDO")</f>
        <v>PAGO VENCIDO</v>
      </c>
      <c r="C1519" s="27">
        <f>+VLOOKUP(PROVEEDORES[[#This Row],[PROVEEDOR]],TERCEROS_INFO[#All],2,FALSE)</f>
        <v>45</v>
      </c>
      <c r="D1519" s="37">
        <f>+SUMIFS(PROVEEDORES[Total],PROVEEDORES[PROVEEDOR],PROVEEDORES[[#This Row],[PROVEEDOR]],PROVEEDORES[FECHA DE PAGO],"")</f>
        <v>12931968</v>
      </c>
      <c r="E1519" s="37"/>
      <c r="F1519" s="108" t="str">
        <f>+VLOOKUP(PROVEEDORES[[#This Row],[PROVEEDOR]],TERCEROS_INFO[[PROVEEDOR]:[CORREO]],5,FALSE)</f>
        <v>zully.florez@powest.com;girlesa.ruiz@servipilas.com;joriescobar64@gmail.com</v>
      </c>
      <c r="G1519" s="143">
        <v>44187</v>
      </c>
      <c r="H1519" s="38" t="s">
        <v>19</v>
      </c>
      <c r="I1519" s="30">
        <v>44055</v>
      </c>
      <c r="J1519" s="58" t="s">
        <v>160</v>
      </c>
      <c r="K1519" s="32">
        <v>2973900</v>
      </c>
      <c r="L1519" s="32"/>
      <c r="M1519" s="33">
        <f>(PROVEEDORES[[#This Row],[SUBTOTAL]]-PROVEEDORES[[#This Row],[descuento antes de IVA]])*VLOOKUP(PROVEEDORES[[#This Row],[PROVEEDOR]],TERCEROS_INFO[#All],3,FALSE)</f>
        <v>565041</v>
      </c>
      <c r="N1519" s="34"/>
      <c r="O1519" s="33">
        <f>+PROVEEDORES[[#This Row],[Descuento sobre subtotal %]]*(PROVEEDORES[[#This Row],[SUBTOTAL]]-PROVEEDORES[[#This Row],[descuento antes de IVA]])</f>
        <v>0</v>
      </c>
      <c r="P15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19" s="33">
        <f>+(PROVEEDORES[[#This Row],[SUBTOTAL]]-PROVEEDORES[[#This Row],[descuento antes de IVA]])*PROVEEDORES[[#This Row],[Rete Fuente %]]</f>
        <v>0</v>
      </c>
      <c r="R1519" s="32">
        <f>+PROVEEDORES[[#This Row],[SUBTOTAL]]+PROVEEDORES[[#This Row],[IVA 19%]]-PROVEEDORES[[#This Row],[descuento antes de IVA]]-PROVEEDORES[[#This Row],[Descuento sobre subtotal $]]-PROVEEDORES[[#This Row],[Rete Fuente $]]</f>
        <v>3538941</v>
      </c>
      <c r="S151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0" spans="1:19" ht="21.95" hidden="1" customHeight="1" x14ac:dyDescent="0.25">
      <c r="A1520" s="39" t="str">
        <f>+IF(PROVEEDORES[[#This Row],[FECHA DE PAGO]]=PROVEEDORES[[#This Row],[FECHA DE FACTURACIÓN]],"DE CONTADO","CRÉDITO")</f>
        <v>CRÉDITO</v>
      </c>
      <c r="B1520" s="67" t="str">
        <f>+IF((PROVEEDORES[[#This Row],[FECHA DE PAGO]]-PROVEEDORES[[#This Row],[FECHA DE FACTURACIÓN]])&gt;PROVEEDORES[[#This Row],[PLAZO Días]],"PAGO VENCIDO")</f>
        <v>PAGO VENCIDO</v>
      </c>
      <c r="C1520" s="27">
        <f>+VLOOKUP(PROVEEDORES[[#This Row],[PROVEEDOR]],TERCEROS_INFO[#All],2,FALSE)</f>
        <v>45</v>
      </c>
      <c r="D1520" s="37">
        <f>+SUMIFS(PROVEEDORES[Total],PROVEEDORES[PROVEEDOR],PROVEEDORES[[#This Row],[PROVEEDOR]],PROVEEDORES[FECHA DE PAGO],"")</f>
        <v>12931968</v>
      </c>
      <c r="E1520" s="37"/>
      <c r="F1520" s="108" t="str">
        <f>+VLOOKUP(PROVEEDORES[[#This Row],[PROVEEDOR]],TERCEROS_INFO[[PROVEEDOR]:[CORREO]],5,FALSE)</f>
        <v>zully.florez@powest.com;girlesa.ruiz@servipilas.com;joriescobar64@gmail.com</v>
      </c>
      <c r="G1520" s="143">
        <v>44187</v>
      </c>
      <c r="H1520" s="38" t="s">
        <v>19</v>
      </c>
      <c r="I1520" s="30">
        <v>44070</v>
      </c>
      <c r="J1520" s="58" t="s">
        <v>130</v>
      </c>
      <c r="K1520" s="32">
        <v>4171050.4201680673</v>
      </c>
      <c r="L1520" s="32"/>
      <c r="M1520" s="33">
        <f>(PROVEEDORES[[#This Row],[SUBTOTAL]]-PROVEEDORES[[#This Row],[descuento antes de IVA]])*VLOOKUP(PROVEEDORES[[#This Row],[PROVEEDOR]],TERCEROS_INFO[#All],3,FALSE)</f>
        <v>792499.57983193279</v>
      </c>
      <c r="N1520" s="34"/>
      <c r="O1520" s="33">
        <f>+PROVEEDORES[[#This Row],[Descuento sobre subtotal %]]*(PROVEEDORES[[#This Row],[SUBTOTAL]]-PROVEEDORES[[#This Row],[descuento antes de IVA]])</f>
        <v>0</v>
      </c>
      <c r="P15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0" s="33">
        <f>+(PROVEEDORES[[#This Row],[SUBTOTAL]]-PROVEEDORES[[#This Row],[descuento antes de IVA]])*PROVEEDORES[[#This Row],[Rete Fuente %]]</f>
        <v>0</v>
      </c>
      <c r="R1520" s="32">
        <f>+PROVEEDORES[[#This Row],[SUBTOTAL]]+PROVEEDORES[[#This Row],[IVA 19%]]-PROVEEDORES[[#This Row],[descuento antes de IVA]]-PROVEEDORES[[#This Row],[Descuento sobre subtotal $]]-PROVEEDORES[[#This Row],[Rete Fuente $]]</f>
        <v>4963550</v>
      </c>
      <c r="S15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1" spans="1:19" ht="21.95" hidden="1" customHeight="1" x14ac:dyDescent="0.25">
      <c r="A1521" s="39" t="str">
        <f>+IF(PROVEEDORES[[#This Row],[FECHA DE PAGO]]=PROVEEDORES[[#This Row],[FECHA DE FACTURACIÓN]],"DE CONTADO","CRÉDITO")</f>
        <v>CRÉDITO</v>
      </c>
      <c r="B1521" s="67" t="str">
        <f>+IF((PROVEEDORES[[#This Row],[FECHA DE PAGO]]-PROVEEDORES[[#This Row],[FECHA DE FACTURACIÓN]])&gt;PROVEEDORES[[#This Row],[PLAZO Días]],"PAGO VENCIDO")</f>
        <v>PAGO VENCIDO</v>
      </c>
      <c r="C1521" s="27">
        <f>+VLOOKUP(PROVEEDORES[[#This Row],[PROVEEDOR]],TERCEROS_INFO[#All],2,FALSE)</f>
        <v>45</v>
      </c>
      <c r="D1521" s="37">
        <f>+SUMIFS(PROVEEDORES[Total],PROVEEDORES[PROVEEDOR],PROVEEDORES[[#This Row],[PROVEEDOR]],PROVEEDORES[FECHA DE PAGO],"")</f>
        <v>12931968</v>
      </c>
      <c r="E1521" s="37"/>
      <c r="F1521" s="108" t="str">
        <f>+VLOOKUP(PROVEEDORES[[#This Row],[PROVEEDOR]],TERCEROS_INFO[[PROVEEDOR]:[CORREO]],5,FALSE)</f>
        <v>zully.florez@powest.com;girlesa.ruiz@servipilas.com;joriescobar64@gmail.com</v>
      </c>
      <c r="G1521" s="143">
        <v>44187</v>
      </c>
      <c r="H1521" s="38" t="s">
        <v>19</v>
      </c>
      <c r="I1521" s="30">
        <v>44089</v>
      </c>
      <c r="J1521" s="58" t="s">
        <v>145</v>
      </c>
      <c r="K1521" s="32">
        <v>5074950.4201680673</v>
      </c>
      <c r="L1521" s="32"/>
      <c r="M1521" s="33">
        <f>(PROVEEDORES[[#This Row],[SUBTOTAL]]-PROVEEDORES[[#This Row],[descuento antes de IVA]])*VLOOKUP(PROVEEDORES[[#This Row],[PROVEEDOR]],TERCEROS_INFO[#All],3,FALSE)</f>
        <v>964240.57983193279</v>
      </c>
      <c r="N1521" s="34"/>
      <c r="O1521" s="33">
        <f>+PROVEEDORES[[#This Row],[Descuento sobre subtotal %]]*(PROVEEDORES[[#This Row],[SUBTOTAL]]-PROVEEDORES[[#This Row],[descuento antes de IVA]])</f>
        <v>0</v>
      </c>
      <c r="P15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1" s="33">
        <f>+(PROVEEDORES[[#This Row],[SUBTOTAL]]-PROVEEDORES[[#This Row],[descuento antes de IVA]])*PROVEEDORES[[#This Row],[Rete Fuente %]]</f>
        <v>0</v>
      </c>
      <c r="R1521" s="32">
        <f>+PROVEEDORES[[#This Row],[SUBTOTAL]]+PROVEEDORES[[#This Row],[IVA 19%]]-PROVEEDORES[[#This Row],[descuento antes de IVA]]-PROVEEDORES[[#This Row],[Descuento sobre subtotal $]]-PROVEEDORES[[#This Row],[Rete Fuente $]]</f>
        <v>6039191</v>
      </c>
      <c r="S15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2" spans="1:19" ht="21.95" hidden="1" customHeight="1" x14ac:dyDescent="0.25">
      <c r="A1522" s="39" t="str">
        <f>+IF(PROVEEDORES[[#This Row],[FECHA DE PAGO]]=PROVEEDORES[[#This Row],[FECHA DE FACTURACIÓN]],"DE CONTADO","CRÉDITO")</f>
        <v>CRÉDITO</v>
      </c>
      <c r="B1522" s="67" t="str">
        <f>+IF((PROVEEDORES[[#This Row],[FECHA DE PAGO]]-PROVEEDORES[[#This Row],[FECHA DE FACTURACIÓN]])&gt;PROVEEDORES[[#This Row],[PLAZO Días]],"PAGO VENCIDO")</f>
        <v>PAGO VENCIDO</v>
      </c>
      <c r="C1522" s="27">
        <f>+VLOOKUP(PROVEEDORES[[#This Row],[PROVEEDOR]],TERCEROS_INFO[#All],2,FALSE)</f>
        <v>45</v>
      </c>
      <c r="D1522" s="37">
        <f>+SUMIFS(PROVEEDORES[Total],PROVEEDORES[PROVEEDOR],PROVEEDORES[[#This Row],[PROVEEDOR]],PROVEEDORES[FECHA DE PAGO],"")</f>
        <v>12931968</v>
      </c>
      <c r="E1522" s="37"/>
      <c r="F1522" s="108" t="str">
        <f>+VLOOKUP(PROVEEDORES[[#This Row],[PROVEEDOR]],TERCEROS_INFO[[PROVEEDOR]:[CORREO]],5,FALSE)</f>
        <v>zully.florez@powest.com;girlesa.ruiz@servipilas.com;joriescobar64@gmail.com</v>
      </c>
      <c r="G1522" s="143">
        <v>44187</v>
      </c>
      <c r="H1522" s="38" t="s">
        <v>19</v>
      </c>
      <c r="I1522" s="30">
        <v>44104</v>
      </c>
      <c r="J1522" s="58" t="s">
        <v>151</v>
      </c>
      <c r="K1522" s="32">
        <v>16953600</v>
      </c>
      <c r="L1522" s="32"/>
      <c r="M1522" s="33">
        <f>(PROVEEDORES[[#This Row],[SUBTOTAL]]-PROVEEDORES[[#This Row],[descuento antes de IVA]])*VLOOKUP(PROVEEDORES[[#This Row],[PROVEEDOR]],TERCEROS_INFO[#All],3,FALSE)</f>
        <v>3221184</v>
      </c>
      <c r="N1522" s="34"/>
      <c r="O1522" s="33">
        <f>+PROVEEDORES[[#This Row],[Descuento sobre subtotal %]]*(PROVEEDORES[[#This Row],[SUBTOTAL]]-PROVEEDORES[[#This Row],[descuento antes de IVA]])</f>
        <v>0</v>
      </c>
      <c r="P15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2" s="33">
        <f>+(PROVEEDORES[[#This Row],[SUBTOTAL]]-PROVEEDORES[[#This Row],[descuento antes de IVA]])*PROVEEDORES[[#This Row],[Rete Fuente %]]</f>
        <v>0</v>
      </c>
      <c r="R1522" s="32">
        <f>+PROVEEDORES[[#This Row],[SUBTOTAL]]+PROVEEDORES[[#This Row],[IVA 19%]]-PROVEEDORES[[#This Row],[descuento antes de IVA]]-PROVEEDORES[[#This Row],[Descuento sobre subtotal $]]-PROVEEDORES[[#This Row],[Rete Fuente $]]</f>
        <v>20174784</v>
      </c>
      <c r="S15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3" spans="1:19" ht="21.95" hidden="1" customHeight="1" x14ac:dyDescent="0.25">
      <c r="A1523" s="39" t="str">
        <f>+IF(PROVEEDORES[[#This Row],[FECHA DE PAGO]]=PROVEEDORES[[#This Row],[FECHA DE FACTURACIÓN]],"DE CONTADO","CRÉDITO")</f>
        <v>CRÉDITO</v>
      </c>
      <c r="B1523" s="67" t="str">
        <f>+IF((PROVEEDORES[[#This Row],[FECHA DE PAGO]]-PROVEEDORES[[#This Row],[FECHA DE FACTURACIÓN]])&gt;PROVEEDORES[[#This Row],[PLAZO Días]],"PAGO VENCIDO")</f>
        <v>PAGO VENCIDO</v>
      </c>
      <c r="C1523" s="27">
        <f>+VLOOKUP(PROVEEDORES[[#This Row],[PROVEEDOR]],TERCEROS_INFO[#All],2,FALSE)</f>
        <v>45</v>
      </c>
      <c r="D1523" s="37">
        <f>+SUMIFS(PROVEEDORES[Total],PROVEEDORES[PROVEEDOR],PROVEEDORES[[#This Row],[PROVEEDOR]],PROVEEDORES[FECHA DE PAGO],"")</f>
        <v>12931968</v>
      </c>
      <c r="E1523" s="37"/>
      <c r="F1523" s="108" t="str">
        <f>+VLOOKUP(PROVEEDORES[[#This Row],[PROVEEDOR]],TERCEROS_INFO[[PROVEEDOR]:[CORREO]],5,FALSE)</f>
        <v>zully.florez@powest.com;girlesa.ruiz@servipilas.com;joriescobar64@gmail.com</v>
      </c>
      <c r="G1523" s="143">
        <v>44187</v>
      </c>
      <c r="H1523" s="38" t="s">
        <v>19</v>
      </c>
      <c r="I1523" s="30">
        <v>44140</v>
      </c>
      <c r="J1523" s="58" t="s">
        <v>178</v>
      </c>
      <c r="K1523" s="32">
        <v>5686979.8319327738</v>
      </c>
      <c r="L1523" s="32"/>
      <c r="M1523" s="33">
        <f>(PROVEEDORES[[#This Row],[SUBTOTAL]]-PROVEEDORES[[#This Row],[descuento antes de IVA]])*VLOOKUP(PROVEEDORES[[#This Row],[PROVEEDOR]],TERCEROS_INFO[#All],3,FALSE)</f>
        <v>1080526.1680672271</v>
      </c>
      <c r="N1523" s="34"/>
      <c r="O1523" s="33">
        <f>+PROVEEDORES[[#This Row],[Descuento sobre subtotal %]]*(PROVEEDORES[[#This Row],[SUBTOTAL]]-PROVEEDORES[[#This Row],[descuento antes de IVA]])</f>
        <v>0</v>
      </c>
      <c r="P15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3" s="33">
        <f>+(PROVEEDORES[[#This Row],[SUBTOTAL]]-PROVEEDORES[[#This Row],[descuento antes de IVA]])*PROVEEDORES[[#This Row],[Rete Fuente %]]</f>
        <v>0</v>
      </c>
      <c r="R1523" s="32">
        <f>+PROVEEDORES[[#This Row],[SUBTOTAL]]+PROVEEDORES[[#This Row],[IVA 19%]]-PROVEEDORES[[#This Row],[descuento antes de IVA]]-PROVEEDORES[[#This Row],[Descuento sobre subtotal $]]-PROVEEDORES[[#This Row],[Rete Fuente $]]</f>
        <v>6767506.0000000009</v>
      </c>
      <c r="S15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4" spans="1:19" ht="21.95" hidden="1" customHeight="1" x14ac:dyDescent="0.25">
      <c r="A1524" s="39" t="str">
        <f>+IF(PROVEEDORES[[#This Row],[FECHA DE PAGO]]=PROVEEDORES[[#This Row],[FECHA DE FACTURACIÓN]],"DE CONTADO","CRÉDITO")</f>
        <v>CRÉDITO</v>
      </c>
      <c r="B1524" s="67" t="b">
        <f>+IF((PROVEEDORES[[#This Row],[FECHA DE PAGO]]-PROVEEDORES[[#This Row],[FECHA DE FACTURACIÓN]])&gt;PROVEEDORES[[#This Row],[PLAZO Días]],"PAGO VENCIDO")</f>
        <v>0</v>
      </c>
      <c r="C1524" s="27">
        <f>+VLOOKUP(PROVEEDORES[[#This Row],[PROVEEDOR]],TERCEROS_INFO[#All],2,FALSE)</f>
        <v>45</v>
      </c>
      <c r="D1524" s="37">
        <f>+SUMIFS(PROVEEDORES[Total],PROVEEDORES[PROVEEDOR],PROVEEDORES[[#This Row],[PROVEEDOR]],PROVEEDORES[FECHA DE PAGO],"")</f>
        <v>12931968</v>
      </c>
      <c r="E1524" s="37"/>
      <c r="F1524" s="108" t="str">
        <f>+VLOOKUP(PROVEEDORES[[#This Row],[PROVEEDOR]],TERCEROS_INFO[[PROVEEDOR]:[CORREO]],5,FALSE)</f>
        <v>zully.florez@powest.com;girlesa.ruiz@servipilas.com;joriescobar64@gmail.com</v>
      </c>
      <c r="G1524" s="143">
        <v>43842</v>
      </c>
      <c r="H1524" s="38" t="s">
        <v>19</v>
      </c>
      <c r="I1524" s="30">
        <v>44161</v>
      </c>
      <c r="J1524" s="58" t="s">
        <v>189</v>
      </c>
      <c r="K1524" s="32">
        <v>8715735.2941176482</v>
      </c>
      <c r="L1524" s="32"/>
      <c r="M1524" s="33">
        <f>(PROVEEDORES[[#This Row],[SUBTOTAL]]-PROVEEDORES[[#This Row],[descuento antes de IVA]])*VLOOKUP(PROVEEDORES[[#This Row],[PROVEEDOR]],TERCEROS_INFO[#All],3,FALSE)</f>
        <v>1655989.7058823532</v>
      </c>
      <c r="N1524" s="34"/>
      <c r="O1524" s="33">
        <f>+PROVEEDORES[[#This Row],[Descuento sobre subtotal %]]*(PROVEEDORES[[#This Row],[SUBTOTAL]]-PROVEEDORES[[#This Row],[descuento antes de IVA]])</f>
        <v>0</v>
      </c>
      <c r="P15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4" s="33">
        <f>+(PROVEEDORES[[#This Row],[SUBTOTAL]]-PROVEEDORES[[#This Row],[descuento antes de IVA]])*PROVEEDORES[[#This Row],[Rete Fuente %]]</f>
        <v>0</v>
      </c>
      <c r="R1524" s="32">
        <f>+PROVEEDORES[[#This Row],[SUBTOTAL]]+PROVEEDORES[[#This Row],[IVA 19%]]-PROVEEDORES[[#This Row],[descuento antes de IVA]]-PROVEEDORES[[#This Row],[Descuento sobre subtotal $]]-PROVEEDORES[[#This Row],[Rete Fuente $]]</f>
        <v>10371725.000000002</v>
      </c>
      <c r="S15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5" spans="1:19" ht="21.95" hidden="1" customHeight="1" x14ac:dyDescent="0.25">
      <c r="A1525" s="39" t="str">
        <f>+IF(PROVEEDORES[[#This Row],[FECHA DE PAGO]]=PROVEEDORES[[#This Row],[FECHA DE FACTURACIÓN]],"DE CONTADO","CRÉDITO")</f>
        <v>CRÉDITO</v>
      </c>
      <c r="B1525" s="67" t="b">
        <f>+IF((PROVEEDORES[[#This Row],[FECHA DE PAGO]]-PROVEEDORES[[#This Row],[FECHA DE FACTURACIÓN]])&gt;PROVEEDORES[[#This Row],[PLAZO Días]],"PAGO VENCIDO")</f>
        <v>0</v>
      </c>
      <c r="C1525" s="27">
        <f>+VLOOKUP(PROVEEDORES[[#This Row],[PROVEEDOR]],TERCEROS_INFO[#All],2,FALSE)</f>
        <v>45</v>
      </c>
      <c r="D1525" s="37">
        <f>+SUMIFS(PROVEEDORES[Total],PROVEEDORES[PROVEEDOR],PROVEEDORES[[#This Row],[PROVEEDOR]],PROVEEDORES[FECHA DE PAGO],"")</f>
        <v>12931968</v>
      </c>
      <c r="E1525" s="37"/>
      <c r="F1525" s="108" t="str">
        <f>+VLOOKUP(PROVEEDORES[[#This Row],[PROVEEDOR]],TERCEROS_INFO[[PROVEEDOR]:[CORREO]],5,FALSE)</f>
        <v>zully.florez@powest.com;girlesa.ruiz@servipilas.com;joriescobar64@gmail.com</v>
      </c>
      <c r="G1525" s="143">
        <v>44239</v>
      </c>
      <c r="H1525" s="38" t="s">
        <v>19</v>
      </c>
      <c r="I1525" s="30">
        <v>44201</v>
      </c>
      <c r="J1525" s="58" t="s">
        <v>223</v>
      </c>
      <c r="K1525" s="32">
        <v>3875040.3361344538</v>
      </c>
      <c r="L1525" s="32"/>
      <c r="M1525" s="33">
        <f>(PROVEEDORES[[#This Row],[SUBTOTAL]]-PROVEEDORES[[#This Row],[descuento antes de IVA]])*VLOOKUP(PROVEEDORES[[#This Row],[PROVEEDOR]],TERCEROS_INFO[#All],3,FALSE)</f>
        <v>736257.66386554623</v>
      </c>
      <c r="N1525" s="34"/>
      <c r="O1525" s="33">
        <f>+PROVEEDORES[[#This Row],[Descuento sobre subtotal %]]*(PROVEEDORES[[#This Row],[SUBTOTAL]]-PROVEEDORES[[#This Row],[descuento antes de IVA]])</f>
        <v>0</v>
      </c>
      <c r="P15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5" s="33">
        <f>+(PROVEEDORES[[#This Row],[SUBTOTAL]]-PROVEEDORES[[#This Row],[descuento antes de IVA]])*PROVEEDORES[[#This Row],[Rete Fuente %]]</f>
        <v>0</v>
      </c>
      <c r="R1525" s="32">
        <f>+PROVEEDORES[[#This Row],[SUBTOTAL]]+PROVEEDORES[[#This Row],[IVA 19%]]-PROVEEDORES[[#This Row],[descuento antes de IVA]]-PROVEEDORES[[#This Row],[Descuento sobre subtotal $]]-PROVEEDORES[[#This Row],[Rete Fuente $]]</f>
        <v>4611298</v>
      </c>
      <c r="S15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6" spans="1:19" ht="21.95" hidden="1" customHeight="1" x14ac:dyDescent="0.25">
      <c r="A1526" s="88" t="str">
        <f>+IF(PROVEEDORES[[#This Row],[FECHA DE PAGO]]=PROVEEDORES[[#This Row],[FECHA DE FACTURACIÓN]],"DE CONTADO","CRÉDITO")</f>
        <v>CRÉDITO</v>
      </c>
      <c r="B1526" s="70" t="str">
        <f>+IF((PROVEEDORES[[#This Row],[FECHA DE PAGO]]-PROVEEDORES[[#This Row],[FECHA DE FACTURACIÓN]])&gt;PROVEEDORES[[#This Row],[PLAZO Días]],"PAGO VENCIDO")</f>
        <v>PAGO VENCIDO</v>
      </c>
      <c r="C1526" s="27">
        <f>+VLOOKUP(PROVEEDORES[[#This Row],[PROVEEDOR]],TERCEROS_INFO[#All],2,FALSE)</f>
        <v>45</v>
      </c>
      <c r="D1526" s="37">
        <f>+SUMIFS(PROVEEDORES[Total],PROVEEDORES[PROVEEDOR],PROVEEDORES[[#This Row],[PROVEEDOR]],PROVEEDORES[FECHA DE PAGO],"")</f>
        <v>12931968</v>
      </c>
      <c r="E1526" s="37"/>
      <c r="F1526" s="108" t="str">
        <f>+VLOOKUP(PROVEEDORES[[#This Row],[PROVEEDOR]],TERCEROS_INFO[[PROVEEDOR]:[CORREO]],5,FALSE)</f>
        <v>zully.florez@powest.com;girlesa.ruiz@servipilas.com;joriescobar64@gmail.com</v>
      </c>
      <c r="G1526" s="143">
        <v>44264</v>
      </c>
      <c r="H1526" s="38" t="s">
        <v>19</v>
      </c>
      <c r="I1526" s="30">
        <v>44211</v>
      </c>
      <c r="J1526" s="58" t="s">
        <v>523</v>
      </c>
      <c r="K1526" s="32">
        <v>23000</v>
      </c>
      <c r="L1526" s="32"/>
      <c r="M1526" s="33">
        <f>(PROVEEDORES[[#This Row],[SUBTOTAL]]-PROVEEDORES[[#This Row],[descuento antes de IVA]])*VLOOKUP(PROVEEDORES[[#This Row],[PROVEEDOR]],TERCEROS_INFO[#All],3,FALSE)</f>
        <v>4370</v>
      </c>
      <c r="N1526" s="34"/>
      <c r="O1526" s="33">
        <f>+PROVEEDORES[[#This Row],[Descuento sobre subtotal %]]*(PROVEEDORES[[#This Row],[SUBTOTAL]]-PROVEEDORES[[#This Row],[descuento antes de IVA]])</f>
        <v>0</v>
      </c>
      <c r="P15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6" s="33">
        <f>+(PROVEEDORES[[#This Row],[SUBTOTAL]]-PROVEEDORES[[#This Row],[descuento antes de IVA]])*PROVEEDORES[[#This Row],[Rete Fuente %]]</f>
        <v>0</v>
      </c>
      <c r="R1526" s="32">
        <f>+PROVEEDORES[[#This Row],[SUBTOTAL]]+PROVEEDORES[[#This Row],[IVA 19%]]-PROVEEDORES[[#This Row],[descuento antes de IVA]]-PROVEEDORES[[#This Row],[Descuento sobre subtotal $]]-PROVEEDORES[[#This Row],[Rete Fuente $]]</f>
        <v>27370</v>
      </c>
      <c r="S152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7" spans="1:19" ht="21.95" hidden="1" customHeight="1" x14ac:dyDescent="0.25">
      <c r="A1527" s="39" t="str">
        <f>+IF(PROVEEDORES[[#This Row],[FECHA DE PAGO]]=PROVEEDORES[[#This Row],[FECHA DE FACTURACIÓN]],"DE CONTADO","CRÉDITO")</f>
        <v>CRÉDITO</v>
      </c>
      <c r="B1527" s="67" t="b">
        <f>+IF((PROVEEDORES[[#This Row],[FECHA DE PAGO]]-PROVEEDORES[[#This Row],[FECHA DE FACTURACIÓN]])&gt;PROVEEDORES[[#This Row],[PLAZO Días]],"PAGO VENCIDO")</f>
        <v>0</v>
      </c>
      <c r="C1527" s="27">
        <f>+VLOOKUP(PROVEEDORES[[#This Row],[PROVEEDOR]],TERCEROS_INFO[#All],2,FALSE)</f>
        <v>45</v>
      </c>
      <c r="D1527" s="37">
        <f>+SUMIFS(PROVEEDORES[Total],PROVEEDORES[PROVEEDOR],PROVEEDORES[[#This Row],[PROVEEDOR]],PROVEEDORES[FECHA DE PAGO],"")</f>
        <v>12931968</v>
      </c>
      <c r="E1527" s="37"/>
      <c r="F1527" s="108" t="str">
        <f>+VLOOKUP(PROVEEDORES[[#This Row],[PROVEEDOR]],TERCEROS_INFO[[PROVEEDOR]:[CORREO]],5,FALSE)</f>
        <v>zully.florez@powest.com;girlesa.ruiz@servipilas.com;joriescobar64@gmail.com</v>
      </c>
      <c r="G1527" s="143">
        <v>44243</v>
      </c>
      <c r="H1527" s="38" t="s">
        <v>19</v>
      </c>
      <c r="I1527" s="30">
        <v>44214</v>
      </c>
      <c r="J1527" s="58" t="s">
        <v>381</v>
      </c>
      <c r="K1527" s="32">
        <v>1778130</v>
      </c>
      <c r="L1527" s="32"/>
      <c r="M1527" s="33">
        <f>(PROVEEDORES[[#This Row],[SUBTOTAL]]-PROVEEDORES[[#This Row],[descuento antes de IVA]])*VLOOKUP(PROVEEDORES[[#This Row],[PROVEEDOR]],TERCEROS_INFO[#All],3,FALSE)</f>
        <v>337844.7</v>
      </c>
      <c r="N1527" s="34"/>
      <c r="O1527" s="33">
        <f>+PROVEEDORES[[#This Row],[Descuento sobre subtotal %]]*(PROVEEDORES[[#This Row],[SUBTOTAL]]-PROVEEDORES[[#This Row],[descuento antes de IVA]])</f>
        <v>0</v>
      </c>
      <c r="P15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7" s="33">
        <f>+(PROVEEDORES[[#This Row],[SUBTOTAL]]-PROVEEDORES[[#This Row],[descuento antes de IVA]])*PROVEEDORES[[#This Row],[Rete Fuente %]]</f>
        <v>0</v>
      </c>
      <c r="R1527" s="32">
        <f>+PROVEEDORES[[#This Row],[SUBTOTAL]]+PROVEEDORES[[#This Row],[IVA 19%]]-PROVEEDORES[[#This Row],[descuento antes de IVA]]-PROVEEDORES[[#This Row],[Descuento sobre subtotal $]]-PROVEEDORES[[#This Row],[Rete Fuente $]]</f>
        <v>2115974.7000000002</v>
      </c>
      <c r="S152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8" spans="1:19" ht="21.95" hidden="1" customHeight="1" x14ac:dyDescent="0.25">
      <c r="A1528" s="39" t="str">
        <f>+IF(PROVEEDORES[[#This Row],[FECHA DE PAGO]]=PROVEEDORES[[#This Row],[FECHA DE FACTURACIÓN]],"DE CONTADO","CRÉDITO")</f>
        <v>CRÉDITO</v>
      </c>
      <c r="B1528" s="67" t="str">
        <f>+IF((PROVEEDORES[[#This Row],[FECHA DE PAGO]]-PROVEEDORES[[#This Row],[FECHA DE FACTURACIÓN]])&gt;PROVEEDORES[[#This Row],[PLAZO Días]],"PAGO VENCIDO")</f>
        <v>PAGO VENCIDO</v>
      </c>
      <c r="C1528" s="27">
        <f>+VLOOKUP(PROVEEDORES[[#This Row],[PROVEEDOR]],TERCEROS_INFO[#All],2,FALSE)</f>
        <v>45</v>
      </c>
      <c r="D1528" s="37">
        <f>+SUMIFS(PROVEEDORES[Total],PROVEEDORES[PROVEEDOR],PROVEEDORES[[#This Row],[PROVEEDOR]],PROVEEDORES[FECHA DE PAGO],"")</f>
        <v>12931968</v>
      </c>
      <c r="E1528" s="37"/>
      <c r="F1528" s="108" t="str">
        <f>+VLOOKUP(PROVEEDORES[[#This Row],[PROVEEDOR]],TERCEROS_INFO[[PROVEEDOR]:[CORREO]],5,FALSE)</f>
        <v>zully.florez@powest.com;girlesa.ruiz@servipilas.com;joriescobar64@gmail.com</v>
      </c>
      <c r="G1528" s="143">
        <v>44264</v>
      </c>
      <c r="H1528" s="38" t="s">
        <v>19</v>
      </c>
      <c r="I1528" s="30">
        <v>44214</v>
      </c>
      <c r="J1528" s="58" t="s">
        <v>380</v>
      </c>
      <c r="K1528" s="32">
        <v>595470</v>
      </c>
      <c r="L1528" s="32"/>
      <c r="M1528" s="33">
        <f>(PROVEEDORES[[#This Row],[SUBTOTAL]]-PROVEEDORES[[#This Row],[descuento antes de IVA]])*VLOOKUP(PROVEEDORES[[#This Row],[PROVEEDOR]],TERCEROS_INFO[#All],3,FALSE)</f>
        <v>113139.3</v>
      </c>
      <c r="N1528" s="34"/>
      <c r="O1528" s="33">
        <f>+PROVEEDORES[[#This Row],[Descuento sobre subtotal %]]*(PROVEEDORES[[#This Row],[SUBTOTAL]]-PROVEEDORES[[#This Row],[descuento antes de IVA]])</f>
        <v>0</v>
      </c>
      <c r="P15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8" s="33">
        <f>+(PROVEEDORES[[#This Row],[SUBTOTAL]]-PROVEEDORES[[#This Row],[descuento antes de IVA]])*PROVEEDORES[[#This Row],[Rete Fuente %]]</f>
        <v>0</v>
      </c>
      <c r="R1528" s="32">
        <f>+PROVEEDORES[[#This Row],[SUBTOTAL]]+PROVEEDORES[[#This Row],[IVA 19%]]-PROVEEDORES[[#This Row],[descuento antes de IVA]]-PROVEEDORES[[#This Row],[Descuento sobre subtotal $]]-PROVEEDORES[[#This Row],[Rete Fuente $]]</f>
        <v>708609.3</v>
      </c>
      <c r="S152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29" spans="1:19" ht="21.95" hidden="1" customHeight="1" x14ac:dyDescent="0.25">
      <c r="A1529" s="35" t="str">
        <f>+IF(PROVEEDORES[[#This Row],[FECHA DE PAGO]]=PROVEEDORES[[#This Row],[FECHA DE FACTURACIÓN]],"DE CONTADO","CRÉDITO")</f>
        <v>CRÉDITO</v>
      </c>
      <c r="B1529" s="67" t="str">
        <f>+IF((PROVEEDORES[[#This Row],[FECHA DE PAGO]]-PROVEEDORES[[#This Row],[FECHA DE FACTURACIÓN]])&gt;PROVEEDORES[[#This Row],[PLAZO Días]],"PAGO VENCIDO")</f>
        <v>PAGO VENCIDO</v>
      </c>
      <c r="C1529" s="27">
        <f>+VLOOKUP(PROVEEDORES[[#This Row],[PROVEEDOR]],TERCEROS_INFO[#All],2,FALSE)</f>
        <v>45</v>
      </c>
      <c r="D1529" s="37">
        <f>+SUMIFS(PROVEEDORES[Total],PROVEEDORES[PROVEEDOR],PROVEEDORES[[#This Row],[PROVEEDOR]],PROVEEDORES[FECHA DE PAGO],"")</f>
        <v>12931968</v>
      </c>
      <c r="E1529" s="98" t="s">
        <v>582</v>
      </c>
      <c r="F1529" s="110" t="str">
        <f>+VLOOKUP(PROVEEDORES[[#This Row],[PROVEEDOR]],TERCEROS_INFO[[PROVEEDOR]:[CORREO]],5,FALSE)</f>
        <v>zully.florez@powest.com;girlesa.ruiz@servipilas.com;joriescobar64@gmail.com</v>
      </c>
      <c r="G1529" s="143">
        <v>44284</v>
      </c>
      <c r="H1529" s="38" t="s">
        <v>19</v>
      </c>
      <c r="I1529" s="30">
        <v>44224</v>
      </c>
      <c r="J1529" s="58" t="s">
        <v>420</v>
      </c>
      <c r="K1529" s="32">
        <v>11854200</v>
      </c>
      <c r="L1529" s="32"/>
      <c r="M1529" s="33">
        <f>(PROVEEDORES[[#This Row],[SUBTOTAL]]-PROVEEDORES[[#This Row],[descuento antes de IVA]])*VLOOKUP(PROVEEDORES[[#This Row],[PROVEEDOR]],TERCEROS_INFO[#All],3,FALSE)</f>
        <v>2252298</v>
      </c>
      <c r="N1529" s="34"/>
      <c r="O1529" s="33">
        <f>+PROVEEDORES[[#This Row],[Descuento sobre subtotal %]]*(PROVEEDORES[[#This Row],[SUBTOTAL]]-PROVEEDORES[[#This Row],[descuento antes de IVA]])</f>
        <v>0</v>
      </c>
      <c r="P15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29" s="33">
        <f>+(PROVEEDORES[[#This Row],[SUBTOTAL]]-PROVEEDORES[[#This Row],[descuento antes de IVA]])*PROVEEDORES[[#This Row],[Rete Fuente %]]</f>
        <v>0</v>
      </c>
      <c r="R1529" s="32">
        <f>+PROVEEDORES[[#This Row],[SUBTOTAL]]+PROVEEDORES[[#This Row],[IVA 19%]]-PROVEEDORES[[#This Row],[descuento antes de IVA]]-PROVEEDORES[[#This Row],[Descuento sobre subtotal $]]-PROVEEDORES[[#This Row],[Rete Fuente $]]</f>
        <v>14106498</v>
      </c>
      <c r="S152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0" spans="1:19" ht="21.95" hidden="1" customHeight="1" x14ac:dyDescent="0.25">
      <c r="A1530" s="88" t="str">
        <f>+IF(PROVEEDORES[[#This Row],[FECHA DE PAGO]]=PROVEEDORES[[#This Row],[FECHA DE FACTURACIÓN]],"DE CONTADO","CRÉDITO")</f>
        <v>CRÉDITO</v>
      </c>
      <c r="B1530" s="70" t="str">
        <f>+IF((PROVEEDORES[[#This Row],[FECHA DE PAGO]]-PROVEEDORES[[#This Row],[FECHA DE FACTURACIÓN]])&gt;PROVEEDORES[[#This Row],[PLAZO Días]],"PAGO VENCIDO")</f>
        <v>PAGO VENCIDO</v>
      </c>
      <c r="C1530" s="27">
        <f>+VLOOKUP(PROVEEDORES[[#This Row],[PROVEEDOR]],TERCEROS_INFO[#All],2,FALSE)</f>
        <v>45</v>
      </c>
      <c r="D1530" s="37">
        <f>+SUMIFS(PROVEEDORES[Total],PROVEEDORES[PROVEEDOR],PROVEEDORES[[#This Row],[PROVEEDOR]],PROVEEDORES[FECHA DE PAGO],"")</f>
        <v>12931968</v>
      </c>
      <c r="E1530" s="37"/>
      <c r="F1530" s="108" t="str">
        <f>+VLOOKUP(PROVEEDORES[[#This Row],[PROVEEDOR]],TERCEROS_INFO[[PROVEEDOR]:[CORREO]],5,FALSE)</f>
        <v>zully.florez@powest.com;girlesa.ruiz@servipilas.com;joriescobar64@gmail.com</v>
      </c>
      <c r="G1530" s="143">
        <v>44312</v>
      </c>
      <c r="H1530" s="38" t="s">
        <v>19</v>
      </c>
      <c r="I1530" s="30">
        <v>44236</v>
      </c>
      <c r="J1530" s="58" t="s">
        <v>504</v>
      </c>
      <c r="K1530" s="32">
        <v>1144089</v>
      </c>
      <c r="L1530" s="32"/>
      <c r="M1530" s="33">
        <f>(PROVEEDORES[[#This Row],[SUBTOTAL]]-PROVEEDORES[[#This Row],[descuento antes de IVA]])*VLOOKUP(PROVEEDORES[[#This Row],[PROVEEDOR]],TERCEROS_INFO[#All],3,FALSE)</f>
        <v>217376.91</v>
      </c>
      <c r="N1530" s="34"/>
      <c r="O1530" s="33">
        <f>+PROVEEDORES[[#This Row],[Descuento sobre subtotal %]]*(PROVEEDORES[[#This Row],[SUBTOTAL]]-PROVEEDORES[[#This Row],[descuento antes de IVA]])</f>
        <v>0</v>
      </c>
      <c r="P15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0" s="33">
        <f>+(PROVEEDORES[[#This Row],[SUBTOTAL]]-PROVEEDORES[[#This Row],[descuento antes de IVA]])*PROVEEDORES[[#This Row],[Rete Fuente %]]</f>
        <v>0</v>
      </c>
      <c r="R1530" s="32">
        <f>+PROVEEDORES[[#This Row],[SUBTOTAL]]+PROVEEDORES[[#This Row],[IVA 19%]]-PROVEEDORES[[#This Row],[descuento antes de IVA]]-PROVEEDORES[[#This Row],[Descuento sobre subtotal $]]-PROVEEDORES[[#This Row],[Rete Fuente $]]</f>
        <v>1361465.91</v>
      </c>
      <c r="S1530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1" spans="1:19" ht="21.95" hidden="1" customHeight="1" x14ac:dyDescent="0.25">
      <c r="A1531" s="88" t="str">
        <f>+IF(PROVEEDORES[[#This Row],[FECHA DE PAGO]]=PROVEEDORES[[#This Row],[FECHA DE FACTURACIÓN]],"DE CONTADO","CRÉDITO")</f>
        <v>CRÉDITO</v>
      </c>
      <c r="B1531" s="70" t="str">
        <f>+IF((PROVEEDORES[[#This Row],[FECHA DE PAGO]]-PROVEEDORES[[#This Row],[FECHA DE FACTURACIÓN]])&gt;PROVEEDORES[[#This Row],[PLAZO Días]],"PAGO VENCIDO")</f>
        <v>PAGO VENCIDO</v>
      </c>
      <c r="C1531" s="27">
        <f>+VLOOKUP(PROVEEDORES[[#This Row],[PROVEEDOR]],TERCEROS_INFO[#All],2,FALSE)</f>
        <v>45</v>
      </c>
      <c r="D1531" s="37">
        <f>+SUMIFS(PROVEEDORES[Total],PROVEEDORES[PROVEEDOR],PROVEEDORES[[#This Row],[PROVEEDOR]],PROVEEDORES[FECHA DE PAGO],"")</f>
        <v>12931968</v>
      </c>
      <c r="E1531" s="37"/>
      <c r="F1531" s="108" t="str">
        <f>+VLOOKUP(PROVEEDORES[[#This Row],[PROVEEDOR]],TERCEROS_INFO[[PROVEEDOR]:[CORREO]],5,FALSE)</f>
        <v>zully.florez@powest.com;girlesa.ruiz@servipilas.com;joriescobar64@gmail.com</v>
      </c>
      <c r="G1531" s="143">
        <v>44312</v>
      </c>
      <c r="H1531" s="38" t="s">
        <v>19</v>
      </c>
      <c r="I1531" s="30">
        <v>44260</v>
      </c>
      <c r="J1531" s="58" t="s">
        <v>521</v>
      </c>
      <c r="K1531" s="32">
        <v>4483620</v>
      </c>
      <c r="L1531" s="32"/>
      <c r="M1531" s="33">
        <f>(PROVEEDORES[[#This Row],[SUBTOTAL]]-PROVEEDORES[[#This Row],[descuento antes de IVA]])*VLOOKUP(PROVEEDORES[[#This Row],[PROVEEDOR]],TERCEROS_INFO[#All],3,FALSE)</f>
        <v>851887.8</v>
      </c>
      <c r="N1531" s="34"/>
      <c r="O1531" s="33">
        <f>+PROVEEDORES[[#This Row],[Descuento sobre subtotal %]]*(PROVEEDORES[[#This Row],[SUBTOTAL]]-PROVEEDORES[[#This Row],[descuento antes de IVA]])</f>
        <v>0</v>
      </c>
      <c r="P15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1" s="33">
        <f>+(PROVEEDORES[[#This Row],[SUBTOTAL]]-PROVEEDORES[[#This Row],[descuento antes de IVA]])*PROVEEDORES[[#This Row],[Rete Fuente %]]</f>
        <v>0</v>
      </c>
      <c r="R1531" s="32">
        <f>+PROVEEDORES[[#This Row],[SUBTOTAL]]+PROVEEDORES[[#This Row],[IVA 19%]]-PROVEEDORES[[#This Row],[descuento antes de IVA]]-PROVEEDORES[[#This Row],[Descuento sobre subtotal $]]-PROVEEDORES[[#This Row],[Rete Fuente $]]</f>
        <v>5335507.8</v>
      </c>
      <c r="S1531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2" spans="1:19" ht="21.95" hidden="1" customHeight="1" x14ac:dyDescent="0.25">
      <c r="A1532" s="88" t="str">
        <f>+IF(PROVEEDORES[[#This Row],[FECHA DE PAGO]]=PROVEEDORES[[#This Row],[FECHA DE FACTURACIÓN]],"DE CONTADO","CRÉDITO")</f>
        <v>CRÉDITO</v>
      </c>
      <c r="B1532" s="70" t="str">
        <f>+IF((PROVEEDORES[[#This Row],[FECHA DE PAGO]]-PROVEEDORES[[#This Row],[FECHA DE FACTURACIÓN]])&gt;PROVEEDORES[[#This Row],[PLAZO Días]],"PAGO VENCIDO")</f>
        <v>PAGO VENCIDO</v>
      </c>
      <c r="C1532" s="27">
        <f>+VLOOKUP(PROVEEDORES[[#This Row],[PROVEEDOR]],TERCEROS_INFO[#All],2,FALSE)</f>
        <v>45</v>
      </c>
      <c r="D1532" s="37">
        <f>+SUMIFS(PROVEEDORES[Total],PROVEEDORES[PROVEEDOR],PROVEEDORES[[#This Row],[PROVEEDOR]],PROVEEDORES[FECHA DE PAGO],"")</f>
        <v>12931968</v>
      </c>
      <c r="E1532" s="37"/>
      <c r="F1532" s="108" t="str">
        <f>+VLOOKUP(PROVEEDORES[[#This Row],[PROVEEDOR]],TERCEROS_INFO[[PROVEEDOR]:[CORREO]],5,FALSE)</f>
        <v>zully.florez@powest.com;girlesa.ruiz@servipilas.com;joriescobar64@gmail.com</v>
      </c>
      <c r="G1532" s="143">
        <v>44343</v>
      </c>
      <c r="H1532" s="38" t="s">
        <v>19</v>
      </c>
      <c r="I1532" s="30">
        <v>44270</v>
      </c>
      <c r="J1532" s="58" t="s">
        <v>538</v>
      </c>
      <c r="K1532" s="32">
        <v>4154835</v>
      </c>
      <c r="L1532" s="32"/>
      <c r="M1532" s="33">
        <f>(PROVEEDORES[[#This Row],[SUBTOTAL]]-PROVEEDORES[[#This Row],[descuento antes de IVA]])*VLOOKUP(PROVEEDORES[[#This Row],[PROVEEDOR]],TERCEROS_INFO[#All],3,FALSE)</f>
        <v>789418.65</v>
      </c>
      <c r="N1532" s="34"/>
      <c r="O1532" s="33">
        <f>+PROVEEDORES[[#This Row],[Descuento sobre subtotal %]]*(PROVEEDORES[[#This Row],[SUBTOTAL]]-PROVEEDORES[[#This Row],[descuento antes de IVA]])</f>
        <v>0</v>
      </c>
      <c r="P15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2" s="33">
        <f>+(PROVEEDORES[[#This Row],[SUBTOTAL]]-PROVEEDORES[[#This Row],[descuento antes de IVA]])*PROVEEDORES[[#This Row],[Rete Fuente %]]</f>
        <v>0</v>
      </c>
      <c r="R1532" s="32">
        <f>+PROVEEDORES[[#This Row],[SUBTOTAL]]+PROVEEDORES[[#This Row],[IVA 19%]]-PROVEEDORES[[#This Row],[descuento antes de IVA]]-PROVEEDORES[[#This Row],[Descuento sobre subtotal $]]-PROVEEDORES[[#This Row],[Rete Fuente $]]</f>
        <v>4944253.6500000004</v>
      </c>
      <c r="S153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3" spans="1:19" ht="21.95" hidden="1" customHeight="1" x14ac:dyDescent="0.25">
      <c r="A1533" s="104" t="str">
        <f>+IF(PROVEEDORES[[#This Row],[FECHA DE PAGO]]=PROVEEDORES[[#This Row],[FECHA DE FACTURACIÓN]],"DE CONTADO","CRÉDITO")</f>
        <v>CRÉDITO</v>
      </c>
      <c r="B1533" s="70" t="str">
        <f>+IF((PROVEEDORES[[#This Row],[FECHA DE PAGO]]-PROVEEDORES[[#This Row],[FECHA DE FACTURACIÓN]])&gt;PROVEEDORES[[#This Row],[PLAZO Días]],"PAGO VENCIDO")</f>
        <v>PAGO VENCIDO</v>
      </c>
      <c r="C1533" s="27">
        <f>+VLOOKUP(PROVEEDORES[[#This Row],[PROVEEDOR]],TERCEROS_INFO[#All],2,FALSE)</f>
        <v>45</v>
      </c>
      <c r="D1533" s="37">
        <f>+SUMIFS(PROVEEDORES[Total],PROVEEDORES[PROVEEDOR],PROVEEDORES[[#This Row],[PROVEEDOR]],PROVEEDORES[FECHA DE PAGO],"")</f>
        <v>12931968</v>
      </c>
      <c r="E1533" s="37"/>
      <c r="F1533" s="108" t="str">
        <f>+VLOOKUP(PROVEEDORES[[#This Row],[PROVEEDOR]],TERCEROS_INFO[[PROVEEDOR]:[CORREO]],5,FALSE)</f>
        <v>zully.florez@powest.com;girlesa.ruiz@servipilas.com;joriescobar64@gmail.com</v>
      </c>
      <c r="G1533" s="143">
        <v>44376</v>
      </c>
      <c r="H1533" s="38" t="s">
        <v>19</v>
      </c>
      <c r="I1533" s="30">
        <v>44313</v>
      </c>
      <c r="J1533" s="58" t="s">
        <v>613</v>
      </c>
      <c r="K1533" s="32">
        <v>5391660</v>
      </c>
      <c r="L1533" s="32"/>
      <c r="M1533" s="33">
        <f>(PROVEEDORES[[#This Row],[SUBTOTAL]]-PROVEEDORES[[#This Row],[descuento antes de IVA]])*VLOOKUP(PROVEEDORES[[#This Row],[PROVEEDOR]],TERCEROS_INFO[#All],3,FALSE)</f>
        <v>1024415.4</v>
      </c>
      <c r="N1533" s="34"/>
      <c r="O1533" s="33">
        <f>+PROVEEDORES[[#This Row],[Descuento sobre subtotal %]]*(PROVEEDORES[[#This Row],[SUBTOTAL]]-PROVEEDORES[[#This Row],[descuento antes de IVA]])</f>
        <v>0</v>
      </c>
      <c r="P15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3" s="33">
        <f>+(PROVEEDORES[[#This Row],[SUBTOTAL]]-PROVEEDORES[[#This Row],[descuento antes de IVA]])*PROVEEDORES[[#This Row],[Rete Fuente %]]</f>
        <v>0</v>
      </c>
      <c r="R1533" s="32">
        <f>+PROVEEDORES[[#This Row],[SUBTOTAL]]+PROVEEDORES[[#This Row],[IVA 19%]]-PROVEEDORES[[#This Row],[descuento antes de IVA]]-PROVEEDORES[[#This Row],[Descuento sobre subtotal $]]-PROVEEDORES[[#This Row],[Rete Fuente $]]</f>
        <v>6416075.4000000004</v>
      </c>
      <c r="S1533" s="10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4" spans="1:19" ht="21.95" hidden="1" customHeight="1" x14ac:dyDescent="0.25">
      <c r="A1534" s="119" t="str">
        <f>+IF(PROVEEDORES[[#This Row],[FECHA DE PAGO]]=PROVEEDORES[[#This Row],[FECHA DE FACTURACIÓN]],"DE CONTADO","CRÉDITO")</f>
        <v>CRÉDITO</v>
      </c>
      <c r="B1534" s="70" t="str">
        <f>+IF((PROVEEDORES[[#This Row],[FECHA DE PAGO]]-PROVEEDORES[[#This Row],[FECHA DE FACTURACIÓN]])&gt;PROVEEDORES[[#This Row],[PLAZO Días]],"PAGO VENCIDO")</f>
        <v>PAGO VENCIDO</v>
      </c>
      <c r="C1534" s="27">
        <f>+VLOOKUP(PROVEEDORES[[#This Row],[PROVEEDOR]],TERCEROS_INFO[#All],2,FALSE)</f>
        <v>45</v>
      </c>
      <c r="D1534" s="37">
        <f>+SUMIFS(PROVEEDORES[Total],PROVEEDORES[PROVEEDOR],PROVEEDORES[[#This Row],[PROVEEDOR]],PROVEEDORES[FECHA DE PAGO],"")</f>
        <v>12931968</v>
      </c>
      <c r="E1534" s="37"/>
      <c r="F1534" s="108" t="str">
        <f>+VLOOKUP(PROVEEDORES[[#This Row],[PROVEEDOR]],TERCEROS_INFO[[PROVEEDOR]:[CORREO]],5,FALSE)</f>
        <v>zully.florez@powest.com;girlesa.ruiz@servipilas.com;joriescobar64@gmail.com</v>
      </c>
      <c r="G1534" s="143">
        <v>44407</v>
      </c>
      <c r="H1534" s="38" t="s">
        <v>19</v>
      </c>
      <c r="I1534" s="30">
        <v>44351</v>
      </c>
      <c r="J1534" s="58" t="s">
        <v>697</v>
      </c>
      <c r="K1534" s="32">
        <v>1540080</v>
      </c>
      <c r="L1534" s="32"/>
      <c r="M1534" s="33">
        <f>(PROVEEDORES[[#This Row],[SUBTOTAL]]-PROVEEDORES[[#This Row],[descuento antes de IVA]])*VLOOKUP(PROVEEDORES[[#This Row],[PROVEEDOR]],TERCEROS_INFO[#All],3,FALSE)</f>
        <v>292615.2</v>
      </c>
      <c r="N1534" s="34"/>
      <c r="O1534" s="33">
        <f>+PROVEEDORES[[#This Row],[Descuento sobre subtotal %]]*(PROVEEDORES[[#This Row],[SUBTOTAL]]-PROVEEDORES[[#This Row],[descuento antes de IVA]])</f>
        <v>0</v>
      </c>
      <c r="P15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4" s="33">
        <f>+(PROVEEDORES[[#This Row],[SUBTOTAL]]-PROVEEDORES[[#This Row],[descuento antes de IVA]])*PROVEEDORES[[#This Row],[Rete Fuente %]]</f>
        <v>0</v>
      </c>
      <c r="R1534" s="32">
        <f>+PROVEEDORES[[#This Row],[SUBTOTAL]]+PROVEEDORES[[#This Row],[IVA 19%]]-PROVEEDORES[[#This Row],[descuento antes de IVA]]-PROVEEDORES[[#This Row],[Descuento sobre subtotal $]]-PROVEEDORES[[#This Row],[Rete Fuente $]]</f>
        <v>1832695.2</v>
      </c>
      <c r="S1534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5" spans="1:19" ht="21.95" hidden="1" customHeight="1" x14ac:dyDescent="0.25">
      <c r="A1535" s="144" t="str">
        <f>+IF(PROVEEDORES[[#This Row],[FECHA DE PAGO]]=PROVEEDORES[[#This Row],[FECHA DE FACTURACIÓN]],"DE CONTADO","CRÉDITO")</f>
        <v>CRÉDITO</v>
      </c>
      <c r="B1535" s="70" t="b">
        <f>+IF((PROVEEDORES[[#This Row],[FECHA DE PAGO]]-PROVEEDORES[[#This Row],[FECHA DE FACTURACIÓN]])&gt;PROVEEDORES[[#This Row],[PLAZO Días]],"PAGO VENCIDO")</f>
        <v>0</v>
      </c>
      <c r="C1535" s="27">
        <f>+VLOOKUP(PROVEEDORES[[#This Row],[PROVEEDOR]],TERCEROS_INFO[#All],2,FALSE)</f>
        <v>45</v>
      </c>
      <c r="D1535" s="37">
        <f>+SUMIFS(PROVEEDORES[Total],PROVEEDORES[PROVEEDOR],PROVEEDORES[[#This Row],[PROVEEDOR]],PROVEEDORES[FECHA DE PAGO],"")</f>
        <v>12931968</v>
      </c>
      <c r="E1535" s="37"/>
      <c r="F1535" s="108" t="str">
        <f>+VLOOKUP(PROVEEDORES[[#This Row],[PROVEEDOR]],TERCEROS_INFO[[PROVEEDOR]:[CORREO]],5,FALSE)</f>
        <v>zully.florez@powest.com;girlesa.ruiz@servipilas.com;joriescobar64@gmail.com</v>
      </c>
      <c r="G1535" s="143">
        <v>44476</v>
      </c>
      <c r="H1535" s="38" t="s">
        <v>19</v>
      </c>
      <c r="I1535" s="30">
        <v>44438</v>
      </c>
      <c r="J1535" s="58" t="s">
        <v>838</v>
      </c>
      <c r="K1535" s="32">
        <v>4283520</v>
      </c>
      <c r="L1535" s="32"/>
      <c r="M1535" s="33">
        <f>(PROVEEDORES[[#This Row],[SUBTOTAL]]-PROVEEDORES[[#This Row],[descuento antes de IVA]])*VLOOKUP(PROVEEDORES[[#This Row],[PROVEEDOR]],TERCEROS_INFO[#All],3,FALSE)</f>
        <v>813868.8</v>
      </c>
      <c r="N1535" s="34"/>
      <c r="O1535" s="33">
        <f>+PROVEEDORES[[#This Row],[Descuento sobre subtotal %]]*(PROVEEDORES[[#This Row],[SUBTOTAL]]-PROVEEDORES[[#This Row],[descuento antes de IVA]])</f>
        <v>0</v>
      </c>
      <c r="P15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5" s="33">
        <f>+(PROVEEDORES[[#This Row],[SUBTOTAL]]-PROVEEDORES[[#This Row],[descuento antes de IVA]])*PROVEEDORES[[#This Row],[Rete Fuente %]]</f>
        <v>0</v>
      </c>
      <c r="R1535" s="32">
        <f>+PROVEEDORES[[#This Row],[SUBTOTAL]]+PROVEEDORES[[#This Row],[IVA 19%]]-PROVEEDORES[[#This Row],[descuento antes de IVA]]-PROVEEDORES[[#This Row],[Descuento sobre subtotal $]]-PROVEEDORES[[#This Row],[Rete Fuente $]]</f>
        <v>5097388.8</v>
      </c>
      <c r="S1535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6" spans="1:19" ht="21.95" hidden="1" customHeight="1" x14ac:dyDescent="0.25">
      <c r="A1536" s="147" t="str">
        <f>+IF(PROVEEDORES[[#This Row],[FECHA DE PAGO]]=PROVEEDORES[[#This Row],[FECHA DE FACTURACIÓN]],"DE CONTADO","CRÉDITO")</f>
        <v>CRÉDITO</v>
      </c>
      <c r="B1536" s="70" t="str">
        <f>+IF((PROVEEDORES[[#This Row],[FECHA DE PAGO]]-PROVEEDORES[[#This Row],[FECHA DE FACTURACIÓN]])&gt;PROVEEDORES[[#This Row],[PLAZO Días]],"PAGO VENCIDO")</f>
        <v>PAGO VENCIDO</v>
      </c>
      <c r="C1536" s="27">
        <f>+VLOOKUP(PROVEEDORES[[#This Row],[PROVEEDOR]],TERCEROS_INFO[#All],2,FALSE)</f>
        <v>45</v>
      </c>
      <c r="D1536" s="37">
        <f>+SUMIFS(PROVEEDORES[Total],PROVEEDORES[PROVEEDOR],PROVEEDORES[[#This Row],[PROVEEDOR]],PROVEEDORES[FECHA DE PAGO],"")</f>
        <v>12931968</v>
      </c>
      <c r="E1536" s="37"/>
      <c r="F1536" s="108" t="str">
        <f>+VLOOKUP(PROVEEDORES[[#This Row],[PROVEEDOR]],TERCEROS_INFO[[PROVEEDOR]:[CORREO]],5,FALSE)</f>
        <v>zully.florez@powest.com;girlesa.ruiz@servipilas.com;joriescobar64@gmail.com</v>
      </c>
      <c r="G1536" s="143">
        <v>44491</v>
      </c>
      <c r="H1536" s="38" t="s">
        <v>19</v>
      </c>
      <c r="I1536" s="30">
        <v>44441</v>
      </c>
      <c r="J1536" s="58" t="s">
        <v>851</v>
      </c>
      <c r="K1536" s="32">
        <v>10347345</v>
      </c>
      <c r="L1536" s="32"/>
      <c r="M1536" s="33">
        <f>(PROVEEDORES[[#This Row],[SUBTOTAL]]-PROVEEDORES[[#This Row],[descuento antes de IVA]])*VLOOKUP(PROVEEDORES[[#This Row],[PROVEEDOR]],TERCEROS_INFO[#All],3,FALSE)</f>
        <v>1965995.55</v>
      </c>
      <c r="N1536" s="34"/>
      <c r="O1536" s="33">
        <f>+PROVEEDORES[[#This Row],[Descuento sobre subtotal %]]*(PROVEEDORES[[#This Row],[SUBTOTAL]]-PROVEEDORES[[#This Row],[descuento antes de IVA]])</f>
        <v>0</v>
      </c>
      <c r="P15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6" s="33">
        <f>+(PROVEEDORES[[#This Row],[SUBTOTAL]]-PROVEEDORES[[#This Row],[descuento antes de IVA]])*PROVEEDORES[[#This Row],[Rete Fuente %]]</f>
        <v>0</v>
      </c>
      <c r="R1536" s="32">
        <f>+PROVEEDORES[[#This Row],[SUBTOTAL]]+PROVEEDORES[[#This Row],[IVA 19%]]-PROVEEDORES[[#This Row],[descuento antes de IVA]]-PROVEEDORES[[#This Row],[Descuento sobre subtotal $]]-PROVEEDORES[[#This Row],[Rete Fuente $]]</f>
        <v>12313340.550000001</v>
      </c>
      <c r="S1536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7" spans="1:19" ht="21.95" hidden="1" customHeight="1" x14ac:dyDescent="0.25">
      <c r="A1537" s="147" t="str">
        <f>+IF(PROVEEDORES[[#This Row],[FECHA DE PAGO]]=PROVEEDORES[[#This Row],[FECHA DE FACTURACIÓN]],"DE CONTADO","CRÉDITO")</f>
        <v>CRÉDITO</v>
      </c>
      <c r="B1537" s="70" t="str">
        <f>+IF((PROVEEDORES[[#This Row],[FECHA DE PAGO]]-PROVEEDORES[[#This Row],[FECHA DE FACTURACIÓN]])&gt;PROVEEDORES[[#This Row],[PLAZO Días]],"PAGO VENCIDO")</f>
        <v>PAGO VENCIDO</v>
      </c>
      <c r="C1537" s="27">
        <f>+VLOOKUP(PROVEEDORES[[#This Row],[PROVEEDOR]],TERCEROS_INFO[#All],2,FALSE)</f>
        <v>45</v>
      </c>
      <c r="D1537" s="37">
        <f>+SUMIFS(PROVEEDORES[Total],PROVEEDORES[PROVEEDOR],PROVEEDORES[[#This Row],[PROVEEDOR]],PROVEEDORES[FECHA DE PAGO],"")</f>
        <v>12931968</v>
      </c>
      <c r="E1537" s="37"/>
      <c r="F1537" s="108" t="str">
        <f>+VLOOKUP(PROVEEDORES[[#This Row],[PROVEEDOR]],TERCEROS_INFO[[PROVEEDOR]:[CORREO]],5,FALSE)</f>
        <v>zully.florez@powest.com;girlesa.ruiz@servipilas.com;joriescobar64@gmail.com</v>
      </c>
      <c r="G1537" s="143">
        <v>44498</v>
      </c>
      <c r="H1537" s="38" t="s">
        <v>19</v>
      </c>
      <c r="I1537" s="30">
        <v>44441</v>
      </c>
      <c r="J1537" s="58" t="s">
        <v>852</v>
      </c>
      <c r="K1537" s="32">
        <v>708480</v>
      </c>
      <c r="L1537" s="32"/>
      <c r="M1537" s="33">
        <f>(PROVEEDORES[[#This Row],[SUBTOTAL]]-PROVEEDORES[[#This Row],[descuento antes de IVA]])*VLOOKUP(PROVEEDORES[[#This Row],[PROVEEDOR]],TERCEROS_INFO[#All],3,FALSE)</f>
        <v>134611.20000000001</v>
      </c>
      <c r="N1537" s="34"/>
      <c r="O1537" s="33">
        <f>+PROVEEDORES[[#This Row],[Descuento sobre subtotal %]]*(PROVEEDORES[[#This Row],[SUBTOTAL]]-PROVEEDORES[[#This Row],[descuento antes de IVA]])</f>
        <v>0</v>
      </c>
      <c r="P15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7" s="33">
        <f>+(PROVEEDORES[[#This Row],[SUBTOTAL]]-PROVEEDORES[[#This Row],[descuento antes de IVA]])*PROVEEDORES[[#This Row],[Rete Fuente %]]</f>
        <v>0</v>
      </c>
      <c r="R1537" s="32">
        <f>+PROVEEDORES[[#This Row],[SUBTOTAL]]+PROVEEDORES[[#This Row],[IVA 19%]]-PROVEEDORES[[#This Row],[descuento antes de IVA]]-PROVEEDORES[[#This Row],[Descuento sobre subtotal $]]-PROVEEDORES[[#This Row],[Rete Fuente $]]</f>
        <v>843091.2</v>
      </c>
      <c r="S1537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8" spans="1:19" ht="21.95" hidden="1" customHeight="1" x14ac:dyDescent="0.25">
      <c r="A1538" s="153" t="str">
        <f>+IF(PROVEEDORES[[#This Row],[FECHA DE PAGO]]=PROVEEDORES[[#This Row],[FECHA DE FACTURACIÓN]],"DE CONTADO","CRÉDITO")</f>
        <v>CRÉDITO</v>
      </c>
      <c r="B1538" s="70" t="str">
        <f>+IF((PROVEEDORES[[#This Row],[FECHA DE PAGO]]-PROVEEDORES[[#This Row],[FECHA DE FACTURACIÓN]])&gt;PROVEEDORES[[#This Row],[PLAZO Días]],"PAGO VENCIDO")</f>
        <v>PAGO VENCIDO</v>
      </c>
      <c r="C1538" s="27">
        <f>+VLOOKUP(PROVEEDORES[[#This Row],[PROVEEDOR]],TERCEROS_INFO[#All],2,FALSE)</f>
        <v>45</v>
      </c>
      <c r="D1538" s="37">
        <f>+SUMIFS(PROVEEDORES[Total],PROVEEDORES[PROVEEDOR],PROVEEDORES[[#This Row],[PROVEEDOR]],PROVEEDORES[FECHA DE PAGO],"")</f>
        <v>12931968</v>
      </c>
      <c r="E1538" s="37"/>
      <c r="F1538" s="108" t="str">
        <f>+VLOOKUP(PROVEEDORES[[#This Row],[PROVEEDOR]],TERCEROS_INFO[[PROVEEDOR]:[CORREO]],5,FALSE)</f>
        <v>zully.florez@powest.com;girlesa.ruiz@servipilas.com;joriescobar64@gmail.com</v>
      </c>
      <c r="G1538" s="143">
        <v>44523</v>
      </c>
      <c r="H1538" s="38" t="s">
        <v>19</v>
      </c>
      <c r="I1538" s="30">
        <v>44460</v>
      </c>
      <c r="J1538" s="58" t="s">
        <v>868</v>
      </c>
      <c r="K1538" s="32">
        <v>3429810</v>
      </c>
      <c r="L1538" s="32"/>
      <c r="M1538" s="33">
        <f>(PROVEEDORES[[#This Row],[SUBTOTAL]]-PROVEEDORES[[#This Row],[descuento antes de IVA]])*VLOOKUP(PROVEEDORES[[#This Row],[PROVEEDOR]],TERCEROS_INFO[#All],3,FALSE)</f>
        <v>651663.9</v>
      </c>
      <c r="N1538" s="34"/>
      <c r="O1538" s="33">
        <f>+PROVEEDORES[[#This Row],[Descuento sobre subtotal %]]*(PROVEEDORES[[#This Row],[SUBTOTAL]]-PROVEEDORES[[#This Row],[descuento antes de IVA]])</f>
        <v>0</v>
      </c>
      <c r="P15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8" s="33">
        <f>+(PROVEEDORES[[#This Row],[SUBTOTAL]]-PROVEEDORES[[#This Row],[descuento antes de IVA]])*PROVEEDORES[[#This Row],[Rete Fuente %]]</f>
        <v>0</v>
      </c>
      <c r="R1538" s="32">
        <f>+PROVEEDORES[[#This Row],[SUBTOTAL]]+PROVEEDORES[[#This Row],[IVA 19%]]-PROVEEDORES[[#This Row],[descuento antes de IVA]]-PROVEEDORES[[#This Row],[Descuento sobre subtotal $]]-PROVEEDORES[[#This Row],[Rete Fuente $]]</f>
        <v>4081473.9</v>
      </c>
      <c r="S1538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39" spans="1:19" ht="21.95" hidden="1" customHeight="1" x14ac:dyDescent="0.25">
      <c r="A1539" s="154" t="str">
        <f>+IF(PROVEEDORES[[#This Row],[FECHA DE PAGO]]=PROVEEDORES[[#This Row],[FECHA DE FACTURACIÓN]],"DE CONTADO","CRÉDITO")</f>
        <v>CRÉDITO</v>
      </c>
      <c r="B1539" s="70" t="str">
        <f>+IF((PROVEEDORES[[#This Row],[FECHA DE PAGO]]-PROVEEDORES[[#This Row],[FECHA DE FACTURACIÓN]])&gt;PROVEEDORES[[#This Row],[PLAZO Días]],"PAGO VENCIDO")</f>
        <v>PAGO VENCIDO</v>
      </c>
      <c r="C1539" s="27">
        <f>+VLOOKUP(PROVEEDORES[[#This Row],[PROVEEDOR]],TERCEROS_INFO[#All],2,FALSE)</f>
        <v>45</v>
      </c>
      <c r="D1539" s="37">
        <f>+SUMIFS(PROVEEDORES[Total],PROVEEDORES[PROVEEDOR],PROVEEDORES[[#This Row],[PROVEEDOR]],PROVEEDORES[FECHA DE PAGO],"")</f>
        <v>12931968</v>
      </c>
      <c r="E1539" s="37"/>
      <c r="F1539" s="108" t="str">
        <f>+VLOOKUP(PROVEEDORES[[#This Row],[PROVEEDOR]],TERCEROS_INFO[[PROVEEDOR]:[CORREO]],5,FALSE)</f>
        <v>zully.florez@powest.com;girlesa.ruiz@servipilas.com;joriescobar64@gmail.com</v>
      </c>
      <c r="G1539" s="143">
        <v>44523</v>
      </c>
      <c r="H1539" s="38" t="s">
        <v>19</v>
      </c>
      <c r="I1539" s="30">
        <v>44469</v>
      </c>
      <c r="J1539" s="58" t="s">
        <v>877</v>
      </c>
      <c r="K1539" s="32">
        <v>10316800</v>
      </c>
      <c r="L1539" s="32"/>
      <c r="M1539" s="33">
        <f>(PROVEEDORES[[#This Row],[SUBTOTAL]]-PROVEEDORES[[#This Row],[descuento antes de IVA]])*VLOOKUP(PROVEEDORES[[#This Row],[PROVEEDOR]],TERCEROS_INFO[#All],3,FALSE)</f>
        <v>1960192</v>
      </c>
      <c r="N1539" s="34"/>
      <c r="O1539" s="33">
        <f>+PROVEEDORES[[#This Row],[Descuento sobre subtotal %]]*(PROVEEDORES[[#This Row],[SUBTOTAL]]-PROVEEDORES[[#This Row],[descuento antes de IVA]])</f>
        <v>0</v>
      </c>
      <c r="P15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39" s="33">
        <f>+(PROVEEDORES[[#This Row],[SUBTOTAL]]-PROVEEDORES[[#This Row],[descuento antes de IVA]])*PROVEEDORES[[#This Row],[Rete Fuente %]]</f>
        <v>0</v>
      </c>
      <c r="R1539" s="32">
        <f>+PROVEEDORES[[#This Row],[SUBTOTAL]]+PROVEEDORES[[#This Row],[IVA 19%]]-PROVEEDORES[[#This Row],[descuento antes de IVA]]-PROVEEDORES[[#This Row],[Descuento sobre subtotal $]]-PROVEEDORES[[#This Row],[Rete Fuente $]]</f>
        <v>12276992</v>
      </c>
      <c r="S1539" s="15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40" spans="1:19" ht="21.95" hidden="1" customHeight="1" x14ac:dyDescent="0.25">
      <c r="A1540" s="156" t="str">
        <f>+IF(PROVEEDORES[[#This Row],[FECHA DE PAGO]]=PROVEEDORES[[#This Row],[FECHA DE FACTURACIÓN]],"DE CONTADO","CRÉDITO")</f>
        <v>CRÉDITO</v>
      </c>
      <c r="B1540" s="70" t="str">
        <f>+IF((PROVEEDORES[[#This Row],[FECHA DE PAGO]]-PROVEEDORES[[#This Row],[FECHA DE FACTURACIÓN]])&gt;PROVEEDORES[[#This Row],[PLAZO Días]],"PAGO VENCIDO")</f>
        <v>PAGO VENCIDO</v>
      </c>
      <c r="C1540" s="27">
        <f>+VLOOKUP(PROVEEDORES[[#This Row],[PROVEEDOR]],TERCEROS_INFO[#All],2,FALSE)</f>
        <v>45</v>
      </c>
      <c r="D1540" s="37">
        <f>+SUMIFS(PROVEEDORES[Total],PROVEEDORES[PROVEEDOR],PROVEEDORES[[#This Row],[PROVEEDOR]],PROVEEDORES[FECHA DE PAGO],"")</f>
        <v>12931968</v>
      </c>
      <c r="E1540" s="37"/>
      <c r="F1540" s="108" t="str">
        <f>+VLOOKUP(PROVEEDORES[[#This Row],[PROVEEDOR]],TERCEROS_INFO[[PROVEEDOR]:[CORREO]],5,FALSE)</f>
        <v>zully.florez@powest.com;girlesa.ruiz@servipilas.com;joriescobar64@gmail.com</v>
      </c>
      <c r="G1540" s="143">
        <v>44537</v>
      </c>
      <c r="H1540" s="38" t="s">
        <v>19</v>
      </c>
      <c r="I1540" s="30">
        <v>44481</v>
      </c>
      <c r="J1540" s="58" t="s">
        <v>891</v>
      </c>
      <c r="K1540" s="32">
        <v>2475375</v>
      </c>
      <c r="L1540" s="32"/>
      <c r="M1540" s="33">
        <f>(PROVEEDORES[[#This Row],[SUBTOTAL]]-PROVEEDORES[[#This Row],[descuento antes de IVA]])*VLOOKUP(PROVEEDORES[[#This Row],[PROVEEDOR]],TERCEROS_INFO[#All],3,FALSE)</f>
        <v>470321.25</v>
      </c>
      <c r="N1540" s="34"/>
      <c r="O1540" s="33">
        <f>+PROVEEDORES[[#This Row],[Descuento sobre subtotal %]]*(PROVEEDORES[[#This Row],[SUBTOTAL]]-PROVEEDORES[[#This Row],[descuento antes de IVA]])</f>
        <v>0</v>
      </c>
      <c r="P15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40" s="33">
        <f>+(PROVEEDORES[[#This Row],[SUBTOTAL]]-PROVEEDORES[[#This Row],[descuento antes de IVA]])*PROVEEDORES[[#This Row],[Rete Fuente %]]</f>
        <v>0</v>
      </c>
      <c r="R1540" s="32">
        <f>+PROVEEDORES[[#This Row],[SUBTOTAL]]+PROVEEDORES[[#This Row],[IVA 19%]]-PROVEEDORES[[#This Row],[descuento antes de IVA]]-PROVEEDORES[[#This Row],[Descuento sobre subtotal $]]-PROVEEDORES[[#This Row],[Rete Fuente $]]</f>
        <v>2945696.25</v>
      </c>
      <c r="S1540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41" spans="1:19" ht="21.95" hidden="1" customHeight="1" x14ac:dyDescent="0.25">
      <c r="A1541" s="169" t="str">
        <f>+IF(PROVEEDORES[[#This Row],[FECHA DE PAGO]]=PROVEEDORES[[#This Row],[FECHA DE FACTURACIÓN]],"DE CONTADO","CRÉDITO")</f>
        <v>CRÉDITO</v>
      </c>
      <c r="B1541" s="70" t="b">
        <f>+IF((PROVEEDORES[[#This Row],[FECHA DE PAGO]]-PROVEEDORES[[#This Row],[FECHA DE FACTURACIÓN]])&gt;PROVEEDORES[[#This Row],[PLAZO Días]],"PAGO VENCIDO")</f>
        <v>0</v>
      </c>
      <c r="C1541" s="27">
        <f>+VLOOKUP(PROVEEDORES[[#This Row],[PROVEEDOR]],TERCEROS_INFO[#All],2,FALSE)</f>
        <v>45</v>
      </c>
      <c r="D1541" s="37">
        <f>+SUMIFS(PROVEEDORES[Total],PROVEEDORES[PROVEEDOR],PROVEEDORES[[#This Row],[PROVEEDOR]],PROVEEDORES[FECHA DE PAGO],"")</f>
        <v>12931968</v>
      </c>
      <c r="E1541" s="37"/>
      <c r="F1541" s="108" t="str">
        <f>+VLOOKUP(PROVEEDORES[[#This Row],[PROVEEDOR]],TERCEROS_INFO[[PROVEEDOR]:[CORREO]],5,FALSE)</f>
        <v>zully.florez@powest.com;girlesa.ruiz@servipilas.com;joriescobar64@gmail.com</v>
      </c>
      <c r="H1541" s="38" t="s">
        <v>19</v>
      </c>
      <c r="I1541" s="30">
        <v>44551</v>
      </c>
      <c r="J1541" s="58" t="s">
        <v>1336</v>
      </c>
      <c r="K1541" s="32">
        <v>10867200</v>
      </c>
      <c r="L1541" s="32"/>
      <c r="M1541" s="33">
        <f>(PROVEEDORES[[#This Row],[SUBTOTAL]]-PROVEEDORES[[#This Row],[descuento antes de IVA]])*VLOOKUP(PROVEEDORES[[#This Row],[PROVEEDOR]],TERCEROS_INFO[#All],3,FALSE)</f>
        <v>2064768</v>
      </c>
      <c r="N1541" s="34"/>
      <c r="O1541" s="33">
        <f>+PROVEEDORES[[#This Row],[Descuento sobre subtotal %]]*(PROVEEDORES[[#This Row],[SUBTOTAL]]-PROVEEDORES[[#This Row],[descuento antes de IVA]])</f>
        <v>0</v>
      </c>
      <c r="P15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41" s="33">
        <f>+(PROVEEDORES[[#This Row],[SUBTOTAL]]-PROVEEDORES[[#This Row],[descuento antes de IVA]])*PROVEEDORES[[#This Row],[Rete Fuente %]]</f>
        <v>0</v>
      </c>
      <c r="R1541" s="32">
        <f>+PROVEEDORES[[#This Row],[SUBTOTAL]]+PROVEEDORES[[#This Row],[IVA 19%]]-PROVEEDORES[[#This Row],[descuento antes de IVA]]-PROVEEDORES[[#This Row],[Descuento sobre subtotal $]]-PROVEEDORES[[#This Row],[Rete Fuente $]]</f>
        <v>12931968</v>
      </c>
      <c r="S1541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542" spans="1:19" ht="21.95" customHeight="1" x14ac:dyDescent="0.25">
      <c r="A1542" s="39" t="str">
        <f>+IF(PROVEEDORES[[#This Row],[FECHA DE PAGO]]=PROVEEDORES[[#This Row],[FECHA DE FACTURACIÓN]],"DE CONTADO","CRÉDITO")</f>
        <v>CRÉDITO</v>
      </c>
      <c r="B1542" s="67" t="b">
        <f>+IF((PROVEEDORES[[#This Row],[FECHA DE PAGO]]-PROVEEDORES[[#This Row],[FECHA DE FACTURACIÓN]])&gt;PROVEEDORES[[#This Row],[PLAZO Días]],"PAGO VENCIDO")</f>
        <v>0</v>
      </c>
      <c r="C1542" s="27">
        <f>+VLOOKUP(PROVEEDORES[[#This Row],[PROVEEDOR]],TERCEROS_INFO[#All],2,FALSE)</f>
        <v>30</v>
      </c>
      <c r="D1542" s="37">
        <f>+SUMIFS(PROVEEDORES[Total],PROVEEDORES[PROVEEDOR],PROVEEDORES[[#This Row],[PROVEEDOR]],PROVEEDORES[FECHA DE PAGO],"")</f>
        <v>0</v>
      </c>
      <c r="E1542" s="37" t="s">
        <v>366</v>
      </c>
      <c r="F1542" s="108" t="str">
        <f>+VLOOKUP(PROVEEDORES[[#This Row],[PROVEEDOR]],TERCEROS_INFO[[PROVEEDOR]:[CORREO]],5,FALSE)</f>
        <v/>
      </c>
      <c r="G1542" s="143">
        <v>43847</v>
      </c>
      <c r="H1542" s="38" t="s">
        <v>48</v>
      </c>
      <c r="I1542" s="30">
        <v>43846</v>
      </c>
      <c r="J1542" s="58" t="s">
        <v>1029</v>
      </c>
      <c r="K1542" s="32">
        <v>4881189.0756302522</v>
      </c>
      <c r="L1542" s="32"/>
      <c r="M1542" s="33">
        <f>(PROVEEDORES[[#This Row],[SUBTOTAL]]-PROVEEDORES[[#This Row],[descuento antes de IVA]])*VLOOKUP(PROVEEDORES[[#This Row],[PROVEEDOR]],TERCEROS_INFO[#All],3,FALSE)</f>
        <v>927425.92436974798</v>
      </c>
      <c r="N1542" s="34"/>
      <c r="O1542" s="33">
        <f>+PROVEEDORES[[#This Row],[Descuento sobre subtotal %]]*(PROVEEDORES[[#This Row],[SUBTOTAL]]-PROVEEDORES[[#This Row],[descuento antes de IVA]])</f>
        <v>0</v>
      </c>
      <c r="P15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542" s="33">
        <f>+(PROVEEDORES[[#This Row],[SUBTOTAL]]-PROVEEDORES[[#This Row],[descuento antes de IVA]])*PROVEEDORES[[#This Row],[Rete Fuente %]]</f>
        <v>170841.61764705885</v>
      </c>
      <c r="R1542" s="32">
        <f>+PROVEEDORES[[#This Row],[SUBTOTAL]]+PROVEEDORES[[#This Row],[IVA 19%]]-PROVEEDORES[[#This Row],[descuento antes de IVA]]-PROVEEDORES[[#This Row],[Descuento sobre subtotal $]]-PROVEEDORES[[#This Row],[Rete Fuente $]]</f>
        <v>5637773.3823529407</v>
      </c>
      <c r="S15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43" spans="1:19" ht="21.95" customHeight="1" x14ac:dyDescent="0.25">
      <c r="A1543" s="39" t="str">
        <f>+IF(PROVEEDORES[[#This Row],[FECHA DE PAGO]]=PROVEEDORES[[#This Row],[FECHA DE FACTURACIÓN]],"DE CONTADO","CRÉDITO")</f>
        <v>CRÉDITO</v>
      </c>
      <c r="B1543" s="67" t="b">
        <f>+IF((PROVEEDORES[[#This Row],[FECHA DE PAGO]]-PROVEEDORES[[#This Row],[FECHA DE FACTURACIÓN]])&gt;PROVEEDORES[[#This Row],[PLAZO Días]],"PAGO VENCIDO")</f>
        <v>0</v>
      </c>
      <c r="C1543" s="27">
        <f>+VLOOKUP(PROVEEDORES[[#This Row],[PROVEEDOR]],TERCEROS_INFO[#All],2,FALSE)</f>
        <v>30</v>
      </c>
      <c r="D1543" s="37">
        <f>+SUMIFS(PROVEEDORES[Total],PROVEEDORES[PROVEEDOR],PROVEEDORES[[#This Row],[PROVEEDOR]],PROVEEDORES[FECHA DE PAGO],"")</f>
        <v>0</v>
      </c>
      <c r="E1543" s="37"/>
      <c r="F1543" s="108" t="str">
        <f>+VLOOKUP(PROVEEDORES[[#This Row],[PROVEEDOR]],TERCEROS_INFO[[PROVEEDOR]:[CORREO]],5,FALSE)</f>
        <v/>
      </c>
      <c r="G1543" s="143">
        <v>43895</v>
      </c>
      <c r="H1543" s="38" t="s">
        <v>49</v>
      </c>
      <c r="I1543" s="30">
        <v>43894</v>
      </c>
      <c r="J1543" s="58" t="s">
        <v>1029</v>
      </c>
      <c r="K1543" s="32">
        <v>1105000</v>
      </c>
      <c r="L1543" s="32"/>
      <c r="M1543" s="33">
        <f>(PROVEEDORES[[#This Row],[SUBTOTAL]]-PROVEEDORES[[#This Row],[descuento antes de IVA]])*VLOOKUP(PROVEEDORES[[#This Row],[PROVEEDOR]],TERCEROS_INFO[#All],3,FALSE)</f>
        <v>209950</v>
      </c>
      <c r="N1543" s="34"/>
      <c r="O1543" s="33">
        <f>+PROVEEDORES[[#This Row],[Descuento sobre subtotal %]]*(PROVEEDORES[[#This Row],[SUBTOTAL]]-PROVEEDORES[[#This Row],[descuento antes de IVA]])</f>
        <v>0</v>
      </c>
      <c r="P15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543" s="33">
        <f>+(PROVEEDORES[[#This Row],[SUBTOTAL]]-PROVEEDORES[[#This Row],[descuento antes de IVA]])*PROVEEDORES[[#This Row],[Rete Fuente %]]</f>
        <v>38675.000000000007</v>
      </c>
      <c r="R1543" s="32">
        <f>+PROVEEDORES[[#This Row],[SUBTOTAL]]+PROVEEDORES[[#This Row],[IVA 19%]]-PROVEEDORES[[#This Row],[descuento antes de IVA]]-PROVEEDORES[[#This Row],[Descuento sobre subtotal $]]-PROVEEDORES[[#This Row],[Rete Fuente $]]</f>
        <v>1276275</v>
      </c>
      <c r="S15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44" spans="1:19" ht="21.95" customHeight="1" x14ac:dyDescent="0.25">
      <c r="A1544" s="39" t="str">
        <f>+IF(PROVEEDORES[[#This Row],[FECHA DE PAGO]]=PROVEEDORES[[#This Row],[FECHA DE FACTURACIÓN]],"DE CONTADO","CRÉDITO")</f>
        <v>CRÉDITO</v>
      </c>
      <c r="B1544" s="67" t="b">
        <f>+IF((PROVEEDORES[[#This Row],[FECHA DE PAGO]]-PROVEEDORES[[#This Row],[FECHA DE FACTURACIÓN]])&gt;PROVEEDORES[[#This Row],[PLAZO Días]],"PAGO VENCIDO")</f>
        <v>0</v>
      </c>
      <c r="C1544" s="27">
        <f>+VLOOKUP(PROVEEDORES[[#This Row],[PROVEEDOR]],TERCEROS_INFO[#All],2,FALSE)</f>
        <v>30</v>
      </c>
      <c r="D1544" s="37">
        <f>+SUMIFS(PROVEEDORES[Total],PROVEEDORES[PROVEEDOR],PROVEEDORES[[#This Row],[PROVEEDOR]],PROVEEDORES[FECHA DE PAGO],"")</f>
        <v>0</v>
      </c>
      <c r="E1544" s="37" t="s">
        <v>367</v>
      </c>
      <c r="F1544" s="108" t="str">
        <f>+VLOOKUP(PROVEEDORES[[#This Row],[PROVEEDOR]],TERCEROS_INFO[[PROVEEDOR]:[CORREO]],5,FALSE)</f>
        <v/>
      </c>
      <c r="G1544" s="143">
        <v>43903</v>
      </c>
      <c r="H1544" s="38" t="s">
        <v>48</v>
      </c>
      <c r="I1544" s="30">
        <v>43889</v>
      </c>
      <c r="J1544" s="58">
        <v>2389</v>
      </c>
      <c r="K1544" s="32">
        <v>-155931.93277310926</v>
      </c>
      <c r="L1544" s="32"/>
      <c r="M1544" s="33">
        <f>(PROVEEDORES[[#This Row],[SUBTOTAL]]-PROVEEDORES[[#This Row],[descuento antes de IVA]])*VLOOKUP(PROVEEDORES[[#This Row],[PROVEEDOR]],TERCEROS_INFO[#All],3,FALSE)</f>
        <v>-29627.067226890762</v>
      </c>
      <c r="N1544" s="34"/>
      <c r="O1544" s="33">
        <f>+PROVEEDORES[[#This Row],[Descuento sobre subtotal %]]*(PROVEEDORES[[#This Row],[SUBTOTAL]]-PROVEEDORES[[#This Row],[descuento antes de IVA]])</f>
        <v>0</v>
      </c>
      <c r="P15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44" s="33">
        <f>+(PROVEEDORES[[#This Row],[SUBTOTAL]]-PROVEEDORES[[#This Row],[descuento antes de IVA]])*PROVEEDORES[[#This Row],[Rete Fuente %]]</f>
        <v>0</v>
      </c>
      <c r="R1544" s="32">
        <f>+PROVEEDORES[[#This Row],[SUBTOTAL]]+PROVEEDORES[[#This Row],[IVA 19%]]-PROVEEDORES[[#This Row],[descuento antes de IVA]]-PROVEEDORES[[#This Row],[Descuento sobre subtotal $]]-PROVEEDORES[[#This Row],[Rete Fuente $]]</f>
        <v>-185559.00000000003</v>
      </c>
      <c r="S15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45" spans="1:19" ht="21.95" customHeight="1" x14ac:dyDescent="0.25">
      <c r="A1545" s="39" t="str">
        <f>+IF(PROVEEDORES[[#This Row],[FECHA DE PAGO]]=PROVEEDORES[[#This Row],[FECHA DE FACTURACIÓN]],"DE CONTADO","CRÉDITO")</f>
        <v>CRÉDITO</v>
      </c>
      <c r="B1545" s="67" t="b">
        <f>+IF((PROVEEDORES[[#This Row],[FECHA DE PAGO]]-PROVEEDORES[[#This Row],[FECHA DE FACTURACIÓN]])&gt;PROVEEDORES[[#This Row],[PLAZO Días]],"PAGO VENCIDO")</f>
        <v>0</v>
      </c>
      <c r="C1545" s="27">
        <f>+VLOOKUP(PROVEEDORES[[#This Row],[PROVEEDOR]],TERCEROS_INFO[#All],2,FALSE)</f>
        <v>30</v>
      </c>
      <c r="D1545" s="37">
        <f>+SUMIFS(PROVEEDORES[Total],PROVEEDORES[PROVEEDOR],PROVEEDORES[[#This Row],[PROVEEDOR]],PROVEEDORES[FECHA DE PAGO],"")</f>
        <v>0</v>
      </c>
      <c r="E1545" s="37" t="s">
        <v>362</v>
      </c>
      <c r="F1545" s="108" t="str">
        <f>+VLOOKUP(PROVEEDORES[[#This Row],[PROVEEDOR]],TERCEROS_INFO[[PROVEEDOR]:[CORREO]],5,FALSE)</f>
        <v/>
      </c>
      <c r="G1545" s="143">
        <v>43921</v>
      </c>
      <c r="H1545" s="38" t="s">
        <v>60</v>
      </c>
      <c r="I1545" s="30">
        <v>43920</v>
      </c>
      <c r="J1545" s="58" t="s">
        <v>1029</v>
      </c>
      <c r="K1545" s="32">
        <v>1043269.7478991597</v>
      </c>
      <c r="L1545" s="32"/>
      <c r="M1545" s="33">
        <f>(PROVEEDORES[[#This Row],[SUBTOTAL]]-PROVEEDORES[[#This Row],[descuento antes de IVA]])*VLOOKUP(PROVEEDORES[[#This Row],[PROVEEDOR]],TERCEROS_INFO[#All],3,FALSE)</f>
        <v>198221.25210084033</v>
      </c>
      <c r="N1545" s="34"/>
      <c r="O1545" s="33">
        <f>+PROVEEDORES[[#This Row],[Descuento sobre subtotal %]]*(PROVEEDORES[[#This Row],[SUBTOTAL]]-PROVEEDORES[[#This Row],[descuento antes de IVA]])</f>
        <v>0</v>
      </c>
      <c r="P15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545" s="33">
        <f>+(PROVEEDORES[[#This Row],[SUBTOTAL]]-PROVEEDORES[[#This Row],[descuento antes de IVA]])*PROVEEDORES[[#This Row],[Rete Fuente %]]</f>
        <v>36514.441176470595</v>
      </c>
      <c r="R1545" s="32">
        <f>+PROVEEDORES[[#This Row],[SUBTOTAL]]+PROVEEDORES[[#This Row],[IVA 19%]]-PROVEEDORES[[#This Row],[descuento antes de IVA]]-PROVEEDORES[[#This Row],[Descuento sobre subtotal $]]-PROVEEDORES[[#This Row],[Rete Fuente $]]</f>
        <v>1204976.5588235294</v>
      </c>
      <c r="S15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46" spans="1:19" ht="21.95" customHeight="1" x14ac:dyDescent="0.25">
      <c r="A1546" s="39" t="str">
        <f>+IF(PROVEEDORES[[#This Row],[FECHA DE PAGO]]=PROVEEDORES[[#This Row],[FECHA DE FACTURACIÓN]],"DE CONTADO","CRÉDITO")</f>
        <v>CRÉDITO</v>
      </c>
      <c r="B1546" s="67" t="b">
        <f>+IF((PROVEEDORES[[#This Row],[FECHA DE PAGO]]-PROVEEDORES[[#This Row],[FECHA DE FACTURACIÓN]])&gt;PROVEEDORES[[#This Row],[PLAZO Días]],"PAGO VENCIDO")</f>
        <v>0</v>
      </c>
      <c r="C1546" s="27">
        <f>+VLOOKUP(PROVEEDORES[[#This Row],[PROVEEDOR]],TERCEROS_INFO[#All],2,FALSE)</f>
        <v>30</v>
      </c>
      <c r="D1546" s="37">
        <f>+SUMIFS(PROVEEDORES[Total],PROVEEDORES[PROVEEDOR],PROVEEDORES[[#This Row],[PROVEEDOR]],PROVEEDORES[FECHA DE PAGO],"")</f>
        <v>0</v>
      </c>
      <c r="E1546" s="37"/>
      <c r="F1546" s="108" t="str">
        <f>+VLOOKUP(PROVEEDORES[[#This Row],[PROVEEDOR]],TERCEROS_INFO[[PROVEEDOR]:[CORREO]],5,FALSE)</f>
        <v/>
      </c>
      <c r="G1546" s="143">
        <v>43995</v>
      </c>
      <c r="H1546" s="38" t="s">
        <v>77</v>
      </c>
      <c r="I1546" s="30">
        <v>43994</v>
      </c>
      <c r="J1546" s="58" t="s">
        <v>1066</v>
      </c>
      <c r="K1546" s="32">
        <v>1166547.8991596638</v>
      </c>
      <c r="L1546" s="32"/>
      <c r="M1546" s="33">
        <f>(PROVEEDORES[[#This Row],[SUBTOTAL]]-PROVEEDORES[[#This Row],[descuento antes de IVA]])*VLOOKUP(PROVEEDORES[[#This Row],[PROVEEDOR]],TERCEROS_INFO[#All],3,FALSE)</f>
        <v>221644.10084033612</v>
      </c>
      <c r="N1546" s="34"/>
      <c r="O1546" s="33">
        <f>+PROVEEDORES[[#This Row],[Descuento sobre subtotal %]]*(PROVEEDORES[[#This Row],[SUBTOTAL]]-PROVEEDORES[[#This Row],[descuento antes de IVA]])</f>
        <v>0</v>
      </c>
      <c r="P15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546" s="33">
        <f>+(PROVEEDORES[[#This Row],[SUBTOTAL]]-PROVEEDORES[[#This Row],[descuento antes de IVA]])*PROVEEDORES[[#This Row],[Rete Fuente %]]</f>
        <v>40829.176470588238</v>
      </c>
      <c r="R1546" s="32">
        <f>+PROVEEDORES[[#This Row],[SUBTOTAL]]+PROVEEDORES[[#This Row],[IVA 19%]]-PROVEEDORES[[#This Row],[descuento antes de IVA]]-PROVEEDORES[[#This Row],[Descuento sobre subtotal $]]-PROVEEDORES[[#This Row],[Rete Fuente $]]</f>
        <v>1347362.8235294118</v>
      </c>
      <c r="S15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47" spans="1:19" ht="21.95" customHeight="1" x14ac:dyDescent="0.25">
      <c r="A1547" s="39" t="str">
        <f>+IF(PROVEEDORES[[#This Row],[FECHA DE PAGO]]=PROVEEDORES[[#This Row],[FECHA DE FACTURACIÓN]],"DE CONTADO","CRÉDITO")</f>
        <v>CRÉDITO</v>
      </c>
      <c r="B1547" s="67" t="b">
        <f>+IF((PROVEEDORES[[#This Row],[FECHA DE PAGO]]-PROVEEDORES[[#This Row],[FECHA DE FACTURACIÓN]])&gt;PROVEEDORES[[#This Row],[PLAZO Días]],"PAGO VENCIDO")</f>
        <v>0</v>
      </c>
      <c r="C1547" s="27">
        <f>+VLOOKUP(PROVEEDORES[[#This Row],[PROVEEDOR]],TERCEROS_INFO[#All],2,FALSE)</f>
        <v>30</v>
      </c>
      <c r="D1547" s="37">
        <f>+SUMIFS(PROVEEDORES[Total],PROVEEDORES[PROVEEDOR],PROVEEDORES[[#This Row],[PROVEEDOR]],PROVEEDORES[FECHA DE PAGO],"")</f>
        <v>0</v>
      </c>
      <c r="E1547" s="37"/>
      <c r="F1547" s="108" t="str">
        <f>+VLOOKUP(PROVEEDORES[[#This Row],[PROVEEDOR]],TERCEROS_INFO[[PROVEEDOR]:[CORREO]],5,FALSE)</f>
        <v/>
      </c>
      <c r="G1547" s="143">
        <v>44019</v>
      </c>
      <c r="H1547" s="38" t="s">
        <v>27</v>
      </c>
      <c r="I1547" s="30">
        <v>44018</v>
      </c>
      <c r="J1547" s="58" t="s">
        <v>47</v>
      </c>
      <c r="K1547" s="32">
        <v>481002.52100840339</v>
      </c>
      <c r="L1547" s="32"/>
      <c r="M1547" s="33">
        <f>(PROVEEDORES[[#This Row],[SUBTOTAL]]-PROVEEDORES[[#This Row],[descuento antes de IVA]])*VLOOKUP(PROVEEDORES[[#This Row],[PROVEEDOR]],TERCEROS_INFO[#All],3,FALSE)</f>
        <v>91390.478991596639</v>
      </c>
      <c r="N1547" s="34"/>
      <c r="O1547" s="33">
        <f>+PROVEEDORES[[#This Row],[Descuento sobre subtotal %]]*(PROVEEDORES[[#This Row],[SUBTOTAL]]-PROVEEDORES[[#This Row],[descuento antes de IVA]])</f>
        <v>0</v>
      </c>
      <c r="P15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47" s="33">
        <f>+(PROVEEDORES[[#This Row],[SUBTOTAL]]-PROVEEDORES[[#This Row],[descuento antes de IVA]])*PROVEEDORES[[#This Row],[Rete Fuente %]]</f>
        <v>0</v>
      </c>
      <c r="R1547" s="32">
        <f>+PROVEEDORES[[#This Row],[SUBTOTAL]]+PROVEEDORES[[#This Row],[IVA 19%]]-PROVEEDORES[[#This Row],[descuento antes de IVA]]-PROVEEDORES[[#This Row],[Descuento sobre subtotal $]]-PROVEEDORES[[#This Row],[Rete Fuente $]]</f>
        <v>572393</v>
      </c>
      <c r="S15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48" spans="1:19" ht="21.95" customHeight="1" x14ac:dyDescent="0.25">
      <c r="A1548" s="39" t="str">
        <f>+IF(PROVEEDORES[[#This Row],[FECHA DE PAGO]]=PROVEEDORES[[#This Row],[FECHA DE FACTURACIÓN]],"DE CONTADO","CRÉDITO")</f>
        <v>CRÉDITO</v>
      </c>
      <c r="B1548" s="67" t="b">
        <f>+IF((PROVEEDORES[[#This Row],[FECHA DE PAGO]]-PROVEEDORES[[#This Row],[FECHA DE FACTURACIÓN]])&gt;PROVEEDORES[[#This Row],[PLAZO Días]],"PAGO VENCIDO")</f>
        <v>0</v>
      </c>
      <c r="C1548" s="27">
        <f>+VLOOKUP(PROVEEDORES[[#This Row],[PROVEEDOR]],TERCEROS_INFO[#All],2,FALSE)</f>
        <v>30</v>
      </c>
      <c r="D1548" s="37">
        <f>+SUMIFS(PROVEEDORES[Total],PROVEEDORES[PROVEEDOR],PROVEEDORES[[#This Row],[PROVEEDOR]],PROVEEDORES[FECHA DE PAGO],"")</f>
        <v>0</v>
      </c>
      <c r="E1548" s="37"/>
      <c r="F1548" s="108" t="str">
        <f>+VLOOKUP(PROVEEDORES[[#This Row],[PROVEEDOR]],TERCEROS_INFO[[PROVEEDOR]:[CORREO]],5,FALSE)</f>
        <v/>
      </c>
      <c r="G1548" s="143">
        <v>44019</v>
      </c>
      <c r="H1548" s="38" t="s">
        <v>77</v>
      </c>
      <c r="I1548" s="30">
        <v>44012</v>
      </c>
      <c r="J1548" s="58" t="s">
        <v>87</v>
      </c>
      <c r="K1548" s="32">
        <v>531493.27731092437</v>
      </c>
      <c r="L1548" s="32"/>
      <c r="M1548" s="33">
        <f>(PROVEEDORES[[#This Row],[SUBTOTAL]]-PROVEEDORES[[#This Row],[descuento antes de IVA]])*VLOOKUP(PROVEEDORES[[#This Row],[PROVEEDOR]],TERCEROS_INFO[#All],3,FALSE)</f>
        <v>100983.72268907563</v>
      </c>
      <c r="N1548" s="34"/>
      <c r="O1548" s="33">
        <f>+PROVEEDORES[[#This Row],[Descuento sobre subtotal %]]*(PROVEEDORES[[#This Row],[SUBTOTAL]]-PROVEEDORES[[#This Row],[descuento antes de IVA]])</f>
        <v>0</v>
      </c>
      <c r="P15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48" s="33">
        <f>+(PROVEEDORES[[#This Row],[SUBTOTAL]]-PROVEEDORES[[#This Row],[descuento antes de IVA]])*PROVEEDORES[[#This Row],[Rete Fuente %]]</f>
        <v>0</v>
      </c>
      <c r="R1548" s="32">
        <f>+PROVEEDORES[[#This Row],[SUBTOTAL]]+PROVEEDORES[[#This Row],[IVA 19%]]-PROVEEDORES[[#This Row],[descuento antes de IVA]]-PROVEEDORES[[#This Row],[Descuento sobre subtotal $]]-PROVEEDORES[[#This Row],[Rete Fuente $]]</f>
        <v>632477</v>
      </c>
      <c r="S15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49" spans="1:19" ht="21.95" customHeight="1" x14ac:dyDescent="0.25">
      <c r="A1549" s="39" t="str">
        <f>+IF(PROVEEDORES[[#This Row],[FECHA DE PAGO]]=PROVEEDORES[[#This Row],[FECHA DE FACTURACIÓN]],"DE CONTADO","CRÉDITO")</f>
        <v>CRÉDITO</v>
      </c>
      <c r="B1549" s="67" t="str">
        <f>+IF((PROVEEDORES[[#This Row],[FECHA DE PAGO]]-PROVEEDORES[[#This Row],[FECHA DE FACTURACIÓN]])&gt;PROVEEDORES[[#This Row],[PLAZO Días]],"PAGO VENCIDO")</f>
        <v>PAGO VENCIDO</v>
      </c>
      <c r="C1549" s="27">
        <f>+VLOOKUP(PROVEEDORES[[#This Row],[PROVEEDOR]],TERCEROS_INFO[#All],2,FALSE)</f>
        <v>30</v>
      </c>
      <c r="D1549" s="37">
        <f>+SUMIFS(PROVEEDORES[Total],PROVEEDORES[PROVEEDOR],PROVEEDORES[[#This Row],[PROVEEDOR]],PROVEEDORES[FECHA DE PAGO],"")</f>
        <v>0</v>
      </c>
      <c r="E1549" s="37"/>
      <c r="F1549" s="108" t="str">
        <f>+VLOOKUP(PROVEEDORES[[#This Row],[PROVEEDOR]],TERCEROS_INFO[[PROVEEDOR]:[CORREO]],5,FALSE)</f>
        <v/>
      </c>
      <c r="G1549" s="143">
        <v>44019</v>
      </c>
      <c r="H1549" s="38" t="s">
        <v>49</v>
      </c>
      <c r="I1549" s="30">
        <v>43903</v>
      </c>
      <c r="J1549" s="58">
        <v>2410</v>
      </c>
      <c r="K1549" s="32">
        <v>298285.71428571432</v>
      </c>
      <c r="L1549" s="32"/>
      <c r="M1549" s="33">
        <f>(PROVEEDORES[[#This Row],[SUBTOTAL]]-PROVEEDORES[[#This Row],[descuento antes de IVA]])*VLOOKUP(PROVEEDORES[[#This Row],[PROVEEDOR]],TERCEROS_INFO[#All],3,FALSE)</f>
        <v>56674.285714285725</v>
      </c>
      <c r="N1549" s="34"/>
      <c r="O1549" s="33">
        <f>+PROVEEDORES[[#This Row],[Descuento sobre subtotal %]]*(PROVEEDORES[[#This Row],[SUBTOTAL]]-PROVEEDORES[[#This Row],[descuento antes de IVA]])</f>
        <v>0</v>
      </c>
      <c r="P15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49" s="33">
        <f>+(PROVEEDORES[[#This Row],[SUBTOTAL]]-PROVEEDORES[[#This Row],[descuento antes de IVA]])*PROVEEDORES[[#This Row],[Rete Fuente %]]</f>
        <v>0</v>
      </c>
      <c r="R1549" s="32">
        <f>+PROVEEDORES[[#This Row],[SUBTOTAL]]+PROVEEDORES[[#This Row],[IVA 19%]]-PROVEEDORES[[#This Row],[descuento antes de IVA]]-PROVEEDORES[[#This Row],[Descuento sobre subtotal $]]-PROVEEDORES[[#This Row],[Rete Fuente $]]</f>
        <v>354960.00000000006</v>
      </c>
      <c r="S154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0" spans="1:19" ht="21.95" customHeight="1" x14ac:dyDescent="0.25">
      <c r="A1550" s="39" t="str">
        <f>+IF(PROVEEDORES[[#This Row],[FECHA DE PAGO]]=PROVEEDORES[[#This Row],[FECHA DE FACTURACIÓN]],"DE CONTADO","CRÉDITO")</f>
        <v>CRÉDITO</v>
      </c>
      <c r="B1550" s="67" t="str">
        <f>+IF((PROVEEDORES[[#This Row],[FECHA DE PAGO]]-PROVEEDORES[[#This Row],[FECHA DE FACTURACIÓN]])&gt;PROVEEDORES[[#This Row],[PLAZO Días]],"PAGO VENCIDO")</f>
        <v>PAGO VENCIDO</v>
      </c>
      <c r="C1550" s="27">
        <f>+VLOOKUP(PROVEEDORES[[#This Row],[PROVEEDOR]],TERCEROS_INFO[#All],2,FALSE)</f>
        <v>30</v>
      </c>
      <c r="D1550" s="37">
        <f>+SUMIFS(PROVEEDORES[Total],PROVEEDORES[PROVEEDOR],PROVEEDORES[[#This Row],[PROVEEDOR]],PROVEEDORES[FECHA DE PAGO],"")</f>
        <v>0</v>
      </c>
      <c r="E1550" s="37" t="s">
        <v>362</v>
      </c>
      <c r="F1550" s="108" t="str">
        <f>+VLOOKUP(PROVEEDORES[[#This Row],[PROVEEDOR]],TERCEROS_INFO[[PROVEEDOR]:[CORREO]],5,FALSE)</f>
        <v/>
      </c>
      <c r="G1550" s="143">
        <v>44019</v>
      </c>
      <c r="H1550" s="38" t="s">
        <v>60</v>
      </c>
      <c r="I1550" s="30">
        <v>43920</v>
      </c>
      <c r="J1550" s="58">
        <v>2442</v>
      </c>
      <c r="K1550" s="32">
        <v>-192844.53781512607</v>
      </c>
      <c r="L1550" s="32"/>
      <c r="M1550" s="33">
        <f>(PROVEEDORES[[#This Row],[SUBTOTAL]]-PROVEEDORES[[#This Row],[descuento antes de IVA]])*VLOOKUP(PROVEEDORES[[#This Row],[PROVEEDOR]],TERCEROS_INFO[#All],3,FALSE)</f>
        <v>-36640.462184873955</v>
      </c>
      <c r="N1550" s="34"/>
      <c r="O1550" s="33">
        <f>+PROVEEDORES[[#This Row],[Descuento sobre subtotal %]]*(PROVEEDORES[[#This Row],[SUBTOTAL]]-PROVEEDORES[[#This Row],[descuento antes de IVA]])</f>
        <v>0</v>
      </c>
      <c r="P15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50" s="33">
        <f>+(PROVEEDORES[[#This Row],[SUBTOTAL]]-PROVEEDORES[[#This Row],[descuento antes de IVA]])*PROVEEDORES[[#This Row],[Rete Fuente %]]</f>
        <v>0</v>
      </c>
      <c r="R1550" s="32">
        <f>+PROVEEDORES[[#This Row],[SUBTOTAL]]+PROVEEDORES[[#This Row],[IVA 19%]]-PROVEEDORES[[#This Row],[descuento antes de IVA]]-PROVEEDORES[[#This Row],[Descuento sobre subtotal $]]-PROVEEDORES[[#This Row],[Rete Fuente $]]</f>
        <v>-229485.00000000003</v>
      </c>
      <c r="S155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1" spans="1:19" ht="21.95" customHeight="1" x14ac:dyDescent="0.25">
      <c r="A1551" s="39" t="str">
        <f>+IF(PROVEEDORES[[#This Row],[FECHA DE PAGO]]=PROVEEDORES[[#This Row],[FECHA DE FACTURACIÓN]],"DE CONTADO","CRÉDITO")</f>
        <v>CRÉDITO</v>
      </c>
      <c r="B1551" s="67" t="b">
        <f>+IF((PROVEEDORES[[#This Row],[FECHA DE PAGO]]-PROVEEDORES[[#This Row],[FECHA DE FACTURACIÓN]])&gt;PROVEEDORES[[#This Row],[PLAZO Días]],"PAGO VENCIDO")</f>
        <v>0</v>
      </c>
      <c r="C1551" s="27">
        <f>+VLOOKUP(PROVEEDORES[[#This Row],[PROVEEDOR]],TERCEROS_INFO[#All],2,FALSE)</f>
        <v>30</v>
      </c>
      <c r="D1551" s="37">
        <f>+SUMIFS(PROVEEDORES[Total],PROVEEDORES[PROVEEDOR],PROVEEDORES[[#This Row],[PROVEEDOR]],PROVEEDORES[FECHA DE PAGO],"")</f>
        <v>0</v>
      </c>
      <c r="E1551" s="37"/>
      <c r="F1551" s="108" t="str">
        <f>+VLOOKUP(PROVEEDORES[[#This Row],[PROVEEDOR]],TERCEROS_INFO[[PROVEEDOR]:[CORREO]],5,FALSE)</f>
        <v/>
      </c>
      <c r="G1551" s="143">
        <v>44053</v>
      </c>
      <c r="H1551" s="38" t="s">
        <v>117</v>
      </c>
      <c r="I1551" s="30">
        <v>44052</v>
      </c>
      <c r="J1551" s="58" t="s">
        <v>1078</v>
      </c>
      <c r="K1551" s="32">
        <v>783662.18487394962</v>
      </c>
      <c r="L1551" s="32"/>
      <c r="M1551" s="33">
        <f>(PROVEEDORES[[#This Row],[SUBTOTAL]]-PROVEEDORES[[#This Row],[descuento antes de IVA]])*VLOOKUP(PROVEEDORES[[#This Row],[PROVEEDOR]],TERCEROS_INFO[#All],3,FALSE)</f>
        <v>148895.81512605044</v>
      </c>
      <c r="N1551" s="34"/>
      <c r="O1551" s="33">
        <f>+PROVEEDORES[[#This Row],[Descuento sobre subtotal %]]*(PROVEEDORES[[#This Row],[SUBTOTAL]]-PROVEEDORES[[#This Row],[descuento antes de IVA]])</f>
        <v>0</v>
      </c>
      <c r="P15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51" s="33">
        <f>+(PROVEEDORES[[#This Row],[SUBTOTAL]]-PROVEEDORES[[#This Row],[descuento antes de IVA]])*PROVEEDORES[[#This Row],[Rete Fuente %]]</f>
        <v>0</v>
      </c>
      <c r="R1551" s="32">
        <f>+PROVEEDORES[[#This Row],[SUBTOTAL]]+PROVEEDORES[[#This Row],[IVA 19%]]-PROVEEDORES[[#This Row],[descuento antes de IVA]]-PROVEEDORES[[#This Row],[Descuento sobre subtotal $]]-PROVEEDORES[[#This Row],[Rete Fuente $]]</f>
        <v>932558</v>
      </c>
      <c r="S15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2" spans="1:19" ht="21.95" customHeight="1" x14ac:dyDescent="0.25">
      <c r="A1552" s="39" t="str">
        <f>+IF(PROVEEDORES[[#This Row],[FECHA DE PAGO]]=PROVEEDORES[[#This Row],[FECHA DE FACTURACIÓN]],"DE CONTADO","CRÉDITO")</f>
        <v>CRÉDITO</v>
      </c>
      <c r="B1552" s="67" t="b">
        <f>+IF((PROVEEDORES[[#This Row],[FECHA DE PAGO]]-PROVEEDORES[[#This Row],[FECHA DE FACTURACIÓN]])&gt;PROVEEDORES[[#This Row],[PLAZO Días]],"PAGO VENCIDO")</f>
        <v>0</v>
      </c>
      <c r="C1552" s="27">
        <f>+VLOOKUP(PROVEEDORES[[#This Row],[PROVEEDOR]],TERCEROS_INFO[#All],2,FALSE)</f>
        <v>30</v>
      </c>
      <c r="D1552" s="37">
        <f>+SUMIFS(PROVEEDORES[Total],PROVEEDORES[PROVEEDOR],PROVEEDORES[[#This Row],[PROVEEDOR]],PROVEEDORES[FECHA DE PAGO],"")</f>
        <v>0</v>
      </c>
      <c r="E1552" s="37"/>
      <c r="F1552" s="108" t="str">
        <f>+VLOOKUP(PROVEEDORES[[#This Row],[PROVEEDOR]],TERCEROS_INFO[[PROVEEDOR]:[CORREO]],5,FALSE)</f>
        <v/>
      </c>
      <c r="G1552" s="143">
        <v>44078</v>
      </c>
      <c r="H1552" s="38" t="s">
        <v>117</v>
      </c>
      <c r="I1552" s="30">
        <v>44074</v>
      </c>
      <c r="J1552" s="58" t="s">
        <v>131</v>
      </c>
      <c r="K1552" s="32">
        <v>257533.61344537817</v>
      </c>
      <c r="L1552" s="32"/>
      <c r="M1552" s="33">
        <f>(PROVEEDORES[[#This Row],[SUBTOTAL]]-PROVEEDORES[[#This Row],[descuento antes de IVA]])*VLOOKUP(PROVEEDORES[[#This Row],[PROVEEDOR]],TERCEROS_INFO[#All],3,FALSE)</f>
        <v>48931.386554621851</v>
      </c>
      <c r="N1552" s="34"/>
      <c r="O1552" s="33">
        <f>+PROVEEDORES[[#This Row],[Descuento sobre subtotal %]]*(PROVEEDORES[[#This Row],[SUBTOTAL]]-PROVEEDORES[[#This Row],[descuento antes de IVA]])</f>
        <v>0</v>
      </c>
      <c r="P15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52" s="33">
        <f>+(PROVEEDORES[[#This Row],[SUBTOTAL]]-PROVEEDORES[[#This Row],[descuento antes de IVA]])*PROVEEDORES[[#This Row],[Rete Fuente %]]</f>
        <v>0</v>
      </c>
      <c r="R1552" s="32">
        <f>+PROVEEDORES[[#This Row],[SUBTOTAL]]+PROVEEDORES[[#This Row],[IVA 19%]]-PROVEEDORES[[#This Row],[descuento antes de IVA]]-PROVEEDORES[[#This Row],[Descuento sobre subtotal $]]-PROVEEDORES[[#This Row],[Rete Fuente $]]</f>
        <v>306465</v>
      </c>
      <c r="S155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3" spans="1:19" ht="21.95" customHeight="1" x14ac:dyDescent="0.25">
      <c r="A1553" s="39" t="str">
        <f>+IF(PROVEEDORES[[#This Row],[FECHA DE PAGO]]=PROVEEDORES[[#This Row],[FECHA DE FACTURACIÓN]],"DE CONTADO","CRÉDITO")</f>
        <v>CRÉDITO</v>
      </c>
      <c r="B1553" s="67" t="b">
        <f>+IF((PROVEEDORES[[#This Row],[FECHA DE PAGO]]-PROVEEDORES[[#This Row],[FECHA DE FACTURACIÓN]])&gt;PROVEEDORES[[#This Row],[PLAZO Días]],"PAGO VENCIDO")</f>
        <v>0</v>
      </c>
      <c r="C1553" s="27">
        <f>+VLOOKUP(PROVEEDORES[[#This Row],[PROVEEDOR]],TERCEROS_INFO[#All],2,FALSE)</f>
        <v>30</v>
      </c>
      <c r="D1553" s="37">
        <f>+SUMIFS(PROVEEDORES[Total],PROVEEDORES[PROVEEDOR],PROVEEDORES[[#This Row],[PROVEEDOR]],PROVEEDORES[FECHA DE PAGO],"")</f>
        <v>0</v>
      </c>
      <c r="E1553" s="37"/>
      <c r="F1553" s="108" t="str">
        <f>+VLOOKUP(PROVEEDORES[[#This Row],[PROVEEDOR]],TERCEROS_INFO[[PROVEEDOR]:[CORREO]],5,FALSE)</f>
        <v/>
      </c>
      <c r="G1553" s="143">
        <v>44142</v>
      </c>
      <c r="H1553" s="38" t="s">
        <v>332</v>
      </c>
      <c r="I1553" s="30">
        <v>44141</v>
      </c>
      <c r="J1553" s="58" t="s">
        <v>1087</v>
      </c>
      <c r="K1553" s="32">
        <v>5389328.5714285718</v>
      </c>
      <c r="L1553" s="32"/>
      <c r="M1553" s="33">
        <f>(PROVEEDORES[[#This Row],[SUBTOTAL]]-PROVEEDORES[[#This Row],[descuento antes de IVA]])*VLOOKUP(PROVEEDORES[[#This Row],[PROVEEDOR]],TERCEROS_INFO[#All],3,FALSE)</f>
        <v>1023972.4285714286</v>
      </c>
      <c r="N1553" s="34"/>
      <c r="O1553" s="33">
        <f>+PROVEEDORES[[#This Row],[Descuento sobre subtotal %]]*(PROVEEDORES[[#This Row],[SUBTOTAL]]-PROVEEDORES[[#This Row],[descuento antes de IVA]])</f>
        <v>0</v>
      </c>
      <c r="P15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553" s="33">
        <f>+(PROVEEDORES[[#This Row],[SUBTOTAL]]-PROVEEDORES[[#This Row],[descuento antes de IVA]])*PROVEEDORES[[#This Row],[Rete Fuente %]]</f>
        <v>188626.50000000003</v>
      </c>
      <c r="R1553" s="32">
        <f>+PROVEEDORES[[#This Row],[SUBTOTAL]]+PROVEEDORES[[#This Row],[IVA 19%]]-PROVEEDORES[[#This Row],[descuento antes de IVA]]-PROVEEDORES[[#This Row],[Descuento sobre subtotal $]]-PROVEEDORES[[#This Row],[Rete Fuente $]]</f>
        <v>6224674.5</v>
      </c>
      <c r="S155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4" spans="1:19" ht="21.95" customHeight="1" x14ac:dyDescent="0.25">
      <c r="A1554" s="39" t="str">
        <f>+IF(PROVEEDORES[[#This Row],[FECHA DE PAGO]]=PROVEEDORES[[#This Row],[FECHA DE FACTURACIÓN]],"DE CONTADO","CRÉDITO")</f>
        <v>CRÉDITO</v>
      </c>
      <c r="B1554" s="67" t="b">
        <f>+IF((PROVEEDORES[[#This Row],[FECHA DE PAGO]]-PROVEEDORES[[#This Row],[FECHA DE FACTURACIÓN]])&gt;PROVEEDORES[[#This Row],[PLAZO Días]],"PAGO VENCIDO")</f>
        <v>0</v>
      </c>
      <c r="C1554" s="27">
        <f>+VLOOKUP(PROVEEDORES[[#This Row],[PROVEEDOR]],TERCEROS_INFO[#All],2,FALSE)</f>
        <v>30</v>
      </c>
      <c r="D1554" s="37">
        <f>+SUMIFS(PROVEEDORES[Total],PROVEEDORES[PROVEEDOR],PROVEEDORES[[#This Row],[PROVEEDOR]],PROVEEDORES[FECHA DE PAGO],"")</f>
        <v>0</v>
      </c>
      <c r="E1554" s="37"/>
      <c r="F1554" s="108" t="str">
        <f>+VLOOKUP(PROVEEDORES[[#This Row],[PROVEEDOR]],TERCEROS_INFO[[PROVEEDOR]:[CORREO]],5,FALSE)</f>
        <v/>
      </c>
      <c r="G1554" s="143">
        <v>44147</v>
      </c>
      <c r="H1554" s="38" t="s">
        <v>331</v>
      </c>
      <c r="I1554" s="30">
        <v>44146</v>
      </c>
      <c r="J1554" s="58" t="s">
        <v>1088</v>
      </c>
      <c r="K1554" s="32">
        <v>2098626.8907563025</v>
      </c>
      <c r="L1554" s="32"/>
      <c r="M1554" s="33">
        <f>(PROVEEDORES[[#This Row],[SUBTOTAL]]-PROVEEDORES[[#This Row],[descuento antes de IVA]])*VLOOKUP(PROVEEDORES[[#This Row],[PROVEEDOR]],TERCEROS_INFO[#All],3,FALSE)</f>
        <v>398739.10924369749</v>
      </c>
      <c r="N1554" s="34"/>
      <c r="O1554" s="33">
        <f>+PROVEEDORES[[#This Row],[Descuento sobre subtotal %]]*(PROVEEDORES[[#This Row],[SUBTOTAL]]-PROVEEDORES[[#This Row],[descuento antes de IVA]])</f>
        <v>0</v>
      </c>
      <c r="P15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554" s="33">
        <f>+(PROVEEDORES[[#This Row],[SUBTOTAL]]-PROVEEDORES[[#This Row],[descuento antes de IVA]])*PROVEEDORES[[#This Row],[Rete Fuente %]]</f>
        <v>73451.941176470602</v>
      </c>
      <c r="R1554" s="32">
        <f>+PROVEEDORES[[#This Row],[SUBTOTAL]]+PROVEEDORES[[#This Row],[IVA 19%]]-PROVEEDORES[[#This Row],[descuento antes de IVA]]-PROVEEDORES[[#This Row],[Descuento sobre subtotal $]]-PROVEEDORES[[#This Row],[Rete Fuente $]]</f>
        <v>2423914.0588235296</v>
      </c>
      <c r="S155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5" spans="1:19" ht="21.95" customHeight="1" x14ac:dyDescent="0.25">
      <c r="A1555" s="39" t="str">
        <f>+IF(PROVEEDORES[[#This Row],[FECHA DE PAGO]]=PROVEEDORES[[#This Row],[FECHA DE FACTURACIÓN]],"DE CONTADO","CRÉDITO")</f>
        <v>CRÉDITO</v>
      </c>
      <c r="B1555" s="67" t="str">
        <f>+IF((PROVEEDORES[[#This Row],[FECHA DE PAGO]]-PROVEEDORES[[#This Row],[FECHA DE FACTURACIÓN]])&gt;PROVEEDORES[[#This Row],[PLAZO Días]],"PAGO VENCIDO")</f>
        <v>PAGO VENCIDO</v>
      </c>
      <c r="C1555" s="27">
        <f>+VLOOKUP(PROVEEDORES[[#This Row],[PROVEEDOR]],TERCEROS_INFO[#All],2,FALSE)</f>
        <v>30</v>
      </c>
      <c r="D1555" s="37">
        <f>+SUMIFS(PROVEEDORES[Total],PROVEEDORES[PROVEEDOR],PROVEEDORES[[#This Row],[PROVEEDOR]],PROVEEDORES[FECHA DE PAGO],"")</f>
        <v>0</v>
      </c>
      <c r="E1555" s="37"/>
      <c r="F1555" s="108" t="str">
        <f>+VLOOKUP(PROVEEDORES[[#This Row],[PROVEEDOR]],TERCEROS_INFO[[PROVEEDOR]:[CORREO]],5,FALSE)</f>
        <v/>
      </c>
      <c r="G1555" s="143">
        <v>44208</v>
      </c>
      <c r="H1555" s="38" t="s">
        <v>331</v>
      </c>
      <c r="I1555" s="30">
        <v>44154</v>
      </c>
      <c r="J1555" s="58" t="s">
        <v>197</v>
      </c>
      <c r="K1555" s="32">
        <v>-352790.75630252104</v>
      </c>
      <c r="L1555" s="32"/>
      <c r="M1555" s="33">
        <f>(PROVEEDORES[[#This Row],[SUBTOTAL]]-PROVEEDORES[[#This Row],[descuento antes de IVA]])*VLOOKUP(PROVEEDORES[[#This Row],[PROVEEDOR]],TERCEROS_INFO[#All],3,FALSE)</f>
        <v>-67030.243697479003</v>
      </c>
      <c r="N1555" s="34"/>
      <c r="O1555" s="33">
        <f>+PROVEEDORES[[#This Row],[Descuento sobre subtotal %]]*(PROVEEDORES[[#This Row],[SUBTOTAL]]-PROVEEDORES[[#This Row],[descuento antes de IVA]])</f>
        <v>0</v>
      </c>
      <c r="P15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55" s="33">
        <f>+(PROVEEDORES[[#This Row],[SUBTOTAL]]-PROVEEDORES[[#This Row],[descuento antes de IVA]])*PROVEEDORES[[#This Row],[Rete Fuente %]]</f>
        <v>0</v>
      </c>
      <c r="R1555" s="32">
        <f>+PROVEEDORES[[#This Row],[SUBTOTAL]]+PROVEEDORES[[#This Row],[IVA 19%]]-PROVEEDORES[[#This Row],[descuento antes de IVA]]-PROVEEDORES[[#This Row],[Descuento sobre subtotal $]]-PROVEEDORES[[#This Row],[Rete Fuente $]]</f>
        <v>-419821.00000000006</v>
      </c>
      <c r="S155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6" spans="1:19" ht="21.95" customHeight="1" x14ac:dyDescent="0.25">
      <c r="A1556" s="39" t="str">
        <f>+IF(PROVEEDORES[[#This Row],[FECHA DE PAGO]]=PROVEEDORES[[#This Row],[FECHA DE FACTURACIÓN]],"DE CONTADO","CRÉDITO")</f>
        <v>CRÉDITO</v>
      </c>
      <c r="B1556" s="67" t="str">
        <f>+IF((PROVEEDORES[[#This Row],[FECHA DE PAGO]]-PROVEEDORES[[#This Row],[FECHA DE FACTURACIÓN]])&gt;PROVEEDORES[[#This Row],[PLAZO Días]],"PAGO VENCIDO")</f>
        <v>PAGO VENCIDO</v>
      </c>
      <c r="C1556" s="27">
        <f>+VLOOKUP(PROVEEDORES[[#This Row],[PROVEEDOR]],TERCEROS_INFO[#All],2,FALSE)</f>
        <v>30</v>
      </c>
      <c r="D1556" s="37">
        <f>+SUMIFS(PROVEEDORES[Total],PROVEEDORES[PROVEEDOR],PROVEEDORES[[#This Row],[PROVEEDOR]],PROVEEDORES[FECHA DE PAGO],"")</f>
        <v>0</v>
      </c>
      <c r="E1556" s="37"/>
      <c r="F1556" s="108" t="str">
        <f>+VLOOKUP(PROVEEDORES[[#This Row],[PROVEEDOR]],TERCEROS_INFO[[PROVEEDOR]:[CORREO]],5,FALSE)</f>
        <v/>
      </c>
      <c r="G1556" s="143">
        <v>44208</v>
      </c>
      <c r="H1556" s="38" t="s">
        <v>332</v>
      </c>
      <c r="I1556" s="30">
        <v>44154</v>
      </c>
      <c r="J1556" s="58" t="s">
        <v>196</v>
      </c>
      <c r="K1556" s="32">
        <v>1930844.6445378151</v>
      </c>
      <c r="L1556" s="32"/>
      <c r="M1556" s="33">
        <f>(PROVEEDORES[[#This Row],[SUBTOTAL]]-PROVEEDORES[[#This Row],[descuento antes de IVA]])*VLOOKUP(PROVEEDORES[[#This Row],[PROVEEDOR]],TERCEROS_INFO[#All],3,FALSE)</f>
        <v>366860.48246218485</v>
      </c>
      <c r="N1556" s="34"/>
      <c r="O1556" s="33">
        <f>+PROVEEDORES[[#This Row],[Descuento sobre subtotal %]]*(PROVEEDORES[[#This Row],[SUBTOTAL]]-PROVEEDORES[[#This Row],[descuento antes de IVA]])</f>
        <v>0</v>
      </c>
      <c r="P15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556" s="33">
        <f>+(PROVEEDORES[[#This Row],[SUBTOTAL]]-PROVEEDORES[[#This Row],[descuento antes de IVA]])*PROVEEDORES[[#This Row],[Rete Fuente %]]</f>
        <v>67579.562558823542</v>
      </c>
      <c r="R1556" s="32">
        <f>+PROVEEDORES[[#This Row],[SUBTOTAL]]+PROVEEDORES[[#This Row],[IVA 19%]]-PROVEEDORES[[#This Row],[descuento antes de IVA]]-PROVEEDORES[[#This Row],[Descuento sobre subtotal $]]-PROVEEDORES[[#This Row],[Rete Fuente $]]</f>
        <v>2230125.5644411761</v>
      </c>
      <c r="S155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7" spans="1:19" ht="21.95" customHeight="1" x14ac:dyDescent="0.25">
      <c r="A1557" s="88" t="str">
        <f>+IF(PROVEEDORES[[#This Row],[FECHA DE PAGO]]=PROVEEDORES[[#This Row],[FECHA DE FACTURACIÓN]],"DE CONTADO","CRÉDITO")</f>
        <v>CRÉDITO</v>
      </c>
      <c r="B1557" s="70" t="b">
        <f>+IF((PROVEEDORES[[#This Row],[FECHA DE PAGO]]-PROVEEDORES[[#This Row],[FECHA DE FACTURACIÓN]])&gt;PROVEEDORES[[#This Row],[PLAZO Días]],"PAGO VENCIDO")</f>
        <v>0</v>
      </c>
      <c r="C1557" s="27">
        <f>+VLOOKUP(PROVEEDORES[[#This Row],[PROVEEDOR]],TERCEROS_INFO[#All],2,FALSE)</f>
        <v>30</v>
      </c>
      <c r="D1557" s="37">
        <f>+SUMIFS(PROVEEDORES[Total],PROVEEDORES[PROVEEDOR],PROVEEDORES[[#This Row],[PROVEEDOR]],PROVEEDORES[FECHA DE PAGO],"")</f>
        <v>0</v>
      </c>
      <c r="E1557" s="37"/>
      <c r="F1557" s="108" t="str">
        <f>+VLOOKUP(PROVEEDORES[[#This Row],[PROVEEDOR]],TERCEROS_INFO[[PROVEEDOR]:[CORREO]],5,FALSE)</f>
        <v/>
      </c>
      <c r="G1557" s="143">
        <v>44284</v>
      </c>
      <c r="H1557" s="38" t="s">
        <v>332</v>
      </c>
      <c r="I1557" s="30">
        <v>44281</v>
      </c>
      <c r="J1557" s="58" t="s">
        <v>587</v>
      </c>
      <c r="K1557" s="32">
        <f>+(573.5+30)*3718.99</f>
        <v>2244410.4649999999</v>
      </c>
      <c r="L1557" s="32"/>
      <c r="M1557" s="33">
        <f>(PROVEEDORES[[#This Row],[SUBTOTAL]]-PROVEEDORES[[#This Row],[descuento antes de IVA]])*VLOOKUP(PROVEEDORES[[#This Row],[PROVEEDOR]],TERCEROS_INFO[#All],3,FALSE)</f>
        <v>426437.98835</v>
      </c>
      <c r="N1557" s="34"/>
      <c r="O1557" s="33">
        <f>+PROVEEDORES[[#This Row],[Descuento sobre subtotal %]]*(PROVEEDORES[[#This Row],[SUBTOTAL]]-PROVEEDORES[[#This Row],[descuento antes de IVA]])</f>
        <v>0</v>
      </c>
      <c r="P1557" s="34">
        <v>0.04</v>
      </c>
      <c r="Q1557" s="33">
        <f>+(PROVEEDORES[[#This Row],[SUBTOTAL]]-PROVEEDORES[[#This Row],[descuento antes de IVA]])*PROVEEDORES[[#This Row],[Rete Fuente %]]</f>
        <v>89776.41859999999</v>
      </c>
      <c r="R1557" s="32">
        <f>+PROVEEDORES[[#This Row],[SUBTOTAL]]+PROVEEDORES[[#This Row],[IVA 19%]]-PROVEEDORES[[#This Row],[descuento antes de IVA]]-PROVEEDORES[[#This Row],[Descuento sobre subtotal $]]-PROVEEDORES[[#This Row],[Rete Fuente $]]</f>
        <v>2581072.0347500001</v>
      </c>
      <c r="S1557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8" spans="1:19" ht="21.95" customHeight="1" x14ac:dyDescent="0.25">
      <c r="A1558" s="88" t="str">
        <f>+IF(PROVEEDORES[[#This Row],[FECHA DE PAGO]]=PROVEEDORES[[#This Row],[FECHA DE FACTURACIÓN]],"DE CONTADO","CRÉDITO")</f>
        <v>CRÉDITO</v>
      </c>
      <c r="B1558" s="70" t="b">
        <f>+IF((PROVEEDORES[[#This Row],[FECHA DE PAGO]]-PROVEEDORES[[#This Row],[FECHA DE FACTURACIÓN]])&gt;PROVEEDORES[[#This Row],[PLAZO Días]],"PAGO VENCIDO")</f>
        <v>0</v>
      </c>
      <c r="C1558" s="27">
        <f>+VLOOKUP(PROVEEDORES[[#This Row],[PROVEEDOR]],TERCEROS_INFO[#All],2,FALSE)</f>
        <v>30</v>
      </c>
      <c r="D1558" s="37">
        <f>+SUMIFS(PROVEEDORES[Total],PROVEEDORES[PROVEEDOR],PROVEEDORES[[#This Row],[PROVEEDOR]],PROVEEDORES[FECHA DE PAGO],"")</f>
        <v>0</v>
      </c>
      <c r="E1558" s="37"/>
      <c r="F1558" s="108" t="str">
        <f>+VLOOKUP(PROVEEDORES[[#This Row],[PROVEEDOR]],TERCEROS_INFO[[PROVEEDOR]:[CORREO]],5,FALSE)</f>
        <v/>
      </c>
      <c r="G1558" s="143">
        <v>44286</v>
      </c>
      <c r="H1558" s="38" t="s">
        <v>332</v>
      </c>
      <c r="I1558" s="30">
        <v>44284</v>
      </c>
      <c r="J1558" s="58" t="s">
        <v>1110</v>
      </c>
      <c r="K1558" s="32">
        <v>1789527</v>
      </c>
      <c r="L1558" s="32"/>
      <c r="M1558" s="33">
        <f>(PROVEEDORES[[#This Row],[SUBTOTAL]]-PROVEEDORES[[#This Row],[descuento antes de IVA]])*VLOOKUP(PROVEEDORES[[#This Row],[PROVEEDOR]],TERCEROS_INFO[#All],3,FALSE)</f>
        <v>340010.13</v>
      </c>
      <c r="N1558" s="34"/>
      <c r="O1558" s="33">
        <f>+PROVEEDORES[[#This Row],[Descuento sobre subtotal %]]*(PROVEEDORES[[#This Row],[SUBTOTAL]]-PROVEEDORES[[#This Row],[descuento antes de IVA]])</f>
        <v>0</v>
      </c>
      <c r="P15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558" s="33">
        <f>+(PROVEEDORES[[#This Row],[SUBTOTAL]]-PROVEEDORES[[#This Row],[descuento antes de IVA]])*PROVEEDORES[[#This Row],[Rete Fuente %]]</f>
        <v>62633.445000000007</v>
      </c>
      <c r="R1558" s="32">
        <f>+PROVEEDORES[[#This Row],[SUBTOTAL]]+PROVEEDORES[[#This Row],[IVA 19%]]-PROVEEDORES[[#This Row],[descuento antes de IVA]]-PROVEEDORES[[#This Row],[Descuento sobre subtotal $]]-PROVEEDORES[[#This Row],[Rete Fuente $]]</f>
        <v>2066903.6849999998</v>
      </c>
      <c r="S1558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59" spans="1:19" ht="21.95" hidden="1" customHeight="1" x14ac:dyDescent="0.25">
      <c r="A1559" s="39" t="str">
        <f>+IF(PROVEEDORES[[#This Row],[FECHA DE PAGO]]=PROVEEDORES[[#This Row],[FECHA DE FACTURACIÓN]],"DE CONTADO","CRÉDITO")</f>
        <v>CRÉDITO</v>
      </c>
      <c r="B1559" s="67" t="str">
        <f>+IF((PROVEEDORES[[#This Row],[FECHA DE PAGO]]-PROVEEDORES[[#This Row],[FECHA DE FACTURACIÓN]])&gt;PROVEEDORES[[#This Row],[PLAZO Días]],"PAGO VENCIDO")</f>
        <v>PAGO VENCIDO</v>
      </c>
      <c r="C1559" s="27">
        <f>+VLOOKUP(PROVEEDORES[[#This Row],[PROVEEDOR]],TERCEROS_INFO[#All],2,FALSE)</f>
        <v>30</v>
      </c>
      <c r="D1559" s="37">
        <f>+SUMIFS(PROVEEDORES[Total],PROVEEDORES[PROVEEDOR],PROVEEDORES[[#This Row],[PROVEEDOR]],PROVEEDORES[FECHA DE PAGO],"")</f>
        <v>28462560</v>
      </c>
      <c r="E1559" s="37" t="s">
        <v>368</v>
      </c>
      <c r="F1559" s="108" t="str">
        <f>+VLOOKUP(PROVEEDORES[[#This Row],[PROVEEDOR]],TERCEROS_INFO[[PROVEEDOR]:[CORREO]],5,FALSE)</f>
        <v/>
      </c>
      <c r="G1559" s="143">
        <v>44105</v>
      </c>
      <c r="H1559" s="38" t="s">
        <v>41</v>
      </c>
      <c r="I1559" s="30">
        <v>43857</v>
      </c>
      <c r="J1559" s="58" t="s">
        <v>1031</v>
      </c>
      <c r="K1559" s="32">
        <v>658084</v>
      </c>
      <c r="L1559" s="32"/>
      <c r="M1559" s="33">
        <f>(PROVEEDORES[[#This Row],[SUBTOTAL]]-PROVEEDORES[[#This Row],[descuento antes de IVA]])*VLOOKUP(PROVEEDORES[[#This Row],[PROVEEDOR]],TERCEROS_INFO[#All],3,FALSE)</f>
        <v>0</v>
      </c>
      <c r="N1559" s="34"/>
      <c r="O1559" s="33">
        <f>+PROVEEDORES[[#This Row],[Descuento sobre subtotal %]]*(PROVEEDORES[[#This Row],[SUBTOTAL]]-PROVEEDORES[[#This Row],[descuento antes de IVA]])</f>
        <v>0</v>
      </c>
      <c r="P15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59" s="33">
        <f>+(PROVEEDORES[[#This Row],[SUBTOTAL]]-PROVEEDORES[[#This Row],[descuento antes de IVA]])*PROVEEDORES[[#This Row],[Rete Fuente %]]</f>
        <v>0</v>
      </c>
      <c r="R1559" s="32">
        <f>+PROVEEDORES[[#This Row],[SUBTOTAL]]+PROVEEDORES[[#This Row],[IVA 19%]]-PROVEEDORES[[#This Row],[descuento antes de IVA]]-PROVEEDORES[[#This Row],[Descuento sobre subtotal $]]-PROVEEDORES[[#This Row],[Rete Fuente $]]</f>
        <v>658084</v>
      </c>
      <c r="S155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60" spans="1:19" ht="21.95" hidden="1" customHeight="1" x14ac:dyDescent="0.25">
      <c r="A1560" s="39" t="str">
        <f>+IF(PROVEEDORES[[#This Row],[FECHA DE PAGO]]=PROVEEDORES[[#This Row],[FECHA DE FACTURACIÓN]],"DE CONTADO","CRÉDITO")</f>
        <v>CRÉDITO</v>
      </c>
      <c r="B1560" s="67" t="str">
        <f>+IF((PROVEEDORES[[#This Row],[FECHA DE PAGO]]-PROVEEDORES[[#This Row],[FECHA DE FACTURACIÓN]])&gt;PROVEEDORES[[#This Row],[PLAZO Días]],"PAGO VENCIDO")</f>
        <v>PAGO VENCIDO</v>
      </c>
      <c r="C1560" s="27">
        <f>+VLOOKUP(PROVEEDORES[[#This Row],[PROVEEDOR]],TERCEROS_INFO[#All],2,FALSE)</f>
        <v>30</v>
      </c>
      <c r="D1560" s="37">
        <f>+SUMIFS(PROVEEDORES[Total],PROVEEDORES[PROVEEDOR],PROVEEDORES[[#This Row],[PROVEEDOR]],PROVEEDORES[FECHA DE PAGO],"")</f>
        <v>28462560</v>
      </c>
      <c r="E1560" s="37"/>
      <c r="F1560" s="108" t="str">
        <f>+VLOOKUP(PROVEEDORES[[#This Row],[PROVEEDOR]],TERCEROS_INFO[[PROVEEDOR]:[CORREO]],5,FALSE)</f>
        <v/>
      </c>
      <c r="G1560" s="143">
        <v>44166</v>
      </c>
      <c r="H1560" s="38" t="s">
        <v>41</v>
      </c>
      <c r="I1560" s="30">
        <v>44105</v>
      </c>
      <c r="J1560" s="58" t="s">
        <v>163</v>
      </c>
      <c r="K1560" s="32">
        <v>9632772</v>
      </c>
      <c r="L1560" s="32"/>
      <c r="M1560" s="33">
        <f>(PROVEEDORES[[#This Row],[SUBTOTAL]]-PROVEEDORES[[#This Row],[descuento antes de IVA]])*VLOOKUP(PROVEEDORES[[#This Row],[PROVEEDOR]],TERCEROS_INFO[#All],3,FALSE)</f>
        <v>0</v>
      </c>
      <c r="N1560" s="34"/>
      <c r="O1560" s="33">
        <f>+PROVEEDORES[[#This Row],[Descuento sobre subtotal %]]*(PROVEEDORES[[#This Row],[SUBTOTAL]]-PROVEEDORES[[#This Row],[descuento antes de IVA]])</f>
        <v>0</v>
      </c>
      <c r="P15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60" s="33">
        <f>+(PROVEEDORES[[#This Row],[SUBTOTAL]]-PROVEEDORES[[#This Row],[descuento antes de IVA]])*PROVEEDORES[[#This Row],[Rete Fuente %]]</f>
        <v>0</v>
      </c>
      <c r="R1560" s="32">
        <f>+PROVEEDORES[[#This Row],[SUBTOTAL]]+PROVEEDORES[[#This Row],[IVA 19%]]-PROVEEDORES[[#This Row],[descuento antes de IVA]]-PROVEEDORES[[#This Row],[Descuento sobre subtotal $]]-PROVEEDORES[[#This Row],[Rete Fuente $]]</f>
        <v>9632772</v>
      </c>
      <c r="S156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61" spans="1:19" ht="21.95" hidden="1" customHeight="1" x14ac:dyDescent="0.25">
      <c r="A1561" s="39" t="str">
        <f>+IF(PROVEEDORES[[#This Row],[FECHA DE PAGO]]=PROVEEDORES[[#This Row],[FECHA DE FACTURACIÓN]],"DE CONTADO","CRÉDITO")</f>
        <v>CRÉDITO</v>
      </c>
      <c r="B1561" s="67" t="str">
        <f>+IF((PROVEEDORES[[#This Row],[FECHA DE PAGO]]-PROVEEDORES[[#This Row],[FECHA DE FACTURACIÓN]])&gt;PROVEEDORES[[#This Row],[PLAZO Días]],"PAGO VENCIDO")</f>
        <v>PAGO VENCIDO</v>
      </c>
      <c r="C1561" s="27">
        <f>+VLOOKUP(PROVEEDORES[[#This Row],[PROVEEDOR]],TERCEROS_INFO[#All],2,FALSE)</f>
        <v>30</v>
      </c>
      <c r="D1561" s="37">
        <f>+SUMIFS(PROVEEDORES[Total],PROVEEDORES[PROVEEDOR],PROVEEDORES[[#This Row],[PROVEEDOR]],PROVEEDORES[FECHA DE PAGO],"")</f>
        <v>28462560</v>
      </c>
      <c r="E1561" s="37"/>
      <c r="F1561" s="108" t="str">
        <f>+VLOOKUP(PROVEEDORES[[#This Row],[PROVEEDOR]],TERCEROS_INFO[[PROVEEDOR]:[CORREO]],5,FALSE)</f>
        <v/>
      </c>
      <c r="G1561" s="143">
        <v>44166</v>
      </c>
      <c r="H1561" s="38" t="s">
        <v>41</v>
      </c>
      <c r="I1561" s="30">
        <v>44113</v>
      </c>
      <c r="J1561" s="58" t="s">
        <v>165</v>
      </c>
      <c r="K1561" s="32">
        <v>15780640</v>
      </c>
      <c r="L1561" s="32"/>
      <c r="M1561" s="33">
        <f>(PROVEEDORES[[#This Row],[SUBTOTAL]]-PROVEEDORES[[#This Row],[descuento antes de IVA]])*VLOOKUP(PROVEEDORES[[#This Row],[PROVEEDOR]],TERCEROS_INFO[#All],3,FALSE)</f>
        <v>0</v>
      </c>
      <c r="N1561" s="34"/>
      <c r="O1561" s="33">
        <f>+PROVEEDORES[[#This Row],[Descuento sobre subtotal %]]*(PROVEEDORES[[#This Row],[SUBTOTAL]]-PROVEEDORES[[#This Row],[descuento antes de IVA]])</f>
        <v>0</v>
      </c>
      <c r="P15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61" s="33">
        <f>+(PROVEEDORES[[#This Row],[SUBTOTAL]]-PROVEEDORES[[#This Row],[descuento antes de IVA]])*PROVEEDORES[[#This Row],[Rete Fuente %]]</f>
        <v>0</v>
      </c>
      <c r="R1561" s="32">
        <f>+PROVEEDORES[[#This Row],[SUBTOTAL]]+PROVEEDORES[[#This Row],[IVA 19%]]-PROVEEDORES[[#This Row],[descuento antes de IVA]]-PROVEEDORES[[#This Row],[Descuento sobre subtotal $]]-PROVEEDORES[[#This Row],[Rete Fuente $]]</f>
        <v>15780640</v>
      </c>
      <c r="S156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62" spans="1:19" ht="21.95" hidden="1" customHeight="1" x14ac:dyDescent="0.25">
      <c r="A1562" s="39" t="str">
        <f>+IF(PROVEEDORES[[#This Row],[FECHA DE PAGO]]=PROVEEDORES[[#This Row],[FECHA DE FACTURACIÓN]],"DE CONTADO","CRÉDITO")</f>
        <v>CRÉDITO</v>
      </c>
      <c r="B1562" s="67" t="str">
        <f>+IF((PROVEEDORES[[#This Row],[FECHA DE PAGO]]-PROVEEDORES[[#This Row],[FECHA DE FACTURACIÓN]])&gt;PROVEEDORES[[#This Row],[PLAZO Días]],"PAGO VENCIDO")</f>
        <v>PAGO VENCIDO</v>
      </c>
      <c r="C1562" s="27">
        <f>+VLOOKUP(PROVEEDORES[[#This Row],[PROVEEDOR]],TERCEROS_INFO[#All],2,FALSE)</f>
        <v>30</v>
      </c>
      <c r="D1562" s="37">
        <f>+SUMIFS(PROVEEDORES[Total],PROVEEDORES[PROVEEDOR],PROVEEDORES[[#This Row],[PROVEEDOR]],PROVEEDORES[FECHA DE PAGO],"")</f>
        <v>28462560</v>
      </c>
      <c r="E1562" s="37"/>
      <c r="F1562" s="108" t="str">
        <f>+VLOOKUP(PROVEEDORES[[#This Row],[PROVEEDOR]],TERCEROS_INFO[[PROVEEDOR]:[CORREO]],5,FALSE)</f>
        <v/>
      </c>
      <c r="G1562" s="143">
        <v>44166</v>
      </c>
      <c r="H1562" s="38" t="s">
        <v>41</v>
      </c>
      <c r="I1562" s="30">
        <v>44116</v>
      </c>
      <c r="J1562" s="58" t="s">
        <v>164</v>
      </c>
      <c r="K1562" s="32">
        <v>7967916.0000000009</v>
      </c>
      <c r="L1562" s="32"/>
      <c r="M1562" s="33">
        <f>(PROVEEDORES[[#This Row],[SUBTOTAL]]-PROVEEDORES[[#This Row],[descuento antes de IVA]])*VLOOKUP(PROVEEDORES[[#This Row],[PROVEEDOR]],TERCEROS_INFO[#All],3,FALSE)</f>
        <v>0</v>
      </c>
      <c r="N1562" s="34"/>
      <c r="O1562" s="33">
        <f>+PROVEEDORES[[#This Row],[Descuento sobre subtotal %]]*(PROVEEDORES[[#This Row],[SUBTOTAL]]-PROVEEDORES[[#This Row],[descuento antes de IVA]])</f>
        <v>0</v>
      </c>
      <c r="P15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62" s="33">
        <f>+(PROVEEDORES[[#This Row],[SUBTOTAL]]-PROVEEDORES[[#This Row],[descuento antes de IVA]])*PROVEEDORES[[#This Row],[Rete Fuente %]]</f>
        <v>0</v>
      </c>
      <c r="R1562" s="32">
        <f>+PROVEEDORES[[#This Row],[SUBTOTAL]]+PROVEEDORES[[#This Row],[IVA 19%]]-PROVEEDORES[[#This Row],[descuento antes de IVA]]-PROVEEDORES[[#This Row],[Descuento sobre subtotal $]]-PROVEEDORES[[#This Row],[Rete Fuente $]]</f>
        <v>7967916.0000000009</v>
      </c>
      <c r="S156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63" spans="1:19" ht="21.95" hidden="1" customHeight="1" x14ac:dyDescent="0.25">
      <c r="A1563" s="88" t="str">
        <f>+IF(PROVEEDORES[[#This Row],[FECHA DE PAGO]]=PROVEEDORES[[#This Row],[FECHA DE FACTURACIÓN]],"DE CONTADO","CRÉDITO")</f>
        <v>CRÉDITO</v>
      </c>
      <c r="B1563" s="70" t="str">
        <f>+IF((PROVEEDORES[[#This Row],[FECHA DE PAGO]]-PROVEEDORES[[#This Row],[FECHA DE FACTURACIÓN]])&gt;PROVEEDORES[[#This Row],[PLAZO Días]],"PAGO VENCIDO")</f>
        <v>PAGO VENCIDO</v>
      </c>
      <c r="C1563" s="27">
        <f>+VLOOKUP(PROVEEDORES[[#This Row],[PROVEEDOR]],TERCEROS_INFO[#All],2,FALSE)</f>
        <v>30</v>
      </c>
      <c r="D1563" s="37">
        <f>+SUMIFS(PROVEEDORES[Total],PROVEEDORES[PROVEEDOR],PROVEEDORES[[#This Row],[PROVEEDOR]],PROVEEDORES[FECHA DE PAGO],"")</f>
        <v>28462560</v>
      </c>
      <c r="E1563" s="37"/>
      <c r="F1563" s="108" t="str">
        <f>+VLOOKUP(PROVEEDORES[[#This Row],[PROVEEDOR]],TERCEROS_INFO[[PROVEEDOR]:[CORREO]],5,FALSE)</f>
        <v/>
      </c>
      <c r="G1563" s="143">
        <v>44357</v>
      </c>
      <c r="H1563" s="38" t="s">
        <v>41</v>
      </c>
      <c r="I1563" s="30">
        <v>44257</v>
      </c>
      <c r="J1563" s="58" t="s">
        <v>588</v>
      </c>
      <c r="K1563" s="32">
        <f>2578.4*3589</f>
        <v>9253877.5999999996</v>
      </c>
      <c r="L1563" s="32"/>
      <c r="M1563" s="33">
        <f>(PROVEEDORES[[#This Row],[SUBTOTAL]]-PROVEEDORES[[#This Row],[descuento antes de IVA]])*VLOOKUP(PROVEEDORES[[#This Row],[PROVEEDOR]],TERCEROS_INFO[#All],3,FALSE)</f>
        <v>0</v>
      </c>
      <c r="N1563" s="34"/>
      <c r="O1563" s="33">
        <f>+PROVEEDORES[[#This Row],[Descuento sobre subtotal %]]*(PROVEEDORES[[#This Row],[SUBTOTAL]]-PROVEEDORES[[#This Row],[descuento antes de IVA]])</f>
        <v>0</v>
      </c>
      <c r="P15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63" s="33">
        <f>+(PROVEEDORES[[#This Row],[SUBTOTAL]]-PROVEEDORES[[#This Row],[descuento antes de IVA]])*PROVEEDORES[[#This Row],[Rete Fuente %]]</f>
        <v>0</v>
      </c>
      <c r="R1563" s="32">
        <f>+PROVEEDORES[[#This Row],[SUBTOTAL]]+PROVEEDORES[[#This Row],[IVA 19%]]-PROVEEDORES[[#This Row],[descuento antes de IVA]]-PROVEEDORES[[#This Row],[Descuento sobre subtotal $]]-PROVEEDORES[[#This Row],[Rete Fuente $]]</f>
        <v>9253877.5999999996</v>
      </c>
      <c r="S156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64" spans="1:19" ht="21.95" hidden="1" customHeight="1" x14ac:dyDescent="0.25">
      <c r="A1564" s="175" t="str">
        <f>+IF(PROVEEDORES[[#This Row],[FECHA DE PAGO]]=PROVEEDORES[[#This Row],[FECHA DE FACTURACIÓN]],"DE CONTADO","CRÉDITO")</f>
        <v>CRÉDITO</v>
      </c>
      <c r="B1564" s="70" t="b">
        <f>+IF((PROVEEDORES[[#This Row],[FECHA DE PAGO]]-PROVEEDORES[[#This Row],[FECHA DE FACTURACIÓN]])&gt;PROVEEDORES[[#This Row],[PLAZO Días]],"PAGO VENCIDO")</f>
        <v>0</v>
      </c>
      <c r="C1564" s="27">
        <v>60</v>
      </c>
      <c r="D1564" s="37">
        <f>+SUMIFS(PROVEEDORES[Total],PROVEEDORES[PROVEEDOR],PROVEEDORES[[#This Row],[PROVEEDOR]],PROVEEDORES[FECHA DE PAGO],"")</f>
        <v>28462560</v>
      </c>
      <c r="E1564" s="37"/>
      <c r="F1564" s="108" t="str">
        <f>+VLOOKUP(PROVEEDORES[[#This Row],[PROVEEDOR]],TERCEROS_INFO[[PROVEEDOR]:[CORREO]],5,FALSE)</f>
        <v/>
      </c>
      <c r="H1564" s="38" t="s">
        <v>41</v>
      </c>
      <c r="I1564" s="30">
        <v>44531</v>
      </c>
      <c r="J1564" s="58" t="s">
        <v>1345</v>
      </c>
      <c r="K1564" s="32">
        <f>1269.6*4200</f>
        <v>5332320</v>
      </c>
      <c r="L1564" s="32"/>
      <c r="M1564" s="33">
        <f>(PROVEEDORES[[#This Row],[SUBTOTAL]]-PROVEEDORES[[#This Row],[descuento antes de IVA]])*VLOOKUP(PROVEEDORES[[#This Row],[PROVEEDOR]],TERCEROS_INFO[#All],3,FALSE)</f>
        <v>0</v>
      </c>
      <c r="N1564" s="34"/>
      <c r="O1564" s="33">
        <f>+PROVEEDORES[[#This Row],[Descuento sobre subtotal %]]*(PROVEEDORES[[#This Row],[SUBTOTAL]]-PROVEEDORES[[#This Row],[descuento antes de IVA]])</f>
        <v>0</v>
      </c>
      <c r="P15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64" s="33">
        <f>+(PROVEEDORES[[#This Row],[SUBTOTAL]]-PROVEEDORES[[#This Row],[descuento antes de IVA]])*PROVEEDORES[[#This Row],[Rete Fuente %]]</f>
        <v>0</v>
      </c>
      <c r="R1564" s="32">
        <f>+PROVEEDORES[[#This Row],[SUBTOTAL]]+PROVEEDORES[[#This Row],[IVA 19%]]-PROVEEDORES[[#This Row],[descuento antes de IVA]]-PROVEEDORES[[#This Row],[Descuento sobre subtotal $]]-PROVEEDORES[[#This Row],[Rete Fuente $]]</f>
        <v>5332320</v>
      </c>
      <c r="S1564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565" spans="1:19" ht="21.95" hidden="1" customHeight="1" x14ac:dyDescent="0.25">
      <c r="A1565" s="175" t="str">
        <f>+IF(PROVEEDORES[[#This Row],[FECHA DE PAGO]]=PROVEEDORES[[#This Row],[FECHA DE FACTURACIÓN]],"DE CONTADO","CRÉDITO")</f>
        <v>CRÉDITO</v>
      </c>
      <c r="B1565" s="70" t="b">
        <f>+IF((PROVEEDORES[[#This Row],[FECHA DE PAGO]]-PROVEEDORES[[#This Row],[FECHA DE FACTURACIÓN]])&gt;PROVEEDORES[[#This Row],[PLAZO Días]],"PAGO VENCIDO")</f>
        <v>0</v>
      </c>
      <c r="C1565" s="27">
        <v>60</v>
      </c>
      <c r="D1565" s="37">
        <f>+SUMIFS(PROVEEDORES[Total],PROVEEDORES[PROVEEDOR],PROVEEDORES[[#This Row],[PROVEEDOR]],PROVEEDORES[FECHA DE PAGO],"")</f>
        <v>28462560</v>
      </c>
      <c r="E1565" s="37"/>
      <c r="F1565" s="108" t="str">
        <f>+VLOOKUP(PROVEEDORES[[#This Row],[PROVEEDOR]],TERCEROS_INFO[[PROVEEDOR]:[CORREO]],5,FALSE)</f>
        <v/>
      </c>
      <c r="H1565" s="38" t="s">
        <v>41</v>
      </c>
      <c r="I1565" s="30">
        <v>44531</v>
      </c>
      <c r="J1565" s="58" t="s">
        <v>1346</v>
      </c>
      <c r="K1565" s="32">
        <f>5507.2*4200</f>
        <v>23130240</v>
      </c>
      <c r="L1565" s="32"/>
      <c r="M1565" s="33">
        <f>(PROVEEDORES[[#This Row],[SUBTOTAL]]-PROVEEDORES[[#This Row],[descuento antes de IVA]])*VLOOKUP(PROVEEDORES[[#This Row],[PROVEEDOR]],TERCEROS_INFO[#All],3,FALSE)</f>
        <v>0</v>
      </c>
      <c r="N1565" s="34"/>
      <c r="O1565" s="33">
        <f>+PROVEEDORES[[#This Row],[Descuento sobre subtotal %]]*(PROVEEDORES[[#This Row],[SUBTOTAL]]-PROVEEDORES[[#This Row],[descuento antes de IVA]])</f>
        <v>0</v>
      </c>
      <c r="P15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65" s="33">
        <f>+(PROVEEDORES[[#This Row],[SUBTOTAL]]-PROVEEDORES[[#This Row],[descuento antes de IVA]])*PROVEEDORES[[#This Row],[Rete Fuente %]]</f>
        <v>0</v>
      </c>
      <c r="R1565" s="32">
        <f>+PROVEEDORES[[#This Row],[SUBTOTAL]]+PROVEEDORES[[#This Row],[IVA 19%]]-PROVEEDORES[[#This Row],[descuento antes de IVA]]-PROVEEDORES[[#This Row],[Descuento sobre subtotal $]]-PROVEEDORES[[#This Row],[Rete Fuente $]]</f>
        <v>23130240</v>
      </c>
      <c r="S1565" s="17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566" spans="1:19" ht="21.95" hidden="1" customHeight="1" x14ac:dyDescent="0.25">
      <c r="A1566" s="107" t="str">
        <f>+IF(PROVEEDORES[[#This Row],[FECHA DE PAGO]]=PROVEEDORES[[#This Row],[FECHA DE FACTURACIÓN]],"DE CONTADO","CRÉDITO")</f>
        <v>CRÉDITO</v>
      </c>
      <c r="B1566" s="70" t="str">
        <f>+IF((PROVEEDORES[[#This Row],[FECHA DE PAGO]]-PROVEEDORES[[#This Row],[FECHA DE FACTURACIÓN]])&gt;PROVEEDORES[[#This Row],[PLAZO Días]],"PAGO VENCIDO")</f>
        <v>PAGO VENCIDO</v>
      </c>
      <c r="C1566" s="27">
        <f>+VLOOKUP(PROVEEDORES[[#This Row],[PROVEEDOR]],TERCEROS_INFO[#All],2,FALSE)</f>
        <v>20</v>
      </c>
      <c r="D1566" s="37">
        <f>+SUMIFS(PROVEEDORES[Total],PROVEEDORES[PROVEEDOR],PROVEEDORES[[#This Row],[PROVEEDOR]],PROVEEDORES[FECHA DE PAGO],"")</f>
        <v>0</v>
      </c>
      <c r="E1566" s="37"/>
      <c r="F1566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66" s="143">
        <v>44321</v>
      </c>
      <c r="H1566" s="57" t="s">
        <v>770</v>
      </c>
      <c r="I1566" s="30">
        <v>44294</v>
      </c>
      <c r="J1566" s="58" t="s">
        <v>1112</v>
      </c>
      <c r="K1566" s="32">
        <v>443400</v>
      </c>
      <c r="L1566" s="32"/>
      <c r="M1566" s="33">
        <f>(PROVEEDORES[[#This Row],[SUBTOTAL]]-PROVEEDORES[[#This Row],[descuento antes de IVA]])*VLOOKUP(PROVEEDORES[[#This Row],[PROVEEDOR]],TERCEROS_INFO[#All],3,FALSE)</f>
        <v>0</v>
      </c>
      <c r="N1566" s="34"/>
      <c r="O1566" s="33">
        <f>+PROVEEDORES[[#This Row],[Descuento sobre subtotal %]]*(PROVEEDORES[[#This Row],[SUBTOTAL]]-PROVEEDORES[[#This Row],[descuento antes de IVA]])</f>
        <v>0</v>
      </c>
      <c r="P15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566" s="33">
        <f>166400*PROVEEDORES[[#This Row],[Rete Fuente %]]</f>
        <v>1664</v>
      </c>
      <c r="R1566" s="32">
        <f>+PROVEEDORES[[#This Row],[SUBTOTAL]]+PROVEEDORES[[#This Row],[IVA 19%]]-PROVEEDORES[[#This Row],[descuento antes de IVA]]-PROVEEDORES[[#This Row],[Descuento sobre subtotal $]]-PROVEEDORES[[#This Row],[Rete Fuente $]]</f>
        <v>441736</v>
      </c>
      <c r="S1566" s="10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67" spans="1:19" ht="21.95" hidden="1" customHeight="1" x14ac:dyDescent="0.25">
      <c r="A1567" s="111" t="str">
        <f>+IF(PROVEEDORES[[#This Row],[FECHA DE PAGO]]=PROVEEDORES[[#This Row],[FECHA DE FACTURACIÓN]],"DE CONTADO","CRÉDITO")</f>
        <v>CRÉDITO</v>
      </c>
      <c r="B1567" s="70" t="b">
        <f>+IF((PROVEEDORES[[#This Row],[FECHA DE PAGO]]-PROVEEDORES[[#This Row],[FECHA DE FACTURACIÓN]])&gt;PROVEEDORES[[#This Row],[PLAZO Días]],"PAGO VENCIDO")</f>
        <v>0</v>
      </c>
      <c r="C1567" s="27">
        <f>+VLOOKUP(PROVEEDORES[[#This Row],[PROVEEDOR]],TERCEROS_INFO[#All],2,FALSE)</f>
        <v>20</v>
      </c>
      <c r="D1567" s="37">
        <f>+SUMIFS(PROVEEDORES[Total],PROVEEDORES[PROVEEDOR],PROVEEDORES[[#This Row],[PROVEEDOR]],PROVEEDORES[FECHA DE PAGO],"")</f>
        <v>0</v>
      </c>
      <c r="E1567" s="37"/>
      <c r="F1567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67" s="143">
        <v>44341</v>
      </c>
      <c r="H1567" s="57" t="s">
        <v>770</v>
      </c>
      <c r="I1567" s="30">
        <v>44334</v>
      </c>
      <c r="J1567" s="58" t="s">
        <v>1130</v>
      </c>
      <c r="K1567" s="32">
        <v>205300</v>
      </c>
      <c r="L1567" s="32"/>
      <c r="M1567" s="33">
        <f>(PROVEEDORES[[#This Row],[SUBTOTAL]]-PROVEEDORES[[#This Row],[descuento antes de IVA]])*VLOOKUP(PROVEEDORES[[#This Row],[PROVEEDOR]],TERCEROS_INFO[#All],3,FALSE)</f>
        <v>0</v>
      </c>
      <c r="N1567" s="34"/>
      <c r="O1567" s="33">
        <f>+PROVEEDORES[[#This Row],[Descuento sobre subtotal %]]*(PROVEEDORES[[#This Row],[SUBTOTAL]]-PROVEEDORES[[#This Row],[descuento antes de IVA]])</f>
        <v>0</v>
      </c>
      <c r="P15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567" s="33">
        <f>+(PROVEEDORES[[#This Row],[SUBTOTAL]]-PROVEEDORES[[#This Row],[descuento antes de IVA]])*PROVEEDORES[[#This Row],[Rete Fuente %]]</f>
        <v>2053</v>
      </c>
      <c r="R1567" s="32">
        <f>+PROVEEDORES[[#This Row],[SUBTOTAL]]+PROVEEDORES[[#This Row],[IVA 19%]]-PROVEEDORES[[#This Row],[descuento antes de IVA]]-PROVEEDORES[[#This Row],[Descuento sobre subtotal $]]-PROVEEDORES[[#This Row],[Rete Fuente $]]</f>
        <v>203247</v>
      </c>
      <c r="S1567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68" spans="1:19" ht="21.95" hidden="1" customHeight="1" x14ac:dyDescent="0.25">
      <c r="A1568" s="127" t="str">
        <f>+IF(PROVEEDORES[[#This Row],[FECHA DE PAGO]]=PROVEEDORES[[#This Row],[FECHA DE FACTURACIÓN]],"DE CONTADO","CRÉDITO")</f>
        <v>CRÉDITO</v>
      </c>
      <c r="B1568" s="70" t="b">
        <f>+IF((PROVEEDORES[[#This Row],[FECHA DE PAGO]]-PROVEEDORES[[#This Row],[FECHA DE FACTURACIÓN]])&gt;PROVEEDORES[[#This Row],[PLAZO Días]],"PAGO VENCIDO")</f>
        <v>0</v>
      </c>
      <c r="C1568" s="27">
        <f>+VLOOKUP(PROVEEDORES[[#This Row],[PROVEEDOR]],TERCEROS_INFO[#All],2,FALSE)</f>
        <v>20</v>
      </c>
      <c r="D1568" s="37">
        <f>+SUMIFS(PROVEEDORES[Total],PROVEEDORES[PROVEEDOR],PROVEEDORES[[#This Row],[PROVEEDOR]],PROVEEDORES[FECHA DE PAGO],"")</f>
        <v>0</v>
      </c>
      <c r="E1568" s="37"/>
      <c r="F1568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68" s="143">
        <v>44377</v>
      </c>
      <c r="H1568" s="57" t="s">
        <v>770</v>
      </c>
      <c r="I1568" s="30">
        <v>44365</v>
      </c>
      <c r="J1568" s="58" t="s">
        <v>1161</v>
      </c>
      <c r="K1568" s="32">
        <v>732300</v>
      </c>
      <c r="L1568" s="32"/>
      <c r="M1568" s="33">
        <f>(PROVEEDORES[[#This Row],[SUBTOTAL]]-PROVEEDORES[[#This Row],[descuento antes de IVA]])*VLOOKUP(PROVEEDORES[[#This Row],[PROVEEDOR]],TERCEROS_INFO[#All],3,FALSE)</f>
        <v>0</v>
      </c>
      <c r="N1568" s="34"/>
      <c r="O1568" s="33">
        <f>+PROVEEDORES[[#This Row],[Descuento sobre subtotal %]]*(PROVEEDORES[[#This Row],[SUBTOTAL]]-PROVEEDORES[[#This Row],[descuento antes de IVA]])</f>
        <v>0</v>
      </c>
      <c r="P15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568" s="33">
        <f>186000*PROVEEDORES[[#This Row],[Rete Fuente %]]</f>
        <v>1860</v>
      </c>
      <c r="R1568" s="32">
        <f>+PROVEEDORES[[#This Row],[SUBTOTAL]]+PROVEEDORES[[#This Row],[IVA 19%]]-PROVEEDORES[[#This Row],[descuento antes de IVA]]-PROVEEDORES[[#This Row],[Descuento sobre subtotal $]]-PROVEEDORES[[#This Row],[Rete Fuente $]]</f>
        <v>730440</v>
      </c>
      <c r="S1568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69" spans="1:19" ht="21.95" hidden="1" customHeight="1" x14ac:dyDescent="0.25">
      <c r="A1569" s="135" t="str">
        <f>+IF(PROVEEDORES[[#This Row],[FECHA DE PAGO]]=PROVEEDORES[[#This Row],[FECHA DE FACTURACIÓN]],"DE CONTADO","CRÉDITO")</f>
        <v>CRÉDITO</v>
      </c>
      <c r="B1569" s="70" t="b">
        <f>+IF((PROVEEDORES[[#This Row],[FECHA DE PAGO]]-PROVEEDORES[[#This Row],[FECHA DE FACTURACIÓN]])&gt;PROVEEDORES[[#This Row],[PLAZO Días]],"PAGO VENCIDO")</f>
        <v>0</v>
      </c>
      <c r="C1569" s="27">
        <f>+VLOOKUP(PROVEEDORES[[#This Row],[PROVEEDOR]],TERCEROS_INFO[#All],2,FALSE)</f>
        <v>20</v>
      </c>
      <c r="D1569" s="37">
        <f>+SUMIFS(PROVEEDORES[Total],PROVEEDORES[PROVEEDOR],PROVEEDORES[[#This Row],[PROVEEDOR]],PROVEEDORES[FECHA DE PAGO],"")</f>
        <v>0</v>
      </c>
      <c r="E1569" s="37"/>
      <c r="F1569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69" s="143">
        <v>44411</v>
      </c>
      <c r="H1569" s="57" t="s">
        <v>770</v>
      </c>
      <c r="I1569" s="30">
        <v>44410</v>
      </c>
      <c r="J1569" s="58" t="s">
        <v>1201</v>
      </c>
      <c r="K1569" s="32">
        <v>137000</v>
      </c>
      <c r="L1569" s="32"/>
      <c r="M1569" s="33">
        <f>(PROVEEDORES[[#This Row],[SUBTOTAL]]-PROVEEDORES[[#This Row],[descuento antes de IVA]])*VLOOKUP(PROVEEDORES[[#This Row],[PROVEEDOR]],TERCEROS_INFO[#All],3,FALSE)</f>
        <v>0</v>
      </c>
      <c r="N1569" s="34"/>
      <c r="O1569" s="33">
        <f>+PROVEEDORES[[#This Row],[Descuento sobre subtotal %]]*(PROVEEDORES[[#This Row],[SUBTOTAL]]-PROVEEDORES[[#This Row],[descuento antes de IVA]])</f>
        <v>0</v>
      </c>
      <c r="P1569" s="34">
        <v>0.01</v>
      </c>
      <c r="Q1569" s="33">
        <f>+(PROVEEDORES[[#This Row],[SUBTOTAL]]-PROVEEDORES[[#This Row],[descuento antes de IVA]])*PROVEEDORES[[#This Row],[Rete Fuente %]]</f>
        <v>1370</v>
      </c>
      <c r="R1569" s="32">
        <f>+PROVEEDORES[[#This Row],[SUBTOTAL]]+PROVEEDORES[[#This Row],[IVA 19%]]-PROVEEDORES[[#This Row],[descuento antes de IVA]]-PROVEEDORES[[#This Row],[Descuento sobre subtotal $]]-PROVEEDORES[[#This Row],[Rete Fuente $]]</f>
        <v>135630</v>
      </c>
      <c r="S1569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0" spans="1:19" ht="21.95" hidden="1" customHeight="1" x14ac:dyDescent="0.25">
      <c r="A1570" s="142" t="str">
        <f>+IF(PROVEEDORES[[#This Row],[FECHA DE PAGO]]=PROVEEDORES[[#This Row],[FECHA DE FACTURACIÓN]],"DE CONTADO","CRÉDITO")</f>
        <v>CRÉDITO</v>
      </c>
      <c r="B1570" s="70" t="b">
        <f>+IF((PROVEEDORES[[#This Row],[FECHA DE PAGO]]-PROVEEDORES[[#This Row],[FECHA DE FACTURACIÓN]])&gt;PROVEEDORES[[#This Row],[PLAZO Días]],"PAGO VENCIDO")</f>
        <v>0</v>
      </c>
      <c r="C1570" s="27">
        <f>+VLOOKUP(PROVEEDORES[[#This Row],[PROVEEDOR]],TERCEROS_INFO[#All],2,FALSE)</f>
        <v>20</v>
      </c>
      <c r="D1570" s="37">
        <f>+SUMIFS(PROVEEDORES[Total],PROVEEDORES[PROVEEDOR],PROVEEDORES[[#This Row],[PROVEEDOR]],PROVEEDORES[FECHA DE PAGO],"")</f>
        <v>0</v>
      </c>
      <c r="E1570" s="37"/>
      <c r="F1570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0" s="143">
        <v>44432</v>
      </c>
      <c r="H1570" s="57" t="s">
        <v>770</v>
      </c>
      <c r="I1570" s="30">
        <v>44427</v>
      </c>
      <c r="J1570" s="58" t="s">
        <v>1216</v>
      </c>
      <c r="K1570" s="32">
        <v>136900</v>
      </c>
      <c r="L1570" s="32"/>
      <c r="M1570" s="33">
        <f>(PROVEEDORES[[#This Row],[SUBTOTAL]]-PROVEEDORES[[#This Row],[descuento antes de IVA]])*VLOOKUP(PROVEEDORES[[#This Row],[PROVEEDOR]],TERCEROS_INFO[#All],3,FALSE)</f>
        <v>0</v>
      </c>
      <c r="N1570" s="34"/>
      <c r="O1570" s="33">
        <f>+PROVEEDORES[[#This Row],[Descuento sobre subtotal %]]*(PROVEEDORES[[#This Row],[SUBTOTAL]]-PROVEEDORES[[#This Row],[descuento antes de IVA]])</f>
        <v>0</v>
      </c>
      <c r="P1570" s="34">
        <v>0.01</v>
      </c>
      <c r="Q1570" s="33">
        <f>+(PROVEEDORES[[#This Row],[SUBTOTAL]]-PROVEEDORES[[#This Row],[descuento antes de IVA]])*PROVEEDORES[[#This Row],[Rete Fuente %]]</f>
        <v>1369</v>
      </c>
      <c r="R1570" s="32">
        <f>+PROVEEDORES[[#This Row],[SUBTOTAL]]+PROVEEDORES[[#This Row],[IVA 19%]]-PROVEEDORES[[#This Row],[descuento antes de IVA]]-PROVEEDORES[[#This Row],[Descuento sobre subtotal $]]-PROVEEDORES[[#This Row],[Rete Fuente $]]</f>
        <v>135531</v>
      </c>
      <c r="S1570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1" spans="1:19" ht="21.95" hidden="1" customHeight="1" x14ac:dyDescent="0.25">
      <c r="A1571" s="142" t="str">
        <f>+IF(PROVEEDORES[[#This Row],[FECHA DE PAGO]]=PROVEEDORES[[#This Row],[FECHA DE FACTURACIÓN]],"DE CONTADO","CRÉDITO")</f>
        <v>CRÉDITO</v>
      </c>
      <c r="B1571" s="70" t="b">
        <f>+IF((PROVEEDORES[[#This Row],[FECHA DE PAGO]]-PROVEEDORES[[#This Row],[FECHA DE FACTURACIÓN]])&gt;PROVEEDORES[[#This Row],[PLAZO Días]],"PAGO VENCIDO")</f>
        <v>0</v>
      </c>
      <c r="C1571" s="27">
        <f>+VLOOKUP(PROVEEDORES[[#This Row],[PROVEEDOR]],TERCEROS_INFO[#All],2,FALSE)</f>
        <v>20</v>
      </c>
      <c r="D1571" s="37">
        <f>+SUMIFS(PROVEEDORES[Total],PROVEEDORES[PROVEEDOR],PROVEEDORES[[#This Row],[PROVEEDOR]],PROVEEDORES[FECHA DE PAGO],"")</f>
        <v>0</v>
      </c>
      <c r="E1571" s="37"/>
      <c r="F1571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1" s="143">
        <v>44432</v>
      </c>
      <c r="H1571" s="57" t="s">
        <v>770</v>
      </c>
      <c r="I1571" s="30">
        <v>44427</v>
      </c>
      <c r="J1571" s="58" t="s">
        <v>1217</v>
      </c>
      <c r="K1571" s="32">
        <v>136900</v>
      </c>
      <c r="L1571" s="32"/>
      <c r="M1571" s="33">
        <f>(PROVEEDORES[[#This Row],[SUBTOTAL]]-PROVEEDORES[[#This Row],[descuento antes de IVA]])*VLOOKUP(PROVEEDORES[[#This Row],[PROVEEDOR]],TERCEROS_INFO[#All],3,FALSE)</f>
        <v>0</v>
      </c>
      <c r="N1571" s="34"/>
      <c r="O1571" s="33">
        <f>+PROVEEDORES[[#This Row],[Descuento sobre subtotal %]]*(PROVEEDORES[[#This Row],[SUBTOTAL]]-PROVEEDORES[[#This Row],[descuento antes de IVA]])</f>
        <v>0</v>
      </c>
      <c r="P1571" s="34">
        <v>0.01</v>
      </c>
      <c r="Q1571" s="33">
        <f>+(PROVEEDORES[[#This Row],[SUBTOTAL]]-PROVEEDORES[[#This Row],[descuento antes de IVA]])*PROVEEDORES[[#This Row],[Rete Fuente %]]</f>
        <v>1369</v>
      </c>
      <c r="R1571" s="32">
        <f>+PROVEEDORES[[#This Row],[SUBTOTAL]]+PROVEEDORES[[#This Row],[IVA 19%]]-PROVEEDORES[[#This Row],[descuento antes de IVA]]-PROVEEDORES[[#This Row],[Descuento sobre subtotal $]]-PROVEEDORES[[#This Row],[Rete Fuente $]]</f>
        <v>135531</v>
      </c>
      <c r="S1571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2" spans="1:19" ht="21.95" hidden="1" customHeight="1" x14ac:dyDescent="0.25">
      <c r="A1572" s="142" t="str">
        <f>+IF(PROVEEDORES[[#This Row],[FECHA DE PAGO]]=PROVEEDORES[[#This Row],[FECHA DE FACTURACIÓN]],"DE CONTADO","CRÉDITO")</f>
        <v>CRÉDITO</v>
      </c>
      <c r="B1572" s="70" t="b">
        <f>+IF((PROVEEDORES[[#This Row],[FECHA DE PAGO]]-PROVEEDORES[[#This Row],[FECHA DE FACTURACIÓN]])&gt;PROVEEDORES[[#This Row],[PLAZO Días]],"PAGO VENCIDO")</f>
        <v>0</v>
      </c>
      <c r="C1572" s="27">
        <f>+VLOOKUP(PROVEEDORES[[#This Row],[PROVEEDOR]],TERCEROS_INFO[#All],2,FALSE)</f>
        <v>20</v>
      </c>
      <c r="D1572" s="37">
        <f>+SUMIFS(PROVEEDORES[Total],PROVEEDORES[PROVEEDOR],PROVEEDORES[[#This Row],[PROVEEDOR]],PROVEEDORES[FECHA DE PAGO],"")</f>
        <v>0</v>
      </c>
      <c r="E1572" s="37"/>
      <c r="F1572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2" s="143">
        <v>44432</v>
      </c>
      <c r="H1572" s="57" t="s">
        <v>770</v>
      </c>
      <c r="I1572" s="30">
        <v>44427</v>
      </c>
      <c r="J1572" s="58" t="s">
        <v>1218</v>
      </c>
      <c r="K1572" s="32">
        <v>369000</v>
      </c>
      <c r="L1572" s="32"/>
      <c r="M1572" s="33">
        <f>(PROVEEDORES[[#This Row],[SUBTOTAL]]-PROVEEDORES[[#This Row],[descuento antes de IVA]])*VLOOKUP(PROVEEDORES[[#This Row],[PROVEEDOR]],TERCEROS_INFO[#All],3,FALSE)</f>
        <v>0</v>
      </c>
      <c r="N1572" s="34"/>
      <c r="O1572" s="33">
        <f>+PROVEEDORES[[#This Row],[Descuento sobre subtotal %]]*(PROVEEDORES[[#This Row],[SUBTOTAL]]-PROVEEDORES[[#This Row],[descuento antes de IVA]])</f>
        <v>0</v>
      </c>
      <c r="P15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572" s="33">
        <f>176000*PROVEEDORES[[#This Row],[Rete Fuente %]]</f>
        <v>1760</v>
      </c>
      <c r="R1572" s="32">
        <f>+PROVEEDORES[[#This Row],[SUBTOTAL]]+PROVEEDORES[[#This Row],[IVA 19%]]-PROVEEDORES[[#This Row],[descuento antes de IVA]]-PROVEEDORES[[#This Row],[Descuento sobre subtotal $]]-PROVEEDORES[[#This Row],[Rete Fuente $]]</f>
        <v>367240</v>
      </c>
      <c r="S1572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3" spans="1:19" ht="21.95" hidden="1" customHeight="1" x14ac:dyDescent="0.25">
      <c r="A1573" s="134" t="str">
        <f>+IF(PROVEEDORES[[#This Row],[FECHA DE PAGO]]=PROVEEDORES[[#This Row],[FECHA DE FACTURACIÓN]],"DE CONTADO","CRÉDITO")</f>
        <v>CRÉDITO</v>
      </c>
      <c r="B1573" s="70" t="str">
        <f>+IF((PROVEEDORES[[#This Row],[FECHA DE PAGO]]-PROVEEDORES[[#This Row],[FECHA DE FACTURACIÓN]])&gt;PROVEEDORES[[#This Row],[PLAZO Días]],"PAGO VENCIDO")</f>
        <v>PAGO VENCIDO</v>
      </c>
      <c r="C1573" s="27">
        <f>+VLOOKUP(PROVEEDORES[[#This Row],[PROVEEDOR]],TERCEROS_INFO[#All],2,FALSE)</f>
        <v>20</v>
      </c>
      <c r="D1573" s="37">
        <f>+SUMIFS(PROVEEDORES[Total],PROVEEDORES[PROVEEDOR],PROVEEDORES[[#This Row],[PROVEEDOR]],PROVEEDORES[FECHA DE PAGO],"")</f>
        <v>0</v>
      </c>
      <c r="E1573" s="37"/>
      <c r="F1573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3" s="143">
        <v>44411</v>
      </c>
      <c r="H1573" s="38" t="s">
        <v>771</v>
      </c>
      <c r="I1573" s="30">
        <v>44386</v>
      </c>
      <c r="J1573" s="58" t="s">
        <v>758</v>
      </c>
      <c r="K1573" s="32">
        <v>579800</v>
      </c>
      <c r="L1573" s="32"/>
      <c r="M1573" s="33">
        <f>(PROVEEDORES[[#This Row],[SUBTOTAL]]-PROVEEDORES[[#This Row],[descuento antes de IVA]])*VLOOKUP(PROVEEDORES[[#This Row],[PROVEEDOR]],TERCEROS_INFO[#All],3,FALSE)</f>
        <v>0</v>
      </c>
      <c r="N1573" s="34"/>
      <c r="O1573" s="33">
        <f>+PROVEEDORES[[#This Row],[Descuento sobre subtotal %]]*(PROVEEDORES[[#This Row],[SUBTOTAL]]-PROVEEDORES[[#This Row],[descuento antes de IVA]])</f>
        <v>0</v>
      </c>
      <c r="P15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573" s="33">
        <f>+PROVEEDORES[[#This Row],[Rete Fuente %]]*160800</f>
        <v>1608</v>
      </c>
      <c r="R1573" s="32">
        <f>+PROVEEDORES[[#This Row],[SUBTOTAL]]+PROVEEDORES[[#This Row],[IVA 19%]]-PROVEEDORES[[#This Row],[descuento antes de IVA]]-PROVEEDORES[[#This Row],[Descuento sobre subtotal $]]-PROVEEDORES[[#This Row],[Rete Fuente $]]</f>
        <v>578192</v>
      </c>
      <c r="S157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4" spans="1:19" ht="21.95" hidden="1" customHeight="1" x14ac:dyDescent="0.25">
      <c r="A1574" s="135" t="str">
        <f>+IF(PROVEEDORES[[#This Row],[FECHA DE PAGO]]=PROVEEDORES[[#This Row],[FECHA DE FACTURACIÓN]],"DE CONTADO","CRÉDITO")</f>
        <v>CRÉDITO</v>
      </c>
      <c r="B1574" s="70" t="b">
        <f>+IF((PROVEEDORES[[#This Row],[FECHA DE PAGO]]-PROVEEDORES[[#This Row],[FECHA DE FACTURACIÓN]])&gt;PROVEEDORES[[#This Row],[PLAZO Días]],"PAGO VENCIDO")</f>
        <v>0</v>
      </c>
      <c r="C1574" s="27">
        <f>+VLOOKUP(PROVEEDORES[[#This Row],[PROVEEDOR]],TERCEROS_INFO[#All],2,FALSE)</f>
        <v>20</v>
      </c>
      <c r="D1574" s="37">
        <f>+SUMIFS(PROVEEDORES[Total],PROVEEDORES[PROVEEDOR],PROVEEDORES[[#This Row],[PROVEEDOR]],PROVEEDORES[FECHA DE PAGO],"")</f>
        <v>0</v>
      </c>
      <c r="E1574" s="37"/>
      <c r="F1574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4" s="143">
        <v>44411</v>
      </c>
      <c r="H1574" s="38" t="s">
        <v>772</v>
      </c>
      <c r="I1574" s="30">
        <v>44410</v>
      </c>
      <c r="J1574" s="58" t="s">
        <v>766</v>
      </c>
      <c r="K1574" s="32">
        <v>264800</v>
      </c>
      <c r="L1574" s="32"/>
      <c r="M1574" s="33">
        <f>(PROVEEDORES[[#This Row],[SUBTOTAL]]-PROVEEDORES[[#This Row],[descuento antes de IVA]])*VLOOKUP(PROVEEDORES[[#This Row],[PROVEEDOR]],TERCEROS_INFO[#All],3,FALSE)</f>
        <v>0</v>
      </c>
      <c r="N1574" s="34"/>
      <c r="O1574" s="33">
        <f>+PROVEEDORES[[#This Row],[Descuento sobre subtotal %]]*(PROVEEDORES[[#This Row],[SUBTOTAL]]-PROVEEDORES[[#This Row],[descuento antes de IVA]])</f>
        <v>0</v>
      </c>
      <c r="P15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574" s="33">
        <f>+(PROVEEDORES[[#This Row],[SUBTOTAL]]-PROVEEDORES[[#This Row],[descuento antes de IVA]])*PROVEEDORES[[#This Row],[Rete Fuente %]]</f>
        <v>2648</v>
      </c>
      <c r="R1574" s="32">
        <f>+PROVEEDORES[[#This Row],[SUBTOTAL]]+PROVEEDORES[[#This Row],[IVA 19%]]-PROVEEDORES[[#This Row],[descuento antes de IVA]]-PROVEEDORES[[#This Row],[Descuento sobre subtotal $]]-PROVEEDORES[[#This Row],[Rete Fuente $]]</f>
        <v>262152</v>
      </c>
      <c r="S1574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5" spans="1:19" ht="21.95" hidden="1" customHeight="1" x14ac:dyDescent="0.25">
      <c r="A1575" s="144" t="str">
        <f>+IF(PROVEEDORES[[#This Row],[FECHA DE PAGO]]=PROVEEDORES[[#This Row],[FECHA DE FACTURACIÓN]],"DE CONTADO","CRÉDITO")</f>
        <v>CRÉDITO</v>
      </c>
      <c r="B1575" s="70" t="b">
        <f>+IF((PROVEEDORES[[#This Row],[FECHA DE PAGO]]-PROVEEDORES[[#This Row],[FECHA DE FACTURACIÓN]])&gt;PROVEEDORES[[#This Row],[PLAZO Días]],"PAGO VENCIDO")</f>
        <v>0</v>
      </c>
      <c r="C1575" s="27">
        <f>+VLOOKUP(PROVEEDORES[[#This Row],[PROVEEDOR]],TERCEROS_INFO[#All],2,FALSE)</f>
        <v>20</v>
      </c>
      <c r="D1575" s="37">
        <f>+SUMIFS(PROVEEDORES[Total],PROVEEDORES[PROVEEDOR],PROVEEDORES[[#This Row],[PROVEEDOR]],PROVEEDORES[FECHA DE PAGO],"")</f>
        <v>0</v>
      </c>
      <c r="E1575" s="37"/>
      <c r="F1575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5" s="143">
        <v>44452</v>
      </c>
      <c r="H1575" s="57" t="s">
        <v>772</v>
      </c>
      <c r="I1575" s="30">
        <v>44440</v>
      </c>
      <c r="J1575" s="58" t="s">
        <v>834</v>
      </c>
      <c r="K1575" s="32">
        <v>1958000</v>
      </c>
      <c r="L1575" s="32"/>
      <c r="M1575" s="33">
        <f>(PROVEEDORES[[#This Row],[SUBTOTAL]]-PROVEEDORES[[#This Row],[descuento antes de IVA]])*VLOOKUP(PROVEEDORES[[#This Row],[PROVEEDOR]],TERCEROS_INFO[#All],3,FALSE)</f>
        <v>0</v>
      </c>
      <c r="N1575" s="34"/>
      <c r="O1575" s="33">
        <f>+PROVEEDORES[[#This Row],[Descuento sobre subtotal %]]*(PROVEEDORES[[#This Row],[SUBTOTAL]]-PROVEEDORES[[#This Row],[descuento antes de IVA]])</f>
        <v>0</v>
      </c>
      <c r="P15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0.01</v>
      </c>
      <c r="Q1575" s="33">
        <v>0</v>
      </c>
      <c r="R1575" s="32">
        <f>+PROVEEDORES[[#This Row],[SUBTOTAL]]+PROVEEDORES[[#This Row],[IVA 19%]]-PROVEEDORES[[#This Row],[descuento antes de IVA]]-PROVEEDORES[[#This Row],[Descuento sobre subtotal $]]-PROVEEDORES[[#This Row],[Rete Fuente $]]</f>
        <v>1958000</v>
      </c>
      <c r="S1575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6" spans="1:19" ht="21.95" hidden="1" customHeight="1" x14ac:dyDescent="0.25">
      <c r="A1576" s="124" t="str">
        <f>+IF(PROVEEDORES[[#This Row],[FECHA DE PAGO]]=PROVEEDORES[[#This Row],[FECHA DE FACTURACIÓN]],"DE CONTADO","CRÉDITO")</f>
        <v>CRÉDITO</v>
      </c>
      <c r="B1576" s="70" t="b">
        <f>+IF((PROVEEDORES[[#This Row],[FECHA DE PAGO]]-PROVEEDORES[[#This Row],[FECHA DE FACTURACIÓN]])&gt;PROVEEDORES[[#This Row],[PLAZO Días]],"PAGO VENCIDO")</f>
        <v>0</v>
      </c>
      <c r="C1576" s="27">
        <f>+VLOOKUP(PROVEEDORES[[#This Row],[PROVEEDOR]],TERCEROS_INFO[#All],2,FALSE)</f>
        <v>20</v>
      </c>
      <c r="D1576" s="37">
        <f>+SUMIFS(PROVEEDORES[Total],PROVEEDORES[PROVEEDOR],PROVEEDORES[[#This Row],[PROVEEDOR]],PROVEEDORES[FECHA DE PAGO],"")</f>
        <v>0</v>
      </c>
      <c r="E1576" s="37"/>
      <c r="F1576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6" s="143">
        <v>44363</v>
      </c>
      <c r="H1576" s="57" t="s">
        <v>707</v>
      </c>
      <c r="I1576" s="30">
        <v>44356</v>
      </c>
      <c r="J1576" s="58" t="s">
        <v>826</v>
      </c>
      <c r="K1576" s="32">
        <f>(3677.41*899.7)/1.19</f>
        <v>2780307.3756302525</v>
      </c>
      <c r="L1576" s="32"/>
      <c r="M1576" s="33">
        <f>(PROVEEDORES[[#This Row],[SUBTOTAL]]-PROVEEDORES[[#This Row],[descuento antes de IVA]])*VLOOKUP(PROVEEDORES[[#This Row],[PROVEEDOR]],TERCEROS_INFO[#All],3,FALSE)</f>
        <v>528258.40136974794</v>
      </c>
      <c r="N1576" s="34"/>
      <c r="O1576" s="33">
        <f>+PROVEEDORES[[#This Row],[Descuento sobre subtotal %]]*(PROVEEDORES[[#This Row],[SUBTOTAL]]-PROVEEDORES[[#This Row],[descuento antes de IVA]])</f>
        <v>0</v>
      </c>
      <c r="P1576" s="34">
        <v>0.04</v>
      </c>
      <c r="Q1576" s="33">
        <v>19123</v>
      </c>
      <c r="R1576" s="32">
        <f>+PROVEEDORES[[#This Row],[SUBTOTAL]]+PROVEEDORES[[#This Row],[IVA 19%]]-PROVEEDORES[[#This Row],[descuento antes de IVA]]-PROVEEDORES[[#This Row],[Descuento sobre subtotal $]]-PROVEEDORES[[#This Row],[Rete Fuente $]]</f>
        <v>3289442.7770000007</v>
      </c>
      <c r="S1576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7" spans="1:19" ht="21.95" hidden="1" customHeight="1" x14ac:dyDescent="0.25">
      <c r="A1577" s="103" t="str">
        <f>+IF(PROVEEDORES[[#This Row],[FECHA DE PAGO]]=PROVEEDORES[[#This Row],[FECHA DE FACTURACIÓN]],"DE CONTADO","CRÉDITO")</f>
        <v>CRÉDITO</v>
      </c>
      <c r="B1577" s="70" t="b">
        <f>+IF((PROVEEDORES[[#This Row],[FECHA DE PAGO]]-PROVEEDORES[[#This Row],[FECHA DE FACTURACIÓN]])&gt;PROVEEDORES[[#This Row],[PLAZO Días]],"PAGO VENCIDO")</f>
        <v>0</v>
      </c>
      <c r="C1577" s="27">
        <f>+VLOOKUP(PROVEEDORES[[#This Row],[PROVEEDOR]],TERCEROS_INFO[#All],2,FALSE)</f>
        <v>20</v>
      </c>
      <c r="D1577" s="37">
        <f>+SUMIFS(PROVEEDORES[Total],PROVEEDORES[PROVEEDOR],PROVEEDORES[[#This Row],[PROVEEDOR]],PROVEEDORES[FECHA DE PAGO],"")</f>
        <v>0</v>
      </c>
      <c r="E1577" s="37"/>
      <c r="F1577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7" s="143">
        <v>44319</v>
      </c>
      <c r="H1577" s="57" t="s">
        <v>681</v>
      </c>
      <c r="I1577" s="30">
        <v>44309</v>
      </c>
      <c r="J1577" s="58" t="s">
        <v>773</v>
      </c>
      <c r="K1577" s="32">
        <f>3656.26*1009.71</f>
        <v>3691762.2846000004</v>
      </c>
      <c r="L1577" s="32"/>
      <c r="M1577" s="33">
        <f>(PROVEEDORES[[#This Row],[SUBTOTAL]]-PROVEEDORES[[#This Row],[descuento antes de IVA]])*VLOOKUP(PROVEEDORES[[#This Row],[PROVEEDOR]],TERCEROS_INFO[#All],3,FALSE)</f>
        <v>701434.83407400013</v>
      </c>
      <c r="N1577" s="34"/>
      <c r="O1577" s="33">
        <f>+PROVEEDORES[[#This Row],[Descuento sobre subtotal %]]*(PROVEEDORES[[#This Row],[SUBTOTAL]]-PROVEEDORES[[#This Row],[descuento antes de IVA]])</f>
        <v>0</v>
      </c>
      <c r="P1577" s="34">
        <v>0.04</v>
      </c>
      <c r="Q1577" s="33">
        <f>+(PROVEEDORES[[#This Row],[SUBTOTAL]]-PROVEEDORES[[#This Row],[descuento antes de IVA]])*PROVEEDORES[[#This Row],[Rete Fuente %]]</f>
        <v>147670.49138400002</v>
      </c>
      <c r="R1577" s="32">
        <f>+PROVEEDORES[[#This Row],[SUBTOTAL]]+PROVEEDORES[[#This Row],[IVA 19%]]-PROVEEDORES[[#This Row],[descuento antes de IVA]]-PROVEEDORES[[#This Row],[Descuento sobre subtotal $]]-PROVEEDORES[[#This Row],[Rete Fuente $]]</f>
        <v>4245526.6272900011</v>
      </c>
      <c r="S1577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8" spans="1:19" ht="21.95" hidden="1" customHeight="1" x14ac:dyDescent="0.25">
      <c r="A1578" s="119" t="str">
        <f>+IF(PROVEEDORES[[#This Row],[FECHA DE PAGO]]=PROVEEDORES[[#This Row],[FECHA DE FACTURACIÓN]],"DE CONTADO","CRÉDITO")</f>
        <v>CRÉDITO</v>
      </c>
      <c r="B1578" s="70" t="b">
        <f>+IF((PROVEEDORES[[#This Row],[FECHA DE PAGO]]-PROVEEDORES[[#This Row],[FECHA DE FACTURACIÓN]])&gt;PROVEEDORES[[#This Row],[PLAZO Días]],"PAGO VENCIDO")</f>
        <v>0</v>
      </c>
      <c r="C1578" s="27">
        <f>+VLOOKUP(PROVEEDORES[[#This Row],[PROVEEDOR]],TERCEROS_INFO[#All],2,FALSE)</f>
        <v>20</v>
      </c>
      <c r="D1578" s="37">
        <f>+SUMIFS(PROVEEDORES[Total],PROVEEDORES[PROVEEDOR],PROVEEDORES[[#This Row],[PROVEEDOR]],PROVEEDORES[FECHA DE PAGO],"")</f>
        <v>0</v>
      </c>
      <c r="E1578" s="37"/>
      <c r="F1578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8" s="143">
        <v>44351</v>
      </c>
      <c r="H1578" s="57" t="s">
        <v>681</v>
      </c>
      <c r="I1578" s="30">
        <v>44347</v>
      </c>
      <c r="J1578" s="58" t="s">
        <v>827</v>
      </c>
      <c r="K1578" s="32">
        <f>3129417.58/1.19</f>
        <v>2629762.6722689075</v>
      </c>
      <c r="L1578" s="32"/>
      <c r="M1578" s="33">
        <f>(PROVEEDORES[[#This Row],[SUBTOTAL]]-PROVEEDORES[[#This Row],[descuento antes de IVA]])*VLOOKUP(PROVEEDORES[[#This Row],[PROVEEDOR]],TERCEROS_INFO[#All],3,FALSE)</f>
        <v>499654.90773109242</v>
      </c>
      <c r="N1578" s="34"/>
      <c r="O1578" s="33">
        <f>+PROVEEDORES[[#This Row],[Descuento sobre subtotal %]]*(PROVEEDORES[[#This Row],[SUBTOTAL]]-PROVEEDORES[[#This Row],[descuento antes de IVA]])</f>
        <v>0</v>
      </c>
      <c r="P1578" s="34">
        <v>0.04</v>
      </c>
      <c r="Q1578" s="33">
        <v>17929</v>
      </c>
      <c r="R1578" s="32">
        <f>+PROVEEDORES[[#This Row],[SUBTOTAL]]+PROVEEDORES[[#This Row],[IVA 19%]]-PROVEEDORES[[#This Row],[descuento antes de IVA]]-PROVEEDORES[[#This Row],[Descuento sobre subtotal $]]-PROVEEDORES[[#This Row],[Rete Fuente $]]</f>
        <v>3111488.58</v>
      </c>
      <c r="S1578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79" spans="1:19" ht="21.95" hidden="1" customHeight="1" x14ac:dyDescent="0.25">
      <c r="A1579" s="135" t="str">
        <f>+IF(PROVEEDORES[[#This Row],[FECHA DE PAGO]]=PROVEEDORES[[#This Row],[FECHA DE FACTURACIÓN]],"DE CONTADO","CRÉDITO")</f>
        <v>CRÉDITO</v>
      </c>
      <c r="B1579" s="70" t="b">
        <f>+IF((PROVEEDORES[[#This Row],[FECHA DE PAGO]]-PROVEEDORES[[#This Row],[FECHA DE FACTURACIÓN]])&gt;PROVEEDORES[[#This Row],[PLAZO Días]],"PAGO VENCIDO")</f>
        <v>0</v>
      </c>
      <c r="C1579" s="27">
        <f>+VLOOKUP(PROVEEDORES[[#This Row],[PROVEEDOR]],TERCEROS_INFO[#All],2,FALSE)</f>
        <v>20</v>
      </c>
      <c r="D1579" s="37">
        <f>+SUMIFS(PROVEEDORES[Total],PROVEEDORES[PROVEEDOR],PROVEEDORES[[#This Row],[PROVEEDOR]],PROVEEDORES[FECHA DE PAGO],"")</f>
        <v>0</v>
      </c>
      <c r="E1579" s="37"/>
      <c r="F1579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79" s="143">
        <v>44380</v>
      </c>
      <c r="H1579" s="57" t="s">
        <v>681</v>
      </c>
      <c r="I1579" s="30">
        <v>44363</v>
      </c>
      <c r="J1579" s="58" t="s">
        <v>1157</v>
      </c>
      <c r="K1579" s="32">
        <v>-624994.22300000023</v>
      </c>
      <c r="L1579" s="32"/>
      <c r="M1579" s="33">
        <v>0</v>
      </c>
      <c r="N1579" s="34"/>
      <c r="O1579" s="33">
        <f>+PROVEEDORES[[#This Row],[Descuento sobre subtotal %]]*(PROVEEDORES[[#This Row],[SUBTOTAL]]-PROVEEDORES[[#This Row],[descuento antes de IVA]])</f>
        <v>0</v>
      </c>
      <c r="P15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79" s="33">
        <f>+(PROVEEDORES[[#This Row],[SUBTOTAL]]-PROVEEDORES[[#This Row],[descuento antes de IVA]])*PROVEEDORES[[#This Row],[Rete Fuente %]]</f>
        <v>0</v>
      </c>
      <c r="R1579" s="32">
        <f>+PROVEEDORES[[#This Row],[SUBTOTAL]]+PROVEEDORES[[#This Row],[IVA 19%]]-PROVEEDORES[[#This Row],[descuento antes de IVA]]-PROVEEDORES[[#This Row],[Descuento sobre subtotal $]]-PROVEEDORES[[#This Row],[Rete Fuente $]]</f>
        <v>-624994.22300000023</v>
      </c>
      <c r="S1579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80" spans="1:19" ht="21.95" hidden="1" customHeight="1" x14ac:dyDescent="0.25">
      <c r="A1580" s="129" t="str">
        <f>+IF(PROVEEDORES[[#This Row],[FECHA DE PAGO]]=PROVEEDORES[[#This Row],[FECHA DE FACTURACIÓN]],"DE CONTADO","CRÉDITO")</f>
        <v>CRÉDITO</v>
      </c>
      <c r="B1580" s="70" t="b">
        <f>+IF((PROVEEDORES[[#This Row],[FECHA DE PAGO]]-PROVEEDORES[[#This Row],[FECHA DE FACTURACIÓN]])&gt;PROVEEDORES[[#This Row],[PLAZO Días]],"PAGO VENCIDO")</f>
        <v>0</v>
      </c>
      <c r="C1580" s="27">
        <f>+VLOOKUP(PROVEEDORES[[#This Row],[PROVEEDOR]],TERCEROS_INFO[#All],2,FALSE)</f>
        <v>20</v>
      </c>
      <c r="D1580" s="37">
        <f>+SUMIFS(PROVEEDORES[Total],PROVEEDORES[PROVEEDOR],PROVEEDORES[[#This Row],[PROVEEDOR]],PROVEEDORES[FECHA DE PAGO],"")</f>
        <v>0</v>
      </c>
      <c r="E1580" s="37"/>
      <c r="F1580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80" s="143">
        <v>44380</v>
      </c>
      <c r="H1580" s="57" t="s">
        <v>681</v>
      </c>
      <c r="I1580" s="30">
        <v>44377</v>
      </c>
      <c r="J1580" s="58" t="s">
        <v>739</v>
      </c>
      <c r="K1580" s="32">
        <v>3071327.5</v>
      </c>
      <c r="L1580" s="32"/>
      <c r="M1580" s="33">
        <v>85921.8</v>
      </c>
      <c r="N1580" s="34"/>
      <c r="O1580" s="33">
        <f>+PROVEEDORES[[#This Row],[Descuento sobre subtotal %]]*(PROVEEDORES[[#This Row],[SUBTOTAL]]-PROVEEDORES[[#This Row],[descuento antes de IVA]])</f>
        <v>0</v>
      </c>
      <c r="P1580" s="34">
        <v>0.04</v>
      </c>
      <c r="Q1580" s="33">
        <v>18089</v>
      </c>
      <c r="R1580" s="32">
        <f>+PROVEEDORES[[#This Row],[SUBTOTAL]]+PROVEEDORES[[#This Row],[IVA 19%]]-PROVEEDORES[[#This Row],[descuento antes de IVA]]-PROVEEDORES[[#This Row],[Descuento sobre subtotal $]]-PROVEEDORES[[#This Row],[Rete Fuente $]]</f>
        <v>3139160.3</v>
      </c>
      <c r="S1580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81" spans="1:19" ht="21.95" hidden="1" customHeight="1" x14ac:dyDescent="0.25">
      <c r="A1581" s="151" t="str">
        <f>+IF(PROVEEDORES[[#This Row],[FECHA DE PAGO]]=PROVEEDORES[[#This Row],[FECHA DE FACTURACIÓN]],"DE CONTADO","CRÉDITO")</f>
        <v>DE CONTADO</v>
      </c>
      <c r="B1581" s="70" t="b">
        <f>+IF((PROVEEDORES[[#This Row],[FECHA DE PAGO]]-PROVEEDORES[[#This Row],[FECHA DE FACTURACIÓN]])&gt;PROVEEDORES[[#This Row],[PLAZO Días]],"PAGO VENCIDO")</f>
        <v>0</v>
      </c>
      <c r="C1581" s="27">
        <f>+VLOOKUP(PROVEEDORES[[#This Row],[PROVEEDOR]],TERCEROS_INFO[#All],2,FALSE)</f>
        <v>20</v>
      </c>
      <c r="D1581" s="37">
        <f>+SUMIFS(PROVEEDORES[Total],PROVEEDORES[PROVEEDOR],PROVEEDORES[[#This Row],[PROVEEDOR]],PROVEEDORES[FECHA DE PAGO],"")</f>
        <v>0</v>
      </c>
      <c r="E1581" s="37"/>
      <c r="F1581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81" s="143">
        <v>44452</v>
      </c>
      <c r="H1581" s="57" t="s">
        <v>681</v>
      </c>
      <c r="I1581" s="143">
        <v>44452</v>
      </c>
      <c r="J1581" s="58" t="s">
        <v>860</v>
      </c>
      <c r="K1581" s="32">
        <f>875*3856.85</f>
        <v>3374743.75</v>
      </c>
      <c r="L1581" s="32"/>
      <c r="M1581" s="33">
        <f>24.7*3856.85</f>
        <v>95264.194999999992</v>
      </c>
      <c r="N1581" s="34"/>
      <c r="O1581" s="33">
        <f>+PROVEEDORES[[#This Row],[Descuento sobre subtotal %]]*(PROVEEDORES[[#This Row],[SUBTOTAL]]-PROVEEDORES[[#This Row],[descuento antes de IVA]])</f>
        <v>0</v>
      </c>
      <c r="P1581" s="34">
        <v>0.04</v>
      </c>
      <c r="Q1581" s="33">
        <f>130*3856.85*PROVEEDORES[[#This Row],[Rete Fuente %]]</f>
        <v>20055.62</v>
      </c>
      <c r="R1581" s="32">
        <f>+PROVEEDORES[[#This Row],[SUBTOTAL]]+PROVEEDORES[[#This Row],[IVA 19%]]-PROVEEDORES[[#This Row],[descuento antes de IVA]]-PROVEEDORES[[#This Row],[Descuento sobre subtotal $]]-PROVEEDORES[[#This Row],[Rete Fuente $]]</f>
        <v>3449952.3249999997</v>
      </c>
      <c r="S1581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82" spans="1:19" ht="21.95" hidden="1" customHeight="1" x14ac:dyDescent="0.25">
      <c r="A1582" s="35" t="str">
        <f>+IF(PROVEEDORES[[#This Row],[FECHA DE PAGO]]=PROVEEDORES[[#This Row],[FECHA DE FACTURACIÓN]],"DE CONTADO","CRÉDITO")</f>
        <v>CRÉDITO</v>
      </c>
      <c r="B1582" s="70" t="b">
        <f>+IF((PROVEEDORES[[#This Row],[FECHA DE PAGO]]-PROVEEDORES[[#This Row],[FECHA DE FACTURACIÓN]])&gt;PROVEEDORES[[#This Row],[PLAZO Días]],"PAGO VENCIDO")</f>
        <v>0</v>
      </c>
      <c r="C1582" s="27">
        <f>+VLOOKUP(PROVEEDORES[[#This Row],[PROVEEDOR]],TERCEROS_INFO[#All],2,FALSE)</f>
        <v>20</v>
      </c>
      <c r="D1582" s="37">
        <f>+SUMIFS(PROVEEDORES[Total],PROVEEDORES[PROVEEDOR],PROVEEDORES[[#This Row],[PROVEEDOR]],PROVEEDORES[FECHA DE PAGO],"")</f>
        <v>0</v>
      </c>
      <c r="E1582" s="37"/>
      <c r="F1582" s="108" t="str">
        <f>+VLOOKUP(PROVEEDORES[[#This Row],[PROVEEDOR]],TERCEROS_INFO[[PROVEEDOR]:[CORREO]],5,FALSE)</f>
        <v>bog.fa1@pressex.co;bog.fm1@pressex.co;kbaumgartner@pressex.co;girlesa.ruiz@servipilas.com;joriescobar64@gmail.com</v>
      </c>
      <c r="G1582" s="143">
        <v>44459</v>
      </c>
      <c r="H1582" s="57" t="s">
        <v>681</v>
      </c>
      <c r="I1582" s="30">
        <v>44456</v>
      </c>
      <c r="J1582" s="58" t="s">
        <v>866</v>
      </c>
      <c r="K1582" s="32">
        <f>525*3838.16</f>
        <v>2015034</v>
      </c>
      <c r="L1582" s="32"/>
      <c r="M1582" s="33">
        <f>24.7*3838.16</f>
        <v>94802.551999999996</v>
      </c>
      <c r="N1582" s="34"/>
      <c r="O1582" s="33">
        <f>+PROVEEDORES[[#This Row],[Descuento sobre subtotal %]]*(PROVEEDORES[[#This Row],[SUBTOTAL]]-PROVEEDORES[[#This Row],[descuento antes de IVA]])</f>
        <v>0</v>
      </c>
      <c r="P1582" s="34">
        <v>0.04</v>
      </c>
      <c r="Q1582" s="33">
        <f>130*3838.16*PROVEEDORES[[#This Row],[Rete Fuente %]]</f>
        <v>19958.432000000001</v>
      </c>
      <c r="R1582" s="32">
        <f>+PROVEEDORES[[#This Row],[SUBTOTAL]]+PROVEEDORES[[#This Row],[IVA 19%]]-PROVEEDORES[[#This Row],[descuento antes de IVA]]-PROVEEDORES[[#This Row],[Descuento sobre subtotal $]]-PROVEEDORES[[#This Row],[Rete Fuente $]]</f>
        <v>2089878.12</v>
      </c>
      <c r="S158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83" spans="1:19" ht="21.95" hidden="1" customHeight="1" x14ac:dyDescent="0.25">
      <c r="A1583" s="140" t="str">
        <f>+IF(PROVEEDORES[[#This Row],[FECHA DE PAGO]]=PROVEEDORES[[#This Row],[FECHA DE FACTURACIÓN]],"DE CONTADO","CRÉDITO")</f>
        <v>DE CONTADO</v>
      </c>
      <c r="B1583" s="70" t="b">
        <f>+IF((PROVEEDORES[[#This Row],[FECHA DE PAGO]]-PROVEEDORES[[#This Row],[FECHA DE FACTURACIÓN]])&gt;PROVEEDORES[[#This Row],[PLAZO Días]],"PAGO VENCIDO")</f>
        <v>0</v>
      </c>
      <c r="C1583" s="27">
        <f>+VLOOKUP(PROVEEDORES[[#This Row],[PROVEEDOR]],TERCEROS_INFO[#All],2,FALSE)</f>
        <v>30</v>
      </c>
      <c r="D1583" s="37">
        <f>+SUMIFS(PROVEEDORES[Total],PROVEEDORES[PROVEEDOR],PROVEEDORES[[#This Row],[PROVEEDOR]],PROVEEDORES[FECHA DE PAGO],"")</f>
        <v>-4503132.55</v>
      </c>
      <c r="E1583" s="37"/>
      <c r="F1583" s="108" t="str">
        <f>+VLOOKUP(PROVEEDORES[[#This Row],[PROVEEDOR]],TERCEROS_INFO[[PROVEEDOR]:[CORREO]],5,FALSE)</f>
        <v>aleja-1305agudelo@hotmail.com;provecol@une.net.co;girlesa.ruiz@servipilas.com;joriescobar64@gmail.com</v>
      </c>
      <c r="G1583" s="143">
        <v>44420</v>
      </c>
      <c r="H1583" s="38" t="s">
        <v>784</v>
      </c>
      <c r="I1583" s="30">
        <v>44420</v>
      </c>
      <c r="J1583" s="58">
        <v>129428</v>
      </c>
      <c r="K1583" s="32">
        <v>6870528</v>
      </c>
      <c r="L1583" s="32">
        <v>878741</v>
      </c>
      <c r="M1583" s="33">
        <f>(PROVEEDORES[[#This Row],[SUBTOTAL]]-PROVEEDORES[[#This Row],[descuento antes de IVA]])*VLOOKUP(PROVEEDORES[[#This Row],[PROVEEDOR]],TERCEROS_INFO[#All],3,FALSE)</f>
        <v>1138439.53</v>
      </c>
      <c r="N1583" s="34"/>
      <c r="O1583" s="33">
        <f>+PROVEEDORES[[#This Row],[Descuento sobre subtotal %]]*(PROVEEDORES[[#This Row],[SUBTOTAL]]-PROVEEDORES[[#This Row],[descuento antes de IVA]])</f>
        <v>0</v>
      </c>
      <c r="P15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83" s="33">
        <v>149794.67500000002</v>
      </c>
      <c r="R1583" s="32">
        <f>+PROVEEDORES[[#This Row],[SUBTOTAL]]+PROVEEDORES[[#This Row],[IVA 19%]]-PROVEEDORES[[#This Row],[descuento antes de IVA]]-PROVEEDORES[[#This Row],[Descuento sobre subtotal $]]-PROVEEDORES[[#This Row],[Rete Fuente $]]</f>
        <v>6980431.8550000004</v>
      </c>
      <c r="S1583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84" spans="1:19" ht="21.95" hidden="1" customHeight="1" x14ac:dyDescent="0.25">
      <c r="A1584" s="148" t="str">
        <f>+IF(PROVEEDORES[[#This Row],[FECHA DE PAGO]]=PROVEEDORES[[#This Row],[FECHA DE FACTURACIÓN]],"DE CONTADO","CRÉDITO")</f>
        <v>CRÉDITO</v>
      </c>
      <c r="B1584" s="70" t="str">
        <f>+IF((PROVEEDORES[[#This Row],[FECHA DE PAGO]]-PROVEEDORES[[#This Row],[FECHA DE FACTURACIÓN]])&gt;PROVEEDORES[[#This Row],[PLAZO Días]],"PAGO VENCIDO")</f>
        <v>PAGO VENCIDO</v>
      </c>
      <c r="C1584" s="27">
        <f>+VLOOKUP(PROVEEDORES[[#This Row],[PROVEEDOR]],TERCEROS_INFO[#All],2,FALSE)</f>
        <v>30</v>
      </c>
      <c r="D1584" s="37">
        <f>+SUMIFS(PROVEEDORES[Total],PROVEEDORES[PROVEEDOR],PROVEEDORES[[#This Row],[PROVEEDOR]],PROVEEDORES[FECHA DE PAGO],"")</f>
        <v>-4503132.55</v>
      </c>
      <c r="E1584" s="37" t="s">
        <v>859</v>
      </c>
      <c r="F1584" s="108" t="str">
        <f>+VLOOKUP(PROVEEDORES[[#This Row],[PROVEEDOR]],TERCEROS_INFO[[PROVEEDOR]:[CORREO]],5,FALSE)</f>
        <v>aleja-1305agudelo@hotmail.com;provecol@une.net.co;girlesa.ruiz@servipilas.com;joriescobar64@gmail.com</v>
      </c>
      <c r="G1584" s="143">
        <v>44452</v>
      </c>
      <c r="H1584" s="38" t="s">
        <v>784</v>
      </c>
      <c r="I1584" s="30">
        <v>44420</v>
      </c>
      <c r="J1584" s="58" t="s">
        <v>858</v>
      </c>
      <c r="K1584" s="32">
        <v>149794.67500000002</v>
      </c>
      <c r="L1584" s="32"/>
      <c r="M1584" s="33">
        <v>0</v>
      </c>
      <c r="N1584" s="34"/>
      <c r="O1584" s="33">
        <f>+PROVEEDORES[[#This Row],[Descuento sobre subtotal %]]*(PROVEEDORES[[#This Row],[SUBTOTAL]]-PROVEEDORES[[#This Row],[descuento antes de IVA]])</f>
        <v>0</v>
      </c>
      <c r="P15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84" s="33">
        <f>+(PROVEEDORES[[#This Row],[SUBTOTAL]]-PROVEEDORES[[#This Row],[descuento antes de IVA]])*PROVEEDORES[[#This Row],[Rete Fuente %]]</f>
        <v>0</v>
      </c>
      <c r="R1584" s="32">
        <f>+PROVEEDORES[[#This Row],[SUBTOTAL]]+PROVEEDORES[[#This Row],[IVA 19%]]-PROVEEDORES[[#This Row],[descuento antes de IVA]]-PROVEEDORES[[#This Row],[Descuento sobre subtotal $]]-PROVEEDORES[[#This Row],[Rete Fuente $]]</f>
        <v>149794.67500000002</v>
      </c>
      <c r="S1584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85" spans="1:19" ht="21.95" hidden="1" customHeight="1" x14ac:dyDescent="0.25">
      <c r="A1585" s="155" t="str">
        <f>+IF(PROVEEDORES[[#This Row],[FECHA DE PAGO]]=PROVEEDORES[[#This Row],[FECHA DE FACTURACIÓN]],"DE CONTADO","CRÉDITO")</f>
        <v>CRÉDITO</v>
      </c>
      <c r="B1585" s="70" t="str">
        <f>+IF((PROVEEDORES[[#This Row],[FECHA DE PAGO]]-PROVEEDORES[[#This Row],[FECHA DE FACTURACIÓN]])&gt;PROVEEDORES[[#This Row],[PLAZO Días]],"PAGO VENCIDO")</f>
        <v>PAGO VENCIDO</v>
      </c>
      <c r="C1585" s="27">
        <f>+VLOOKUP(PROVEEDORES[[#This Row],[PROVEEDOR]],TERCEROS_INFO[#All],2,FALSE)</f>
        <v>30</v>
      </c>
      <c r="D1585" s="37">
        <f>+SUMIFS(PROVEEDORES[Total],PROVEEDORES[PROVEEDOR],PROVEEDORES[[#This Row],[PROVEEDOR]],PROVEEDORES[FECHA DE PAGO],"")</f>
        <v>-4503132.55</v>
      </c>
      <c r="E1585" s="37"/>
      <c r="F1585" s="108" t="str">
        <f>+VLOOKUP(PROVEEDORES[[#This Row],[PROVEEDOR]],TERCEROS_INFO[[PROVEEDOR]:[CORREO]],5,FALSE)</f>
        <v>aleja-1305agudelo@hotmail.com;provecol@une.net.co;girlesa.ruiz@servipilas.com;joriescobar64@gmail.com</v>
      </c>
      <c r="G1585" s="143">
        <v>44498</v>
      </c>
      <c r="H1585" s="38" t="s">
        <v>784</v>
      </c>
      <c r="I1585" s="30">
        <v>44464</v>
      </c>
      <c r="J1585" s="58">
        <v>141124</v>
      </c>
      <c r="K1585" s="32">
        <v>1049754</v>
      </c>
      <c r="L1585" s="32"/>
      <c r="M1585" s="33">
        <f>(PROVEEDORES[[#This Row],[SUBTOTAL]]-PROVEEDORES[[#This Row],[descuento antes de IVA]])*VLOOKUP(PROVEEDORES[[#This Row],[PROVEEDOR]],TERCEROS_INFO[#All],3,FALSE)</f>
        <v>199453.26</v>
      </c>
      <c r="N1585" s="34"/>
      <c r="O1585" s="33">
        <f>+PROVEEDORES[[#This Row],[Descuento sobre subtotal %]]*(PROVEEDORES[[#This Row],[SUBTOTAL]]-PROVEEDORES[[#This Row],[descuento antes de IVA]])</f>
        <v>0</v>
      </c>
      <c r="P15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85" s="33">
        <f>+(PROVEEDORES[[#This Row],[SUBTOTAL]]-PROVEEDORES[[#This Row],[descuento antes de IVA]])*PROVEEDORES[[#This Row],[Rete Fuente %]]</f>
        <v>0</v>
      </c>
      <c r="R1585" s="32">
        <f>+PROVEEDORES[[#This Row],[SUBTOTAL]]+PROVEEDORES[[#This Row],[IVA 19%]]-PROVEEDORES[[#This Row],[descuento antes de IVA]]-PROVEEDORES[[#This Row],[Descuento sobre subtotal $]]-PROVEEDORES[[#This Row],[Rete Fuente $]]</f>
        <v>1249207.26</v>
      </c>
      <c r="S1585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86" spans="1:19" ht="21.95" hidden="1" customHeight="1" x14ac:dyDescent="0.25">
      <c r="A1586" s="161" t="str">
        <f>+IF(PROVEEDORES[[#This Row],[FECHA DE PAGO]]=PROVEEDORES[[#This Row],[FECHA DE FACTURACIÓN]],"DE CONTADO","CRÉDITO")</f>
        <v>CRÉDITO</v>
      </c>
      <c r="B1586" s="70" t="str">
        <f>+IF((PROVEEDORES[[#This Row],[FECHA DE PAGO]]-PROVEEDORES[[#This Row],[FECHA DE FACTURACIÓN]])&gt;PROVEEDORES[[#This Row],[PLAZO Días]],"PAGO VENCIDO")</f>
        <v>PAGO VENCIDO</v>
      </c>
      <c r="C1586" s="27">
        <f>+VLOOKUP(PROVEEDORES[[#This Row],[PROVEEDOR]],TERCEROS_INFO[#All],2,FALSE)</f>
        <v>30</v>
      </c>
      <c r="D1586" s="37">
        <f>+SUMIFS(PROVEEDORES[Total],PROVEEDORES[PROVEEDOR],PROVEEDORES[[#This Row],[PROVEEDOR]],PROVEEDORES[FECHA DE PAGO],"")</f>
        <v>-4503132.55</v>
      </c>
      <c r="E1586" s="37"/>
      <c r="F1586" s="108" t="str">
        <f>+VLOOKUP(PROVEEDORES[[#This Row],[PROVEEDOR]],TERCEROS_INFO[[PROVEEDOR]:[CORREO]],5,FALSE)</f>
        <v>aleja-1305agudelo@hotmail.com;provecol@une.net.co;girlesa.ruiz@servipilas.com;joriescobar64@gmail.com</v>
      </c>
      <c r="G1586" s="143">
        <v>44533</v>
      </c>
      <c r="H1586" s="38" t="s">
        <v>784</v>
      </c>
      <c r="I1586" s="30">
        <v>44492</v>
      </c>
      <c r="J1586" s="58">
        <v>147039</v>
      </c>
      <c r="K1586" s="32">
        <v>3784145</v>
      </c>
      <c r="L1586" s="32"/>
      <c r="M1586" s="33">
        <f>(PROVEEDORES[[#This Row],[SUBTOTAL]]-PROVEEDORES[[#This Row],[descuento antes de IVA]])*VLOOKUP(PROVEEDORES[[#This Row],[PROVEEDOR]],TERCEROS_INFO[#All],3,FALSE)</f>
        <v>718987.55</v>
      </c>
      <c r="N1586" s="34"/>
      <c r="O1586" s="33">
        <f>+PROVEEDORES[[#This Row],[Descuento sobre subtotal %]]*(PROVEEDORES[[#This Row],[SUBTOTAL]]-PROVEEDORES[[#This Row],[descuento antes de IVA]])</f>
        <v>0</v>
      </c>
      <c r="P15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86" s="33">
        <f>+(PROVEEDORES[[#This Row],[SUBTOTAL]]-PROVEEDORES[[#This Row],[descuento antes de IVA]])*PROVEEDORES[[#This Row],[Rete Fuente %]]</f>
        <v>0</v>
      </c>
      <c r="R1586" s="32">
        <f>+PROVEEDORES[[#This Row],[SUBTOTAL]]+PROVEEDORES[[#This Row],[IVA 19%]]-PROVEEDORES[[#This Row],[descuento antes de IVA]]-PROVEEDORES[[#This Row],[Descuento sobre subtotal $]]-PROVEEDORES[[#This Row],[Rete Fuente $]]</f>
        <v>4503132.55</v>
      </c>
      <c r="S1586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87" spans="1:19" ht="21.95" hidden="1" customHeight="1" x14ac:dyDescent="0.25">
      <c r="A1587" s="35" t="str">
        <f>+IF(PROVEEDORES[[#This Row],[FECHA DE PAGO]]=PROVEEDORES[[#This Row],[FECHA DE FACTURACIÓN]],"DE CONTADO","CRÉDITO")</f>
        <v>CRÉDITO</v>
      </c>
      <c r="B1587" s="70" t="str">
        <f>+IF((PROVEEDORES[[#This Row],[FECHA DE PAGO]]-PROVEEDORES[[#This Row],[FECHA DE FACTURACIÓN]])&gt;PROVEEDORES[[#This Row],[PLAZO Días]],"PAGO VENCIDO")</f>
        <v>PAGO VENCIDO</v>
      </c>
      <c r="C1587" s="27">
        <f>+VLOOKUP(PROVEEDORES[[#This Row],[PROVEEDOR]],TERCEROS_INFO[#All],2,FALSE)</f>
        <v>30</v>
      </c>
      <c r="D1587" s="37">
        <f>+SUMIFS(PROVEEDORES[Total],PROVEEDORES[PROVEEDOR],PROVEEDORES[[#This Row],[PROVEEDOR]],PROVEEDORES[FECHA DE PAGO],"")</f>
        <v>-4503132.55</v>
      </c>
      <c r="E1587" s="37"/>
      <c r="F1587" s="108" t="str">
        <f>+VLOOKUP(PROVEEDORES[[#This Row],[PROVEEDOR]],TERCEROS_INFO[[PROVEEDOR]:[CORREO]],5,FALSE)</f>
        <v>aleja-1305agudelo@hotmail.com;provecol@une.net.co;girlesa.ruiz@servipilas.com;joriescobar64@gmail.com</v>
      </c>
      <c r="G1587" s="143">
        <v>44533</v>
      </c>
      <c r="H1587" s="38" t="s">
        <v>784</v>
      </c>
      <c r="I1587" s="30">
        <v>44494</v>
      </c>
      <c r="J1587" s="58">
        <v>147279</v>
      </c>
      <c r="K1587" s="32">
        <v>370237</v>
      </c>
      <c r="L1587" s="32"/>
      <c r="M1587" s="33">
        <f>(PROVEEDORES[[#This Row],[SUBTOTAL]]-PROVEEDORES[[#This Row],[descuento antes de IVA]])*VLOOKUP(PROVEEDORES[[#This Row],[PROVEEDOR]],TERCEROS_INFO[#All],3,FALSE)</f>
        <v>70345.03</v>
      </c>
      <c r="N1587" s="34"/>
      <c r="O1587" s="33">
        <f>+PROVEEDORES[[#This Row],[Descuento sobre subtotal %]]*(PROVEEDORES[[#This Row],[SUBTOTAL]]-PROVEEDORES[[#This Row],[descuento antes de IVA]])</f>
        <v>0</v>
      </c>
      <c r="P15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87" s="33">
        <f>+(PROVEEDORES[[#This Row],[SUBTOTAL]]-PROVEEDORES[[#This Row],[descuento antes de IVA]])*PROVEEDORES[[#This Row],[Rete Fuente %]]</f>
        <v>0</v>
      </c>
      <c r="R1587" s="32">
        <f>+PROVEEDORES[[#This Row],[SUBTOTAL]]+PROVEEDORES[[#This Row],[IVA 19%]]-PROVEEDORES[[#This Row],[descuento antes de IVA]]-PROVEEDORES[[#This Row],[Descuento sobre subtotal $]]-PROVEEDORES[[#This Row],[Rete Fuente $]]</f>
        <v>440582.03</v>
      </c>
      <c r="S158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88" spans="1:19" ht="21.95" hidden="1" customHeight="1" x14ac:dyDescent="0.25">
      <c r="A1588" s="35" t="str">
        <f>+IF(PROVEEDORES[[#This Row],[FECHA DE PAGO]]=PROVEEDORES[[#This Row],[FECHA DE FACTURACIÓN]],"DE CONTADO","CRÉDITO")</f>
        <v>CRÉDITO</v>
      </c>
      <c r="B1588" s="70" t="b">
        <f>+IF((PROVEEDORES[[#This Row],[FECHA DE PAGO]]-PROVEEDORES[[#This Row],[FECHA DE FACTURACIÓN]])&gt;PROVEEDORES[[#This Row],[PLAZO Días]],"PAGO VENCIDO")</f>
        <v>0</v>
      </c>
      <c r="C1588" s="27">
        <v>90</v>
      </c>
      <c r="D1588" s="37">
        <f>+SUMIFS(PROVEEDORES[Total],PROVEEDORES[PROVEEDOR],PROVEEDORES[[#This Row],[PROVEEDOR]],PROVEEDORES[FECHA DE PAGO],"")</f>
        <v>-4503132.55</v>
      </c>
      <c r="E1588" s="37"/>
      <c r="F1588" s="108" t="str">
        <f>+VLOOKUP(PROVEEDORES[[#This Row],[PROVEEDOR]],TERCEROS_INFO[[PROVEEDOR]:[CORREO]],5,FALSE)</f>
        <v>aleja-1305agudelo@hotmail.com;provecol@une.net.co;girlesa.ruiz@servipilas.com;joriescobar64@gmail.com</v>
      </c>
      <c r="H1588" s="38" t="s">
        <v>784</v>
      </c>
      <c r="I1588" s="143">
        <v>44533</v>
      </c>
      <c r="J1588" s="58" t="s">
        <v>1373</v>
      </c>
      <c r="K1588" s="32">
        <v>-4503132.55</v>
      </c>
      <c r="L1588" s="32"/>
      <c r="M1588" s="33">
        <v>0</v>
      </c>
      <c r="N1588" s="34"/>
      <c r="O1588" s="33">
        <f>+PROVEEDORES[[#This Row],[Descuento sobre subtotal %]]*(PROVEEDORES[[#This Row],[SUBTOTAL]]-PROVEEDORES[[#This Row],[descuento antes de IVA]])</f>
        <v>0</v>
      </c>
      <c r="P15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88" s="33">
        <f>+(PROVEEDORES[[#This Row],[SUBTOTAL]]-PROVEEDORES[[#This Row],[descuento antes de IVA]])*PROVEEDORES[[#This Row],[Rete Fuente %]]</f>
        <v>0</v>
      </c>
      <c r="R1588" s="32">
        <f>+PROVEEDORES[[#This Row],[SUBTOTAL]]+PROVEEDORES[[#This Row],[IVA 19%]]-PROVEEDORES[[#This Row],[descuento antes de IVA]]-PROVEEDORES[[#This Row],[Descuento sobre subtotal $]]-PROVEEDORES[[#This Row],[Rete Fuente $]]</f>
        <v>-4503132.55</v>
      </c>
      <c r="S1588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589" spans="1:19" ht="21.95" hidden="1" customHeight="1" x14ac:dyDescent="0.25">
      <c r="A1589" s="39" t="str">
        <f>+IF(PROVEEDORES[[#This Row],[FECHA DE PAGO]]=PROVEEDORES[[#This Row],[FECHA DE FACTURACIÓN]],"DE CONTADO","CRÉDITO")</f>
        <v>CRÉDITO</v>
      </c>
      <c r="B1589" s="67" t="b">
        <f>+IF((PROVEEDORES[[#This Row],[FECHA DE PAGO]]-PROVEEDORES[[#This Row],[FECHA DE FACTURACIÓN]])&gt;PROVEEDORES[[#This Row],[PLAZO Días]],"PAGO VENCIDO")</f>
        <v>0</v>
      </c>
      <c r="C1589" s="27">
        <f>+VLOOKUP(PROVEEDORES[[#This Row],[PROVEEDOR]],TERCEROS_INFO[#All],2,FALSE)</f>
        <v>30</v>
      </c>
      <c r="D1589" s="37">
        <f>+SUMIFS(PROVEEDORES[Total],PROVEEDORES[PROVEEDOR],PROVEEDORES[[#This Row],[PROVEEDOR]],PROVEEDORES[FECHA DE PAGO],"")</f>
        <v>0</v>
      </c>
      <c r="E1589" s="37"/>
      <c r="F1589" s="108" t="str">
        <f>+VLOOKUP(PROVEEDORES[[#This Row],[PROVEEDOR]],TERCEROS_INFO[[PROVEEDOR]:[CORREO]],5,FALSE)</f>
        <v>Pygimportadora@gmail.com;girlesa.ruiz@servipilas.com;joriescobar64@gmail.com</v>
      </c>
      <c r="G1589" s="143">
        <v>44181</v>
      </c>
      <c r="H1589" s="38" t="s">
        <v>28</v>
      </c>
      <c r="I1589" s="30">
        <v>44160</v>
      </c>
      <c r="J1589" s="58" t="s">
        <v>191</v>
      </c>
      <c r="K1589" s="32">
        <v>3824920.1680672271</v>
      </c>
      <c r="L1589" s="32"/>
      <c r="M1589" s="33">
        <f>(PROVEEDORES[[#This Row],[SUBTOTAL]]-PROVEEDORES[[#This Row],[descuento antes de IVA]])*VLOOKUP(PROVEEDORES[[#This Row],[PROVEEDOR]],TERCEROS_INFO[#All],3,FALSE)</f>
        <v>726734.83193277312</v>
      </c>
      <c r="N1589" s="34"/>
      <c r="O1589" s="33">
        <f>+PROVEEDORES[[#This Row],[Descuento sobre subtotal %]]*(PROVEEDORES[[#This Row],[SUBTOTAL]]-PROVEEDORES[[#This Row],[descuento antes de IVA]])</f>
        <v>0</v>
      </c>
      <c r="P15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589" s="33">
        <f>+(PROVEEDORES[[#This Row],[SUBTOTAL]]-PROVEEDORES[[#This Row],[descuento antes de IVA]])*PROVEEDORES[[#This Row],[Rete Fuente %]]</f>
        <v>95623.004201680684</v>
      </c>
      <c r="R1589" s="32">
        <f>+PROVEEDORES[[#This Row],[SUBTOTAL]]+PROVEEDORES[[#This Row],[IVA 19%]]-PROVEEDORES[[#This Row],[descuento antes de IVA]]-PROVEEDORES[[#This Row],[Descuento sobre subtotal $]]-PROVEEDORES[[#This Row],[Rete Fuente $]]</f>
        <v>4456031.9957983196</v>
      </c>
      <c r="S15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0" spans="1:19" ht="21.95" hidden="1" customHeight="1" x14ac:dyDescent="0.25">
      <c r="A1590" s="88" t="str">
        <f>+IF(PROVEEDORES[[#This Row],[FECHA DE PAGO]]=PROVEEDORES[[#This Row],[FECHA DE FACTURACIÓN]],"DE CONTADO","CRÉDITO")</f>
        <v>CRÉDITO</v>
      </c>
      <c r="B1590" s="70" t="str">
        <f>+IF((PROVEEDORES[[#This Row],[FECHA DE PAGO]]-PROVEEDORES[[#This Row],[FECHA DE FACTURACIÓN]])&gt;PROVEEDORES[[#This Row],[PLAZO Días]],"PAGO VENCIDO")</f>
        <v>PAGO VENCIDO</v>
      </c>
      <c r="C1590" s="27">
        <f>+VLOOKUP(PROVEEDORES[[#This Row],[PROVEEDOR]],TERCEROS_INFO[#All],2,FALSE)</f>
        <v>30</v>
      </c>
      <c r="D1590" s="37">
        <f>+SUMIFS(PROVEEDORES[Total],PROVEEDORES[PROVEEDOR],PROVEEDORES[[#This Row],[PROVEEDOR]],PROVEEDORES[FECHA DE PAGO],"")</f>
        <v>0</v>
      </c>
      <c r="E1590" s="37"/>
      <c r="F1590" s="108" t="str">
        <f>+VLOOKUP(PROVEEDORES[[#This Row],[PROVEEDOR]],TERCEROS_INFO[[PROVEEDOR]:[CORREO]],5,FALSE)</f>
        <v>Pygimportadora@gmail.com;girlesa.ruiz@servipilas.com;joriescobar64@gmail.com</v>
      </c>
      <c r="G1590" s="143">
        <v>44298</v>
      </c>
      <c r="H1590" s="38" t="s">
        <v>28</v>
      </c>
      <c r="I1590" s="30">
        <v>44244</v>
      </c>
      <c r="J1590" s="58">
        <v>910</v>
      </c>
      <c r="K1590" s="32">
        <v>2410000</v>
      </c>
      <c r="L1590" s="32"/>
      <c r="M1590" s="33">
        <f>(PROVEEDORES[[#This Row],[SUBTOTAL]]-PROVEEDORES[[#This Row],[descuento antes de IVA]])*VLOOKUP(PROVEEDORES[[#This Row],[PROVEEDOR]],TERCEROS_INFO[#All],3,FALSE)</f>
        <v>457900</v>
      </c>
      <c r="N1590" s="34"/>
      <c r="O1590" s="33">
        <f>+PROVEEDORES[[#This Row],[Descuento sobre subtotal %]]*(PROVEEDORES[[#This Row],[SUBTOTAL]]-PROVEEDORES[[#This Row],[descuento antes de IVA]])</f>
        <v>0</v>
      </c>
      <c r="P15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590" s="33">
        <f>+(PROVEEDORES[[#This Row],[SUBTOTAL]]-PROVEEDORES[[#This Row],[descuento antes de IVA]])*PROVEEDORES[[#This Row],[Rete Fuente %]]</f>
        <v>60250</v>
      </c>
      <c r="R1590" s="32">
        <f>+PROVEEDORES[[#This Row],[SUBTOTAL]]+PROVEEDORES[[#This Row],[IVA 19%]]-PROVEEDORES[[#This Row],[descuento antes de IVA]]-PROVEEDORES[[#This Row],[Descuento sobre subtotal $]]-PROVEEDORES[[#This Row],[Rete Fuente $]]</f>
        <v>2807650</v>
      </c>
      <c r="S1590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1" spans="1:19" ht="21.95" hidden="1" customHeight="1" x14ac:dyDescent="0.25">
      <c r="A1591" s="88" t="str">
        <f>+IF(PROVEEDORES[[#This Row],[FECHA DE PAGO]]=PROVEEDORES[[#This Row],[FECHA DE FACTURACIÓN]],"DE CONTADO","CRÉDITO")</f>
        <v>CRÉDITO</v>
      </c>
      <c r="B1591" s="70" t="str">
        <f>+IF((PROVEEDORES[[#This Row],[FECHA DE PAGO]]-PROVEEDORES[[#This Row],[FECHA DE FACTURACIÓN]])&gt;PROVEEDORES[[#This Row],[PLAZO Días]],"PAGO VENCIDO")</f>
        <v>PAGO VENCIDO</v>
      </c>
      <c r="C1591" s="27">
        <f>+VLOOKUP(PROVEEDORES[[#This Row],[PROVEEDOR]],TERCEROS_INFO[#All],2,FALSE)</f>
        <v>30</v>
      </c>
      <c r="D1591" s="37">
        <f>+SUMIFS(PROVEEDORES[Total],PROVEEDORES[PROVEEDOR],PROVEEDORES[[#This Row],[PROVEEDOR]],PROVEEDORES[FECHA DE PAGO],"")</f>
        <v>0</v>
      </c>
      <c r="E1591" s="37"/>
      <c r="F1591" s="108" t="str">
        <f>+VLOOKUP(PROVEEDORES[[#This Row],[PROVEEDOR]],TERCEROS_INFO[[PROVEEDOR]:[CORREO]],5,FALSE)</f>
        <v>Pygimportadora@gmail.com;girlesa.ruiz@servipilas.com;joriescobar64@gmail.com</v>
      </c>
      <c r="G1591" s="143">
        <v>44348</v>
      </c>
      <c r="H1591" s="38" t="s">
        <v>28</v>
      </c>
      <c r="I1591" s="30">
        <v>44274</v>
      </c>
      <c r="J1591" s="58" t="s">
        <v>534</v>
      </c>
      <c r="K1591" s="32">
        <v>1100000</v>
      </c>
      <c r="L1591" s="32"/>
      <c r="M1591" s="33">
        <f>(PROVEEDORES[[#This Row],[SUBTOTAL]]-PROVEEDORES[[#This Row],[descuento antes de IVA]])*VLOOKUP(PROVEEDORES[[#This Row],[PROVEEDOR]],TERCEROS_INFO[#All],3,FALSE)</f>
        <v>209000</v>
      </c>
      <c r="N1591" s="34"/>
      <c r="O1591" s="33">
        <f>+PROVEEDORES[[#This Row],[Descuento sobre subtotal %]]*(PROVEEDORES[[#This Row],[SUBTOTAL]]-PROVEEDORES[[#This Row],[descuento antes de IVA]])</f>
        <v>0</v>
      </c>
      <c r="P15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591" s="33">
        <f>+(PROVEEDORES[[#This Row],[SUBTOTAL]]-PROVEEDORES[[#This Row],[descuento antes de IVA]])*PROVEEDORES[[#This Row],[Rete Fuente %]]</f>
        <v>27500</v>
      </c>
      <c r="R1591" s="32">
        <f>+PROVEEDORES[[#This Row],[SUBTOTAL]]+PROVEEDORES[[#This Row],[IVA 19%]]-PROVEEDORES[[#This Row],[descuento antes de IVA]]-PROVEEDORES[[#This Row],[Descuento sobre subtotal $]]-PROVEEDORES[[#This Row],[Rete Fuente $]]</f>
        <v>1281500</v>
      </c>
      <c r="S1591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2" spans="1:19" ht="21.95" hidden="1" customHeight="1" x14ac:dyDescent="0.25">
      <c r="A1592" s="151" t="str">
        <f>+IF(PROVEEDORES[[#This Row],[FECHA DE PAGO]]=PROVEEDORES[[#This Row],[FECHA DE FACTURACIÓN]],"DE CONTADO","CRÉDITO")</f>
        <v>CRÉDITO</v>
      </c>
      <c r="B1592" s="70" t="str">
        <f>+IF((PROVEEDORES[[#This Row],[FECHA DE PAGO]]-PROVEEDORES[[#This Row],[FECHA DE FACTURACIÓN]])&gt;PROVEEDORES[[#This Row],[PLAZO Días]],"PAGO VENCIDO")</f>
        <v>PAGO VENCIDO</v>
      </c>
      <c r="C1592" s="27">
        <f>+VLOOKUP(PROVEEDORES[[#This Row],[PROVEEDOR]],TERCEROS_INFO[#All],2,FALSE)</f>
        <v>30</v>
      </c>
      <c r="D1592" s="37">
        <f>+SUMIFS(PROVEEDORES[Total],PROVEEDORES[PROVEEDOR],PROVEEDORES[[#This Row],[PROVEEDOR]],PROVEEDORES[FECHA DE PAGO],"")</f>
        <v>0</v>
      </c>
      <c r="E1592" s="37"/>
      <c r="F1592" s="108" t="str">
        <f>+VLOOKUP(PROVEEDORES[[#This Row],[PROVEEDOR]],TERCEROS_INFO[[PROVEEDOR]:[CORREO]],5,FALSE)</f>
        <v>Pygimportadora@gmail.com;girlesa.ruiz@servipilas.com;joriescobar64@gmail.com</v>
      </c>
      <c r="G1592" s="143">
        <v>44496</v>
      </c>
      <c r="H1592" s="38" t="s">
        <v>28</v>
      </c>
      <c r="I1592" s="30">
        <v>44449</v>
      </c>
      <c r="J1592" s="58" t="s">
        <v>862</v>
      </c>
      <c r="K1592" s="32">
        <v>2720000</v>
      </c>
      <c r="L1592" s="32"/>
      <c r="M1592" s="33">
        <f>(PROVEEDORES[[#This Row],[SUBTOTAL]]-PROVEEDORES[[#This Row],[descuento antes de IVA]])*VLOOKUP(PROVEEDORES[[#This Row],[PROVEEDOR]],TERCEROS_INFO[#All],3,FALSE)</f>
        <v>516800</v>
      </c>
      <c r="N1592" s="34"/>
      <c r="O1592" s="33">
        <f>+PROVEEDORES[[#This Row],[Descuento sobre subtotal %]]*(PROVEEDORES[[#This Row],[SUBTOTAL]]-PROVEEDORES[[#This Row],[descuento antes de IVA]])</f>
        <v>0</v>
      </c>
      <c r="P15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592" s="33">
        <f>+(PROVEEDORES[[#This Row],[SUBTOTAL]]-PROVEEDORES[[#This Row],[descuento antes de IVA]])*PROVEEDORES[[#This Row],[Rete Fuente %]]</f>
        <v>68000</v>
      </c>
      <c r="R1592" s="32">
        <f>+PROVEEDORES[[#This Row],[SUBTOTAL]]+PROVEEDORES[[#This Row],[IVA 19%]]-PROVEEDORES[[#This Row],[descuento antes de IVA]]-PROVEEDORES[[#This Row],[Descuento sobre subtotal $]]-PROVEEDORES[[#This Row],[Rete Fuente $]]</f>
        <v>3168800</v>
      </c>
      <c r="S1592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3" spans="1:19" ht="21.95" hidden="1" customHeight="1" x14ac:dyDescent="0.25">
      <c r="A1593" s="39" t="str">
        <f>+IF(PROVEEDORES[[#This Row],[FECHA DE PAGO]]=PROVEEDORES[[#This Row],[FECHA DE FACTURACIÓN]],"DE CONTADO","CRÉDITO")</f>
        <v>CRÉDITO</v>
      </c>
      <c r="B1593" s="67" t="str">
        <f>+IF((PROVEEDORES[[#This Row],[FECHA DE PAGO]]-PROVEEDORES[[#This Row],[FECHA DE FACTURACIÓN]])&gt;PROVEEDORES[[#This Row],[PLAZO Días]],"PAGO VENCIDO")</f>
        <v>PAGO VENCIDO</v>
      </c>
      <c r="C1593" s="27">
        <f>+VLOOKUP(PROVEEDORES[[#This Row],[PROVEEDOR]],TERCEROS_INFO[#All],2,FALSE)</f>
        <v>30</v>
      </c>
      <c r="D1593" s="37">
        <f>+SUMIFS(PROVEEDORES[Total],PROVEEDORES[PROVEEDOR],PROVEEDORES[[#This Row],[PROVEEDOR]],PROVEEDORES[FECHA DE PAGO],"")</f>
        <v>0</v>
      </c>
      <c r="E1593" s="37" t="s">
        <v>369</v>
      </c>
      <c r="F1593" s="108" t="str">
        <f>+VLOOKUP(PROVEEDORES[[#This Row],[PROVEEDOR]],TERCEROS_INFO[[PROVEEDOR]:[CORREO]],5,FALSE)</f>
        <v>ragomedellin@gmail.com;girlesa.ruiz@servipilas.com;joriescobar64@gmail.com</v>
      </c>
      <c r="G1593" s="143">
        <v>44172</v>
      </c>
      <c r="H1593" s="38" t="s">
        <v>16</v>
      </c>
      <c r="I1593" s="30">
        <v>43896</v>
      </c>
      <c r="J1593" s="58" t="s">
        <v>1061</v>
      </c>
      <c r="K1593" s="32">
        <v>-158824.36974789915</v>
      </c>
      <c r="L1593" s="32"/>
      <c r="M1593" s="33">
        <f>(PROVEEDORES[[#This Row],[SUBTOTAL]]-PROVEEDORES[[#This Row],[descuento antes de IVA]])*VLOOKUP(PROVEEDORES[[#This Row],[PROVEEDOR]],TERCEROS_INFO[#All],3,FALSE)</f>
        <v>-30176.63025210084</v>
      </c>
      <c r="N1593" s="34"/>
      <c r="O1593" s="33">
        <f>+PROVEEDORES[[#This Row],[Descuento sobre subtotal %]]*(PROVEEDORES[[#This Row],[SUBTOTAL]]-PROVEEDORES[[#This Row],[descuento antes de IVA]])</f>
        <v>0</v>
      </c>
      <c r="P15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93" s="33">
        <f>+(PROVEEDORES[[#This Row],[SUBTOTAL]]-PROVEEDORES[[#This Row],[descuento antes de IVA]])*PROVEEDORES[[#This Row],[Rete Fuente %]]</f>
        <v>0</v>
      </c>
      <c r="R1593" s="32">
        <f>+PROVEEDORES[[#This Row],[SUBTOTAL]]+PROVEEDORES[[#This Row],[IVA 19%]]-PROVEEDORES[[#This Row],[descuento antes de IVA]]-PROVEEDORES[[#This Row],[Descuento sobre subtotal $]]-PROVEEDORES[[#This Row],[Rete Fuente $]]</f>
        <v>-189001</v>
      </c>
      <c r="S159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4" spans="1:19" ht="21.95" hidden="1" customHeight="1" x14ac:dyDescent="0.25">
      <c r="A1594" s="39" t="str">
        <f>+IF(PROVEEDORES[[#This Row],[FECHA DE PAGO]]=PROVEEDORES[[#This Row],[FECHA DE FACTURACIÓN]],"DE CONTADO","CRÉDITO")</f>
        <v>CRÉDITO</v>
      </c>
      <c r="B1594" s="67" t="str">
        <f>+IF((PROVEEDORES[[#This Row],[FECHA DE PAGO]]-PROVEEDORES[[#This Row],[FECHA DE FACTURACIÓN]])&gt;PROVEEDORES[[#This Row],[PLAZO Días]],"PAGO VENCIDO")</f>
        <v>PAGO VENCIDO</v>
      </c>
      <c r="C1594" s="27">
        <f>+VLOOKUP(PROVEEDORES[[#This Row],[PROVEEDOR]],TERCEROS_INFO[#All],2,FALSE)</f>
        <v>30</v>
      </c>
      <c r="D1594" s="37">
        <f>+SUMIFS(PROVEEDORES[Total],PROVEEDORES[PROVEEDOR],PROVEEDORES[[#This Row],[PROVEEDOR]],PROVEEDORES[FECHA DE PAGO],"")</f>
        <v>0</v>
      </c>
      <c r="E1594" s="37"/>
      <c r="F1594" s="108" t="str">
        <f>+VLOOKUP(PROVEEDORES[[#This Row],[PROVEEDOR]],TERCEROS_INFO[[PROVEEDOR]:[CORREO]],5,FALSE)</f>
        <v>ragomedellin@gmail.com;girlesa.ruiz@servipilas.com;joriescobar64@gmail.com</v>
      </c>
      <c r="G1594" s="143">
        <v>44172</v>
      </c>
      <c r="H1594" s="38" t="s">
        <v>16</v>
      </c>
      <c r="I1594" s="30">
        <v>44096</v>
      </c>
      <c r="J1594" s="58">
        <v>161</v>
      </c>
      <c r="K1594" s="32">
        <v>3000535.0504201683</v>
      </c>
      <c r="L1594" s="32"/>
      <c r="M1594" s="33">
        <f>(PROVEEDORES[[#This Row],[SUBTOTAL]]-PROVEEDORES[[#This Row],[descuento antes de IVA]])*VLOOKUP(PROVEEDORES[[#This Row],[PROVEEDOR]],TERCEROS_INFO[#All],3,FALSE)</f>
        <v>570101.65957983199</v>
      </c>
      <c r="N1594" s="34"/>
      <c r="O1594" s="33">
        <f>+PROVEEDORES[[#This Row],[Descuento sobre subtotal %]]*(PROVEEDORES[[#This Row],[SUBTOTAL]]-PROVEEDORES[[#This Row],[descuento antes de IVA]])</f>
        <v>0</v>
      </c>
      <c r="P15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594" s="33">
        <f>+(PROVEEDORES[[#This Row],[SUBTOTAL]]-PROVEEDORES[[#This Row],[descuento antes de IVA]])*PROVEEDORES[[#This Row],[Rete Fuente %]]</f>
        <v>75013.376260504214</v>
      </c>
      <c r="R1594" s="32">
        <f>+PROVEEDORES[[#This Row],[SUBTOTAL]]+PROVEEDORES[[#This Row],[IVA 19%]]-PROVEEDORES[[#This Row],[descuento antes de IVA]]-PROVEEDORES[[#This Row],[Descuento sobre subtotal $]]-PROVEEDORES[[#This Row],[Rete Fuente $]]</f>
        <v>3495623.3337394963</v>
      </c>
      <c r="S159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5" spans="1:19" ht="21.95" hidden="1" customHeight="1" x14ac:dyDescent="0.25">
      <c r="A1595" s="39" t="str">
        <f>+IF(PROVEEDORES[[#This Row],[FECHA DE PAGO]]=PROVEEDORES[[#This Row],[FECHA DE FACTURACIÓN]],"DE CONTADO","CRÉDITO")</f>
        <v>CRÉDITO</v>
      </c>
      <c r="B1595" s="67" t="b">
        <f>+IF((PROVEEDORES[[#This Row],[FECHA DE PAGO]]-PROVEEDORES[[#This Row],[FECHA DE FACTURACIÓN]])&gt;PROVEEDORES[[#This Row],[PLAZO Días]],"PAGO VENCIDO")</f>
        <v>0</v>
      </c>
      <c r="C1595" s="27">
        <f>+VLOOKUP(PROVEEDORES[[#This Row],[PROVEEDOR]],TERCEROS_INFO[#All],2,FALSE)</f>
        <v>30</v>
      </c>
      <c r="D1595" s="37">
        <f>+SUMIFS(PROVEEDORES[Total],PROVEEDORES[PROVEEDOR],PROVEEDORES[[#This Row],[PROVEEDOR]],PROVEEDORES[FECHA DE PAGO],"")</f>
        <v>0</v>
      </c>
      <c r="E1595" s="37"/>
      <c r="F1595" s="108" t="str">
        <f>+VLOOKUP(PROVEEDORES[[#This Row],[PROVEEDOR]],TERCEROS_INFO[[PROVEEDOR]:[CORREO]],5,FALSE)</f>
        <v/>
      </c>
      <c r="G1595" s="143">
        <v>44000</v>
      </c>
      <c r="H1595" s="38" t="s">
        <v>84</v>
      </c>
      <c r="I1595" s="30">
        <v>43999</v>
      </c>
      <c r="J1595" s="58" t="s">
        <v>1069</v>
      </c>
      <c r="K1595" s="32">
        <v>262563.86554621853</v>
      </c>
      <c r="L1595" s="32"/>
      <c r="M1595" s="33">
        <f>(PROVEEDORES[[#This Row],[SUBTOTAL]]-PROVEEDORES[[#This Row],[descuento antes de IVA]])*VLOOKUP(PROVEEDORES[[#This Row],[PROVEEDOR]],TERCEROS_INFO[#All],3,FALSE)</f>
        <v>49887.134453781524</v>
      </c>
      <c r="N1595" s="34"/>
      <c r="O1595" s="33">
        <f>+PROVEEDORES[[#This Row],[Descuento sobre subtotal %]]*(PROVEEDORES[[#This Row],[SUBTOTAL]]-PROVEEDORES[[#This Row],[descuento antes de IVA]])</f>
        <v>0</v>
      </c>
      <c r="P15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95" s="33">
        <f>+(PROVEEDORES[[#This Row],[SUBTOTAL]]-PROVEEDORES[[#This Row],[descuento antes de IVA]])*PROVEEDORES[[#This Row],[Rete Fuente %]]</f>
        <v>0</v>
      </c>
      <c r="R1595" s="32">
        <f>+PROVEEDORES[[#This Row],[SUBTOTAL]]+PROVEEDORES[[#This Row],[IVA 19%]]-PROVEEDORES[[#This Row],[descuento antes de IVA]]-PROVEEDORES[[#This Row],[Descuento sobre subtotal $]]-PROVEEDORES[[#This Row],[Rete Fuente $]]</f>
        <v>312451.00000000006</v>
      </c>
      <c r="S159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6" spans="1:19" ht="21.95" hidden="1" customHeight="1" x14ac:dyDescent="0.25">
      <c r="A1596" s="88" t="str">
        <f>+IF(PROVEEDORES[[#This Row],[FECHA DE PAGO]]=PROVEEDORES[[#This Row],[FECHA DE FACTURACIÓN]],"DE CONTADO","CRÉDITO")</f>
        <v>DE CONTADO</v>
      </c>
      <c r="B1596" s="70" t="b">
        <f>+IF((PROVEEDORES[[#This Row],[FECHA DE PAGO]]-PROVEEDORES[[#This Row],[FECHA DE FACTURACIÓN]])&gt;PROVEEDORES[[#This Row],[PLAZO Días]],"PAGO VENCIDO")</f>
        <v>0</v>
      </c>
      <c r="C1596" s="27">
        <f>+VLOOKUP(PROVEEDORES[[#This Row],[PROVEEDOR]],TERCEROS_INFO[#All],2,FALSE)</f>
        <v>30</v>
      </c>
      <c r="D1596" s="37">
        <f>+SUMIFS(PROVEEDORES[Total],PROVEEDORES[PROVEEDOR],PROVEEDORES[[#This Row],[PROVEEDOR]],PROVEEDORES[FECHA DE PAGO],"")</f>
        <v>0</v>
      </c>
      <c r="E1596" s="37"/>
      <c r="F1596" s="108">
        <f>+VLOOKUP(PROVEEDORES[[#This Row],[PROVEEDOR]],TERCEROS_INFO[[PROVEEDOR]:[CORREO]],5,FALSE)</f>
        <v>0</v>
      </c>
      <c r="G1596" s="143">
        <v>44281</v>
      </c>
      <c r="H1596" s="38" t="s">
        <v>971</v>
      </c>
      <c r="I1596" s="30">
        <v>44281</v>
      </c>
      <c r="J1596" s="58">
        <v>2229</v>
      </c>
      <c r="K1596" s="32">
        <v>922404</v>
      </c>
      <c r="L1596" s="32"/>
      <c r="M1596" s="33">
        <f>(PROVEEDORES[[#This Row],[SUBTOTAL]]-PROVEEDORES[[#This Row],[descuento antes de IVA]])*VLOOKUP(PROVEEDORES[[#This Row],[PROVEEDOR]],TERCEROS_INFO[#All],3,FALSE)</f>
        <v>175256.76</v>
      </c>
      <c r="N1596" s="34"/>
      <c r="O1596" s="33">
        <f>+PROVEEDORES[[#This Row],[Descuento sobre subtotal %]]*(PROVEEDORES[[#This Row],[SUBTOTAL]]-PROVEEDORES[[#This Row],[descuento antes de IVA]])</f>
        <v>0</v>
      </c>
      <c r="P15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596" s="33">
        <f>+(PROVEEDORES[[#This Row],[SUBTOTAL]]-PROVEEDORES[[#This Row],[descuento antes de IVA]])*PROVEEDORES[[#This Row],[Rete Fuente %]]</f>
        <v>0</v>
      </c>
      <c r="R1596" s="32">
        <f>+PROVEEDORES[[#This Row],[SUBTOTAL]]+PROVEEDORES[[#This Row],[IVA 19%]]-PROVEEDORES[[#This Row],[descuento antes de IVA]]-PROVEEDORES[[#This Row],[Descuento sobre subtotal $]]-PROVEEDORES[[#This Row],[Rete Fuente $]]</f>
        <v>1097660.76</v>
      </c>
      <c r="S159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7" spans="1:19" ht="21.95" hidden="1" customHeight="1" x14ac:dyDescent="0.25">
      <c r="A1597" s="39" t="str">
        <f>+IF(PROVEEDORES[[#This Row],[FECHA DE PAGO]]=PROVEEDORES[[#This Row],[FECHA DE FACTURACIÓN]],"DE CONTADO","CRÉDITO")</f>
        <v>CRÉDITO</v>
      </c>
      <c r="B1597" s="67" t="str">
        <f>+IF((PROVEEDORES[[#This Row],[FECHA DE PAGO]]-PROVEEDORES[[#This Row],[FECHA DE FACTURACIÓN]])&gt;PROVEEDORES[[#This Row],[PLAZO Días]],"PAGO VENCIDO")</f>
        <v>PAGO VENCIDO</v>
      </c>
      <c r="C1597" s="27">
        <f>+VLOOKUP(PROVEEDORES[[#This Row],[PROVEEDOR]],TERCEROS_INFO[#All],2,FALSE)</f>
        <v>30</v>
      </c>
      <c r="D1597" s="37">
        <f>+SUMIFS(PROVEEDORES[Total],PROVEEDORES[PROVEEDOR],PROVEEDORES[[#This Row],[PROVEEDOR]],PROVEEDORES[FECHA DE PAGO],"")</f>
        <v>1493451.9450000001</v>
      </c>
      <c r="E1597" s="37"/>
      <c r="F1597" s="108" t="str">
        <f>+VLOOKUP(PROVEEDORES[[#This Row],[PROVEEDOR]],TERCEROS_INFO[[PROVEEDOR]:[CORREO]],5,FALSE)</f>
        <v>yermingg@hotmail.com;girlesa.ruiz@servipilas.com;joriescobar64@gmail.com</v>
      </c>
      <c r="G1597" s="143">
        <v>44239</v>
      </c>
      <c r="H1597" s="38" t="s">
        <v>498</v>
      </c>
      <c r="I1597" s="30">
        <v>44158</v>
      </c>
      <c r="J1597" s="58">
        <v>27</v>
      </c>
      <c r="K1597" s="32">
        <v>1917313.4453781513</v>
      </c>
      <c r="L1597" s="32"/>
      <c r="M1597" s="33">
        <f>(PROVEEDORES[[#This Row],[SUBTOTAL]]-PROVEEDORES[[#This Row],[descuento antes de IVA]])*VLOOKUP(PROVEEDORES[[#This Row],[PROVEEDOR]],TERCEROS_INFO[#All],3,FALSE)</f>
        <v>364289.55462184874</v>
      </c>
      <c r="N1597" s="34"/>
      <c r="O1597" s="33">
        <f>+PROVEEDORES[[#This Row],[Descuento sobre subtotal %]]*(PROVEEDORES[[#This Row],[SUBTOTAL]]-PROVEEDORES[[#This Row],[descuento antes de IVA]])</f>
        <v>0</v>
      </c>
      <c r="P15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597" s="33">
        <f>+(PROVEEDORES[[#This Row],[SUBTOTAL]]-PROVEEDORES[[#This Row],[descuento antes de IVA]])*PROVEEDORES[[#This Row],[Rete Fuente %]]</f>
        <v>47932.836134453784</v>
      </c>
      <c r="R1597" s="32">
        <f>+PROVEEDORES[[#This Row],[SUBTOTAL]]+PROVEEDORES[[#This Row],[IVA 19%]]-PROVEEDORES[[#This Row],[descuento antes de IVA]]-PROVEEDORES[[#This Row],[Descuento sobre subtotal $]]-PROVEEDORES[[#This Row],[Rete Fuente $]]</f>
        <v>2233670.1638655462</v>
      </c>
      <c r="S159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8" spans="1:19" ht="21.95" hidden="1" customHeight="1" x14ac:dyDescent="0.25">
      <c r="A1598" s="39" t="str">
        <f>+IF(PROVEEDORES[[#This Row],[FECHA DE PAGO]]=PROVEEDORES[[#This Row],[FECHA DE FACTURACIÓN]],"DE CONTADO","CRÉDITO")</f>
        <v>CRÉDITO</v>
      </c>
      <c r="B1598" s="67" t="str">
        <f>+IF((PROVEEDORES[[#This Row],[FECHA DE PAGO]]-PROVEEDORES[[#This Row],[FECHA DE FACTURACIÓN]])&gt;PROVEEDORES[[#This Row],[PLAZO Días]],"PAGO VENCIDO")</f>
        <v>PAGO VENCIDO</v>
      </c>
      <c r="C1598" s="27">
        <f>+VLOOKUP(PROVEEDORES[[#This Row],[PROVEEDOR]],TERCEROS_INFO[#All],2,FALSE)</f>
        <v>30</v>
      </c>
      <c r="D1598" s="37">
        <f>+SUMIFS(PROVEEDORES[Total],PROVEEDORES[PROVEEDOR],PROVEEDORES[[#This Row],[PROVEEDOR]],PROVEEDORES[FECHA DE PAGO],"")</f>
        <v>1493451.9450000001</v>
      </c>
      <c r="E1598" s="37"/>
      <c r="F1598" s="108" t="str">
        <f>+VLOOKUP(PROVEEDORES[[#This Row],[PROVEEDOR]],TERCEROS_INFO[[PROVEEDOR]:[CORREO]],5,FALSE)</f>
        <v>yermingg@hotmail.com;girlesa.ruiz@servipilas.com;joriescobar64@gmail.com</v>
      </c>
      <c r="G1598" s="143">
        <v>44348</v>
      </c>
      <c r="H1598" s="38" t="s">
        <v>498</v>
      </c>
      <c r="I1598" s="30">
        <v>44218</v>
      </c>
      <c r="J1598" s="58">
        <v>134</v>
      </c>
      <c r="K1598" s="32">
        <v>1112605</v>
      </c>
      <c r="L1598" s="32"/>
      <c r="M1598" s="33">
        <f>(PROVEEDORES[[#This Row],[SUBTOTAL]]-PROVEEDORES[[#This Row],[descuento antes de IVA]])*VLOOKUP(PROVEEDORES[[#This Row],[PROVEEDOR]],TERCEROS_INFO[#All],3,FALSE)</f>
        <v>211394.95</v>
      </c>
      <c r="N1598" s="34"/>
      <c r="O1598" s="33">
        <f>+PROVEEDORES[[#This Row],[Descuento sobre subtotal %]]*(PROVEEDORES[[#This Row],[SUBTOTAL]]-PROVEEDORES[[#This Row],[descuento antes de IVA]])</f>
        <v>0</v>
      </c>
      <c r="P15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598" s="33">
        <f>+(PROVEEDORES[[#This Row],[SUBTOTAL]]-PROVEEDORES[[#This Row],[descuento antes de IVA]])*PROVEEDORES[[#This Row],[Rete Fuente %]]</f>
        <v>27815.125</v>
      </c>
      <c r="R1598" s="32">
        <f>+PROVEEDORES[[#This Row],[SUBTOTAL]]+PROVEEDORES[[#This Row],[IVA 19%]]-PROVEEDORES[[#This Row],[descuento antes de IVA]]-PROVEEDORES[[#This Row],[Descuento sobre subtotal $]]-PROVEEDORES[[#This Row],[Rete Fuente $]]</f>
        <v>1296184.825</v>
      </c>
      <c r="S159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599" spans="1:19" ht="21.95" hidden="1" customHeight="1" x14ac:dyDescent="0.25">
      <c r="A1599" s="88" t="str">
        <f>+IF(PROVEEDORES[[#This Row],[FECHA DE PAGO]]=PROVEEDORES[[#This Row],[FECHA DE FACTURACIÓN]],"DE CONTADO","CRÉDITO")</f>
        <v>CRÉDITO</v>
      </c>
      <c r="B1599" s="70" t="str">
        <f>+IF((PROVEEDORES[[#This Row],[FECHA DE PAGO]]-PROVEEDORES[[#This Row],[FECHA DE FACTURACIÓN]])&gt;PROVEEDORES[[#This Row],[PLAZO Días]],"PAGO VENCIDO")</f>
        <v>PAGO VENCIDO</v>
      </c>
      <c r="C1599" s="27">
        <f>+VLOOKUP(PROVEEDORES[[#This Row],[PROVEEDOR]],TERCEROS_INFO[#All],2,FALSE)</f>
        <v>30</v>
      </c>
      <c r="D1599" s="37">
        <f>+SUMIFS(PROVEEDORES[Total],PROVEEDORES[PROVEEDOR],PROVEEDORES[[#This Row],[PROVEEDOR]],PROVEEDORES[FECHA DE PAGO],"")</f>
        <v>1493451.9450000001</v>
      </c>
      <c r="E1599" s="37"/>
      <c r="F1599" s="108" t="str">
        <f>+VLOOKUP(PROVEEDORES[[#This Row],[PROVEEDOR]],TERCEROS_INFO[[PROVEEDOR]:[CORREO]],5,FALSE)</f>
        <v>yermingg@hotmail.com;girlesa.ruiz@servipilas.com;joriescobar64@gmail.com</v>
      </c>
      <c r="G1599" s="143">
        <v>44348</v>
      </c>
      <c r="H1599" s="38" t="s">
        <v>498</v>
      </c>
      <c r="I1599" s="30">
        <v>44274</v>
      </c>
      <c r="J1599" s="58">
        <v>219</v>
      </c>
      <c r="K1599" s="32">
        <v>1477310</v>
      </c>
      <c r="L1599" s="32"/>
      <c r="M1599" s="33">
        <f>(PROVEEDORES[[#This Row],[SUBTOTAL]]-PROVEEDORES[[#This Row],[descuento antes de IVA]])*VLOOKUP(PROVEEDORES[[#This Row],[PROVEEDOR]],TERCEROS_INFO[#All],3,FALSE)</f>
        <v>280688.90000000002</v>
      </c>
      <c r="N1599" s="34"/>
      <c r="O1599" s="33">
        <f>+PROVEEDORES[[#This Row],[Descuento sobre subtotal %]]*(PROVEEDORES[[#This Row],[SUBTOTAL]]-PROVEEDORES[[#This Row],[descuento antes de IVA]])</f>
        <v>0</v>
      </c>
      <c r="P15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599" s="33">
        <f>+(PROVEEDORES[[#This Row],[SUBTOTAL]]-PROVEEDORES[[#This Row],[descuento antes de IVA]])*PROVEEDORES[[#This Row],[Rete Fuente %]]</f>
        <v>36932.75</v>
      </c>
      <c r="R1599" s="32">
        <f>+PROVEEDORES[[#This Row],[SUBTOTAL]]+PROVEEDORES[[#This Row],[IVA 19%]]-PROVEEDORES[[#This Row],[descuento antes de IVA]]-PROVEEDORES[[#This Row],[Descuento sobre subtotal $]]-PROVEEDORES[[#This Row],[Rete Fuente $]]</f>
        <v>1721066.15</v>
      </c>
      <c r="S159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00" spans="1:19" ht="21.95" hidden="1" customHeight="1" x14ac:dyDescent="0.25">
      <c r="A1600" s="118" t="str">
        <f>+IF(PROVEEDORES[[#This Row],[FECHA DE PAGO]]=PROVEEDORES[[#This Row],[FECHA DE FACTURACIÓN]],"DE CONTADO","CRÉDITO")</f>
        <v>CRÉDITO</v>
      </c>
      <c r="B1600" s="70" t="str">
        <f>+IF((PROVEEDORES[[#This Row],[FECHA DE PAGO]]-PROVEEDORES[[#This Row],[FECHA DE FACTURACIÓN]])&gt;PROVEEDORES[[#This Row],[PLAZO Días]],"PAGO VENCIDO")</f>
        <v>PAGO VENCIDO</v>
      </c>
      <c r="C1600" s="27">
        <f>+VLOOKUP(PROVEEDORES[[#This Row],[PROVEEDOR]],TERCEROS_INFO[#All],2,FALSE)</f>
        <v>30</v>
      </c>
      <c r="D1600" s="37">
        <f>+SUMIFS(PROVEEDORES[Total],PROVEEDORES[PROVEEDOR],PROVEEDORES[[#This Row],[PROVEEDOR]],PROVEEDORES[FECHA DE PAGO],"")</f>
        <v>1493451.9450000001</v>
      </c>
      <c r="E1600" s="37"/>
      <c r="F1600" s="108" t="str">
        <f>+VLOOKUP(PROVEEDORES[[#This Row],[PROVEEDOR]],TERCEROS_INFO[[PROVEEDOR]:[CORREO]],5,FALSE)</f>
        <v>yermingg@hotmail.com;girlesa.ruiz@servipilas.com;joriescobar64@gmail.com</v>
      </c>
      <c r="G1600" s="143">
        <v>44389</v>
      </c>
      <c r="H1600" s="38" t="s">
        <v>498</v>
      </c>
      <c r="I1600" s="30">
        <v>44336</v>
      </c>
      <c r="J1600" s="58">
        <v>272</v>
      </c>
      <c r="K1600" s="32">
        <v>993276</v>
      </c>
      <c r="L1600" s="32"/>
      <c r="M1600" s="33">
        <f>(PROVEEDORES[[#This Row],[SUBTOTAL]]-PROVEEDORES[[#This Row],[descuento antes de IVA]])*VLOOKUP(PROVEEDORES[[#This Row],[PROVEEDOR]],TERCEROS_INFO[#All],3,FALSE)</f>
        <v>188722.44</v>
      </c>
      <c r="N1600" s="34"/>
      <c r="O1600" s="33">
        <f>+PROVEEDORES[[#This Row],[Descuento sobre subtotal %]]*(PROVEEDORES[[#This Row],[SUBTOTAL]]-PROVEEDORES[[#This Row],[descuento antes de IVA]])</f>
        <v>0</v>
      </c>
      <c r="P16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00" s="33">
        <f>+(PROVEEDORES[[#This Row],[SUBTOTAL]]-PROVEEDORES[[#This Row],[descuento antes de IVA]])*PROVEEDORES[[#This Row],[Rete Fuente %]]</f>
        <v>24831.9</v>
      </c>
      <c r="R1600" s="32">
        <f>+PROVEEDORES[[#This Row],[SUBTOTAL]]+PROVEEDORES[[#This Row],[IVA 19%]]-PROVEEDORES[[#This Row],[descuento antes de IVA]]-PROVEEDORES[[#This Row],[Descuento sobre subtotal $]]-PROVEEDORES[[#This Row],[Rete Fuente $]]</f>
        <v>1157166.54</v>
      </c>
      <c r="S1600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01" spans="1:19" ht="21.95" hidden="1" customHeight="1" x14ac:dyDescent="0.25">
      <c r="A1601" s="35" t="str">
        <f>+IF(PROVEEDORES[[#This Row],[FECHA DE PAGO]]=PROVEEDORES[[#This Row],[FECHA DE FACTURACIÓN]],"DE CONTADO","CRÉDITO")</f>
        <v>CRÉDITO</v>
      </c>
      <c r="B1601" s="70" t="str">
        <f>+IF((PROVEEDORES[[#This Row],[FECHA DE PAGO]]-PROVEEDORES[[#This Row],[FECHA DE FACTURACIÓN]])&gt;PROVEEDORES[[#This Row],[PLAZO Días]],"PAGO VENCIDO")</f>
        <v>PAGO VENCIDO</v>
      </c>
      <c r="C1601" s="27">
        <f>+VLOOKUP(PROVEEDORES[[#This Row],[PROVEEDOR]],TERCEROS_INFO[#All],2,FALSE)</f>
        <v>30</v>
      </c>
      <c r="D1601" s="37">
        <f>+SUMIFS(PROVEEDORES[Total],PROVEEDORES[PROVEEDOR],PROVEEDORES[[#This Row],[PROVEEDOR]],PROVEEDORES[FECHA DE PAGO],"")</f>
        <v>1493451.9450000001</v>
      </c>
      <c r="E1601" s="37"/>
      <c r="F1601" s="108" t="str">
        <f>+VLOOKUP(PROVEEDORES[[#This Row],[PROVEEDOR]],TERCEROS_INFO[[PROVEEDOR]:[CORREO]],5,FALSE)</f>
        <v>yermingg@hotmail.com;girlesa.ruiz@servipilas.com;joriescobar64@gmail.com</v>
      </c>
      <c r="G1601" s="143">
        <v>44442</v>
      </c>
      <c r="H1601" s="38" t="s">
        <v>498</v>
      </c>
      <c r="I1601" s="30">
        <v>44376</v>
      </c>
      <c r="J1601" s="58">
        <v>301</v>
      </c>
      <c r="K1601" s="32">
        <v>1144538</v>
      </c>
      <c r="L1601" s="32"/>
      <c r="M1601" s="33">
        <f>(PROVEEDORES[[#This Row],[SUBTOTAL]]-PROVEEDORES[[#This Row],[descuento antes de IVA]])*VLOOKUP(PROVEEDORES[[#This Row],[PROVEEDOR]],TERCEROS_INFO[#All],3,FALSE)</f>
        <v>217462.22</v>
      </c>
      <c r="N1601" s="34"/>
      <c r="O1601" s="33">
        <f>+PROVEEDORES[[#This Row],[Descuento sobre subtotal %]]*(PROVEEDORES[[#This Row],[SUBTOTAL]]-PROVEEDORES[[#This Row],[descuento antes de IVA]])</f>
        <v>0</v>
      </c>
      <c r="P16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01" s="33">
        <f>+(PROVEEDORES[[#This Row],[SUBTOTAL]]-PROVEEDORES[[#This Row],[descuento antes de IVA]])*PROVEEDORES[[#This Row],[Rete Fuente %]]</f>
        <v>28613.45</v>
      </c>
      <c r="R1601" s="32">
        <f>+PROVEEDORES[[#This Row],[SUBTOTAL]]+PROVEEDORES[[#This Row],[IVA 19%]]-PROVEEDORES[[#This Row],[descuento antes de IVA]]-PROVEEDORES[[#This Row],[Descuento sobre subtotal $]]-PROVEEDORES[[#This Row],[Rete Fuente $]]</f>
        <v>1333386.77</v>
      </c>
      <c r="S1601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02" spans="1:19" ht="21.95" hidden="1" customHeight="1" x14ac:dyDescent="0.25">
      <c r="A1602" s="134" t="str">
        <f>+IF(PROVEEDORES[[#This Row],[FECHA DE PAGO]]=PROVEEDORES[[#This Row],[FECHA DE FACTURACIÓN]],"DE CONTADO","CRÉDITO")</f>
        <v>CRÉDITO</v>
      </c>
      <c r="B1602" s="70" t="str">
        <f>+IF((PROVEEDORES[[#This Row],[FECHA DE PAGO]]-PROVEEDORES[[#This Row],[FECHA DE FACTURACIÓN]])&gt;PROVEEDORES[[#This Row],[PLAZO Días]],"PAGO VENCIDO")</f>
        <v>PAGO VENCIDO</v>
      </c>
      <c r="C1602" s="27">
        <f>+VLOOKUP(PROVEEDORES[[#This Row],[PROVEEDOR]],TERCEROS_INFO[#All],2,FALSE)</f>
        <v>30</v>
      </c>
      <c r="D1602" s="37">
        <f>+SUMIFS(PROVEEDORES[Total],PROVEEDORES[PROVEEDOR],PROVEEDORES[[#This Row],[PROVEEDOR]],PROVEEDORES[FECHA DE PAGO],"")</f>
        <v>1493451.9450000001</v>
      </c>
      <c r="E1602" s="37"/>
      <c r="F1602" s="108" t="str">
        <f>+VLOOKUP(PROVEEDORES[[#This Row],[PROVEEDOR]],TERCEROS_INFO[[PROVEEDOR]:[CORREO]],5,FALSE)</f>
        <v>yermingg@hotmail.com;girlesa.ruiz@servipilas.com;joriescobar64@gmail.com</v>
      </c>
      <c r="G1602" s="143">
        <v>44442</v>
      </c>
      <c r="H1602" s="38" t="s">
        <v>498</v>
      </c>
      <c r="I1602" s="30">
        <v>44391</v>
      </c>
      <c r="J1602" s="58">
        <v>316</v>
      </c>
      <c r="K1602" s="32">
        <v>324370</v>
      </c>
      <c r="L1602" s="32"/>
      <c r="M1602" s="33">
        <f>(PROVEEDORES[[#This Row],[SUBTOTAL]]-PROVEEDORES[[#This Row],[descuento antes de IVA]])*VLOOKUP(PROVEEDORES[[#This Row],[PROVEEDOR]],TERCEROS_INFO[#All],3,FALSE)</f>
        <v>61630.3</v>
      </c>
      <c r="N1602" s="34"/>
      <c r="O1602" s="33">
        <f>+PROVEEDORES[[#This Row],[Descuento sobre subtotal %]]*(PROVEEDORES[[#This Row],[SUBTOTAL]]-PROVEEDORES[[#This Row],[descuento antes de IVA]])</f>
        <v>0</v>
      </c>
      <c r="P16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02" s="33">
        <f>+(PROVEEDORES[[#This Row],[SUBTOTAL]]-PROVEEDORES[[#This Row],[descuento antes de IVA]])*PROVEEDORES[[#This Row],[Rete Fuente %]]</f>
        <v>0</v>
      </c>
      <c r="R1602" s="32">
        <f>+PROVEEDORES[[#This Row],[SUBTOTAL]]+PROVEEDORES[[#This Row],[IVA 19%]]-PROVEEDORES[[#This Row],[descuento antes de IVA]]-PROVEEDORES[[#This Row],[Descuento sobre subtotal $]]-PROVEEDORES[[#This Row],[Rete Fuente $]]</f>
        <v>386000.3</v>
      </c>
      <c r="S1602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03" spans="1:19" ht="21.95" hidden="1" customHeight="1" x14ac:dyDescent="0.25">
      <c r="A1603" s="148" t="str">
        <f>+IF(PROVEEDORES[[#This Row],[FECHA DE PAGO]]=PROVEEDORES[[#This Row],[FECHA DE FACTURACIÓN]],"DE CONTADO","CRÉDITO")</f>
        <v>CRÉDITO</v>
      </c>
      <c r="B1603" s="70" t="str">
        <f>+IF((PROVEEDORES[[#This Row],[FECHA DE PAGO]]-PROVEEDORES[[#This Row],[FECHA DE FACTURACIÓN]])&gt;PROVEEDORES[[#This Row],[PLAZO Días]],"PAGO VENCIDO")</f>
        <v>PAGO VENCIDO</v>
      </c>
      <c r="C1603" s="27">
        <f>+VLOOKUP(PROVEEDORES[[#This Row],[PROVEEDOR]],TERCEROS_INFO[#All],2,FALSE)</f>
        <v>30</v>
      </c>
      <c r="D1603" s="37">
        <f>+SUMIFS(PROVEEDORES[Total],PROVEEDORES[PROVEEDOR],PROVEEDORES[[#This Row],[PROVEEDOR]],PROVEEDORES[FECHA DE PAGO],"")</f>
        <v>1493451.9450000001</v>
      </c>
      <c r="E1603" s="37"/>
      <c r="F1603" s="108" t="str">
        <f>+VLOOKUP(PROVEEDORES[[#This Row],[PROVEEDOR]],TERCEROS_INFO[[PROVEEDOR]:[CORREO]],5,FALSE)</f>
        <v>yermingg@hotmail.com;girlesa.ruiz@servipilas.com;joriescobar64@gmail.com</v>
      </c>
      <c r="G1603" s="143">
        <v>44452</v>
      </c>
      <c r="H1603" s="38" t="s">
        <v>498</v>
      </c>
      <c r="I1603" s="30">
        <v>44419</v>
      </c>
      <c r="J1603" s="58">
        <v>345</v>
      </c>
      <c r="K1603" s="32">
        <v>435294</v>
      </c>
      <c r="L1603" s="32"/>
      <c r="M1603" s="33">
        <f>(PROVEEDORES[[#This Row],[SUBTOTAL]]-PROVEEDORES[[#This Row],[descuento antes de IVA]])*VLOOKUP(PROVEEDORES[[#This Row],[PROVEEDOR]],TERCEROS_INFO[#All],3,FALSE)</f>
        <v>82705.86</v>
      </c>
      <c r="N1603" s="34"/>
      <c r="O1603" s="33">
        <f>+PROVEEDORES[[#This Row],[Descuento sobre subtotal %]]*(PROVEEDORES[[#This Row],[SUBTOTAL]]-PROVEEDORES[[#This Row],[descuento antes de IVA]])</f>
        <v>0</v>
      </c>
      <c r="P16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03" s="33">
        <f>+(PROVEEDORES[[#This Row],[SUBTOTAL]]-PROVEEDORES[[#This Row],[descuento antes de IVA]])*PROVEEDORES[[#This Row],[Rete Fuente %]]</f>
        <v>0</v>
      </c>
      <c r="R1603" s="32">
        <f>+PROVEEDORES[[#This Row],[SUBTOTAL]]+PROVEEDORES[[#This Row],[IVA 19%]]-PROVEEDORES[[#This Row],[descuento antes de IVA]]-PROVEEDORES[[#This Row],[Descuento sobre subtotal $]]-PROVEEDORES[[#This Row],[Rete Fuente $]]</f>
        <v>517999.86</v>
      </c>
      <c r="S1603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04" spans="1:19" ht="21.95" hidden="1" customHeight="1" x14ac:dyDescent="0.25">
      <c r="A1604" s="161" t="str">
        <f>+IF(PROVEEDORES[[#This Row],[FECHA DE PAGO]]=PROVEEDORES[[#This Row],[FECHA DE FACTURACIÓN]],"DE CONTADO","CRÉDITO")</f>
        <v>CRÉDITO</v>
      </c>
      <c r="B1604" s="70" t="str">
        <f>+IF((PROVEEDORES[[#This Row],[FECHA DE PAGO]]-PROVEEDORES[[#This Row],[FECHA DE FACTURACIÓN]])&gt;PROVEEDORES[[#This Row],[PLAZO Días]],"PAGO VENCIDO")</f>
        <v>PAGO VENCIDO</v>
      </c>
      <c r="C1604" s="27">
        <f>+VLOOKUP(PROVEEDORES[[#This Row],[PROVEEDOR]],TERCEROS_INFO[#All],2,FALSE)</f>
        <v>30</v>
      </c>
      <c r="D1604" s="37">
        <f>+SUMIFS(PROVEEDORES[Total],PROVEEDORES[PROVEEDOR],PROVEEDORES[[#This Row],[PROVEEDOR]],PROVEEDORES[FECHA DE PAGO],"")</f>
        <v>1493451.9450000001</v>
      </c>
      <c r="E1604" s="37"/>
      <c r="F1604" s="108" t="str">
        <f>+VLOOKUP(PROVEEDORES[[#This Row],[PROVEEDOR]],TERCEROS_INFO[[PROVEEDOR]:[CORREO]],5,FALSE)</f>
        <v>yermingg@hotmail.com;girlesa.ruiz@servipilas.com;joriescobar64@gmail.com</v>
      </c>
      <c r="G1604" s="143">
        <v>44552</v>
      </c>
      <c r="H1604" s="38" t="s">
        <v>498</v>
      </c>
      <c r="I1604" s="30">
        <v>44494</v>
      </c>
      <c r="J1604" s="58">
        <v>410</v>
      </c>
      <c r="K1604" s="32">
        <v>1807563</v>
      </c>
      <c r="L1604" s="32"/>
      <c r="M1604" s="33">
        <f>(PROVEEDORES[[#This Row],[SUBTOTAL]]-PROVEEDORES[[#This Row],[descuento antes de IVA]])*VLOOKUP(PROVEEDORES[[#This Row],[PROVEEDOR]],TERCEROS_INFO[#All],3,FALSE)</f>
        <v>343436.97000000003</v>
      </c>
      <c r="N1604" s="34"/>
      <c r="O1604" s="33">
        <f>+PROVEEDORES[[#This Row],[Descuento sobre subtotal %]]*(PROVEEDORES[[#This Row],[SUBTOTAL]]-PROVEEDORES[[#This Row],[descuento antes de IVA]])</f>
        <v>0</v>
      </c>
      <c r="P16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04" s="33">
        <f>+(PROVEEDORES[[#This Row],[SUBTOTAL]]-PROVEEDORES[[#This Row],[descuento antes de IVA]])*PROVEEDORES[[#This Row],[Rete Fuente %]]</f>
        <v>45189.075000000004</v>
      </c>
      <c r="R1604" s="32">
        <f>+PROVEEDORES[[#This Row],[SUBTOTAL]]+PROVEEDORES[[#This Row],[IVA 19%]]-PROVEEDORES[[#This Row],[descuento antes de IVA]]-PROVEEDORES[[#This Row],[Descuento sobre subtotal $]]-PROVEEDORES[[#This Row],[Rete Fuente $]]</f>
        <v>2105810.895</v>
      </c>
      <c r="S1604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05" spans="1:19" ht="21.95" hidden="1" customHeight="1" x14ac:dyDescent="0.25">
      <c r="A1605" s="167" t="str">
        <f>+IF(PROVEEDORES[[#This Row],[FECHA DE PAGO]]=PROVEEDORES[[#This Row],[FECHA DE FACTURACIÓN]],"DE CONTADO","CRÉDITO")</f>
        <v>CRÉDITO</v>
      </c>
      <c r="B1605" s="70" t="b">
        <f>+IF((PROVEEDORES[[#This Row],[FECHA DE PAGO]]-PROVEEDORES[[#This Row],[FECHA DE FACTURACIÓN]])&gt;PROVEEDORES[[#This Row],[PLAZO Días]],"PAGO VENCIDO")</f>
        <v>0</v>
      </c>
      <c r="C1605" s="27">
        <f>+VLOOKUP(PROVEEDORES[[#This Row],[PROVEEDOR]],TERCEROS_INFO[#All],2,FALSE)</f>
        <v>30</v>
      </c>
      <c r="D1605" s="37">
        <f>+SUMIFS(PROVEEDORES[Total],PROVEEDORES[PROVEEDOR],PROVEEDORES[[#This Row],[PROVEEDOR]],PROVEEDORES[FECHA DE PAGO],"")</f>
        <v>1493451.9450000001</v>
      </c>
      <c r="E1605" s="37"/>
      <c r="F1605" s="108" t="str">
        <f>+VLOOKUP(PROVEEDORES[[#This Row],[PROVEEDOR]],TERCEROS_INFO[[PROVEEDOR]:[CORREO]],5,FALSE)</f>
        <v>yermingg@hotmail.com;girlesa.ruiz@servipilas.com;joriescobar64@gmail.com</v>
      </c>
      <c r="G1605" s="143">
        <v>44552</v>
      </c>
      <c r="H1605" s="38" t="s">
        <v>498</v>
      </c>
      <c r="I1605" s="30">
        <v>44530</v>
      </c>
      <c r="J1605" s="58">
        <v>437</v>
      </c>
      <c r="K1605" s="32">
        <v>1452941</v>
      </c>
      <c r="L1605" s="32"/>
      <c r="M1605" s="33">
        <f>(PROVEEDORES[[#This Row],[SUBTOTAL]]-PROVEEDORES[[#This Row],[descuento antes de IVA]])*VLOOKUP(PROVEEDORES[[#This Row],[PROVEEDOR]],TERCEROS_INFO[#All],3,FALSE)</f>
        <v>276058.78999999998</v>
      </c>
      <c r="N1605" s="34"/>
      <c r="O1605" s="33">
        <f>+PROVEEDORES[[#This Row],[Descuento sobre subtotal %]]*(PROVEEDORES[[#This Row],[SUBTOTAL]]-PROVEEDORES[[#This Row],[descuento antes de IVA]])</f>
        <v>0</v>
      </c>
      <c r="P16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05" s="33">
        <f>+(PROVEEDORES[[#This Row],[SUBTOTAL]]-PROVEEDORES[[#This Row],[descuento antes de IVA]])*PROVEEDORES[[#This Row],[Rete Fuente %]]</f>
        <v>36323.525000000001</v>
      </c>
      <c r="R1605" s="32">
        <f>+PROVEEDORES[[#This Row],[SUBTOTAL]]+PROVEEDORES[[#This Row],[IVA 19%]]-PROVEEDORES[[#This Row],[descuento antes de IVA]]-PROVEEDORES[[#This Row],[Descuento sobre subtotal $]]-PROVEEDORES[[#This Row],[Rete Fuente $]]</f>
        <v>1692676.2650000001</v>
      </c>
      <c r="S1605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06" spans="1:19" ht="21.95" hidden="1" customHeight="1" x14ac:dyDescent="0.25">
      <c r="A1606" s="35" t="str">
        <f>+IF(PROVEEDORES[[#This Row],[FECHA DE PAGO]]=PROVEEDORES[[#This Row],[FECHA DE FACTURACIÓN]],"DE CONTADO","CRÉDITO")</f>
        <v>CRÉDITO</v>
      </c>
      <c r="B1606" s="70" t="b">
        <f>+IF((PROVEEDORES[[#This Row],[FECHA DE PAGO]]-PROVEEDORES[[#This Row],[FECHA DE FACTURACIÓN]])&gt;PROVEEDORES[[#This Row],[PLAZO Días]],"PAGO VENCIDO")</f>
        <v>0</v>
      </c>
      <c r="C1606" s="27">
        <f>+VLOOKUP(PROVEEDORES[[#This Row],[PROVEEDOR]],TERCEROS_INFO[#All],2,FALSE)</f>
        <v>30</v>
      </c>
      <c r="D1606" s="37">
        <f>+SUMIFS(PROVEEDORES[Total],PROVEEDORES[PROVEEDOR],PROVEEDORES[[#This Row],[PROVEEDOR]],PROVEEDORES[FECHA DE PAGO],"")</f>
        <v>1493451.9450000001</v>
      </c>
      <c r="E1606" s="37"/>
      <c r="F1606" s="108" t="str">
        <f>+VLOOKUP(PROVEEDORES[[#This Row],[PROVEEDOR]],TERCEROS_INFO[[PROVEEDOR]:[CORREO]],5,FALSE)</f>
        <v>yermingg@hotmail.com;girlesa.ruiz@servipilas.com;joriescobar64@gmail.com</v>
      </c>
      <c r="H1606" s="38" t="s">
        <v>498</v>
      </c>
      <c r="I1606" s="30">
        <v>44551</v>
      </c>
      <c r="J1606" s="58">
        <v>458</v>
      </c>
      <c r="K1606" s="32">
        <v>1281933</v>
      </c>
      <c r="L1606" s="32"/>
      <c r="M1606" s="33">
        <f>(PROVEEDORES[[#This Row],[SUBTOTAL]]-PROVEEDORES[[#This Row],[descuento antes de IVA]])*VLOOKUP(PROVEEDORES[[#This Row],[PROVEEDOR]],TERCEROS_INFO[#All],3,FALSE)</f>
        <v>243567.27</v>
      </c>
      <c r="N1606" s="34"/>
      <c r="O1606" s="33">
        <f>+PROVEEDORES[[#This Row],[Descuento sobre subtotal %]]*(PROVEEDORES[[#This Row],[SUBTOTAL]]-PROVEEDORES[[#This Row],[descuento antes de IVA]])</f>
        <v>0</v>
      </c>
      <c r="P16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06" s="33">
        <f>+(PROVEEDORES[[#This Row],[SUBTOTAL]]-PROVEEDORES[[#This Row],[descuento antes de IVA]])*PROVEEDORES[[#This Row],[Rete Fuente %]]</f>
        <v>32048.325000000001</v>
      </c>
      <c r="R1606" s="32">
        <f>+PROVEEDORES[[#This Row],[SUBTOTAL]]+PROVEEDORES[[#This Row],[IVA 19%]]-PROVEEDORES[[#This Row],[descuento antes de IVA]]-PROVEEDORES[[#This Row],[Descuento sobre subtotal $]]-PROVEEDORES[[#This Row],[Rete Fuente $]]</f>
        <v>1493451.9450000001</v>
      </c>
      <c r="S1606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607" spans="1:19" ht="21.95" hidden="1" customHeight="1" x14ac:dyDescent="0.25">
      <c r="A1607" s="100" t="str">
        <f>+IF(PROVEEDORES[[#This Row],[FECHA DE PAGO]]=PROVEEDORES[[#This Row],[FECHA DE FACTURACIÓN]],"DE CONTADO","CRÉDITO")</f>
        <v>CRÉDITO</v>
      </c>
      <c r="B1607" s="70" t="b">
        <f>+IF((PROVEEDORES[[#This Row],[FECHA DE PAGO]]-PROVEEDORES[[#This Row],[FECHA DE FACTURACIÓN]])&gt;PROVEEDORES[[#This Row],[PLAZO Días]],"PAGO VENCIDO")</f>
        <v>0</v>
      </c>
      <c r="C1607" s="27">
        <f>+VLOOKUP(PROVEEDORES[[#This Row],[PROVEEDOR]],TERCEROS_INFO[#All],2,FALSE)</f>
        <v>20</v>
      </c>
      <c r="D1607" s="37">
        <f>+SUMIFS(PROVEEDORES[Total],PROVEEDORES[PROVEEDOR],PROVEEDORES[[#This Row],[PROVEEDOR]],PROVEEDORES[FECHA DE PAGO],"")</f>
        <v>0</v>
      </c>
      <c r="E1607" s="37"/>
      <c r="F1607" s="108" t="str">
        <f>+VLOOKUP(PROVEEDORES[[#This Row],[PROVEEDOR]],TERCEROS_INFO[[PROVEEDOR]:[CORREO]],5,FALSE)</f>
        <v>facturasimh@simh.com.co;girlesa.ruiz@servipilas.com;joriescobar64@gmail.com</v>
      </c>
      <c r="G1607" s="143">
        <v>44298</v>
      </c>
      <c r="H1607" s="38" t="s">
        <v>593</v>
      </c>
      <c r="I1607" s="30">
        <v>44291</v>
      </c>
      <c r="J1607" s="58"/>
      <c r="K1607" s="32">
        <v>810000</v>
      </c>
      <c r="L1607" s="32"/>
      <c r="M1607" s="33">
        <f>(PROVEEDORES[[#This Row],[SUBTOTAL]]-PROVEEDORES[[#This Row],[descuento antes de IVA]])*VLOOKUP(PROVEEDORES[[#This Row],[PROVEEDOR]],TERCEROS_INFO[#All],3,FALSE)</f>
        <v>0</v>
      </c>
      <c r="N1607" s="34"/>
      <c r="O1607" s="33">
        <f>+PROVEEDORES[[#This Row],[Descuento sobre subtotal %]]*(PROVEEDORES[[#This Row],[SUBTOTAL]]-PROVEEDORES[[#This Row],[descuento antes de IVA]])</f>
        <v>0</v>
      </c>
      <c r="P16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07" s="33">
        <f>+(PROVEEDORES[[#This Row],[SUBTOTAL]]-PROVEEDORES[[#This Row],[descuento antes de IVA]])*PROVEEDORES[[#This Row],[Rete Fuente %]]</f>
        <v>0</v>
      </c>
      <c r="R1607" s="32">
        <f>+PROVEEDORES[[#This Row],[SUBTOTAL]]+PROVEEDORES[[#This Row],[IVA 19%]]-PROVEEDORES[[#This Row],[descuento antes de IVA]]-PROVEEDORES[[#This Row],[Descuento sobre subtotal $]]-PROVEEDORES[[#This Row],[Rete Fuente $]]</f>
        <v>810000</v>
      </c>
      <c r="S1607" s="10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08" spans="1:19" ht="21.95" hidden="1" customHeight="1" x14ac:dyDescent="0.25">
      <c r="A1608" s="39" t="str">
        <f>+IF(PROVEEDORES[[#This Row],[FECHA DE PAGO]]=PROVEEDORES[[#This Row],[FECHA DE FACTURACIÓN]],"DE CONTADO","CRÉDITO")</f>
        <v>DE CONTADO</v>
      </c>
      <c r="B1608" s="67" t="b">
        <f>+IF((PROVEEDORES[[#This Row],[FECHA DE PAGO]]-PROVEEDORES[[#This Row],[FECHA DE FACTURACIÓN]])&gt;PROVEEDORES[[#This Row],[PLAZO Días]],"PAGO VENCIDO")</f>
        <v>0</v>
      </c>
      <c r="C1608" s="27">
        <f>+VLOOKUP(PROVEEDORES[[#This Row],[PROVEEDOR]],TERCEROS_INFO[#All],2,FALSE)</f>
        <v>30</v>
      </c>
      <c r="D1608" s="37">
        <f>+SUMIFS(PROVEEDORES[Total],PROVEEDORES[PROVEEDOR],PROVEEDORES[[#This Row],[PROVEEDOR]],PROVEEDORES[FECHA DE PAGO],"")</f>
        <v>0</v>
      </c>
      <c r="E1608" s="37"/>
      <c r="F1608" s="108" t="str">
        <f>+VLOOKUP(PROVEEDORES[[#This Row],[PROVEEDOR]],TERCEROS_INFO[[PROVEEDOR]:[CORREO]],5,FALSE)</f>
        <v>jack@sinomingproducts.com;info@servipilas.com</v>
      </c>
      <c r="G1608" s="143">
        <v>44223</v>
      </c>
      <c r="H1608" s="57" t="s">
        <v>407</v>
      </c>
      <c r="I1608" s="30">
        <v>44223</v>
      </c>
      <c r="J1608" s="58">
        <v>114001</v>
      </c>
      <c r="K1608" s="32">
        <f>4925*3648.6</f>
        <v>17969355</v>
      </c>
      <c r="L1608" s="32"/>
      <c r="M1608" s="33">
        <f>(PROVEEDORES[[#This Row],[SUBTOTAL]]-PROVEEDORES[[#This Row],[descuento antes de IVA]])*VLOOKUP(PROVEEDORES[[#This Row],[PROVEEDOR]],TERCEROS_INFO[#All],3,FALSE)</f>
        <v>0</v>
      </c>
      <c r="N1608" s="34"/>
      <c r="O1608" s="33">
        <f>+PROVEEDORES[[#This Row],[Descuento sobre subtotal %]]*(PROVEEDORES[[#This Row],[SUBTOTAL]]-PROVEEDORES[[#This Row],[descuento antes de IVA]])</f>
        <v>0</v>
      </c>
      <c r="P16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08" s="33">
        <f>+(PROVEEDORES[[#This Row],[SUBTOTAL]]-PROVEEDORES[[#This Row],[descuento antes de IVA]])*PROVEEDORES[[#This Row],[Rete Fuente %]]</f>
        <v>0</v>
      </c>
      <c r="R1608" s="32">
        <f>+PROVEEDORES[[#This Row],[SUBTOTAL]]+PROVEEDORES[[#This Row],[IVA 19%]]-PROVEEDORES[[#This Row],[descuento antes de IVA]]-PROVEEDORES[[#This Row],[Descuento sobre subtotal $]]-PROVEEDORES[[#This Row],[Rete Fuente $]]</f>
        <v>17969355</v>
      </c>
      <c r="S16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09" spans="1:19" ht="21.95" hidden="1" customHeight="1" x14ac:dyDescent="0.25">
      <c r="A1609" s="39" t="str">
        <f>+IF(PROVEEDORES[[#This Row],[FECHA DE PAGO]]=PROVEEDORES[[#This Row],[FECHA DE FACTURACIÓN]],"DE CONTADO","CRÉDITO")</f>
        <v>CRÉDITO</v>
      </c>
      <c r="B1609" s="67" t="b">
        <f>+IF((PROVEEDORES[[#This Row],[FECHA DE PAGO]]-PROVEEDORES[[#This Row],[FECHA DE FACTURACIÓN]])&gt;PROVEEDORES[[#This Row],[PLAZO Días]],"PAGO VENCIDO")</f>
        <v>0</v>
      </c>
      <c r="C1609" s="27">
        <f>+VLOOKUP(PROVEEDORES[[#This Row],[PROVEEDOR]],TERCEROS_INFO[#All],2,FALSE)</f>
        <v>30</v>
      </c>
      <c r="D1609" s="37">
        <f>+SUMIFS(PROVEEDORES[Total],PROVEEDORES[PROVEEDOR],PROVEEDORES[[#This Row],[PROVEEDOR]],PROVEEDORES[FECHA DE PAGO],"")</f>
        <v>0</v>
      </c>
      <c r="E1609" s="37"/>
      <c r="F1609" s="108" t="str">
        <f>+VLOOKUP(PROVEEDORES[[#This Row],[PROVEEDOR]],TERCEROS_INFO[[PROVEEDOR]:[CORREO]],5,FALSE)</f>
        <v>pagos@sistecredito.com;girlesa.ruiz@servipilas.com;joriescobar64@gmail.com</v>
      </c>
      <c r="G1609" s="143">
        <v>43846</v>
      </c>
      <c r="H1609" s="38" t="s">
        <v>32</v>
      </c>
      <c r="I1609" s="30">
        <v>43831</v>
      </c>
      <c r="J1609" s="58"/>
      <c r="K1609" s="32">
        <v>787208.40336134459</v>
      </c>
      <c r="L1609" s="32"/>
      <c r="M1609" s="33">
        <f>(PROVEEDORES[[#This Row],[SUBTOTAL]]-PROVEEDORES[[#This Row],[descuento antes de IVA]])*VLOOKUP(PROVEEDORES[[#This Row],[PROVEEDOR]],TERCEROS_INFO[#All],3,FALSE)</f>
        <v>0</v>
      </c>
      <c r="N1609" s="34"/>
      <c r="O1609" s="33">
        <f>+PROVEEDORES[[#This Row],[Descuento sobre subtotal %]]*(PROVEEDORES[[#This Row],[SUBTOTAL]]-PROVEEDORES[[#This Row],[descuento antes de IVA]])</f>
        <v>0</v>
      </c>
      <c r="P16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09" s="33">
        <f>+(PROVEEDORES[[#This Row],[SUBTOTAL]]-PROVEEDORES[[#This Row],[descuento antes de IVA]])*PROVEEDORES[[#This Row],[Rete Fuente %]]</f>
        <v>0</v>
      </c>
      <c r="R1609" s="32">
        <f>+PROVEEDORES[[#This Row],[SUBTOTAL]]+PROVEEDORES[[#This Row],[IVA 19%]]-PROVEEDORES[[#This Row],[descuento antes de IVA]]-PROVEEDORES[[#This Row],[Descuento sobre subtotal $]]-PROVEEDORES[[#This Row],[Rete Fuente $]]</f>
        <v>787208.40336134459</v>
      </c>
      <c r="S16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0" spans="1:19" ht="21.95" hidden="1" customHeight="1" x14ac:dyDescent="0.25">
      <c r="A1610" s="39" t="str">
        <f>+IF(PROVEEDORES[[#This Row],[FECHA DE PAGO]]=PROVEEDORES[[#This Row],[FECHA DE FACTURACIÓN]],"DE CONTADO","CRÉDITO")</f>
        <v>CRÉDITO</v>
      </c>
      <c r="B1610" s="67" t="b">
        <f>+IF((PROVEEDORES[[#This Row],[FECHA DE PAGO]]-PROVEEDORES[[#This Row],[FECHA DE FACTURACIÓN]])&gt;PROVEEDORES[[#This Row],[PLAZO Días]],"PAGO VENCIDO")</f>
        <v>0</v>
      </c>
      <c r="C1610" s="27">
        <f>+VLOOKUP(PROVEEDORES[[#This Row],[PROVEEDOR]],TERCEROS_INFO[#All],2,FALSE)</f>
        <v>30</v>
      </c>
      <c r="D1610" s="37">
        <f>+SUMIFS(PROVEEDORES[Total],PROVEEDORES[PROVEEDOR],PROVEEDORES[[#This Row],[PROVEEDOR]],PROVEEDORES[FECHA DE PAGO],"")</f>
        <v>0</v>
      </c>
      <c r="E1610" s="37"/>
      <c r="F1610" s="108" t="str">
        <f>+VLOOKUP(PROVEEDORES[[#This Row],[PROVEEDOR]],TERCEROS_INFO[[PROVEEDOR]:[CORREO]],5,FALSE)</f>
        <v>pagos@sistecredito.com;girlesa.ruiz@servipilas.com;joriescobar64@gmail.com</v>
      </c>
      <c r="G1610" s="143">
        <v>43871</v>
      </c>
      <c r="H1610" s="38" t="s">
        <v>32</v>
      </c>
      <c r="I1610" s="30">
        <v>43862</v>
      </c>
      <c r="J1610" s="58"/>
      <c r="K1610" s="32">
        <v>701225.21008403366</v>
      </c>
      <c r="L1610" s="32"/>
      <c r="M1610" s="33">
        <f>(PROVEEDORES[[#This Row],[SUBTOTAL]]-PROVEEDORES[[#This Row],[descuento antes de IVA]])*VLOOKUP(PROVEEDORES[[#This Row],[PROVEEDOR]],TERCEROS_INFO[#All],3,FALSE)</f>
        <v>0</v>
      </c>
      <c r="N1610" s="34"/>
      <c r="O1610" s="33">
        <f>+PROVEEDORES[[#This Row],[Descuento sobre subtotal %]]*(PROVEEDORES[[#This Row],[SUBTOTAL]]-PROVEEDORES[[#This Row],[descuento antes de IVA]])</f>
        <v>0</v>
      </c>
      <c r="P16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0" s="33">
        <f>+(PROVEEDORES[[#This Row],[SUBTOTAL]]-PROVEEDORES[[#This Row],[descuento antes de IVA]])*PROVEEDORES[[#This Row],[Rete Fuente %]]</f>
        <v>0</v>
      </c>
      <c r="R1610" s="32">
        <f>+PROVEEDORES[[#This Row],[SUBTOTAL]]+PROVEEDORES[[#This Row],[IVA 19%]]-PROVEEDORES[[#This Row],[descuento antes de IVA]]-PROVEEDORES[[#This Row],[Descuento sobre subtotal $]]-PROVEEDORES[[#This Row],[Rete Fuente $]]</f>
        <v>701225.21008403366</v>
      </c>
      <c r="S16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1" spans="1:19" ht="21.95" hidden="1" customHeight="1" x14ac:dyDescent="0.25">
      <c r="A1611" s="39" t="str">
        <f>+IF(PROVEEDORES[[#This Row],[FECHA DE PAGO]]=PROVEEDORES[[#This Row],[FECHA DE FACTURACIÓN]],"DE CONTADO","CRÉDITO")</f>
        <v>CRÉDITO</v>
      </c>
      <c r="B1611" s="67" t="str">
        <f>+IF((PROVEEDORES[[#This Row],[FECHA DE PAGO]]-PROVEEDORES[[#This Row],[FECHA DE FACTURACIÓN]])&gt;PROVEEDORES[[#This Row],[PLAZO Días]],"PAGO VENCIDO")</f>
        <v>PAGO VENCIDO</v>
      </c>
      <c r="C1611" s="27">
        <f>+VLOOKUP(PROVEEDORES[[#This Row],[PROVEEDOR]],TERCEROS_INFO[#All],2,FALSE)</f>
        <v>30</v>
      </c>
      <c r="D1611" s="37">
        <f>+SUMIFS(PROVEEDORES[Total],PROVEEDORES[PROVEEDOR],PROVEEDORES[[#This Row],[PROVEEDOR]],PROVEEDORES[FECHA DE PAGO],"")</f>
        <v>0</v>
      </c>
      <c r="E1611" s="37"/>
      <c r="F1611" s="108" t="str">
        <f>+VLOOKUP(PROVEEDORES[[#This Row],[PROVEEDOR]],TERCEROS_INFO[[PROVEEDOR]:[CORREO]],5,FALSE)</f>
        <v>pagos@sistecredito.com;girlesa.ruiz@servipilas.com;joriescobar64@gmail.com</v>
      </c>
      <c r="G1611" s="143">
        <v>43938</v>
      </c>
      <c r="H1611" s="38" t="s">
        <v>32</v>
      </c>
      <c r="I1611" s="30">
        <v>43891</v>
      </c>
      <c r="J1611" s="58"/>
      <c r="K1611" s="32">
        <v>0</v>
      </c>
      <c r="L1611" s="32"/>
      <c r="M1611" s="33">
        <f>(PROVEEDORES[[#This Row],[SUBTOTAL]]-PROVEEDORES[[#This Row],[descuento antes de IVA]])*VLOOKUP(PROVEEDORES[[#This Row],[PROVEEDOR]],TERCEROS_INFO[#All],3,FALSE)</f>
        <v>0</v>
      </c>
      <c r="N1611" s="34"/>
      <c r="O1611" s="33">
        <f>+PROVEEDORES[[#This Row],[Descuento sobre subtotal %]]*(PROVEEDORES[[#This Row],[SUBTOTAL]]-PROVEEDORES[[#This Row],[descuento antes de IVA]])</f>
        <v>0</v>
      </c>
      <c r="P16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1" s="33">
        <f>+(PROVEEDORES[[#This Row],[SUBTOTAL]]-PROVEEDORES[[#This Row],[descuento antes de IVA]])*PROVEEDORES[[#This Row],[Rete Fuente %]]</f>
        <v>0</v>
      </c>
      <c r="R1611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6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2" spans="1:19" ht="21.95" hidden="1" customHeight="1" x14ac:dyDescent="0.25">
      <c r="A1612" s="39" t="str">
        <f>+IF(PROVEEDORES[[#This Row],[FECHA DE PAGO]]=PROVEEDORES[[#This Row],[FECHA DE FACTURACIÓN]],"DE CONTADO","CRÉDITO")</f>
        <v>DE CONTADO</v>
      </c>
      <c r="B1612" s="67" t="b">
        <f>+IF((PROVEEDORES[[#This Row],[FECHA DE PAGO]]-PROVEEDORES[[#This Row],[FECHA DE FACTURACIÓN]])&gt;PROVEEDORES[[#This Row],[PLAZO Días]],"PAGO VENCIDO")</f>
        <v>0</v>
      </c>
      <c r="C1612" s="27">
        <f>+VLOOKUP(PROVEEDORES[[#This Row],[PROVEEDOR]],TERCEROS_INFO[#All],2,FALSE)</f>
        <v>30</v>
      </c>
      <c r="D1612" s="37">
        <f>+SUMIFS(PROVEEDORES[Total],PROVEEDORES[PROVEEDOR],PROVEEDORES[[#This Row],[PROVEEDOR]],PROVEEDORES[FECHA DE PAGO],"")</f>
        <v>0</v>
      </c>
      <c r="E1612" s="37"/>
      <c r="F1612" s="108" t="str">
        <f>+VLOOKUP(PROVEEDORES[[#This Row],[PROVEEDOR]],TERCEROS_INFO[[PROVEEDOR]:[CORREO]],5,FALSE)</f>
        <v>pagos@sistecredito.com;girlesa.ruiz@servipilas.com;joriescobar64@gmail.com</v>
      </c>
      <c r="G1612" s="143">
        <v>43922</v>
      </c>
      <c r="H1612" s="38" t="s">
        <v>32</v>
      </c>
      <c r="I1612" s="30">
        <v>43922</v>
      </c>
      <c r="J1612" s="58"/>
      <c r="K1612" s="32">
        <v>0</v>
      </c>
      <c r="L1612" s="32"/>
      <c r="M1612" s="33">
        <f>(PROVEEDORES[[#This Row],[SUBTOTAL]]-PROVEEDORES[[#This Row],[descuento antes de IVA]])*VLOOKUP(PROVEEDORES[[#This Row],[PROVEEDOR]],TERCEROS_INFO[#All],3,FALSE)</f>
        <v>0</v>
      </c>
      <c r="N1612" s="34"/>
      <c r="O1612" s="33">
        <f>+PROVEEDORES[[#This Row],[Descuento sobre subtotal %]]*(PROVEEDORES[[#This Row],[SUBTOTAL]]-PROVEEDORES[[#This Row],[descuento antes de IVA]])</f>
        <v>0</v>
      </c>
      <c r="P16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2" s="33">
        <f>+(PROVEEDORES[[#This Row],[SUBTOTAL]]-PROVEEDORES[[#This Row],[descuento antes de IVA]])*PROVEEDORES[[#This Row],[Rete Fuente %]]</f>
        <v>0</v>
      </c>
      <c r="R1612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61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3" spans="1:19" ht="21.95" hidden="1" customHeight="1" x14ac:dyDescent="0.25">
      <c r="A1613" s="39" t="str">
        <f>+IF(PROVEEDORES[[#This Row],[FECHA DE PAGO]]=PROVEEDORES[[#This Row],[FECHA DE FACTURACIÓN]],"DE CONTADO","CRÉDITO")</f>
        <v>DE CONTADO</v>
      </c>
      <c r="B1613" s="67" t="b">
        <f>+IF((PROVEEDORES[[#This Row],[FECHA DE PAGO]]-PROVEEDORES[[#This Row],[FECHA DE FACTURACIÓN]])&gt;PROVEEDORES[[#This Row],[PLAZO Días]],"PAGO VENCIDO")</f>
        <v>0</v>
      </c>
      <c r="C1613" s="27">
        <f>+VLOOKUP(PROVEEDORES[[#This Row],[PROVEEDOR]],TERCEROS_INFO[#All],2,FALSE)</f>
        <v>30</v>
      </c>
      <c r="D1613" s="37">
        <f>+SUMIFS(PROVEEDORES[Total],PROVEEDORES[PROVEEDOR],PROVEEDORES[[#This Row],[PROVEEDOR]],PROVEEDORES[FECHA DE PAGO],"")</f>
        <v>0</v>
      </c>
      <c r="E1613" s="37"/>
      <c r="F1613" s="108" t="str">
        <f>+VLOOKUP(PROVEEDORES[[#This Row],[PROVEEDOR]],TERCEROS_INFO[[PROVEEDOR]:[CORREO]],5,FALSE)</f>
        <v>pagos@sistecredito.com;girlesa.ruiz@servipilas.com;joriescobar64@gmail.com</v>
      </c>
      <c r="G1613" s="143">
        <v>43952</v>
      </c>
      <c r="H1613" s="38" t="s">
        <v>32</v>
      </c>
      <c r="I1613" s="30">
        <v>43952</v>
      </c>
      <c r="J1613" s="58"/>
      <c r="K1613" s="32">
        <v>0</v>
      </c>
      <c r="L1613" s="32"/>
      <c r="M1613" s="33">
        <f>(PROVEEDORES[[#This Row],[SUBTOTAL]]-PROVEEDORES[[#This Row],[descuento antes de IVA]])*VLOOKUP(PROVEEDORES[[#This Row],[PROVEEDOR]],TERCEROS_INFO[#All],3,FALSE)</f>
        <v>0</v>
      </c>
      <c r="N1613" s="34"/>
      <c r="O1613" s="33">
        <f>+PROVEEDORES[[#This Row],[Descuento sobre subtotal %]]*(PROVEEDORES[[#This Row],[SUBTOTAL]]-PROVEEDORES[[#This Row],[descuento antes de IVA]])</f>
        <v>0</v>
      </c>
      <c r="P16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3" s="33">
        <f>+(PROVEEDORES[[#This Row],[SUBTOTAL]]-PROVEEDORES[[#This Row],[descuento antes de IVA]])*PROVEEDORES[[#This Row],[Rete Fuente %]]</f>
        <v>0</v>
      </c>
      <c r="R1613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61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4" spans="1:19" ht="21.95" hidden="1" customHeight="1" x14ac:dyDescent="0.25">
      <c r="A1614" s="39" t="str">
        <f>+IF(PROVEEDORES[[#This Row],[FECHA DE PAGO]]=PROVEEDORES[[#This Row],[FECHA DE FACTURACIÓN]],"DE CONTADO","CRÉDITO")</f>
        <v>DE CONTADO</v>
      </c>
      <c r="B1614" s="67" t="b">
        <f>+IF((PROVEEDORES[[#This Row],[FECHA DE PAGO]]-PROVEEDORES[[#This Row],[FECHA DE FACTURACIÓN]])&gt;PROVEEDORES[[#This Row],[PLAZO Días]],"PAGO VENCIDO")</f>
        <v>0</v>
      </c>
      <c r="C1614" s="27">
        <f>+VLOOKUP(PROVEEDORES[[#This Row],[PROVEEDOR]],TERCEROS_INFO[#All],2,FALSE)</f>
        <v>30</v>
      </c>
      <c r="D1614" s="37">
        <f>+SUMIFS(PROVEEDORES[Total],PROVEEDORES[PROVEEDOR],PROVEEDORES[[#This Row],[PROVEEDOR]],PROVEEDORES[FECHA DE PAGO],"")</f>
        <v>0</v>
      </c>
      <c r="E1614" s="37"/>
      <c r="F1614" s="108" t="str">
        <f>+VLOOKUP(PROVEEDORES[[#This Row],[PROVEEDOR]],TERCEROS_INFO[[PROVEEDOR]:[CORREO]],5,FALSE)</f>
        <v>pagos@sistecredito.com;girlesa.ruiz@servipilas.com;joriescobar64@gmail.com</v>
      </c>
      <c r="G1614" s="143">
        <v>44018</v>
      </c>
      <c r="H1614" s="38" t="s">
        <v>32</v>
      </c>
      <c r="I1614" s="30">
        <v>44018</v>
      </c>
      <c r="J1614" s="58"/>
      <c r="K1614" s="32">
        <v>0</v>
      </c>
      <c r="L1614" s="32"/>
      <c r="M1614" s="33">
        <f>(PROVEEDORES[[#This Row],[SUBTOTAL]]-PROVEEDORES[[#This Row],[descuento antes de IVA]])*VLOOKUP(PROVEEDORES[[#This Row],[PROVEEDOR]],TERCEROS_INFO[#All],3,FALSE)</f>
        <v>0</v>
      </c>
      <c r="N1614" s="34"/>
      <c r="O1614" s="33">
        <f>+PROVEEDORES[[#This Row],[Descuento sobre subtotal %]]*(PROVEEDORES[[#This Row],[SUBTOTAL]]-PROVEEDORES[[#This Row],[descuento antes de IVA]])</f>
        <v>0</v>
      </c>
      <c r="P16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4" s="33">
        <f>+(PROVEEDORES[[#This Row],[SUBTOTAL]]-PROVEEDORES[[#This Row],[descuento antes de IVA]])*PROVEEDORES[[#This Row],[Rete Fuente %]]</f>
        <v>0</v>
      </c>
      <c r="R1614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6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5" spans="1:19" ht="21.95" hidden="1" customHeight="1" x14ac:dyDescent="0.25">
      <c r="A1615" s="39" t="str">
        <f>+IF(PROVEEDORES[[#This Row],[FECHA DE PAGO]]=PROVEEDORES[[#This Row],[FECHA DE FACTURACIÓN]],"DE CONTADO","CRÉDITO")</f>
        <v>DE CONTADO</v>
      </c>
      <c r="B1615" s="67" t="b">
        <f>+IF((PROVEEDORES[[#This Row],[FECHA DE PAGO]]-PROVEEDORES[[#This Row],[FECHA DE FACTURACIÓN]])&gt;PROVEEDORES[[#This Row],[PLAZO Días]],"PAGO VENCIDO")</f>
        <v>0</v>
      </c>
      <c r="C1615" s="27">
        <f>+VLOOKUP(PROVEEDORES[[#This Row],[PROVEEDOR]],TERCEROS_INFO[#All],2,FALSE)</f>
        <v>30</v>
      </c>
      <c r="D1615" s="37">
        <f>+SUMIFS(PROVEEDORES[Total],PROVEEDORES[PROVEEDOR],PROVEEDORES[[#This Row],[PROVEEDOR]],PROVEEDORES[FECHA DE PAGO],"")</f>
        <v>0</v>
      </c>
      <c r="E1615" s="37"/>
      <c r="F1615" s="108" t="str">
        <f>+VLOOKUP(PROVEEDORES[[#This Row],[PROVEEDOR]],TERCEROS_INFO[[PROVEEDOR]:[CORREO]],5,FALSE)</f>
        <v>pagos@sistecredito.com;girlesa.ruiz@servipilas.com;joriescobar64@gmail.com</v>
      </c>
      <c r="G1615" s="143">
        <v>44044</v>
      </c>
      <c r="H1615" s="38" t="s">
        <v>32</v>
      </c>
      <c r="I1615" s="30">
        <v>44044</v>
      </c>
      <c r="J1615" s="58"/>
      <c r="K1615" s="32">
        <v>0</v>
      </c>
      <c r="L1615" s="32"/>
      <c r="M1615" s="33">
        <f>(PROVEEDORES[[#This Row],[SUBTOTAL]]-PROVEEDORES[[#This Row],[descuento antes de IVA]])*VLOOKUP(PROVEEDORES[[#This Row],[PROVEEDOR]],TERCEROS_INFO[#All],3,FALSE)</f>
        <v>0</v>
      </c>
      <c r="N1615" s="34"/>
      <c r="O1615" s="33">
        <f>+PROVEEDORES[[#This Row],[Descuento sobre subtotal %]]*(PROVEEDORES[[#This Row],[SUBTOTAL]]-PROVEEDORES[[#This Row],[descuento antes de IVA]])</f>
        <v>0</v>
      </c>
      <c r="P16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5" s="33">
        <f>+(PROVEEDORES[[#This Row],[SUBTOTAL]]-PROVEEDORES[[#This Row],[descuento antes de IVA]])*PROVEEDORES[[#This Row],[Rete Fuente %]]</f>
        <v>0</v>
      </c>
      <c r="R1615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6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6" spans="1:19" ht="21.95" hidden="1" customHeight="1" x14ac:dyDescent="0.25">
      <c r="A1616" s="39" t="str">
        <f>+IF(PROVEEDORES[[#This Row],[FECHA DE PAGO]]=PROVEEDORES[[#This Row],[FECHA DE FACTURACIÓN]],"DE CONTADO","CRÉDITO")</f>
        <v>CRÉDITO</v>
      </c>
      <c r="B1616" s="67" t="b">
        <f>+IF((PROVEEDORES[[#This Row],[FECHA DE PAGO]]-PROVEEDORES[[#This Row],[FECHA DE FACTURACIÓN]])&gt;PROVEEDORES[[#This Row],[PLAZO Días]],"PAGO VENCIDO")</f>
        <v>0</v>
      </c>
      <c r="C1616" s="27">
        <f>+VLOOKUP(PROVEEDORES[[#This Row],[PROVEEDOR]],TERCEROS_INFO[#All],2,FALSE)</f>
        <v>30</v>
      </c>
      <c r="D1616" s="37">
        <f>+SUMIFS(PROVEEDORES[Total],PROVEEDORES[PROVEEDOR],PROVEEDORES[[#This Row],[PROVEEDOR]],PROVEEDORES[FECHA DE PAGO],"")</f>
        <v>0</v>
      </c>
      <c r="E1616" s="37"/>
      <c r="F1616" s="108" t="str">
        <f>+VLOOKUP(PROVEEDORES[[#This Row],[PROVEEDOR]],TERCEROS_INFO[[PROVEEDOR]:[CORREO]],5,FALSE)</f>
        <v>pagos@sistecredito.com;girlesa.ruiz@servipilas.com;joriescobar64@gmail.com</v>
      </c>
      <c r="G1616" s="143">
        <v>44053</v>
      </c>
      <c r="H1616" s="38" t="s">
        <v>32</v>
      </c>
      <c r="I1616" s="30">
        <v>44050</v>
      </c>
      <c r="J1616" s="58"/>
      <c r="K1616" s="32">
        <v>0</v>
      </c>
      <c r="L1616" s="32"/>
      <c r="M1616" s="33">
        <f>(PROVEEDORES[[#This Row],[SUBTOTAL]]-PROVEEDORES[[#This Row],[descuento antes de IVA]])*VLOOKUP(PROVEEDORES[[#This Row],[PROVEEDOR]],TERCEROS_INFO[#All],3,FALSE)</f>
        <v>0</v>
      </c>
      <c r="N1616" s="34"/>
      <c r="O1616" s="33">
        <f>+PROVEEDORES[[#This Row],[Descuento sobre subtotal %]]*(PROVEEDORES[[#This Row],[SUBTOTAL]]-PROVEEDORES[[#This Row],[descuento antes de IVA]])</f>
        <v>0</v>
      </c>
      <c r="P16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6" s="33">
        <f>+(PROVEEDORES[[#This Row],[SUBTOTAL]]-PROVEEDORES[[#This Row],[descuento antes de IVA]])*PROVEEDORES[[#This Row],[Rete Fuente %]]</f>
        <v>0</v>
      </c>
      <c r="R1616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6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7" spans="1:19" ht="21.95" hidden="1" customHeight="1" x14ac:dyDescent="0.25">
      <c r="A1617" s="39" t="str">
        <f>+IF(PROVEEDORES[[#This Row],[FECHA DE PAGO]]=PROVEEDORES[[#This Row],[FECHA DE FACTURACIÓN]],"DE CONTADO","CRÉDITO")</f>
        <v>DE CONTADO</v>
      </c>
      <c r="B1617" s="67" t="b">
        <f>+IF((PROVEEDORES[[#This Row],[FECHA DE PAGO]]-PROVEEDORES[[#This Row],[FECHA DE FACTURACIÓN]])&gt;PROVEEDORES[[#This Row],[PLAZO Días]],"PAGO VENCIDO")</f>
        <v>0</v>
      </c>
      <c r="C1617" s="27">
        <f>+VLOOKUP(PROVEEDORES[[#This Row],[PROVEEDOR]],TERCEROS_INFO[#All],2,FALSE)</f>
        <v>30</v>
      </c>
      <c r="D1617" s="37">
        <f>+SUMIFS(PROVEEDORES[Total],PROVEEDORES[PROVEEDOR],PROVEEDORES[[#This Row],[PROVEEDOR]],PROVEEDORES[FECHA DE PAGO],"")</f>
        <v>0</v>
      </c>
      <c r="E1617" s="37"/>
      <c r="F1617" s="108" t="str">
        <f>+VLOOKUP(PROVEEDORES[[#This Row],[PROVEEDOR]],TERCEROS_INFO[[PROVEEDOR]:[CORREO]],5,FALSE)</f>
        <v>pagos@sistecredito.com;girlesa.ruiz@servipilas.com;joriescobar64@gmail.com</v>
      </c>
      <c r="G1617" s="143">
        <v>44075</v>
      </c>
      <c r="H1617" s="38" t="s">
        <v>32</v>
      </c>
      <c r="I1617" s="30">
        <v>44075</v>
      </c>
      <c r="J1617" s="58"/>
      <c r="K1617" s="32">
        <v>0</v>
      </c>
      <c r="L1617" s="32"/>
      <c r="M1617" s="33">
        <f>(PROVEEDORES[[#This Row],[SUBTOTAL]]-PROVEEDORES[[#This Row],[descuento antes de IVA]])*VLOOKUP(PROVEEDORES[[#This Row],[PROVEEDOR]],TERCEROS_INFO[#All],3,FALSE)</f>
        <v>0</v>
      </c>
      <c r="N1617" s="34"/>
      <c r="O1617" s="33">
        <f>+PROVEEDORES[[#This Row],[Descuento sobre subtotal %]]*(PROVEEDORES[[#This Row],[SUBTOTAL]]-PROVEEDORES[[#This Row],[descuento antes de IVA]])</f>
        <v>0</v>
      </c>
      <c r="P16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7" s="33">
        <f>+(PROVEEDORES[[#This Row],[SUBTOTAL]]-PROVEEDORES[[#This Row],[descuento antes de IVA]])*PROVEEDORES[[#This Row],[Rete Fuente %]]</f>
        <v>0</v>
      </c>
      <c r="R1617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61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8" spans="1:19" ht="21.95" hidden="1" customHeight="1" x14ac:dyDescent="0.25">
      <c r="A1618" s="39" t="str">
        <f>+IF(PROVEEDORES[[#This Row],[FECHA DE PAGO]]=PROVEEDORES[[#This Row],[FECHA DE FACTURACIÓN]],"DE CONTADO","CRÉDITO")</f>
        <v>DE CONTADO</v>
      </c>
      <c r="B1618" s="67" t="b">
        <f>+IF((PROVEEDORES[[#This Row],[FECHA DE PAGO]]-PROVEEDORES[[#This Row],[FECHA DE FACTURACIÓN]])&gt;PROVEEDORES[[#This Row],[PLAZO Días]],"PAGO VENCIDO")</f>
        <v>0</v>
      </c>
      <c r="C1618" s="27">
        <f>+VLOOKUP(PROVEEDORES[[#This Row],[PROVEEDOR]],TERCEROS_INFO[#All],2,FALSE)</f>
        <v>30</v>
      </c>
      <c r="D1618" s="37">
        <f>+SUMIFS(PROVEEDORES[Total],PROVEEDORES[PROVEEDOR],PROVEEDORES[[#This Row],[PROVEEDOR]],PROVEEDORES[FECHA DE PAGO],"")</f>
        <v>0</v>
      </c>
      <c r="E1618" s="37"/>
      <c r="F1618" s="108" t="str">
        <f>+VLOOKUP(PROVEEDORES[[#This Row],[PROVEEDOR]],TERCEROS_INFO[[PROVEEDOR]:[CORREO]],5,FALSE)</f>
        <v>pagos@sistecredito.com;girlesa.ruiz@servipilas.com;joriescobar64@gmail.com</v>
      </c>
      <c r="G1618" s="143">
        <v>44105</v>
      </c>
      <c r="H1618" s="38" t="s">
        <v>32</v>
      </c>
      <c r="I1618" s="30">
        <v>44105</v>
      </c>
      <c r="J1618" s="58"/>
      <c r="K1618" s="32">
        <v>0</v>
      </c>
      <c r="L1618" s="32"/>
      <c r="M1618" s="33">
        <f>(PROVEEDORES[[#This Row],[SUBTOTAL]]-PROVEEDORES[[#This Row],[descuento antes de IVA]])*VLOOKUP(PROVEEDORES[[#This Row],[PROVEEDOR]],TERCEROS_INFO[#All],3,FALSE)</f>
        <v>0</v>
      </c>
      <c r="N1618" s="34"/>
      <c r="O1618" s="33">
        <f>+PROVEEDORES[[#This Row],[Descuento sobre subtotal %]]*(PROVEEDORES[[#This Row],[SUBTOTAL]]-PROVEEDORES[[#This Row],[descuento antes de IVA]])</f>
        <v>0</v>
      </c>
      <c r="P16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8" s="33">
        <f>+(PROVEEDORES[[#This Row],[SUBTOTAL]]-PROVEEDORES[[#This Row],[descuento antes de IVA]])*PROVEEDORES[[#This Row],[Rete Fuente %]]</f>
        <v>0</v>
      </c>
      <c r="R1618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6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19" spans="1:19" ht="21.95" hidden="1" customHeight="1" x14ac:dyDescent="0.25">
      <c r="A1619" s="39" t="str">
        <f>+IF(PROVEEDORES[[#This Row],[FECHA DE PAGO]]=PROVEEDORES[[#This Row],[FECHA DE FACTURACIÓN]],"DE CONTADO","CRÉDITO")</f>
        <v>CRÉDITO</v>
      </c>
      <c r="B1619" s="67" t="b">
        <f>+IF((PROVEEDORES[[#This Row],[FECHA DE PAGO]]-PROVEEDORES[[#This Row],[FECHA DE FACTURACIÓN]])&gt;PROVEEDORES[[#This Row],[PLAZO Días]],"PAGO VENCIDO")</f>
        <v>0</v>
      </c>
      <c r="C1619" s="27">
        <f>+VLOOKUP(PROVEEDORES[[#This Row],[PROVEEDOR]],TERCEROS_INFO[#All],2,FALSE)</f>
        <v>30</v>
      </c>
      <c r="D1619" s="37">
        <f>+SUMIFS(PROVEEDORES[Total],PROVEEDORES[PROVEEDOR],PROVEEDORES[[#This Row],[PROVEEDOR]],PROVEEDORES[FECHA DE PAGO],"")</f>
        <v>0</v>
      </c>
      <c r="E1619" s="37"/>
      <c r="F1619" s="108" t="str">
        <f>+VLOOKUP(PROVEEDORES[[#This Row],[PROVEEDOR]],TERCEROS_INFO[[PROVEEDOR]:[CORREO]],5,FALSE)</f>
        <v>pagos@sistecredito.com;girlesa.ruiz@servipilas.com;joriescobar64@gmail.com</v>
      </c>
      <c r="G1619" s="143">
        <v>44135</v>
      </c>
      <c r="H1619" s="38" t="s">
        <v>32</v>
      </c>
      <c r="I1619" s="30">
        <v>44136</v>
      </c>
      <c r="J1619" s="58"/>
      <c r="K1619" s="32">
        <v>0</v>
      </c>
      <c r="L1619" s="32"/>
      <c r="M1619" s="33">
        <f>(PROVEEDORES[[#This Row],[SUBTOTAL]]-PROVEEDORES[[#This Row],[descuento antes de IVA]])*VLOOKUP(PROVEEDORES[[#This Row],[PROVEEDOR]],TERCEROS_INFO[#All],3,FALSE)</f>
        <v>0</v>
      </c>
      <c r="N1619" s="34"/>
      <c r="O1619" s="33">
        <f>+PROVEEDORES[[#This Row],[Descuento sobre subtotal %]]*(PROVEEDORES[[#This Row],[SUBTOTAL]]-PROVEEDORES[[#This Row],[descuento antes de IVA]])</f>
        <v>0</v>
      </c>
      <c r="P16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19" s="33">
        <f>+(PROVEEDORES[[#This Row],[SUBTOTAL]]-PROVEEDORES[[#This Row],[descuento antes de IVA]])*PROVEEDORES[[#This Row],[Rete Fuente %]]</f>
        <v>0</v>
      </c>
      <c r="R1619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61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0" spans="1:19" ht="21.95" hidden="1" customHeight="1" x14ac:dyDescent="0.25">
      <c r="A1620" s="39" t="str">
        <f>+IF(PROVEEDORES[[#This Row],[FECHA DE PAGO]]=PROVEEDORES[[#This Row],[FECHA DE FACTURACIÓN]],"DE CONTADO","CRÉDITO")</f>
        <v>CRÉDITO</v>
      </c>
      <c r="B1620" s="67" t="str">
        <f>+IF((PROVEEDORES[[#This Row],[FECHA DE PAGO]]-PROVEEDORES[[#This Row],[FECHA DE FACTURACIÓN]])&gt;PROVEEDORES[[#This Row],[PLAZO Días]],"PAGO VENCIDO")</f>
        <v>PAGO VENCIDO</v>
      </c>
      <c r="C1620" s="27">
        <f>+VLOOKUP(PROVEEDORES[[#This Row],[PROVEEDOR]],TERCEROS_INFO[#All],2,FALSE)</f>
        <v>30</v>
      </c>
      <c r="D1620" s="37">
        <f>+SUMIFS(PROVEEDORES[Total],PROVEEDORES[PROVEEDOR],PROVEEDORES[[#This Row],[PROVEEDOR]],PROVEEDORES[FECHA DE PAGO],"")</f>
        <v>0</v>
      </c>
      <c r="E1620" s="37"/>
      <c r="F1620" s="108" t="str">
        <f>+VLOOKUP(PROVEEDORES[[#This Row],[PROVEEDOR]],TERCEROS_INFO[[PROVEEDOR]:[CORREO]],5,FALSE)</f>
        <v>soluenergiacentro@une.net.co;girlesa.ruiz@servipilas.com;joriescobar64@gmail.com</v>
      </c>
      <c r="G1620" s="143">
        <v>43886</v>
      </c>
      <c r="H1620" s="38" t="s">
        <v>42</v>
      </c>
      <c r="I1620" s="30">
        <v>43840</v>
      </c>
      <c r="J1620" s="58">
        <v>13596</v>
      </c>
      <c r="K1620" s="32">
        <v>231620.16806722691</v>
      </c>
      <c r="L1620" s="32"/>
      <c r="M1620" s="33">
        <f>(PROVEEDORES[[#This Row],[SUBTOTAL]]-PROVEEDORES[[#This Row],[descuento antes de IVA]])*VLOOKUP(PROVEEDORES[[#This Row],[PROVEEDOR]],TERCEROS_INFO[#All],3,FALSE)</f>
        <v>44007.831932773115</v>
      </c>
      <c r="N1620" s="34"/>
      <c r="O1620" s="33">
        <f>+PROVEEDORES[[#This Row],[Descuento sobre subtotal %]]*(PROVEEDORES[[#This Row],[SUBTOTAL]]-PROVEEDORES[[#This Row],[descuento antes de IVA]])</f>
        <v>0</v>
      </c>
      <c r="P16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0" s="33">
        <f>+(PROVEEDORES[[#This Row],[SUBTOTAL]]-PROVEEDORES[[#This Row],[descuento antes de IVA]])*PROVEEDORES[[#This Row],[Rete Fuente %]]</f>
        <v>0</v>
      </c>
      <c r="R1620" s="32">
        <f>+PROVEEDORES[[#This Row],[SUBTOTAL]]+PROVEEDORES[[#This Row],[IVA 19%]]-PROVEEDORES[[#This Row],[descuento antes de IVA]]-PROVEEDORES[[#This Row],[Descuento sobre subtotal $]]-PROVEEDORES[[#This Row],[Rete Fuente $]]</f>
        <v>275628</v>
      </c>
      <c r="S16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1" spans="1:19" ht="21.95" hidden="1" customHeight="1" x14ac:dyDescent="0.25">
      <c r="A1621" s="39" t="str">
        <f>+IF(PROVEEDORES[[#This Row],[FECHA DE PAGO]]=PROVEEDORES[[#This Row],[FECHA DE FACTURACIÓN]],"DE CONTADO","CRÉDITO")</f>
        <v>DE CONTADO</v>
      </c>
      <c r="B1621" s="67" t="b">
        <f>+IF((PROVEEDORES[[#This Row],[FECHA DE PAGO]]-PROVEEDORES[[#This Row],[FECHA DE FACTURACIÓN]])&gt;PROVEEDORES[[#This Row],[PLAZO Días]],"PAGO VENCIDO")</f>
        <v>0</v>
      </c>
      <c r="C1621" s="27">
        <f>+VLOOKUP(PROVEEDORES[[#This Row],[PROVEEDOR]],TERCEROS_INFO[#All],2,FALSE)</f>
        <v>30</v>
      </c>
      <c r="D1621" s="37">
        <f>+SUMIFS(PROVEEDORES[Total],PROVEEDORES[PROVEEDOR],PROVEEDORES[[#This Row],[PROVEEDOR]],PROVEEDORES[FECHA DE PAGO],"")</f>
        <v>0</v>
      </c>
      <c r="E1621" s="37"/>
      <c r="F1621" s="108" t="str">
        <f>+VLOOKUP(PROVEEDORES[[#This Row],[PROVEEDOR]],TERCEROS_INFO[[PROVEEDOR]:[CORREO]],5,FALSE)</f>
        <v>soluenergiacentro@une.net.co;girlesa.ruiz@servipilas.com;joriescobar64@gmail.com</v>
      </c>
      <c r="G1621" s="143">
        <v>43983</v>
      </c>
      <c r="H1621" s="38" t="s">
        <v>42</v>
      </c>
      <c r="I1621" s="30">
        <v>43983</v>
      </c>
      <c r="J1621" s="58">
        <v>13900</v>
      </c>
      <c r="K1621" s="32">
        <v>52000</v>
      </c>
      <c r="L1621" s="32"/>
      <c r="M1621" s="33">
        <f>(PROVEEDORES[[#This Row],[SUBTOTAL]]-PROVEEDORES[[#This Row],[descuento antes de IVA]])*VLOOKUP(PROVEEDORES[[#This Row],[PROVEEDOR]],TERCEROS_INFO[#All],3,FALSE)</f>
        <v>9880</v>
      </c>
      <c r="N1621" s="34"/>
      <c r="O1621" s="33">
        <f>+PROVEEDORES[[#This Row],[Descuento sobre subtotal %]]*(PROVEEDORES[[#This Row],[SUBTOTAL]]-PROVEEDORES[[#This Row],[descuento antes de IVA]])</f>
        <v>0</v>
      </c>
      <c r="P16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1" s="33">
        <f>+(PROVEEDORES[[#This Row],[SUBTOTAL]]-PROVEEDORES[[#This Row],[descuento antes de IVA]])*PROVEEDORES[[#This Row],[Rete Fuente %]]</f>
        <v>0</v>
      </c>
      <c r="R1621" s="32">
        <f>+PROVEEDORES[[#This Row],[SUBTOTAL]]+PROVEEDORES[[#This Row],[IVA 19%]]-PROVEEDORES[[#This Row],[descuento antes de IVA]]-PROVEEDORES[[#This Row],[Descuento sobre subtotal $]]-PROVEEDORES[[#This Row],[Rete Fuente $]]</f>
        <v>61880</v>
      </c>
      <c r="S16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2" spans="1:19" ht="21.95" hidden="1" customHeight="1" x14ac:dyDescent="0.25">
      <c r="A1622" s="39" t="str">
        <f>+IF(PROVEEDORES[[#This Row],[FECHA DE PAGO]]=PROVEEDORES[[#This Row],[FECHA DE FACTURACIÓN]],"DE CONTADO","CRÉDITO")</f>
        <v>DE CONTADO</v>
      </c>
      <c r="B1622" s="67" t="b">
        <f>+IF((PROVEEDORES[[#This Row],[FECHA DE PAGO]]-PROVEEDORES[[#This Row],[FECHA DE FACTURACIÓN]])&gt;PROVEEDORES[[#This Row],[PLAZO Días]],"PAGO VENCIDO")</f>
        <v>0</v>
      </c>
      <c r="C1622" s="27">
        <f>+VLOOKUP(PROVEEDORES[[#This Row],[PROVEEDOR]],TERCEROS_INFO[#All],2,FALSE)</f>
        <v>30</v>
      </c>
      <c r="D1622" s="37">
        <f>+SUMIFS(PROVEEDORES[Total],PROVEEDORES[PROVEEDOR],PROVEEDORES[[#This Row],[PROVEEDOR]],PROVEEDORES[FECHA DE PAGO],"")</f>
        <v>0</v>
      </c>
      <c r="E1622" s="37"/>
      <c r="F1622" s="108" t="str">
        <f>+VLOOKUP(PROVEEDORES[[#This Row],[PROVEEDOR]],TERCEROS_INFO[[PROVEEDOR]:[CORREO]],5,FALSE)</f>
        <v>soluenergiacentro@une.net.co;girlesa.ruiz@servipilas.com;joriescobar64@gmail.com</v>
      </c>
      <c r="G1622" s="143">
        <v>43985</v>
      </c>
      <c r="H1622" s="38" t="s">
        <v>42</v>
      </c>
      <c r="I1622" s="30">
        <v>43985</v>
      </c>
      <c r="J1622" s="58">
        <v>13915</v>
      </c>
      <c r="K1622" s="32">
        <v>100840.33613445378</v>
      </c>
      <c r="L1622" s="32"/>
      <c r="M1622" s="33">
        <f>(PROVEEDORES[[#This Row],[SUBTOTAL]]-PROVEEDORES[[#This Row],[descuento antes de IVA]])*VLOOKUP(PROVEEDORES[[#This Row],[PROVEEDOR]],TERCEROS_INFO[#All],3,FALSE)</f>
        <v>19159.663865546219</v>
      </c>
      <c r="N1622" s="34"/>
      <c r="O1622" s="33">
        <f>+PROVEEDORES[[#This Row],[Descuento sobre subtotal %]]*(PROVEEDORES[[#This Row],[SUBTOTAL]]-PROVEEDORES[[#This Row],[descuento antes de IVA]])</f>
        <v>0</v>
      </c>
      <c r="P16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2" s="33">
        <f>+(PROVEEDORES[[#This Row],[SUBTOTAL]]-PROVEEDORES[[#This Row],[descuento antes de IVA]])*PROVEEDORES[[#This Row],[Rete Fuente %]]</f>
        <v>0</v>
      </c>
      <c r="R1622" s="32">
        <f>+PROVEEDORES[[#This Row],[SUBTOTAL]]+PROVEEDORES[[#This Row],[IVA 19%]]-PROVEEDORES[[#This Row],[descuento antes de IVA]]-PROVEEDORES[[#This Row],[Descuento sobre subtotal $]]-PROVEEDORES[[#This Row],[Rete Fuente $]]</f>
        <v>120000</v>
      </c>
      <c r="S16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3" spans="1:19" ht="21.95" hidden="1" customHeight="1" x14ac:dyDescent="0.25">
      <c r="A1623" s="39" t="str">
        <f>+IF(PROVEEDORES[[#This Row],[FECHA DE PAGO]]=PROVEEDORES[[#This Row],[FECHA DE FACTURACIÓN]],"DE CONTADO","CRÉDITO")</f>
        <v>CRÉDITO</v>
      </c>
      <c r="B1623" s="67" t="str">
        <f>+IF((PROVEEDORES[[#This Row],[FECHA DE PAGO]]-PROVEEDORES[[#This Row],[FECHA DE FACTURACIÓN]])&gt;PROVEEDORES[[#This Row],[PLAZO Días]],"PAGO VENCIDO")</f>
        <v>PAGO VENCIDO</v>
      </c>
      <c r="C1623" s="27">
        <f>+VLOOKUP(PROVEEDORES[[#This Row],[PROVEEDOR]],TERCEROS_INFO[#All],2,FALSE)</f>
        <v>30</v>
      </c>
      <c r="D1623" s="37">
        <f>+SUMIFS(PROVEEDORES[Total],PROVEEDORES[PROVEEDOR],PROVEEDORES[[#This Row],[PROVEEDOR]],PROVEEDORES[FECHA DE PAGO],"")</f>
        <v>0</v>
      </c>
      <c r="E1623" s="37"/>
      <c r="F1623" s="108" t="str">
        <f>+VLOOKUP(PROVEEDORES[[#This Row],[PROVEEDOR]],TERCEROS_INFO[[PROVEEDOR]:[CORREO]],5,FALSE)</f>
        <v>soluenergiacentro@une.net.co;girlesa.ruiz@servipilas.com;joriescobar64@gmail.com</v>
      </c>
      <c r="G1623" s="143">
        <v>44053</v>
      </c>
      <c r="H1623" s="38" t="s">
        <v>42</v>
      </c>
      <c r="I1623" s="30">
        <v>44021</v>
      </c>
      <c r="J1623" s="58">
        <v>14033</v>
      </c>
      <c r="K1623" s="32">
        <v>290726.89075630251</v>
      </c>
      <c r="L1623" s="32"/>
      <c r="M1623" s="33">
        <f>(PROVEEDORES[[#This Row],[SUBTOTAL]]-PROVEEDORES[[#This Row],[descuento antes de IVA]])*VLOOKUP(PROVEEDORES[[#This Row],[PROVEEDOR]],TERCEROS_INFO[#All],3,FALSE)</f>
        <v>55238.10924369748</v>
      </c>
      <c r="N1623" s="34"/>
      <c r="O1623" s="33">
        <f>+PROVEEDORES[[#This Row],[Descuento sobre subtotal %]]*(PROVEEDORES[[#This Row],[SUBTOTAL]]-PROVEEDORES[[#This Row],[descuento antes de IVA]])</f>
        <v>0</v>
      </c>
      <c r="P16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3" s="33">
        <f>+(PROVEEDORES[[#This Row],[SUBTOTAL]]-PROVEEDORES[[#This Row],[descuento antes de IVA]])*PROVEEDORES[[#This Row],[Rete Fuente %]]</f>
        <v>0</v>
      </c>
      <c r="R1623" s="32">
        <f>+PROVEEDORES[[#This Row],[SUBTOTAL]]+PROVEEDORES[[#This Row],[IVA 19%]]-PROVEEDORES[[#This Row],[descuento antes de IVA]]-PROVEEDORES[[#This Row],[Descuento sobre subtotal $]]-PROVEEDORES[[#This Row],[Rete Fuente $]]</f>
        <v>345965</v>
      </c>
      <c r="S16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4" spans="1:19" ht="21.95" hidden="1" customHeight="1" x14ac:dyDescent="0.25">
      <c r="A1624" s="39" t="str">
        <f>+IF(PROVEEDORES[[#This Row],[FECHA DE PAGO]]=PROVEEDORES[[#This Row],[FECHA DE FACTURACIÓN]],"DE CONTADO","CRÉDITO")</f>
        <v>CRÉDITO</v>
      </c>
      <c r="B1624" s="67" t="str">
        <f>+IF((PROVEEDORES[[#This Row],[FECHA DE PAGO]]-PROVEEDORES[[#This Row],[FECHA DE FACTURACIÓN]])&gt;PROVEEDORES[[#This Row],[PLAZO Días]],"PAGO VENCIDO")</f>
        <v>PAGO VENCIDO</v>
      </c>
      <c r="C1624" s="27">
        <f>+VLOOKUP(PROVEEDORES[[#This Row],[PROVEEDOR]],TERCEROS_INFO[#All],2,FALSE)</f>
        <v>30</v>
      </c>
      <c r="D1624" s="37">
        <f>+SUMIFS(PROVEEDORES[Total],PROVEEDORES[PROVEEDOR],PROVEEDORES[[#This Row],[PROVEEDOR]],PROVEEDORES[FECHA DE PAGO],"")</f>
        <v>0</v>
      </c>
      <c r="E1624" s="37"/>
      <c r="F1624" s="108" t="str">
        <f>+VLOOKUP(PROVEEDORES[[#This Row],[PROVEEDOR]],TERCEROS_INFO[[PROVEEDOR]:[CORREO]],5,FALSE)</f>
        <v>soluenergiacentro@une.net.co;girlesa.ruiz@servipilas.com;joriescobar64@gmail.com</v>
      </c>
      <c r="G1624" s="143">
        <v>44088</v>
      </c>
      <c r="H1624" s="38" t="s">
        <v>42</v>
      </c>
      <c r="I1624" s="30">
        <v>44053</v>
      </c>
      <c r="J1624" s="58">
        <v>14099</v>
      </c>
      <c r="K1624" s="32">
        <v>78000</v>
      </c>
      <c r="L1624" s="32"/>
      <c r="M1624" s="33">
        <f>(PROVEEDORES[[#This Row],[SUBTOTAL]]-PROVEEDORES[[#This Row],[descuento antes de IVA]])*VLOOKUP(PROVEEDORES[[#This Row],[PROVEEDOR]],TERCEROS_INFO[#All],3,FALSE)</f>
        <v>14820</v>
      </c>
      <c r="N1624" s="34"/>
      <c r="O1624" s="33">
        <f>+PROVEEDORES[[#This Row],[Descuento sobre subtotal %]]*(PROVEEDORES[[#This Row],[SUBTOTAL]]-PROVEEDORES[[#This Row],[descuento antes de IVA]])</f>
        <v>0</v>
      </c>
      <c r="P16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4" s="33">
        <f>+(PROVEEDORES[[#This Row],[SUBTOTAL]]-PROVEEDORES[[#This Row],[descuento antes de IVA]])*PROVEEDORES[[#This Row],[Rete Fuente %]]</f>
        <v>0</v>
      </c>
      <c r="R1624" s="32">
        <f>+PROVEEDORES[[#This Row],[SUBTOTAL]]+PROVEEDORES[[#This Row],[IVA 19%]]-PROVEEDORES[[#This Row],[descuento antes de IVA]]-PROVEEDORES[[#This Row],[Descuento sobre subtotal $]]-PROVEEDORES[[#This Row],[Rete Fuente $]]</f>
        <v>92820</v>
      </c>
      <c r="S16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5" spans="1:19" ht="21.95" hidden="1" customHeight="1" x14ac:dyDescent="0.25">
      <c r="A1625" s="39" t="str">
        <f>+IF(PROVEEDORES[[#This Row],[FECHA DE PAGO]]=PROVEEDORES[[#This Row],[FECHA DE FACTURACIÓN]],"DE CONTADO","CRÉDITO")</f>
        <v>CRÉDITO</v>
      </c>
      <c r="B1625" s="67" t="str">
        <f>+IF((PROVEEDORES[[#This Row],[FECHA DE PAGO]]-PROVEEDORES[[#This Row],[FECHA DE FACTURACIÓN]])&gt;PROVEEDORES[[#This Row],[PLAZO Días]],"PAGO VENCIDO")</f>
        <v>PAGO VENCIDO</v>
      </c>
      <c r="C1625" s="27">
        <f>+VLOOKUP(PROVEEDORES[[#This Row],[PROVEEDOR]],TERCEROS_INFO[#All],2,FALSE)</f>
        <v>30</v>
      </c>
      <c r="D1625" s="37">
        <f>+SUMIFS(PROVEEDORES[Total],PROVEEDORES[PROVEEDOR],PROVEEDORES[[#This Row],[PROVEEDOR]],PROVEEDORES[FECHA DE PAGO],"")</f>
        <v>0</v>
      </c>
      <c r="E1625" s="37"/>
      <c r="F1625" s="108" t="str">
        <f>+VLOOKUP(PROVEEDORES[[#This Row],[PROVEEDOR]],TERCEROS_INFO[[PROVEEDOR]:[CORREO]],5,FALSE)</f>
        <v>soluenergiacentro@une.net.co;girlesa.ruiz@servipilas.com;joriescobar64@gmail.com</v>
      </c>
      <c r="G1625" s="143">
        <v>44138</v>
      </c>
      <c r="H1625" s="38" t="s">
        <v>42</v>
      </c>
      <c r="I1625" s="30">
        <v>44088</v>
      </c>
      <c r="J1625" s="58">
        <v>14529</v>
      </c>
      <c r="K1625" s="32">
        <v>157359.66386554623</v>
      </c>
      <c r="L1625" s="32"/>
      <c r="M1625" s="33">
        <f>(PROVEEDORES[[#This Row],[SUBTOTAL]]-PROVEEDORES[[#This Row],[descuento antes de IVA]])*VLOOKUP(PROVEEDORES[[#This Row],[PROVEEDOR]],TERCEROS_INFO[#All],3,FALSE)</f>
        <v>29898.336134453784</v>
      </c>
      <c r="N1625" s="34"/>
      <c r="O1625" s="33">
        <f>+PROVEEDORES[[#This Row],[Descuento sobre subtotal %]]*(PROVEEDORES[[#This Row],[SUBTOTAL]]-PROVEEDORES[[#This Row],[descuento antes de IVA]])</f>
        <v>0</v>
      </c>
      <c r="P16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5" s="33">
        <f>+(PROVEEDORES[[#This Row],[SUBTOTAL]]-PROVEEDORES[[#This Row],[descuento antes de IVA]])*PROVEEDORES[[#This Row],[Rete Fuente %]]</f>
        <v>0</v>
      </c>
      <c r="R1625" s="32">
        <f>+PROVEEDORES[[#This Row],[SUBTOTAL]]+PROVEEDORES[[#This Row],[IVA 19%]]-PROVEEDORES[[#This Row],[descuento antes de IVA]]-PROVEEDORES[[#This Row],[Descuento sobre subtotal $]]-PROVEEDORES[[#This Row],[Rete Fuente $]]</f>
        <v>187258</v>
      </c>
      <c r="S16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6" spans="1:19" ht="21.95" hidden="1" customHeight="1" x14ac:dyDescent="0.25">
      <c r="A1626" s="39" t="str">
        <f>+IF(PROVEEDORES[[#This Row],[FECHA DE PAGO]]=PROVEEDORES[[#This Row],[FECHA DE FACTURACIÓN]],"DE CONTADO","CRÉDITO")</f>
        <v>CRÉDITO</v>
      </c>
      <c r="B1626" s="67" t="str">
        <f>+IF((PROVEEDORES[[#This Row],[FECHA DE PAGO]]-PROVEEDORES[[#This Row],[FECHA DE FACTURACIÓN]])&gt;PROVEEDORES[[#This Row],[PLAZO Días]],"PAGO VENCIDO")</f>
        <v>PAGO VENCIDO</v>
      </c>
      <c r="C1626" s="27">
        <f>+VLOOKUP(PROVEEDORES[[#This Row],[PROVEEDOR]],TERCEROS_INFO[#All],2,FALSE)</f>
        <v>30</v>
      </c>
      <c r="D1626" s="37">
        <f>+SUMIFS(PROVEEDORES[Total],PROVEEDORES[PROVEEDOR],PROVEEDORES[[#This Row],[PROVEEDOR]],PROVEEDORES[FECHA DE PAGO],"")</f>
        <v>0</v>
      </c>
      <c r="E1626" s="37"/>
      <c r="F1626" s="108" t="str">
        <f>+VLOOKUP(PROVEEDORES[[#This Row],[PROVEEDOR]],TERCEROS_INFO[[PROVEEDOR]:[CORREO]],5,FALSE)</f>
        <v>soluenergiacentro@une.net.co;girlesa.ruiz@servipilas.com;joriescobar64@gmail.com</v>
      </c>
      <c r="G1626" s="143">
        <v>44195</v>
      </c>
      <c r="H1626" s="38" t="s">
        <v>42</v>
      </c>
      <c r="I1626" s="30">
        <v>44141</v>
      </c>
      <c r="J1626" s="58">
        <v>21</v>
      </c>
      <c r="K1626" s="32">
        <v>143040</v>
      </c>
      <c r="L1626" s="32"/>
      <c r="M1626" s="33">
        <f>(PROVEEDORES[[#This Row],[SUBTOTAL]]-PROVEEDORES[[#This Row],[descuento antes de IVA]])*VLOOKUP(PROVEEDORES[[#This Row],[PROVEEDOR]],TERCEROS_INFO[#All],3,FALSE)</f>
        <v>27177.599999999999</v>
      </c>
      <c r="N1626" s="34"/>
      <c r="O1626" s="33">
        <f>+PROVEEDORES[[#This Row],[Descuento sobre subtotal %]]*(PROVEEDORES[[#This Row],[SUBTOTAL]]-PROVEEDORES[[#This Row],[descuento antes de IVA]])</f>
        <v>0</v>
      </c>
      <c r="P16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6" s="33">
        <f>+(PROVEEDORES[[#This Row],[SUBTOTAL]]-PROVEEDORES[[#This Row],[descuento antes de IVA]])*PROVEEDORES[[#This Row],[Rete Fuente %]]</f>
        <v>0</v>
      </c>
      <c r="R1626" s="32">
        <f>+PROVEEDORES[[#This Row],[SUBTOTAL]]+PROVEEDORES[[#This Row],[IVA 19%]]-PROVEEDORES[[#This Row],[descuento antes de IVA]]-PROVEEDORES[[#This Row],[Descuento sobre subtotal $]]-PROVEEDORES[[#This Row],[Rete Fuente $]]</f>
        <v>170217.60000000001</v>
      </c>
      <c r="S162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7" spans="1:19" ht="21.95" hidden="1" customHeight="1" x14ac:dyDescent="0.25">
      <c r="A1627" s="39" t="str">
        <f>+IF(PROVEEDORES[[#This Row],[FECHA DE PAGO]]=PROVEEDORES[[#This Row],[FECHA DE FACTURACIÓN]],"DE CONTADO","CRÉDITO")</f>
        <v>DE CONTADO</v>
      </c>
      <c r="B1627" s="67" t="b">
        <f>+IF((PROVEEDORES[[#This Row],[FECHA DE PAGO]]-PROVEEDORES[[#This Row],[FECHA DE FACTURACIÓN]])&gt;PROVEEDORES[[#This Row],[PLAZO Días]],"PAGO VENCIDO")</f>
        <v>0</v>
      </c>
      <c r="C1627" s="27">
        <f>+VLOOKUP(PROVEEDORES[[#This Row],[PROVEEDOR]],TERCEROS_INFO[#All],2,FALSE)</f>
        <v>30</v>
      </c>
      <c r="D1627" s="37">
        <f>+SUMIFS(PROVEEDORES[Total],PROVEEDORES[PROVEEDOR],PROVEEDORES[[#This Row],[PROVEEDOR]],PROVEEDORES[FECHA DE PAGO],"")</f>
        <v>0</v>
      </c>
      <c r="E1627" s="37"/>
      <c r="F1627" s="108" t="str">
        <f>+VLOOKUP(PROVEEDORES[[#This Row],[PROVEEDOR]],TERCEROS_INFO[[PROVEEDOR]:[CORREO]],5,FALSE)</f>
        <v>soluenergiacentro@une.net.co;girlesa.ruiz@servipilas.com;joriescobar64@gmail.com</v>
      </c>
      <c r="G1627" s="143">
        <v>44148</v>
      </c>
      <c r="H1627" s="38" t="s">
        <v>42</v>
      </c>
      <c r="I1627" s="30">
        <v>44148</v>
      </c>
      <c r="J1627" s="58">
        <v>49</v>
      </c>
      <c r="K1627" s="32">
        <v>126500</v>
      </c>
      <c r="L1627" s="32"/>
      <c r="M1627" s="33">
        <f>(PROVEEDORES[[#This Row],[SUBTOTAL]]-PROVEEDORES[[#This Row],[descuento antes de IVA]])*VLOOKUP(PROVEEDORES[[#This Row],[PROVEEDOR]],TERCEROS_INFO[#All],3,FALSE)</f>
        <v>24035</v>
      </c>
      <c r="N1627" s="34"/>
      <c r="O1627" s="33">
        <f>+PROVEEDORES[[#This Row],[Descuento sobre subtotal %]]*(PROVEEDORES[[#This Row],[SUBTOTAL]]-PROVEEDORES[[#This Row],[descuento antes de IVA]])</f>
        <v>0</v>
      </c>
      <c r="P16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7" s="33">
        <f>+(PROVEEDORES[[#This Row],[SUBTOTAL]]-PROVEEDORES[[#This Row],[descuento antes de IVA]])*PROVEEDORES[[#This Row],[Rete Fuente %]]</f>
        <v>0</v>
      </c>
      <c r="R1627" s="32">
        <f>+PROVEEDORES[[#This Row],[SUBTOTAL]]+PROVEEDORES[[#This Row],[IVA 19%]]-PROVEEDORES[[#This Row],[descuento antes de IVA]]-PROVEEDORES[[#This Row],[Descuento sobre subtotal $]]-PROVEEDORES[[#This Row],[Rete Fuente $]]</f>
        <v>150535</v>
      </c>
      <c r="S162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8" spans="1:19" ht="21.95" hidden="1" customHeight="1" x14ac:dyDescent="0.25">
      <c r="A1628" s="39" t="str">
        <f>+IF(PROVEEDORES[[#This Row],[FECHA DE PAGO]]=PROVEEDORES[[#This Row],[FECHA DE FACTURACIÓN]],"DE CONTADO","CRÉDITO")</f>
        <v>CRÉDITO</v>
      </c>
      <c r="B1628" s="67" t="str">
        <f>+IF((PROVEEDORES[[#This Row],[FECHA DE PAGO]]-PROVEEDORES[[#This Row],[FECHA DE FACTURACIÓN]])&gt;PROVEEDORES[[#This Row],[PLAZO Días]],"PAGO VENCIDO")</f>
        <v>PAGO VENCIDO</v>
      </c>
      <c r="C1628" s="27">
        <f>+VLOOKUP(PROVEEDORES[[#This Row],[PROVEEDOR]],TERCEROS_INFO[#All],2,FALSE)</f>
        <v>30</v>
      </c>
      <c r="D1628" s="37">
        <f>+SUMIFS(PROVEEDORES[Total],PROVEEDORES[PROVEEDOR],PROVEEDORES[[#This Row],[PROVEEDOR]],PROVEEDORES[FECHA DE PAGO],"")</f>
        <v>0</v>
      </c>
      <c r="E1628" s="37"/>
      <c r="F1628" s="108" t="str">
        <f>+VLOOKUP(PROVEEDORES[[#This Row],[PROVEEDOR]],TERCEROS_INFO[[PROVEEDOR]:[CORREO]],5,FALSE)</f>
        <v>soluenergiacentro@une.net.co;girlesa.ruiz@servipilas.com;joriescobar64@gmail.com</v>
      </c>
      <c r="G1628" s="143">
        <v>44195</v>
      </c>
      <c r="H1628" s="38" t="s">
        <v>42</v>
      </c>
      <c r="I1628" s="30">
        <v>44148</v>
      </c>
      <c r="J1628" s="58">
        <v>50</v>
      </c>
      <c r="K1628" s="32">
        <v>109500</v>
      </c>
      <c r="L1628" s="32"/>
      <c r="M1628" s="33">
        <f>(PROVEEDORES[[#This Row],[SUBTOTAL]]-PROVEEDORES[[#This Row],[descuento antes de IVA]])*VLOOKUP(PROVEEDORES[[#This Row],[PROVEEDOR]],TERCEROS_INFO[#All],3,FALSE)</f>
        <v>20805</v>
      </c>
      <c r="N1628" s="34"/>
      <c r="O1628" s="33">
        <f>+PROVEEDORES[[#This Row],[Descuento sobre subtotal %]]*(PROVEEDORES[[#This Row],[SUBTOTAL]]-PROVEEDORES[[#This Row],[descuento antes de IVA]])</f>
        <v>0</v>
      </c>
      <c r="P16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8" s="33">
        <f>+(PROVEEDORES[[#This Row],[SUBTOTAL]]-PROVEEDORES[[#This Row],[descuento antes de IVA]])*PROVEEDORES[[#This Row],[Rete Fuente %]]</f>
        <v>0</v>
      </c>
      <c r="R1628" s="32">
        <f>+PROVEEDORES[[#This Row],[SUBTOTAL]]+PROVEEDORES[[#This Row],[IVA 19%]]-PROVEEDORES[[#This Row],[descuento antes de IVA]]-PROVEEDORES[[#This Row],[Descuento sobre subtotal $]]-PROVEEDORES[[#This Row],[Rete Fuente $]]</f>
        <v>130305</v>
      </c>
      <c r="S162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29" spans="1:19" ht="21.95" hidden="1" customHeight="1" x14ac:dyDescent="0.25">
      <c r="A1629" s="39" t="str">
        <f>+IF(PROVEEDORES[[#This Row],[FECHA DE PAGO]]=PROVEEDORES[[#This Row],[FECHA DE FACTURACIÓN]],"DE CONTADO","CRÉDITO")</f>
        <v>CRÉDITO</v>
      </c>
      <c r="B1629" s="67" t="str">
        <f>+IF((PROVEEDORES[[#This Row],[FECHA DE PAGO]]-PROVEEDORES[[#This Row],[FECHA DE FACTURACIÓN]])&gt;PROVEEDORES[[#This Row],[PLAZO Días]],"PAGO VENCIDO")</f>
        <v>PAGO VENCIDO</v>
      </c>
      <c r="C1629" s="27">
        <f>+VLOOKUP(PROVEEDORES[[#This Row],[PROVEEDOR]],TERCEROS_INFO[#All],2,FALSE)</f>
        <v>30</v>
      </c>
      <c r="D1629" s="37">
        <f>+SUMIFS(PROVEEDORES[Total],PROVEEDORES[PROVEEDOR],PROVEEDORES[[#This Row],[PROVEEDOR]],PROVEEDORES[FECHA DE PAGO],"")</f>
        <v>0</v>
      </c>
      <c r="E1629" s="37"/>
      <c r="F1629" s="108" t="str">
        <f>+VLOOKUP(PROVEEDORES[[#This Row],[PROVEEDOR]],TERCEROS_INFO[[PROVEEDOR]:[CORREO]],5,FALSE)</f>
        <v>soluenergiacentro@une.net.co;girlesa.ruiz@servipilas.com;joriescobar64@gmail.com</v>
      </c>
      <c r="G1629" s="143">
        <v>44195</v>
      </c>
      <c r="H1629" s="38" t="s">
        <v>42</v>
      </c>
      <c r="I1629" s="30">
        <v>44162</v>
      </c>
      <c r="J1629" s="58">
        <v>107</v>
      </c>
      <c r="K1629" s="32">
        <v>151800</v>
      </c>
      <c r="L1629" s="32"/>
      <c r="M1629" s="33">
        <f>(PROVEEDORES[[#This Row],[SUBTOTAL]]-PROVEEDORES[[#This Row],[descuento antes de IVA]])*VLOOKUP(PROVEEDORES[[#This Row],[PROVEEDOR]],TERCEROS_INFO[#All],3,FALSE)</f>
        <v>28842</v>
      </c>
      <c r="N1629" s="34"/>
      <c r="O1629" s="33">
        <f>+PROVEEDORES[[#This Row],[Descuento sobre subtotal %]]*(PROVEEDORES[[#This Row],[SUBTOTAL]]-PROVEEDORES[[#This Row],[descuento antes de IVA]])</f>
        <v>0</v>
      </c>
      <c r="P16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29" s="33">
        <f>+(PROVEEDORES[[#This Row],[SUBTOTAL]]-PROVEEDORES[[#This Row],[descuento antes de IVA]])*PROVEEDORES[[#This Row],[Rete Fuente %]]</f>
        <v>0</v>
      </c>
      <c r="R1629" s="32">
        <f>+PROVEEDORES[[#This Row],[SUBTOTAL]]+PROVEEDORES[[#This Row],[IVA 19%]]-PROVEEDORES[[#This Row],[descuento antes de IVA]]-PROVEEDORES[[#This Row],[Descuento sobre subtotal $]]-PROVEEDORES[[#This Row],[Rete Fuente $]]</f>
        <v>180642</v>
      </c>
      <c r="S162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0" spans="1:19" ht="21.95" hidden="1" customHeight="1" x14ac:dyDescent="0.25">
      <c r="A1630" s="39" t="str">
        <f>+IF(PROVEEDORES[[#This Row],[FECHA DE PAGO]]=PROVEEDORES[[#This Row],[FECHA DE FACTURACIÓN]],"DE CONTADO","CRÉDITO")</f>
        <v>CRÉDITO</v>
      </c>
      <c r="B1630" s="67" t="str">
        <f>+IF((PROVEEDORES[[#This Row],[FECHA DE PAGO]]-PROVEEDORES[[#This Row],[FECHA DE FACTURACIÓN]])&gt;PROVEEDORES[[#This Row],[PLAZO Días]],"PAGO VENCIDO")</f>
        <v>PAGO VENCIDO</v>
      </c>
      <c r="C1630" s="27">
        <f>+VLOOKUP(PROVEEDORES[[#This Row],[PROVEEDOR]],TERCEROS_INFO[#All],2,FALSE)</f>
        <v>30</v>
      </c>
      <c r="D1630" s="37">
        <f>+SUMIFS(PROVEEDORES[Total],PROVEEDORES[PROVEEDOR],PROVEEDORES[[#This Row],[PROVEEDOR]],PROVEEDORES[FECHA DE PAGO],"")</f>
        <v>0</v>
      </c>
      <c r="E1630" s="37"/>
      <c r="F1630" s="108" t="str">
        <f>+VLOOKUP(PROVEEDORES[[#This Row],[PROVEEDOR]],TERCEROS_INFO[[PROVEEDOR]:[CORREO]],5,FALSE)</f>
        <v>soluenergiacentro@une.net.co;girlesa.ruiz@servipilas.com;joriescobar64@gmail.com</v>
      </c>
      <c r="G1630" s="143">
        <v>44214</v>
      </c>
      <c r="H1630" s="38" t="s">
        <v>42</v>
      </c>
      <c r="I1630" s="30">
        <v>44174</v>
      </c>
      <c r="J1630" s="58">
        <v>147</v>
      </c>
      <c r="K1630" s="32">
        <v>395200</v>
      </c>
      <c r="L1630" s="32"/>
      <c r="M1630" s="33">
        <f>(PROVEEDORES[[#This Row],[SUBTOTAL]]-PROVEEDORES[[#This Row],[descuento antes de IVA]])*VLOOKUP(PROVEEDORES[[#This Row],[PROVEEDOR]],TERCEROS_INFO[#All],3,FALSE)</f>
        <v>75088</v>
      </c>
      <c r="N1630" s="34"/>
      <c r="O1630" s="33">
        <f>+PROVEEDORES[[#This Row],[Descuento sobre subtotal %]]*(PROVEEDORES[[#This Row],[SUBTOTAL]]-PROVEEDORES[[#This Row],[descuento antes de IVA]])</f>
        <v>0</v>
      </c>
      <c r="P16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0" s="33">
        <f>+(PROVEEDORES[[#This Row],[SUBTOTAL]]-PROVEEDORES[[#This Row],[descuento antes de IVA]])*PROVEEDORES[[#This Row],[Rete Fuente %]]</f>
        <v>0</v>
      </c>
      <c r="R1630" s="32">
        <f>+PROVEEDORES[[#This Row],[SUBTOTAL]]+PROVEEDORES[[#This Row],[IVA 19%]]-PROVEEDORES[[#This Row],[descuento antes de IVA]]-PROVEEDORES[[#This Row],[Descuento sobre subtotal $]]-PROVEEDORES[[#This Row],[Rete Fuente $]]</f>
        <v>470288</v>
      </c>
      <c r="S163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1" spans="1:19" ht="21.95" hidden="1" customHeight="1" x14ac:dyDescent="0.25">
      <c r="A1631" s="39" t="str">
        <f>+IF(PROVEEDORES[[#This Row],[FECHA DE PAGO]]=PROVEEDORES[[#This Row],[FECHA DE FACTURACIÓN]],"DE CONTADO","CRÉDITO")</f>
        <v>CRÉDITO</v>
      </c>
      <c r="B1631" s="67" t="str">
        <f>+IF((PROVEEDORES[[#This Row],[FECHA DE PAGO]]-PROVEEDORES[[#This Row],[FECHA DE FACTURACIÓN]])&gt;PROVEEDORES[[#This Row],[PLAZO Días]],"PAGO VENCIDO")</f>
        <v>PAGO VENCIDO</v>
      </c>
      <c r="C1631" s="27">
        <f>+VLOOKUP(PROVEEDORES[[#This Row],[PROVEEDOR]],TERCEROS_INFO[#All],2,FALSE)</f>
        <v>30</v>
      </c>
      <c r="D1631" s="37">
        <f>+SUMIFS(PROVEEDORES[Total],PROVEEDORES[PROVEEDOR],PROVEEDORES[[#This Row],[PROVEEDOR]],PROVEEDORES[FECHA DE PAGO],"")</f>
        <v>0</v>
      </c>
      <c r="E1631" s="37"/>
      <c r="F1631" s="108" t="str">
        <f>+VLOOKUP(PROVEEDORES[[#This Row],[PROVEEDOR]],TERCEROS_INFO[[PROVEEDOR]:[CORREO]],5,FALSE)</f>
        <v>soluenergiacentro@une.net.co;girlesa.ruiz@servipilas.com;joriescobar64@gmail.com</v>
      </c>
      <c r="G1631" s="143">
        <v>44258</v>
      </c>
      <c r="H1631" s="38" t="s">
        <v>42</v>
      </c>
      <c r="I1631" s="30">
        <v>44214</v>
      </c>
      <c r="J1631" s="58">
        <v>216</v>
      </c>
      <c r="K1631" s="32">
        <v>262800</v>
      </c>
      <c r="L1631" s="32"/>
      <c r="M1631" s="33">
        <f>(PROVEEDORES[[#This Row],[SUBTOTAL]]-PROVEEDORES[[#This Row],[descuento antes de IVA]])*VLOOKUP(PROVEEDORES[[#This Row],[PROVEEDOR]],TERCEROS_INFO[#All],3,FALSE)</f>
        <v>49932</v>
      </c>
      <c r="N1631" s="34"/>
      <c r="O1631" s="33">
        <f>+PROVEEDORES[[#This Row],[Descuento sobre subtotal %]]*(PROVEEDORES[[#This Row],[SUBTOTAL]]-PROVEEDORES[[#This Row],[descuento antes de IVA]])</f>
        <v>0</v>
      </c>
      <c r="P16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1" s="33">
        <f>+(PROVEEDORES[[#This Row],[SUBTOTAL]]-PROVEEDORES[[#This Row],[descuento antes de IVA]])*PROVEEDORES[[#This Row],[Rete Fuente %]]</f>
        <v>0</v>
      </c>
      <c r="R1631" s="32">
        <f>+PROVEEDORES[[#This Row],[SUBTOTAL]]+PROVEEDORES[[#This Row],[IVA 19%]]-PROVEEDORES[[#This Row],[descuento antes de IVA]]-PROVEEDORES[[#This Row],[Descuento sobre subtotal $]]-PROVEEDORES[[#This Row],[Rete Fuente $]]</f>
        <v>312732</v>
      </c>
      <c r="S163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2" spans="1:19" ht="21.95" hidden="1" customHeight="1" x14ac:dyDescent="0.25">
      <c r="A1632" s="88" t="str">
        <f>+IF(PROVEEDORES[[#This Row],[FECHA DE PAGO]]=PROVEEDORES[[#This Row],[FECHA DE FACTURACIÓN]],"DE CONTADO","CRÉDITO")</f>
        <v>CRÉDITO</v>
      </c>
      <c r="B1632" s="70" t="str">
        <f>+IF((PROVEEDORES[[#This Row],[FECHA DE PAGO]]-PROVEEDORES[[#This Row],[FECHA DE FACTURACIÓN]])&gt;PROVEEDORES[[#This Row],[PLAZO Días]],"PAGO VENCIDO")</f>
        <v>PAGO VENCIDO</v>
      </c>
      <c r="C1632" s="27">
        <f>+VLOOKUP(PROVEEDORES[[#This Row],[PROVEEDOR]],TERCEROS_INFO[#All],2,FALSE)</f>
        <v>30</v>
      </c>
      <c r="D1632" s="37">
        <f>+SUMIFS(PROVEEDORES[Total],PROVEEDORES[PROVEEDOR],PROVEEDORES[[#This Row],[PROVEEDOR]],PROVEEDORES[FECHA DE PAGO],"")</f>
        <v>0</v>
      </c>
      <c r="E1632" s="37"/>
      <c r="F1632" s="108" t="str">
        <f>+VLOOKUP(PROVEEDORES[[#This Row],[PROVEEDOR]],TERCEROS_INFO[[PROVEEDOR]:[CORREO]],5,FALSE)</f>
        <v>soluenergiacentro@une.net.co;girlesa.ruiz@servipilas.com;joriescobar64@gmail.com</v>
      </c>
      <c r="G1632" s="143">
        <v>44326</v>
      </c>
      <c r="H1632" s="38" t="s">
        <v>42</v>
      </c>
      <c r="I1632" s="30">
        <v>44252</v>
      </c>
      <c r="J1632" s="58">
        <v>327</v>
      </c>
      <c r="K1632" s="32">
        <v>668100</v>
      </c>
      <c r="L1632" s="32"/>
      <c r="M1632" s="33">
        <f>(PROVEEDORES[[#This Row],[SUBTOTAL]]-PROVEEDORES[[#This Row],[descuento antes de IVA]])*VLOOKUP(PROVEEDORES[[#This Row],[PROVEEDOR]],TERCEROS_INFO[#All],3,FALSE)</f>
        <v>126939</v>
      </c>
      <c r="N1632" s="34"/>
      <c r="O1632" s="33">
        <f>+PROVEEDORES[[#This Row],[Descuento sobre subtotal %]]*(PROVEEDORES[[#This Row],[SUBTOTAL]]-PROVEEDORES[[#This Row],[descuento antes de IVA]])</f>
        <v>0</v>
      </c>
      <c r="P16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2" s="33">
        <f>+(PROVEEDORES[[#This Row],[SUBTOTAL]]-PROVEEDORES[[#This Row],[descuento antes de IVA]])*PROVEEDORES[[#This Row],[Rete Fuente %]]</f>
        <v>0</v>
      </c>
      <c r="R1632" s="32">
        <f>+PROVEEDORES[[#This Row],[SUBTOTAL]]+PROVEEDORES[[#This Row],[IVA 19%]]-PROVEEDORES[[#This Row],[descuento antes de IVA]]-PROVEEDORES[[#This Row],[Descuento sobre subtotal $]]-PROVEEDORES[[#This Row],[Rete Fuente $]]</f>
        <v>795039</v>
      </c>
      <c r="S1632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3" spans="1:19" ht="21.95" hidden="1" customHeight="1" x14ac:dyDescent="0.25">
      <c r="A1633" s="88" t="str">
        <f>+IF(PROVEEDORES[[#This Row],[FECHA DE PAGO]]=PROVEEDORES[[#This Row],[FECHA DE FACTURACIÓN]],"DE CONTADO","CRÉDITO")</f>
        <v>CRÉDITO</v>
      </c>
      <c r="B1633" s="70" t="str">
        <f>+IF((PROVEEDORES[[#This Row],[FECHA DE PAGO]]-PROVEEDORES[[#This Row],[FECHA DE FACTURACIÓN]])&gt;PROVEEDORES[[#This Row],[PLAZO Días]],"PAGO VENCIDO")</f>
        <v>PAGO VENCIDO</v>
      </c>
      <c r="C1633" s="27">
        <f>+VLOOKUP(PROVEEDORES[[#This Row],[PROVEEDOR]],TERCEROS_INFO[#All],2,FALSE)</f>
        <v>30</v>
      </c>
      <c r="D1633" s="37">
        <f>+SUMIFS(PROVEEDORES[Total],PROVEEDORES[PROVEEDOR],PROVEEDORES[[#This Row],[PROVEEDOR]],PROVEEDORES[FECHA DE PAGO],"")</f>
        <v>0</v>
      </c>
      <c r="E1633" s="37" t="s">
        <v>517</v>
      </c>
      <c r="F1633" s="108" t="str">
        <f>+VLOOKUP(PROVEEDORES[[#This Row],[PROVEEDOR]],TERCEROS_INFO[[PROVEEDOR]:[CORREO]],5,FALSE)</f>
        <v>soluenergiacentro@une.net.co;girlesa.ruiz@servipilas.com;joriescobar64@gmail.com</v>
      </c>
      <c r="G1633" s="143">
        <v>44326</v>
      </c>
      <c r="H1633" s="38" t="s">
        <v>42</v>
      </c>
      <c r="I1633" s="30">
        <v>44257</v>
      </c>
      <c r="J1633" s="58" t="s">
        <v>395</v>
      </c>
      <c r="K1633" s="32">
        <f>-50000/1.19</f>
        <v>-42016.806722689078</v>
      </c>
      <c r="L1633" s="32"/>
      <c r="M1633" s="33">
        <f>(PROVEEDORES[[#This Row],[SUBTOTAL]]-PROVEEDORES[[#This Row],[descuento antes de IVA]])*VLOOKUP(PROVEEDORES[[#This Row],[PROVEEDOR]],TERCEROS_INFO[#All],3,FALSE)</f>
        <v>-7983.1932773109247</v>
      </c>
      <c r="N1633" s="34"/>
      <c r="O1633" s="33">
        <f>+PROVEEDORES[[#This Row],[Descuento sobre subtotal %]]*(PROVEEDORES[[#This Row],[SUBTOTAL]]-PROVEEDORES[[#This Row],[descuento antes de IVA]])</f>
        <v>0</v>
      </c>
      <c r="P16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3" s="33">
        <f>+(PROVEEDORES[[#This Row],[SUBTOTAL]]-PROVEEDORES[[#This Row],[descuento antes de IVA]])*PROVEEDORES[[#This Row],[Rete Fuente %]]</f>
        <v>0</v>
      </c>
      <c r="R1633" s="32">
        <f>+PROVEEDORES[[#This Row],[SUBTOTAL]]+PROVEEDORES[[#This Row],[IVA 19%]]-PROVEEDORES[[#This Row],[descuento antes de IVA]]-PROVEEDORES[[#This Row],[Descuento sobre subtotal $]]-PROVEEDORES[[#This Row],[Rete Fuente $]]</f>
        <v>-50000</v>
      </c>
      <c r="S163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4" spans="1:19" ht="21.95" hidden="1" customHeight="1" x14ac:dyDescent="0.25">
      <c r="A1634" s="109" t="str">
        <f>+IF(PROVEEDORES[[#This Row],[FECHA DE PAGO]]=PROVEEDORES[[#This Row],[FECHA DE FACTURACIÓN]],"DE CONTADO","CRÉDITO")</f>
        <v>DE CONTADO</v>
      </c>
      <c r="B1634" s="70" t="b">
        <f>+IF((PROVEEDORES[[#This Row],[FECHA DE PAGO]]-PROVEEDORES[[#This Row],[FECHA DE FACTURACIÓN]])&gt;PROVEEDORES[[#This Row],[PLAZO Días]],"PAGO VENCIDO")</f>
        <v>0</v>
      </c>
      <c r="C1634" s="27">
        <f>+VLOOKUP(PROVEEDORES[[#This Row],[PROVEEDOR]],TERCEROS_INFO[#All],2,FALSE)</f>
        <v>30</v>
      </c>
      <c r="D1634" s="37">
        <f>+SUMIFS(PROVEEDORES[Total],PROVEEDORES[PROVEEDOR],PROVEEDORES[[#This Row],[PROVEEDOR]],PROVEEDORES[FECHA DE PAGO],"")</f>
        <v>0</v>
      </c>
      <c r="E1634" s="37"/>
      <c r="F1634" s="108" t="str">
        <f>+VLOOKUP(PROVEEDORES[[#This Row],[PROVEEDOR]],TERCEROS_INFO[[PROVEEDOR]:[CORREO]],5,FALSE)</f>
        <v>soluenergiacentro@une.net.co;girlesa.ruiz@servipilas.com;joriescobar64@gmail.com</v>
      </c>
      <c r="G1634" s="143">
        <v>44326</v>
      </c>
      <c r="H1634" s="38" t="s">
        <v>42</v>
      </c>
      <c r="I1634" s="30">
        <v>44326</v>
      </c>
      <c r="J1634" s="58" t="s">
        <v>664</v>
      </c>
      <c r="K1634" s="32">
        <v>75900</v>
      </c>
      <c r="L1634" s="32"/>
      <c r="M1634" s="33">
        <f>(PROVEEDORES[[#This Row],[SUBTOTAL]]-PROVEEDORES[[#This Row],[descuento antes de IVA]])*VLOOKUP(PROVEEDORES[[#This Row],[PROVEEDOR]],TERCEROS_INFO[#All],3,FALSE)</f>
        <v>14421</v>
      </c>
      <c r="N1634" s="34"/>
      <c r="O1634" s="33">
        <f>+PROVEEDORES[[#This Row],[Descuento sobre subtotal %]]*(PROVEEDORES[[#This Row],[SUBTOTAL]]-PROVEEDORES[[#This Row],[descuento antes de IVA]])</f>
        <v>0</v>
      </c>
      <c r="P16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4" s="33">
        <f>+(PROVEEDORES[[#This Row],[SUBTOTAL]]-PROVEEDORES[[#This Row],[descuento antes de IVA]])*PROVEEDORES[[#This Row],[Rete Fuente %]]</f>
        <v>0</v>
      </c>
      <c r="R1634" s="32">
        <f>+PROVEEDORES[[#This Row],[SUBTOTAL]]+PROVEEDORES[[#This Row],[IVA 19%]]-PROVEEDORES[[#This Row],[descuento antes de IVA]]-PROVEEDORES[[#This Row],[Descuento sobre subtotal $]]-PROVEEDORES[[#This Row],[Rete Fuente $]]</f>
        <v>90321</v>
      </c>
      <c r="S1634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5" spans="1:19" ht="21.95" hidden="1" customHeight="1" x14ac:dyDescent="0.25">
      <c r="A1635" s="129" t="str">
        <f>+IF(PROVEEDORES[[#This Row],[FECHA DE PAGO]]=PROVEEDORES[[#This Row],[FECHA DE FACTURACIÓN]],"DE CONTADO","CRÉDITO")</f>
        <v>CRÉDITO</v>
      </c>
      <c r="B1635" s="70" t="str">
        <f>+IF((PROVEEDORES[[#This Row],[FECHA DE PAGO]]-PROVEEDORES[[#This Row],[FECHA DE FACTURACIÓN]])&gt;PROVEEDORES[[#This Row],[PLAZO Días]],"PAGO VENCIDO")</f>
        <v>PAGO VENCIDO</v>
      </c>
      <c r="C1635" s="27">
        <f>+VLOOKUP(PROVEEDORES[[#This Row],[PROVEEDOR]],TERCEROS_INFO[#All],2,FALSE)</f>
        <v>30</v>
      </c>
      <c r="D1635" s="37">
        <f>+SUMIFS(PROVEEDORES[Total],PROVEEDORES[PROVEEDOR],PROVEEDORES[[#This Row],[PROVEEDOR]],PROVEEDORES[FECHA DE PAGO],"")</f>
        <v>0</v>
      </c>
      <c r="E1635" s="37"/>
      <c r="F1635" s="108" t="str">
        <f>+VLOOKUP(PROVEEDORES[[#This Row],[PROVEEDOR]],TERCEROS_INFO[[PROVEEDOR]:[CORREO]],5,FALSE)</f>
        <v>soluenergiacentro@une.net.co;girlesa.ruiz@servipilas.com;joriescobar64@gmail.com</v>
      </c>
      <c r="G1635" s="143">
        <v>44414</v>
      </c>
      <c r="H1635" s="38" t="s">
        <v>42</v>
      </c>
      <c r="I1635" s="30">
        <v>44369</v>
      </c>
      <c r="J1635" s="58">
        <v>610</v>
      </c>
      <c r="K1635" s="32">
        <v>522400</v>
      </c>
      <c r="L1635" s="32"/>
      <c r="M1635" s="33">
        <f>(PROVEEDORES[[#This Row],[SUBTOTAL]]-PROVEEDORES[[#This Row],[descuento antes de IVA]])*VLOOKUP(PROVEEDORES[[#This Row],[PROVEEDOR]],TERCEROS_INFO[#All],3,FALSE)</f>
        <v>99256</v>
      </c>
      <c r="N1635" s="34"/>
      <c r="O1635" s="33">
        <f>+PROVEEDORES[[#This Row],[Descuento sobre subtotal %]]*(PROVEEDORES[[#This Row],[SUBTOTAL]]-PROVEEDORES[[#This Row],[descuento antes de IVA]])</f>
        <v>0</v>
      </c>
      <c r="P16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5" s="33">
        <f>+(PROVEEDORES[[#This Row],[SUBTOTAL]]-PROVEEDORES[[#This Row],[descuento antes de IVA]])*PROVEEDORES[[#This Row],[Rete Fuente %]]</f>
        <v>0</v>
      </c>
      <c r="R1635" s="32">
        <f>+PROVEEDORES[[#This Row],[SUBTOTAL]]+PROVEEDORES[[#This Row],[IVA 19%]]-PROVEEDORES[[#This Row],[descuento antes de IVA]]-PROVEEDORES[[#This Row],[Descuento sobre subtotal $]]-PROVEEDORES[[#This Row],[Rete Fuente $]]</f>
        <v>621656</v>
      </c>
      <c r="S1635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6" spans="1:19" ht="21.95" hidden="1" customHeight="1" x14ac:dyDescent="0.25">
      <c r="A1636" s="147" t="str">
        <f>+IF(PROVEEDORES[[#This Row],[FECHA DE PAGO]]=PROVEEDORES[[#This Row],[FECHA DE FACTURACIÓN]],"DE CONTADO","CRÉDITO")</f>
        <v>CRÉDITO</v>
      </c>
      <c r="B1636" s="70" t="str">
        <f>+IF((PROVEEDORES[[#This Row],[FECHA DE PAGO]]-PROVEEDORES[[#This Row],[FECHA DE FACTURACIÓN]])&gt;PROVEEDORES[[#This Row],[PLAZO Días]],"PAGO VENCIDO")</f>
        <v>PAGO VENCIDO</v>
      </c>
      <c r="C1636" s="27">
        <f>+VLOOKUP(PROVEEDORES[[#This Row],[PROVEEDOR]],TERCEROS_INFO[#All],2,FALSE)</f>
        <v>30</v>
      </c>
      <c r="D1636" s="37">
        <f>+SUMIFS(PROVEEDORES[Total],PROVEEDORES[PROVEEDOR],PROVEEDORES[[#This Row],[PROVEEDOR]],PROVEEDORES[FECHA DE PAGO],"")</f>
        <v>0</v>
      </c>
      <c r="E1636" s="37"/>
      <c r="F1636" s="108" t="str">
        <f>+VLOOKUP(PROVEEDORES[[#This Row],[PROVEEDOR]],TERCEROS_INFO[[PROVEEDOR]:[CORREO]],5,FALSE)</f>
        <v>soluenergiacentro@une.net.co;girlesa.ruiz@servipilas.com;joriescobar64@gmail.com</v>
      </c>
      <c r="G1636" s="143">
        <v>44476</v>
      </c>
      <c r="H1636" s="38" t="s">
        <v>42</v>
      </c>
      <c r="I1636" s="30">
        <v>44442</v>
      </c>
      <c r="J1636" s="58">
        <v>785</v>
      </c>
      <c r="K1636" s="32">
        <v>519820</v>
      </c>
      <c r="L1636" s="32"/>
      <c r="M1636" s="33">
        <f>(PROVEEDORES[[#This Row],[SUBTOTAL]]-PROVEEDORES[[#This Row],[descuento antes de IVA]])*VLOOKUP(PROVEEDORES[[#This Row],[PROVEEDOR]],TERCEROS_INFO[#All],3,FALSE)</f>
        <v>98765.8</v>
      </c>
      <c r="N1636" s="34"/>
      <c r="O1636" s="33">
        <f>+PROVEEDORES[[#This Row],[Descuento sobre subtotal %]]*(PROVEEDORES[[#This Row],[SUBTOTAL]]-PROVEEDORES[[#This Row],[descuento antes de IVA]])</f>
        <v>0</v>
      </c>
      <c r="P16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6" s="33">
        <f>+(PROVEEDORES[[#This Row],[SUBTOTAL]]-PROVEEDORES[[#This Row],[descuento antes de IVA]])*PROVEEDORES[[#This Row],[Rete Fuente %]]</f>
        <v>0</v>
      </c>
      <c r="R1636" s="32">
        <f>+PROVEEDORES[[#This Row],[SUBTOTAL]]+PROVEEDORES[[#This Row],[IVA 19%]]-PROVEEDORES[[#This Row],[descuento antes de IVA]]-PROVEEDORES[[#This Row],[Descuento sobre subtotal $]]-PROVEEDORES[[#This Row],[Rete Fuente $]]</f>
        <v>618585.80000000005</v>
      </c>
      <c r="S1636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7" spans="1:19" ht="21.95" hidden="1" customHeight="1" x14ac:dyDescent="0.25">
      <c r="A1637" s="156" t="str">
        <f>+IF(PROVEEDORES[[#This Row],[FECHA DE PAGO]]=PROVEEDORES[[#This Row],[FECHA DE FACTURACIÓN]],"DE CONTADO","CRÉDITO")</f>
        <v>CRÉDITO</v>
      </c>
      <c r="B1637" s="70" t="str">
        <f>+IF((PROVEEDORES[[#This Row],[FECHA DE PAGO]]-PROVEEDORES[[#This Row],[FECHA DE FACTURACIÓN]])&gt;PROVEEDORES[[#This Row],[PLAZO Días]],"PAGO VENCIDO")</f>
        <v>PAGO VENCIDO</v>
      </c>
      <c r="C1637" s="27">
        <f>+VLOOKUP(PROVEEDORES[[#This Row],[PROVEEDOR]],TERCEROS_INFO[#All],2,FALSE)</f>
        <v>30</v>
      </c>
      <c r="D1637" s="37">
        <f>+SUMIFS(PROVEEDORES[Total],PROVEEDORES[PROVEEDOR],PROVEEDORES[[#This Row],[PROVEEDOR]],PROVEEDORES[FECHA DE PAGO],"")</f>
        <v>0</v>
      </c>
      <c r="E1637" s="37"/>
      <c r="F1637" s="108" t="str">
        <f>+VLOOKUP(PROVEEDORES[[#This Row],[PROVEEDOR]],TERCEROS_INFO[[PROVEEDOR]:[CORREO]],5,FALSE)</f>
        <v>soluenergiacentro@une.net.co;girlesa.ruiz@servipilas.com;joriescobar64@gmail.com</v>
      </c>
      <c r="G1637" s="143">
        <v>44523</v>
      </c>
      <c r="H1637" s="38" t="s">
        <v>42</v>
      </c>
      <c r="I1637" s="30">
        <v>44481</v>
      </c>
      <c r="J1637" s="58">
        <v>876</v>
      </c>
      <c r="K1637" s="32">
        <v>305486</v>
      </c>
      <c r="L1637" s="32"/>
      <c r="M1637" s="33">
        <f>(PROVEEDORES[[#This Row],[SUBTOTAL]]-PROVEEDORES[[#This Row],[descuento antes de IVA]])*VLOOKUP(PROVEEDORES[[#This Row],[PROVEEDOR]],TERCEROS_INFO[#All],3,FALSE)</f>
        <v>58042.340000000004</v>
      </c>
      <c r="N1637" s="34"/>
      <c r="O1637" s="33">
        <f>+PROVEEDORES[[#This Row],[Descuento sobre subtotal %]]*(PROVEEDORES[[#This Row],[SUBTOTAL]]-PROVEEDORES[[#This Row],[descuento antes de IVA]])</f>
        <v>0</v>
      </c>
      <c r="P16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7" s="33">
        <f>+(PROVEEDORES[[#This Row],[SUBTOTAL]]-PROVEEDORES[[#This Row],[descuento antes de IVA]])*PROVEEDORES[[#This Row],[Rete Fuente %]]</f>
        <v>0</v>
      </c>
      <c r="R1637" s="32">
        <f>+PROVEEDORES[[#This Row],[SUBTOTAL]]+PROVEEDORES[[#This Row],[IVA 19%]]-PROVEEDORES[[#This Row],[descuento antes de IVA]]-PROVEEDORES[[#This Row],[Descuento sobre subtotal $]]-PROVEEDORES[[#This Row],[Rete Fuente $]]</f>
        <v>363528.34</v>
      </c>
      <c r="S1637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8" spans="1:19" ht="21.95" hidden="1" customHeight="1" x14ac:dyDescent="0.25">
      <c r="A1638" s="167" t="str">
        <f>+IF(PROVEEDORES[[#This Row],[FECHA DE PAGO]]=PROVEEDORES[[#This Row],[FECHA DE FACTURACIÓN]],"DE CONTADO","CRÉDITO")</f>
        <v>CRÉDITO</v>
      </c>
      <c r="B1638" s="70" t="str">
        <f>+IF((PROVEEDORES[[#This Row],[FECHA DE PAGO]]-PROVEEDORES[[#This Row],[FECHA DE FACTURACIÓN]])&gt;PROVEEDORES[[#This Row],[PLAZO Días]],"PAGO VENCIDO")</f>
        <v>PAGO VENCIDO</v>
      </c>
      <c r="C1638" s="27">
        <f>+VLOOKUP(PROVEEDORES[[#This Row],[PROVEEDOR]],TERCEROS_INFO[#All],2,FALSE)</f>
        <v>30</v>
      </c>
      <c r="D1638" s="37">
        <f>+SUMIFS(PROVEEDORES[Total],PROVEEDORES[PROVEEDOR],PROVEEDORES[[#This Row],[PROVEEDOR]],PROVEEDORES[FECHA DE PAGO],"")</f>
        <v>0</v>
      </c>
      <c r="E1638" s="37"/>
      <c r="F1638" s="108" t="str">
        <f>+VLOOKUP(PROVEEDORES[[#This Row],[PROVEEDOR]],TERCEROS_INFO[[PROVEEDOR]:[CORREO]],5,FALSE)</f>
        <v>soluenergiacentro@une.net.co;girlesa.ruiz@servipilas.com;joriescobar64@gmail.com</v>
      </c>
      <c r="G1638" s="143">
        <v>44558</v>
      </c>
      <c r="H1638" s="38" t="s">
        <v>42</v>
      </c>
      <c r="I1638" s="30">
        <v>44524</v>
      </c>
      <c r="J1638" s="58">
        <v>954</v>
      </c>
      <c r="K1638" s="32">
        <v>469800</v>
      </c>
      <c r="L1638" s="32"/>
      <c r="M1638" s="33">
        <f>(PROVEEDORES[[#This Row],[SUBTOTAL]]-PROVEEDORES[[#This Row],[descuento antes de IVA]])*VLOOKUP(PROVEEDORES[[#This Row],[PROVEEDOR]],TERCEROS_INFO[#All],3,FALSE)</f>
        <v>89262</v>
      </c>
      <c r="N1638" s="34"/>
      <c r="O1638" s="33">
        <f>+PROVEEDORES[[#This Row],[Descuento sobre subtotal %]]*(PROVEEDORES[[#This Row],[SUBTOTAL]]-PROVEEDORES[[#This Row],[descuento antes de IVA]])</f>
        <v>0</v>
      </c>
      <c r="P16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8" s="33">
        <f>+(PROVEEDORES[[#This Row],[SUBTOTAL]]-PROVEEDORES[[#This Row],[descuento antes de IVA]])*PROVEEDORES[[#This Row],[Rete Fuente %]]</f>
        <v>0</v>
      </c>
      <c r="R1638" s="32">
        <f>+PROVEEDORES[[#This Row],[SUBTOTAL]]+PROVEEDORES[[#This Row],[IVA 19%]]-PROVEEDORES[[#This Row],[descuento antes de IVA]]-PROVEEDORES[[#This Row],[Descuento sobre subtotal $]]-PROVEEDORES[[#This Row],[Rete Fuente $]]</f>
        <v>559062</v>
      </c>
      <c r="S1638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39" spans="1:19" ht="21.95" hidden="1" customHeight="1" x14ac:dyDescent="0.25">
      <c r="A1639" s="39" t="str">
        <f>+IF(PROVEEDORES[[#This Row],[FECHA DE PAGO]]=PROVEEDORES[[#This Row],[FECHA DE FACTURACIÓN]],"DE CONTADO","CRÉDITO")</f>
        <v>CRÉDITO</v>
      </c>
      <c r="B1639" s="67" t="b">
        <f>+IF((PROVEEDORES[[#This Row],[FECHA DE PAGO]]-PROVEEDORES[[#This Row],[FECHA DE FACTURACIÓN]])&gt;PROVEEDORES[[#This Row],[PLAZO Días]],"PAGO VENCIDO")</f>
        <v>0</v>
      </c>
      <c r="C1639" s="27">
        <f>+VLOOKUP(PROVEEDORES[[#This Row],[PROVEEDOR]],TERCEROS_INFO[#All],2,FALSE)</f>
        <v>30</v>
      </c>
      <c r="D1639" s="37">
        <f>+SUMIFS(PROVEEDORES[Total],PROVEEDORES[PROVEEDOR],PROVEEDORES[[#This Row],[PROVEEDOR]],PROVEEDORES[FECHA DE PAGO],"")</f>
        <v>0</v>
      </c>
      <c r="E1639" s="37"/>
      <c r="F1639" s="108" t="str">
        <f>+VLOOKUP(PROVEEDORES[[#This Row],[PROVEEDOR]],TERCEROS_INFO[[PROVEEDOR]:[CORREO]],5,FALSE)</f>
        <v/>
      </c>
      <c r="G1639" s="143">
        <v>44063</v>
      </c>
      <c r="H1639" s="38" t="s">
        <v>333</v>
      </c>
      <c r="I1639" s="30">
        <v>44062</v>
      </c>
      <c r="J1639" s="58">
        <v>1005</v>
      </c>
      <c r="K1639" s="32">
        <v>45000</v>
      </c>
      <c r="L1639" s="32"/>
      <c r="M1639" s="33">
        <f>(PROVEEDORES[[#This Row],[SUBTOTAL]]-PROVEEDORES[[#This Row],[descuento antes de IVA]])*VLOOKUP(PROVEEDORES[[#This Row],[PROVEEDOR]],TERCEROS_INFO[#All],3,FALSE)</f>
        <v>8550</v>
      </c>
      <c r="N1639" s="34"/>
      <c r="O1639" s="33">
        <f>+PROVEEDORES[[#This Row],[Descuento sobre subtotal %]]*(PROVEEDORES[[#This Row],[SUBTOTAL]]-PROVEEDORES[[#This Row],[descuento antes de IVA]])</f>
        <v>0</v>
      </c>
      <c r="P16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39" s="33">
        <f>+(PROVEEDORES[[#This Row],[SUBTOTAL]]-PROVEEDORES[[#This Row],[descuento antes de IVA]])*PROVEEDORES[[#This Row],[Rete Fuente %]]</f>
        <v>0</v>
      </c>
      <c r="R1639" s="32">
        <f>+PROVEEDORES[[#This Row],[SUBTOTAL]]+PROVEEDORES[[#This Row],[IVA 19%]]-PROVEEDORES[[#This Row],[descuento antes de IVA]]-PROVEEDORES[[#This Row],[Descuento sobre subtotal $]]-PROVEEDORES[[#This Row],[Rete Fuente $]]</f>
        <v>53550</v>
      </c>
      <c r="S163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0" spans="1:19" ht="21.95" hidden="1" customHeight="1" x14ac:dyDescent="0.25">
      <c r="A1640" s="39" t="str">
        <f>+IF(PROVEEDORES[[#This Row],[FECHA DE PAGO]]=PROVEEDORES[[#This Row],[FECHA DE FACTURACIÓN]],"DE CONTADO","CRÉDITO")</f>
        <v>CRÉDITO</v>
      </c>
      <c r="B1640" s="67" t="b">
        <f>+IF((PROVEEDORES[[#This Row],[FECHA DE PAGO]]-PROVEEDORES[[#This Row],[FECHA DE FACTURACIÓN]])&gt;PROVEEDORES[[#This Row],[PLAZO Días]],"PAGO VENCIDO")</f>
        <v>0</v>
      </c>
      <c r="C1640" s="27">
        <f>+VLOOKUP(PROVEEDORES[[#This Row],[PROVEEDOR]],TERCEROS_INFO[#All],2,FALSE)</f>
        <v>10</v>
      </c>
      <c r="D1640" s="37">
        <f>+SUMIFS(PROVEEDORES[Total],PROVEEDORES[PROVEEDOR],PROVEEDORES[[#This Row],[PROVEEDOR]],PROVEEDORES[FECHA DE PAGO],"")</f>
        <v>0</v>
      </c>
      <c r="E1640" s="37"/>
      <c r="F1640" s="108" t="str">
        <f>+VLOOKUP(PROVEEDORES[[#This Row],[PROVEEDOR]],TERCEROS_INFO[[PROVEEDOR]:[CORREO]],5,FALSE)</f>
        <v/>
      </c>
      <c r="G1640" s="143">
        <v>43850</v>
      </c>
      <c r="H1640" s="38" t="s">
        <v>15</v>
      </c>
      <c r="I1640" s="30">
        <v>43847</v>
      </c>
      <c r="J1640" s="58">
        <v>249</v>
      </c>
      <c r="K1640" s="32">
        <v>436974.78991596639</v>
      </c>
      <c r="L1640" s="32"/>
      <c r="M1640" s="33">
        <f>(PROVEEDORES[[#This Row],[SUBTOTAL]]-PROVEEDORES[[#This Row],[descuento antes de IVA]])*VLOOKUP(PROVEEDORES[[#This Row],[PROVEEDOR]],TERCEROS_INFO[#All],3,FALSE)</f>
        <v>83025.210084033621</v>
      </c>
      <c r="N1640" s="34"/>
      <c r="O1640" s="33">
        <f>+PROVEEDORES[[#This Row],[Descuento sobre subtotal %]]*(PROVEEDORES[[#This Row],[SUBTOTAL]]-PROVEEDORES[[#This Row],[descuento antes de IVA]])</f>
        <v>0</v>
      </c>
      <c r="P16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0" s="33">
        <f>+(PROVEEDORES[[#This Row],[SUBTOTAL]]-PROVEEDORES[[#This Row],[descuento antes de IVA]])*PROVEEDORES[[#This Row],[Rete Fuente %]]</f>
        <v>0</v>
      </c>
      <c r="R1640" s="32">
        <f>+PROVEEDORES[[#This Row],[SUBTOTAL]]+PROVEEDORES[[#This Row],[IVA 19%]]-PROVEEDORES[[#This Row],[descuento antes de IVA]]-PROVEEDORES[[#This Row],[Descuento sobre subtotal $]]-PROVEEDORES[[#This Row],[Rete Fuente $]]</f>
        <v>520000</v>
      </c>
      <c r="S16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1" spans="1:19" ht="21.95" hidden="1" customHeight="1" x14ac:dyDescent="0.25">
      <c r="A1641" s="39" t="str">
        <f>+IF(PROVEEDORES[[#This Row],[FECHA DE PAGO]]=PROVEEDORES[[#This Row],[FECHA DE FACTURACIÓN]],"DE CONTADO","CRÉDITO")</f>
        <v>CRÉDITO</v>
      </c>
      <c r="B1641" s="67" t="str">
        <f>+IF((PROVEEDORES[[#This Row],[FECHA DE PAGO]]-PROVEEDORES[[#This Row],[FECHA DE FACTURACIÓN]])&gt;PROVEEDORES[[#This Row],[PLAZO Días]],"PAGO VENCIDO")</f>
        <v>PAGO VENCIDO</v>
      </c>
      <c r="C1641" s="27">
        <f>+VLOOKUP(PROVEEDORES[[#This Row],[PROVEEDOR]],TERCEROS_INFO[#All],2,FALSE)</f>
        <v>10</v>
      </c>
      <c r="D1641" s="37">
        <f>+SUMIFS(PROVEEDORES[Total],PROVEEDORES[PROVEEDOR],PROVEEDORES[[#This Row],[PROVEEDOR]],PROVEEDORES[FECHA DE PAGO],"")</f>
        <v>0</v>
      </c>
      <c r="E1641" s="37"/>
      <c r="F1641" s="108" t="str">
        <f>+VLOOKUP(PROVEEDORES[[#This Row],[PROVEEDOR]],TERCEROS_INFO[[PROVEEDOR]:[CORREO]],5,FALSE)</f>
        <v/>
      </c>
      <c r="G1641" s="143">
        <v>43864</v>
      </c>
      <c r="H1641" s="38" t="s">
        <v>15</v>
      </c>
      <c r="I1641" s="30">
        <v>43851</v>
      </c>
      <c r="J1641" s="58">
        <v>253</v>
      </c>
      <c r="K1641" s="32">
        <v>1260504.2016806724</v>
      </c>
      <c r="L1641" s="32"/>
      <c r="M1641" s="33">
        <f>(PROVEEDORES[[#This Row],[SUBTOTAL]]-PROVEEDORES[[#This Row],[descuento antes de IVA]])*VLOOKUP(PROVEEDORES[[#This Row],[PROVEEDOR]],TERCEROS_INFO[#All],3,FALSE)</f>
        <v>239495.79831932776</v>
      </c>
      <c r="N1641" s="34"/>
      <c r="O1641" s="33">
        <f>+PROVEEDORES[[#This Row],[Descuento sobre subtotal %]]*(PROVEEDORES[[#This Row],[SUBTOTAL]]-PROVEEDORES[[#This Row],[descuento antes de IVA]])</f>
        <v>0</v>
      </c>
      <c r="P16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41" s="33">
        <f>+(PROVEEDORES[[#This Row],[SUBTOTAL]]-PROVEEDORES[[#This Row],[descuento antes de IVA]])*PROVEEDORES[[#This Row],[Rete Fuente %]]</f>
        <v>31512.60504201681</v>
      </c>
      <c r="R1641" s="32">
        <f>+PROVEEDORES[[#This Row],[SUBTOTAL]]+PROVEEDORES[[#This Row],[IVA 19%]]-PROVEEDORES[[#This Row],[descuento antes de IVA]]-PROVEEDORES[[#This Row],[Descuento sobre subtotal $]]-PROVEEDORES[[#This Row],[Rete Fuente $]]</f>
        <v>1468487.3949579832</v>
      </c>
      <c r="S16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2" spans="1:19" ht="21.95" hidden="1" customHeight="1" x14ac:dyDescent="0.25">
      <c r="A1642" s="39" t="str">
        <f>+IF(PROVEEDORES[[#This Row],[FECHA DE PAGO]]=PROVEEDORES[[#This Row],[FECHA DE FACTURACIÓN]],"DE CONTADO","CRÉDITO")</f>
        <v>CRÉDITO</v>
      </c>
      <c r="B1642" s="67" t="b">
        <f>+IF((PROVEEDORES[[#This Row],[FECHA DE PAGO]]-PROVEEDORES[[#This Row],[FECHA DE FACTURACIÓN]])&gt;PROVEEDORES[[#This Row],[PLAZO Días]],"PAGO VENCIDO")</f>
        <v>0</v>
      </c>
      <c r="C1642" s="27">
        <f>+VLOOKUP(PROVEEDORES[[#This Row],[PROVEEDOR]],TERCEROS_INFO[#All],2,FALSE)</f>
        <v>10</v>
      </c>
      <c r="D1642" s="37">
        <f>+SUMIFS(PROVEEDORES[Total],PROVEEDORES[PROVEEDOR],PROVEEDORES[[#This Row],[PROVEEDOR]],PROVEEDORES[FECHA DE PAGO],"")</f>
        <v>0</v>
      </c>
      <c r="E1642" s="37" t="s">
        <v>372</v>
      </c>
      <c r="F1642" s="108" t="str">
        <f>+VLOOKUP(PROVEEDORES[[#This Row],[PROVEEDOR]],TERCEROS_INFO[[PROVEEDOR]:[CORREO]],5,FALSE)</f>
        <v/>
      </c>
      <c r="G1642" s="143">
        <v>43850</v>
      </c>
      <c r="H1642" s="38" t="s">
        <v>15</v>
      </c>
      <c r="I1642" s="30">
        <v>43851</v>
      </c>
      <c r="J1642" s="58"/>
      <c r="K1642" s="32">
        <v>-264705.8823529412</v>
      </c>
      <c r="L1642" s="32"/>
      <c r="M1642" s="33">
        <f>(PROVEEDORES[[#This Row],[SUBTOTAL]]-PROVEEDORES[[#This Row],[descuento antes de IVA]])*VLOOKUP(PROVEEDORES[[#This Row],[PROVEEDOR]],TERCEROS_INFO[#All],3,FALSE)</f>
        <v>-50294.117647058833</v>
      </c>
      <c r="N1642" s="34"/>
      <c r="O1642" s="33">
        <f>+PROVEEDORES[[#This Row],[Descuento sobre subtotal %]]*(PROVEEDORES[[#This Row],[SUBTOTAL]]-PROVEEDORES[[#This Row],[descuento antes de IVA]])</f>
        <v>0</v>
      </c>
      <c r="P16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2" s="33">
        <f>+(PROVEEDORES[[#This Row],[SUBTOTAL]]-PROVEEDORES[[#This Row],[descuento antes de IVA]])*PROVEEDORES[[#This Row],[Rete Fuente %]]</f>
        <v>0</v>
      </c>
      <c r="R1642" s="32">
        <f>+PROVEEDORES[[#This Row],[SUBTOTAL]]+PROVEEDORES[[#This Row],[IVA 19%]]-PROVEEDORES[[#This Row],[descuento antes de IVA]]-PROVEEDORES[[#This Row],[Descuento sobre subtotal $]]-PROVEEDORES[[#This Row],[Rete Fuente $]]</f>
        <v>-315000.00000000006</v>
      </c>
      <c r="S16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3" spans="1:19" ht="21.95" hidden="1" customHeight="1" x14ac:dyDescent="0.25">
      <c r="A1643" s="39" t="str">
        <f>+IF(PROVEEDORES[[#This Row],[FECHA DE PAGO]]=PROVEEDORES[[#This Row],[FECHA DE FACTURACIÓN]],"DE CONTADO","CRÉDITO")</f>
        <v>CRÉDITO</v>
      </c>
      <c r="B1643" s="67" t="b">
        <f>+IF((PROVEEDORES[[#This Row],[FECHA DE PAGO]]-PROVEEDORES[[#This Row],[FECHA DE FACTURACIÓN]])&gt;PROVEEDORES[[#This Row],[PLAZO Días]],"PAGO VENCIDO")</f>
        <v>0</v>
      </c>
      <c r="C1643" s="27">
        <f>+VLOOKUP(PROVEEDORES[[#This Row],[PROVEEDOR]],TERCEROS_INFO[#All],2,FALSE)</f>
        <v>10</v>
      </c>
      <c r="D1643" s="37">
        <f>+SUMIFS(PROVEEDORES[Total],PROVEEDORES[PROVEEDOR],PROVEEDORES[[#This Row],[PROVEEDOR]],PROVEEDORES[FECHA DE PAGO],"")</f>
        <v>0</v>
      </c>
      <c r="E1643" s="37"/>
      <c r="F1643" s="108" t="str">
        <f>+VLOOKUP(PROVEEDORES[[#This Row],[PROVEEDOR]],TERCEROS_INFO[[PROVEEDOR]:[CORREO]],5,FALSE)</f>
        <v/>
      </c>
      <c r="G1643" s="143">
        <v>43879</v>
      </c>
      <c r="H1643" s="38" t="s">
        <v>15</v>
      </c>
      <c r="I1643" s="30">
        <v>43871</v>
      </c>
      <c r="J1643" s="58">
        <v>266</v>
      </c>
      <c r="K1643" s="32">
        <v>288235.29411764705</v>
      </c>
      <c r="L1643" s="32"/>
      <c r="M1643" s="33">
        <f>(PROVEEDORES[[#This Row],[SUBTOTAL]]-PROVEEDORES[[#This Row],[descuento antes de IVA]])*VLOOKUP(PROVEEDORES[[#This Row],[PROVEEDOR]],TERCEROS_INFO[#All],3,FALSE)</f>
        <v>54764.705882352937</v>
      </c>
      <c r="N1643" s="34"/>
      <c r="O1643" s="33">
        <f>+PROVEEDORES[[#This Row],[Descuento sobre subtotal %]]*(PROVEEDORES[[#This Row],[SUBTOTAL]]-PROVEEDORES[[#This Row],[descuento antes de IVA]])</f>
        <v>0</v>
      </c>
      <c r="P16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3" s="33">
        <f>+(PROVEEDORES[[#This Row],[SUBTOTAL]]-PROVEEDORES[[#This Row],[descuento antes de IVA]])*PROVEEDORES[[#This Row],[Rete Fuente %]]</f>
        <v>0</v>
      </c>
      <c r="R1643" s="32">
        <f>+PROVEEDORES[[#This Row],[SUBTOTAL]]+PROVEEDORES[[#This Row],[IVA 19%]]-PROVEEDORES[[#This Row],[descuento antes de IVA]]-PROVEEDORES[[#This Row],[Descuento sobre subtotal $]]-PROVEEDORES[[#This Row],[Rete Fuente $]]</f>
        <v>343000</v>
      </c>
      <c r="S16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4" spans="1:19" ht="21.95" hidden="1" customHeight="1" x14ac:dyDescent="0.25">
      <c r="A1644" s="39" t="str">
        <f>+IF(PROVEEDORES[[#This Row],[FECHA DE PAGO]]=PROVEEDORES[[#This Row],[FECHA DE FACTURACIÓN]],"DE CONTADO","CRÉDITO")</f>
        <v>CRÉDITO</v>
      </c>
      <c r="B1644" s="67" t="b">
        <f>+IF((PROVEEDORES[[#This Row],[FECHA DE PAGO]]-PROVEEDORES[[#This Row],[FECHA DE FACTURACIÓN]])&gt;PROVEEDORES[[#This Row],[PLAZO Días]],"PAGO VENCIDO")</f>
        <v>0</v>
      </c>
      <c r="C1644" s="27">
        <f>+VLOOKUP(PROVEEDORES[[#This Row],[PROVEEDOR]],TERCEROS_INFO[#All],2,FALSE)</f>
        <v>10</v>
      </c>
      <c r="D1644" s="37">
        <f>+SUMIFS(PROVEEDORES[Total],PROVEEDORES[PROVEEDOR],PROVEEDORES[[#This Row],[PROVEEDOR]],PROVEEDORES[FECHA DE PAGO],"")</f>
        <v>0</v>
      </c>
      <c r="E1644" s="37"/>
      <c r="F1644" s="108" t="str">
        <f>+VLOOKUP(PROVEEDORES[[#This Row],[PROVEEDOR]],TERCEROS_INFO[[PROVEEDOR]:[CORREO]],5,FALSE)</f>
        <v/>
      </c>
      <c r="G1644" s="143">
        <v>43883</v>
      </c>
      <c r="H1644" s="38" t="s">
        <v>15</v>
      </c>
      <c r="I1644" s="30">
        <v>43881</v>
      </c>
      <c r="J1644" s="58">
        <v>269</v>
      </c>
      <c r="K1644" s="32">
        <v>557142.85714285716</v>
      </c>
      <c r="L1644" s="32"/>
      <c r="M1644" s="33">
        <f>(PROVEEDORES[[#This Row],[SUBTOTAL]]-PROVEEDORES[[#This Row],[descuento antes de IVA]])*VLOOKUP(PROVEEDORES[[#This Row],[PROVEEDOR]],TERCEROS_INFO[#All],3,FALSE)</f>
        <v>105857.14285714286</v>
      </c>
      <c r="N1644" s="34"/>
      <c r="O1644" s="33">
        <f>+PROVEEDORES[[#This Row],[Descuento sobre subtotal %]]*(PROVEEDORES[[#This Row],[SUBTOTAL]]-PROVEEDORES[[#This Row],[descuento antes de IVA]])</f>
        <v>0</v>
      </c>
      <c r="P16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4" s="33">
        <f>+(PROVEEDORES[[#This Row],[SUBTOTAL]]-PROVEEDORES[[#This Row],[descuento antes de IVA]])*PROVEEDORES[[#This Row],[Rete Fuente %]]</f>
        <v>0</v>
      </c>
      <c r="R1644" s="32">
        <f>+PROVEEDORES[[#This Row],[SUBTOTAL]]+PROVEEDORES[[#This Row],[IVA 19%]]-PROVEEDORES[[#This Row],[descuento antes de IVA]]-PROVEEDORES[[#This Row],[Descuento sobre subtotal $]]-PROVEEDORES[[#This Row],[Rete Fuente $]]</f>
        <v>663000</v>
      </c>
      <c r="S164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5" spans="1:19" ht="21.95" hidden="1" customHeight="1" x14ac:dyDescent="0.25">
      <c r="A1645" s="39" t="str">
        <f>+IF(PROVEEDORES[[#This Row],[FECHA DE PAGO]]=PROVEEDORES[[#This Row],[FECHA DE FACTURACIÓN]],"DE CONTADO","CRÉDITO")</f>
        <v>CRÉDITO</v>
      </c>
      <c r="B1645" s="67" t="b">
        <f>+IF((PROVEEDORES[[#This Row],[FECHA DE PAGO]]-PROVEEDORES[[#This Row],[FECHA DE FACTURACIÓN]])&gt;PROVEEDORES[[#This Row],[PLAZO Días]],"PAGO VENCIDO")</f>
        <v>0</v>
      </c>
      <c r="C1645" s="27">
        <f>+VLOOKUP(PROVEEDORES[[#This Row],[PROVEEDOR]],TERCEROS_INFO[#All],2,FALSE)</f>
        <v>10</v>
      </c>
      <c r="D1645" s="37">
        <f>+SUMIFS(PROVEEDORES[Total],PROVEEDORES[PROVEEDOR],PROVEEDORES[[#This Row],[PROVEEDOR]],PROVEEDORES[FECHA DE PAGO],"")</f>
        <v>0</v>
      </c>
      <c r="E1645" s="37"/>
      <c r="F1645" s="108" t="str">
        <f>+VLOOKUP(PROVEEDORES[[#This Row],[PROVEEDOR]],TERCEROS_INFO[[PROVEEDOR]:[CORREO]],5,FALSE)</f>
        <v/>
      </c>
      <c r="G1645" s="143">
        <v>43896</v>
      </c>
      <c r="H1645" s="38" t="s">
        <v>15</v>
      </c>
      <c r="I1645" s="30">
        <v>43889</v>
      </c>
      <c r="J1645" s="58">
        <v>271</v>
      </c>
      <c r="K1645" s="32">
        <v>655462.18487394962</v>
      </c>
      <c r="L1645" s="32"/>
      <c r="M1645" s="33">
        <f>(PROVEEDORES[[#This Row],[SUBTOTAL]]-PROVEEDORES[[#This Row],[descuento antes de IVA]])*VLOOKUP(PROVEEDORES[[#This Row],[PROVEEDOR]],TERCEROS_INFO[#All],3,FALSE)</f>
        <v>124537.81512605042</v>
      </c>
      <c r="N1645" s="34"/>
      <c r="O1645" s="33">
        <f>+PROVEEDORES[[#This Row],[Descuento sobre subtotal %]]*(PROVEEDORES[[#This Row],[SUBTOTAL]]-PROVEEDORES[[#This Row],[descuento antes de IVA]])</f>
        <v>0</v>
      </c>
      <c r="P16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5" s="33">
        <f>+(PROVEEDORES[[#This Row],[SUBTOTAL]]-PROVEEDORES[[#This Row],[descuento antes de IVA]])*PROVEEDORES[[#This Row],[Rete Fuente %]]</f>
        <v>0</v>
      </c>
      <c r="R1645" s="32">
        <f>+PROVEEDORES[[#This Row],[SUBTOTAL]]+PROVEEDORES[[#This Row],[IVA 19%]]-PROVEEDORES[[#This Row],[descuento antes de IVA]]-PROVEEDORES[[#This Row],[Descuento sobre subtotal $]]-PROVEEDORES[[#This Row],[Rete Fuente $]]</f>
        <v>780000</v>
      </c>
      <c r="S16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6" spans="1:19" ht="21.95" hidden="1" customHeight="1" x14ac:dyDescent="0.25">
      <c r="A1646" s="39" t="str">
        <f>+IF(PROVEEDORES[[#This Row],[FECHA DE PAGO]]=PROVEEDORES[[#This Row],[FECHA DE FACTURACIÓN]],"DE CONTADO","CRÉDITO")</f>
        <v>CRÉDITO</v>
      </c>
      <c r="B1646" s="67" t="str">
        <f>+IF((PROVEEDORES[[#This Row],[FECHA DE PAGO]]-PROVEEDORES[[#This Row],[FECHA DE FACTURACIÓN]])&gt;PROVEEDORES[[#This Row],[PLAZO Días]],"PAGO VENCIDO")</f>
        <v>PAGO VENCIDO</v>
      </c>
      <c r="C1646" s="27">
        <f>+VLOOKUP(PROVEEDORES[[#This Row],[PROVEEDOR]],TERCEROS_INFO[#All],2,FALSE)</f>
        <v>10</v>
      </c>
      <c r="D1646" s="37">
        <f>+SUMIFS(PROVEEDORES[Total],PROVEEDORES[PROVEEDOR],PROVEEDORES[[#This Row],[PROVEEDOR]],PROVEEDORES[FECHA DE PAGO],"")</f>
        <v>0</v>
      </c>
      <c r="E1646" s="37"/>
      <c r="F1646" s="108" t="str">
        <f>+VLOOKUP(PROVEEDORES[[#This Row],[PROVEEDOR]],TERCEROS_INFO[[PROVEEDOR]:[CORREO]],5,FALSE)</f>
        <v/>
      </c>
      <c r="G1646" s="143">
        <v>43923</v>
      </c>
      <c r="H1646" s="38" t="s">
        <v>15</v>
      </c>
      <c r="I1646" s="30">
        <v>43901</v>
      </c>
      <c r="J1646" s="58">
        <v>1614636</v>
      </c>
      <c r="K1646" s="32">
        <v>415126.05042016809</v>
      </c>
      <c r="L1646" s="32"/>
      <c r="M1646" s="33">
        <f>(PROVEEDORES[[#This Row],[SUBTOTAL]]-PROVEEDORES[[#This Row],[descuento antes de IVA]])*VLOOKUP(PROVEEDORES[[#This Row],[PROVEEDOR]],TERCEROS_INFO[#All],3,FALSE)</f>
        <v>78873.94957983194</v>
      </c>
      <c r="N1646" s="34"/>
      <c r="O1646" s="33">
        <f>+PROVEEDORES[[#This Row],[Descuento sobre subtotal %]]*(PROVEEDORES[[#This Row],[SUBTOTAL]]-PROVEEDORES[[#This Row],[descuento antes de IVA]])</f>
        <v>0</v>
      </c>
      <c r="P16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6" s="33">
        <f>+(PROVEEDORES[[#This Row],[SUBTOTAL]]-PROVEEDORES[[#This Row],[descuento antes de IVA]])*PROVEEDORES[[#This Row],[Rete Fuente %]]</f>
        <v>0</v>
      </c>
      <c r="R1646" s="32">
        <f>+PROVEEDORES[[#This Row],[SUBTOTAL]]+PROVEEDORES[[#This Row],[IVA 19%]]-PROVEEDORES[[#This Row],[descuento antes de IVA]]-PROVEEDORES[[#This Row],[Descuento sobre subtotal $]]-PROVEEDORES[[#This Row],[Rete Fuente $]]</f>
        <v>494000</v>
      </c>
      <c r="S16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7" spans="1:19" ht="21.95" hidden="1" customHeight="1" x14ac:dyDescent="0.25">
      <c r="A1647" s="39" t="str">
        <f>+IF(PROVEEDORES[[#This Row],[FECHA DE PAGO]]=PROVEEDORES[[#This Row],[FECHA DE FACTURACIÓN]],"DE CONTADO","CRÉDITO")</f>
        <v>CRÉDITO</v>
      </c>
      <c r="B1647" s="67" t="b">
        <f>+IF((PROVEEDORES[[#This Row],[FECHA DE PAGO]]-PROVEEDORES[[#This Row],[FECHA DE FACTURACIÓN]])&gt;PROVEEDORES[[#This Row],[PLAZO Días]],"PAGO VENCIDO")</f>
        <v>0</v>
      </c>
      <c r="C1647" s="27">
        <f>+VLOOKUP(PROVEEDORES[[#This Row],[PROVEEDOR]],TERCEROS_INFO[#All],2,FALSE)</f>
        <v>10</v>
      </c>
      <c r="D1647" s="37">
        <f>+SUMIFS(PROVEEDORES[Total],PROVEEDORES[PROVEEDOR],PROVEEDORES[[#This Row],[PROVEEDOR]],PROVEEDORES[FECHA DE PAGO],"")</f>
        <v>0</v>
      </c>
      <c r="E1647" s="37"/>
      <c r="F1647" s="108" t="str">
        <f>+VLOOKUP(PROVEEDORES[[#This Row],[PROVEEDOR]],TERCEROS_INFO[[PROVEEDOR]:[CORREO]],5,FALSE)</f>
        <v/>
      </c>
      <c r="G1647" s="143">
        <v>43909</v>
      </c>
      <c r="H1647" s="38" t="s">
        <v>15</v>
      </c>
      <c r="I1647" s="30">
        <v>43902</v>
      </c>
      <c r="J1647" s="58">
        <v>1614636</v>
      </c>
      <c r="K1647" s="32">
        <v>677310.92436974798</v>
      </c>
      <c r="L1647" s="32"/>
      <c r="M1647" s="33">
        <f>(PROVEEDORES[[#This Row],[SUBTOTAL]]-PROVEEDORES[[#This Row],[descuento antes de IVA]])*VLOOKUP(PROVEEDORES[[#This Row],[PROVEEDOR]],TERCEROS_INFO[#All],3,FALSE)</f>
        <v>128689.07563025212</v>
      </c>
      <c r="N1647" s="34"/>
      <c r="O1647" s="33">
        <f>+PROVEEDORES[[#This Row],[Descuento sobre subtotal %]]*(PROVEEDORES[[#This Row],[SUBTOTAL]]-PROVEEDORES[[#This Row],[descuento antes de IVA]])</f>
        <v>0</v>
      </c>
      <c r="P16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7" s="33">
        <f>+(PROVEEDORES[[#This Row],[SUBTOTAL]]-PROVEEDORES[[#This Row],[descuento antes de IVA]])*PROVEEDORES[[#This Row],[Rete Fuente %]]</f>
        <v>0</v>
      </c>
      <c r="R1647" s="32">
        <f>+PROVEEDORES[[#This Row],[SUBTOTAL]]+PROVEEDORES[[#This Row],[IVA 19%]]-PROVEEDORES[[#This Row],[descuento antes de IVA]]-PROVEEDORES[[#This Row],[Descuento sobre subtotal $]]-PROVEEDORES[[#This Row],[Rete Fuente $]]</f>
        <v>806000.00000000012</v>
      </c>
      <c r="S16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8" spans="1:19" ht="21.95" hidden="1" customHeight="1" x14ac:dyDescent="0.25">
      <c r="A1648" s="39" t="str">
        <f>+IF(PROVEEDORES[[#This Row],[FECHA DE PAGO]]=PROVEEDORES[[#This Row],[FECHA DE FACTURACIÓN]],"DE CONTADO","CRÉDITO")</f>
        <v>CRÉDITO</v>
      </c>
      <c r="B1648" s="67" t="str">
        <f>+IF((PROVEEDORES[[#This Row],[FECHA DE PAGO]]-PROVEEDORES[[#This Row],[FECHA DE FACTURACIÓN]])&gt;PROVEEDORES[[#This Row],[PLAZO Días]],"PAGO VENCIDO")</f>
        <v>PAGO VENCIDO</v>
      </c>
      <c r="C1648" s="27">
        <f>+VLOOKUP(PROVEEDORES[[#This Row],[PROVEEDOR]],TERCEROS_INFO[#All],2,FALSE)</f>
        <v>10</v>
      </c>
      <c r="D1648" s="37">
        <f>+SUMIFS(PROVEEDORES[Total],PROVEEDORES[PROVEEDOR],PROVEEDORES[[#This Row],[PROVEEDOR]],PROVEEDORES[FECHA DE PAGO],"")</f>
        <v>0</v>
      </c>
      <c r="E1648" s="37"/>
      <c r="F1648" s="108" t="str">
        <f>+VLOOKUP(PROVEEDORES[[#This Row],[PROVEEDOR]],TERCEROS_INFO[[PROVEEDOR]:[CORREO]],5,FALSE)</f>
        <v/>
      </c>
      <c r="G1648" s="143">
        <v>44000</v>
      </c>
      <c r="H1648" s="38" t="s">
        <v>15</v>
      </c>
      <c r="I1648" s="30">
        <v>43983</v>
      </c>
      <c r="J1648" s="58">
        <v>628</v>
      </c>
      <c r="K1648" s="32">
        <v>58823.529411764706</v>
      </c>
      <c r="L1648" s="32"/>
      <c r="M1648" s="33">
        <f>(PROVEEDORES[[#This Row],[SUBTOTAL]]-PROVEEDORES[[#This Row],[descuento antes de IVA]])*VLOOKUP(PROVEEDORES[[#This Row],[PROVEEDOR]],TERCEROS_INFO[#All],3,FALSE)</f>
        <v>11176.470588235294</v>
      </c>
      <c r="N1648" s="34"/>
      <c r="O1648" s="33">
        <f>+PROVEEDORES[[#This Row],[Descuento sobre subtotal %]]*(PROVEEDORES[[#This Row],[SUBTOTAL]]-PROVEEDORES[[#This Row],[descuento antes de IVA]])</f>
        <v>0</v>
      </c>
      <c r="P16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8" s="33">
        <f>+(PROVEEDORES[[#This Row],[SUBTOTAL]]-PROVEEDORES[[#This Row],[descuento antes de IVA]])*PROVEEDORES[[#This Row],[Rete Fuente %]]</f>
        <v>0</v>
      </c>
      <c r="R1648" s="32">
        <f>+PROVEEDORES[[#This Row],[SUBTOTAL]]+PROVEEDORES[[#This Row],[IVA 19%]]-PROVEEDORES[[#This Row],[descuento antes de IVA]]-PROVEEDORES[[#This Row],[Descuento sobre subtotal $]]-PROVEEDORES[[#This Row],[Rete Fuente $]]</f>
        <v>70000</v>
      </c>
      <c r="S16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49" spans="1:19" ht="21.95" hidden="1" customHeight="1" x14ac:dyDescent="0.25">
      <c r="A1649" s="39" t="str">
        <f>+IF(PROVEEDORES[[#This Row],[FECHA DE PAGO]]=PROVEEDORES[[#This Row],[FECHA DE FACTURACIÓN]],"DE CONTADO","CRÉDITO")</f>
        <v>DE CONTADO</v>
      </c>
      <c r="B1649" s="67" t="b">
        <f>+IF((PROVEEDORES[[#This Row],[FECHA DE PAGO]]-PROVEEDORES[[#This Row],[FECHA DE FACTURACIÓN]])&gt;PROVEEDORES[[#This Row],[PLAZO Días]],"PAGO VENCIDO")</f>
        <v>0</v>
      </c>
      <c r="C1649" s="27">
        <f>+VLOOKUP(PROVEEDORES[[#This Row],[PROVEEDOR]],TERCEROS_INFO[#All],2,FALSE)</f>
        <v>10</v>
      </c>
      <c r="D1649" s="37">
        <f>+SUMIFS(PROVEEDORES[Total],PROVEEDORES[PROVEEDOR],PROVEEDORES[[#This Row],[PROVEEDOR]],PROVEEDORES[FECHA DE PAGO],"")</f>
        <v>0</v>
      </c>
      <c r="E1649" s="37"/>
      <c r="F1649" s="108" t="str">
        <f>+VLOOKUP(PROVEEDORES[[#This Row],[PROVEEDOR]],TERCEROS_INFO[[PROVEEDOR]:[CORREO]],5,FALSE)</f>
        <v/>
      </c>
      <c r="G1649" s="143">
        <v>44000</v>
      </c>
      <c r="H1649" s="38" t="s">
        <v>15</v>
      </c>
      <c r="I1649" s="30">
        <v>44000</v>
      </c>
      <c r="J1649" s="58" t="s">
        <v>1070</v>
      </c>
      <c r="K1649" s="32">
        <v>415966.38655462186</v>
      </c>
      <c r="L1649" s="32"/>
      <c r="M1649" s="33">
        <f>(PROVEEDORES[[#This Row],[SUBTOTAL]]-PROVEEDORES[[#This Row],[descuento antes de IVA]])*VLOOKUP(PROVEEDORES[[#This Row],[PROVEEDOR]],TERCEROS_INFO[#All],3,FALSE)</f>
        <v>79033.613445378156</v>
      </c>
      <c r="N1649" s="34"/>
      <c r="O1649" s="33">
        <f>+PROVEEDORES[[#This Row],[Descuento sobre subtotal %]]*(PROVEEDORES[[#This Row],[SUBTOTAL]]-PROVEEDORES[[#This Row],[descuento antes de IVA]])</f>
        <v>0</v>
      </c>
      <c r="P16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49" s="33">
        <f>+(PROVEEDORES[[#This Row],[SUBTOTAL]]-PROVEEDORES[[#This Row],[descuento antes de IVA]])*PROVEEDORES[[#This Row],[Rete Fuente %]]</f>
        <v>0</v>
      </c>
      <c r="R1649" s="32">
        <f>+PROVEEDORES[[#This Row],[SUBTOTAL]]+PROVEEDORES[[#This Row],[IVA 19%]]-PROVEEDORES[[#This Row],[descuento antes de IVA]]-PROVEEDORES[[#This Row],[Descuento sobre subtotal $]]-PROVEEDORES[[#This Row],[Rete Fuente $]]</f>
        <v>495000</v>
      </c>
      <c r="S164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0" spans="1:19" ht="21.95" hidden="1" customHeight="1" x14ac:dyDescent="0.25">
      <c r="A1650" s="39" t="str">
        <f>+IF(PROVEEDORES[[#This Row],[FECHA DE PAGO]]=PROVEEDORES[[#This Row],[FECHA DE FACTURACIÓN]],"DE CONTADO","CRÉDITO")</f>
        <v>CRÉDITO</v>
      </c>
      <c r="B1650" s="67" t="b">
        <f>+IF((PROVEEDORES[[#This Row],[FECHA DE PAGO]]-PROVEEDORES[[#This Row],[FECHA DE FACTURACIÓN]])&gt;PROVEEDORES[[#This Row],[PLAZO Días]],"PAGO VENCIDO")</f>
        <v>0</v>
      </c>
      <c r="C1650" s="27">
        <f>+VLOOKUP(PROVEEDORES[[#This Row],[PROVEEDOR]],TERCEROS_INFO[#All],2,FALSE)</f>
        <v>10</v>
      </c>
      <c r="D1650" s="37">
        <f>+SUMIFS(PROVEEDORES[Total],PROVEEDORES[PROVEEDOR],PROVEEDORES[[#This Row],[PROVEEDOR]],PROVEEDORES[FECHA DE PAGO],"")</f>
        <v>0</v>
      </c>
      <c r="E1650" s="37"/>
      <c r="F1650" s="108" t="str">
        <f>+VLOOKUP(PROVEEDORES[[#This Row],[PROVEEDOR]],TERCEROS_INFO[[PROVEEDOR]:[CORREO]],5,FALSE)</f>
        <v/>
      </c>
      <c r="G1650" s="143">
        <v>44015</v>
      </c>
      <c r="H1650" s="38" t="s">
        <v>15</v>
      </c>
      <c r="I1650" s="30">
        <v>44009</v>
      </c>
      <c r="J1650" s="58">
        <v>283</v>
      </c>
      <c r="K1650" s="32">
        <v>884873.94957983203</v>
      </c>
      <c r="L1650" s="32"/>
      <c r="M1650" s="33">
        <f>(PROVEEDORES[[#This Row],[SUBTOTAL]]-PROVEEDORES[[#This Row],[descuento antes de IVA]])*VLOOKUP(PROVEEDORES[[#This Row],[PROVEEDOR]],TERCEROS_INFO[#All],3,FALSE)</f>
        <v>168126.05042016809</v>
      </c>
      <c r="N1650" s="34"/>
      <c r="O1650" s="33">
        <f>+PROVEEDORES[[#This Row],[Descuento sobre subtotal %]]*(PROVEEDORES[[#This Row],[SUBTOTAL]]-PROVEEDORES[[#This Row],[descuento antes de IVA]])</f>
        <v>0</v>
      </c>
      <c r="P16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50" s="33">
        <f>+(PROVEEDORES[[#This Row],[SUBTOTAL]]-PROVEEDORES[[#This Row],[descuento antes de IVA]])*PROVEEDORES[[#This Row],[Rete Fuente %]]</f>
        <v>0</v>
      </c>
      <c r="R1650" s="32">
        <f>+PROVEEDORES[[#This Row],[SUBTOTAL]]+PROVEEDORES[[#This Row],[IVA 19%]]-PROVEEDORES[[#This Row],[descuento antes de IVA]]-PROVEEDORES[[#This Row],[Descuento sobre subtotal $]]-PROVEEDORES[[#This Row],[Rete Fuente $]]</f>
        <v>1053000</v>
      </c>
      <c r="S165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1" spans="1:19" ht="21.95" hidden="1" customHeight="1" x14ac:dyDescent="0.25">
      <c r="A1651" s="39" t="str">
        <f>+IF(PROVEEDORES[[#This Row],[FECHA DE PAGO]]=PROVEEDORES[[#This Row],[FECHA DE FACTURACIÓN]],"DE CONTADO","CRÉDITO")</f>
        <v>CRÉDITO</v>
      </c>
      <c r="B1651" s="67" t="b">
        <f>+IF((PROVEEDORES[[#This Row],[FECHA DE PAGO]]-PROVEEDORES[[#This Row],[FECHA DE FACTURACIÓN]])&gt;PROVEEDORES[[#This Row],[PLAZO Días]],"PAGO VENCIDO")</f>
        <v>0</v>
      </c>
      <c r="C1651" s="27">
        <f>+VLOOKUP(PROVEEDORES[[#This Row],[PROVEEDOR]],TERCEROS_INFO[#All],2,FALSE)</f>
        <v>10</v>
      </c>
      <c r="D1651" s="37">
        <f>+SUMIFS(PROVEEDORES[Total],PROVEEDORES[PROVEEDOR],PROVEEDORES[[#This Row],[PROVEEDOR]],PROVEEDORES[FECHA DE PAGO],"")</f>
        <v>0</v>
      </c>
      <c r="E1651" s="37"/>
      <c r="F1651" s="108" t="str">
        <f>+VLOOKUP(PROVEEDORES[[#This Row],[PROVEEDOR]],TERCEROS_INFO[[PROVEEDOR]:[CORREO]],5,FALSE)</f>
        <v/>
      </c>
      <c r="G1651" s="143">
        <v>44015</v>
      </c>
      <c r="H1651" s="38" t="s">
        <v>15</v>
      </c>
      <c r="I1651" s="30">
        <v>44009</v>
      </c>
      <c r="J1651" s="58">
        <v>284</v>
      </c>
      <c r="K1651" s="32">
        <v>174789.91596638656</v>
      </c>
      <c r="L1651" s="32"/>
      <c r="M1651" s="33">
        <f>(PROVEEDORES[[#This Row],[SUBTOTAL]]-PROVEEDORES[[#This Row],[descuento antes de IVA]])*VLOOKUP(PROVEEDORES[[#This Row],[PROVEEDOR]],TERCEROS_INFO[#All],3,FALSE)</f>
        <v>33210.08403361345</v>
      </c>
      <c r="N1651" s="34"/>
      <c r="O1651" s="33">
        <f>+PROVEEDORES[[#This Row],[Descuento sobre subtotal %]]*(PROVEEDORES[[#This Row],[SUBTOTAL]]-PROVEEDORES[[#This Row],[descuento antes de IVA]])</f>
        <v>0</v>
      </c>
      <c r="P16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51" s="33">
        <f>+(PROVEEDORES[[#This Row],[SUBTOTAL]]-PROVEEDORES[[#This Row],[descuento antes de IVA]])*PROVEEDORES[[#This Row],[Rete Fuente %]]</f>
        <v>0</v>
      </c>
      <c r="R1651" s="32">
        <f>+PROVEEDORES[[#This Row],[SUBTOTAL]]+PROVEEDORES[[#This Row],[IVA 19%]]-PROVEEDORES[[#This Row],[descuento antes de IVA]]-PROVEEDORES[[#This Row],[Descuento sobre subtotal $]]-PROVEEDORES[[#This Row],[Rete Fuente $]]</f>
        <v>208000</v>
      </c>
      <c r="S16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2" spans="1:19" ht="21.95" hidden="1" customHeight="1" x14ac:dyDescent="0.25">
      <c r="A1652" s="39" t="str">
        <f>+IF(PROVEEDORES[[#This Row],[FECHA DE PAGO]]=PROVEEDORES[[#This Row],[FECHA DE FACTURACIÓN]],"DE CONTADO","CRÉDITO")</f>
        <v>CRÉDITO</v>
      </c>
      <c r="B1652" s="67" t="b">
        <f>+IF((PROVEEDORES[[#This Row],[FECHA DE PAGO]]-PROVEEDORES[[#This Row],[FECHA DE FACTURACIÓN]])&gt;PROVEEDORES[[#This Row],[PLAZO Días]],"PAGO VENCIDO")</f>
        <v>0</v>
      </c>
      <c r="C1652" s="27">
        <f>+VLOOKUP(PROVEEDORES[[#This Row],[PROVEEDOR]],TERCEROS_INFO[#All],2,FALSE)</f>
        <v>10</v>
      </c>
      <c r="D1652" s="37">
        <f>+SUMIFS(PROVEEDORES[Total],PROVEEDORES[PROVEEDOR],PROVEEDORES[[#This Row],[PROVEEDOR]],PROVEEDORES[FECHA DE PAGO],"")</f>
        <v>0</v>
      </c>
      <c r="E1652" s="37"/>
      <c r="F1652" s="108" t="str">
        <f>+VLOOKUP(PROVEEDORES[[#This Row],[PROVEEDOR]],TERCEROS_INFO[[PROVEEDOR]:[CORREO]],5,FALSE)</f>
        <v/>
      </c>
      <c r="G1652" s="143">
        <v>44015</v>
      </c>
      <c r="H1652" s="38" t="s">
        <v>15</v>
      </c>
      <c r="I1652" s="30">
        <v>44009</v>
      </c>
      <c r="J1652" s="58" t="s">
        <v>1073</v>
      </c>
      <c r="K1652" s="32">
        <v>756302.52100840339</v>
      </c>
      <c r="L1652" s="32"/>
      <c r="M1652" s="33">
        <f>(PROVEEDORES[[#This Row],[SUBTOTAL]]-PROVEEDORES[[#This Row],[descuento antes de IVA]])*VLOOKUP(PROVEEDORES[[#This Row],[PROVEEDOR]],TERCEROS_INFO[#All],3,FALSE)</f>
        <v>143697.47899159664</v>
      </c>
      <c r="N1652" s="34"/>
      <c r="O1652" s="33">
        <f>+PROVEEDORES[[#This Row],[Descuento sobre subtotal %]]*(PROVEEDORES[[#This Row],[SUBTOTAL]]-PROVEEDORES[[#This Row],[descuento antes de IVA]])</f>
        <v>0</v>
      </c>
      <c r="P16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52" s="33">
        <f>+(PROVEEDORES[[#This Row],[SUBTOTAL]]-PROVEEDORES[[#This Row],[descuento antes de IVA]])*PROVEEDORES[[#This Row],[Rete Fuente %]]</f>
        <v>0</v>
      </c>
      <c r="R1652" s="32">
        <f>+PROVEEDORES[[#This Row],[SUBTOTAL]]+PROVEEDORES[[#This Row],[IVA 19%]]-PROVEEDORES[[#This Row],[descuento antes de IVA]]-PROVEEDORES[[#This Row],[Descuento sobre subtotal $]]-PROVEEDORES[[#This Row],[Rete Fuente $]]</f>
        <v>900000</v>
      </c>
      <c r="S165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3" spans="1:19" ht="21.95" hidden="1" customHeight="1" x14ac:dyDescent="0.25">
      <c r="A1653" s="39" t="str">
        <f>+IF(PROVEEDORES[[#This Row],[FECHA DE PAGO]]=PROVEEDORES[[#This Row],[FECHA DE FACTURACIÓN]],"DE CONTADO","CRÉDITO")</f>
        <v>CRÉDITO</v>
      </c>
      <c r="B1653" s="67" t="b">
        <f>+IF((PROVEEDORES[[#This Row],[FECHA DE PAGO]]-PROVEEDORES[[#This Row],[FECHA DE FACTURACIÓN]])&gt;PROVEEDORES[[#This Row],[PLAZO Días]],"PAGO VENCIDO")</f>
        <v>0</v>
      </c>
      <c r="C1653" s="27">
        <f>+VLOOKUP(PROVEEDORES[[#This Row],[PROVEEDOR]],TERCEROS_INFO[#All],2,FALSE)</f>
        <v>30</v>
      </c>
      <c r="D1653" s="37">
        <f>+SUMIFS(PROVEEDORES[Total],PROVEEDORES[PROVEEDOR],PROVEEDORES[[#This Row],[PROVEEDOR]],PROVEEDORES[FECHA DE PAGO],"")</f>
        <v>29808954.024999999</v>
      </c>
      <c r="E1653" s="37"/>
      <c r="F1653" s="108" t="str">
        <f>+VLOOKUP(PROVEEDORES[[#This Row],[PROVEEDOR]],TERCEROS_INFO[[PROVEEDOR]:[CORREO]],5,FALSE)</f>
        <v>cartera1@grupostatur.com;girlesa.ruiz@servipilas.com;joriescobar64@gmail.com</v>
      </c>
      <c r="G1653" s="143">
        <v>44057</v>
      </c>
      <c r="H1653" s="38" t="s">
        <v>9</v>
      </c>
      <c r="I1653" s="30">
        <v>44041</v>
      </c>
      <c r="J1653" s="58">
        <v>66620</v>
      </c>
      <c r="K1653" s="32">
        <v>167029.4117647059</v>
      </c>
      <c r="L1653" s="32"/>
      <c r="M1653" s="33">
        <f>(PROVEEDORES[[#This Row],[SUBTOTAL]]-PROVEEDORES[[#This Row],[descuento antes de IVA]])*VLOOKUP(PROVEEDORES[[#This Row],[PROVEEDOR]],TERCEROS_INFO[#All],3,FALSE)</f>
        <v>31735.588235294123</v>
      </c>
      <c r="N1653" s="34"/>
      <c r="O1653" s="33">
        <f>+PROVEEDORES[[#This Row],[Descuento sobre subtotal %]]*(PROVEEDORES[[#This Row],[SUBTOTAL]]-PROVEEDORES[[#This Row],[descuento antes de IVA]])</f>
        <v>0</v>
      </c>
      <c r="P16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53" s="33">
        <f>+(PROVEEDORES[[#This Row],[SUBTOTAL]]-PROVEEDORES[[#This Row],[descuento antes de IVA]])*PROVEEDORES[[#This Row],[Rete Fuente %]]</f>
        <v>0</v>
      </c>
      <c r="R1653" s="32">
        <f>+PROVEEDORES[[#This Row],[SUBTOTAL]]+PROVEEDORES[[#This Row],[IVA 19%]]-PROVEEDORES[[#This Row],[descuento antes de IVA]]-PROVEEDORES[[#This Row],[Descuento sobre subtotal $]]-PROVEEDORES[[#This Row],[Rete Fuente $]]</f>
        <v>198765.00000000003</v>
      </c>
      <c r="S165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4" spans="1:19" ht="21.95" hidden="1" customHeight="1" x14ac:dyDescent="0.25">
      <c r="A1654" s="39" t="str">
        <f>+IF(PROVEEDORES[[#This Row],[FECHA DE PAGO]]=PROVEEDORES[[#This Row],[FECHA DE FACTURACIÓN]],"DE CONTADO","CRÉDITO")</f>
        <v>CRÉDITO</v>
      </c>
      <c r="B1654" s="67" t="str">
        <f>+IF((PROVEEDORES[[#This Row],[FECHA DE PAGO]]-PROVEEDORES[[#This Row],[FECHA DE FACTURACIÓN]])&gt;PROVEEDORES[[#This Row],[PLAZO Días]],"PAGO VENCIDO")</f>
        <v>PAGO VENCIDO</v>
      </c>
      <c r="C1654" s="27">
        <f>+VLOOKUP(PROVEEDORES[[#This Row],[PROVEEDOR]],TERCEROS_INFO[#All],2,FALSE)</f>
        <v>30</v>
      </c>
      <c r="D1654" s="37">
        <f>+SUMIFS(PROVEEDORES[Total],PROVEEDORES[PROVEEDOR],PROVEEDORES[[#This Row],[PROVEEDOR]],PROVEEDORES[FECHA DE PAGO],"")</f>
        <v>29808954.024999999</v>
      </c>
      <c r="E1654" s="37"/>
      <c r="F1654" s="108" t="str">
        <f>+VLOOKUP(PROVEEDORES[[#This Row],[PROVEEDOR]],TERCEROS_INFO[[PROVEEDOR]:[CORREO]],5,FALSE)</f>
        <v>cartera1@grupostatur.com;girlesa.ruiz@servipilas.com;joriescobar64@gmail.com</v>
      </c>
      <c r="G1654" s="143">
        <v>44168</v>
      </c>
      <c r="H1654" s="38" t="s">
        <v>9</v>
      </c>
      <c r="I1654" s="30">
        <v>44082</v>
      </c>
      <c r="J1654" s="58">
        <v>66986</v>
      </c>
      <c r="K1654" s="32">
        <v>4414431.0924369749</v>
      </c>
      <c r="L1654" s="32"/>
      <c r="M1654" s="33">
        <f>(PROVEEDORES[[#This Row],[SUBTOTAL]]-PROVEEDORES[[#This Row],[descuento antes de IVA]])*VLOOKUP(PROVEEDORES[[#This Row],[PROVEEDOR]],TERCEROS_INFO[#All],3,FALSE)</f>
        <v>838741.90756302525</v>
      </c>
      <c r="N1654" s="34"/>
      <c r="O1654" s="33">
        <f>+PROVEEDORES[[#This Row],[Descuento sobre subtotal %]]*(PROVEEDORES[[#This Row],[SUBTOTAL]]-PROVEEDORES[[#This Row],[descuento antes de IVA]])</f>
        <v>0</v>
      </c>
      <c r="P16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54" s="33">
        <f>+(PROVEEDORES[[#This Row],[SUBTOTAL]]-PROVEEDORES[[#This Row],[descuento antes de IVA]])*PROVEEDORES[[#This Row],[Rete Fuente %]]</f>
        <v>110360.77731092437</v>
      </c>
      <c r="R1654" s="32">
        <f>+PROVEEDORES[[#This Row],[SUBTOTAL]]+PROVEEDORES[[#This Row],[IVA 19%]]-PROVEEDORES[[#This Row],[descuento antes de IVA]]-PROVEEDORES[[#This Row],[Descuento sobre subtotal $]]-PROVEEDORES[[#This Row],[Rete Fuente $]]</f>
        <v>5142812.2226890754</v>
      </c>
      <c r="S165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5" spans="1:19" ht="21.95" hidden="1" customHeight="1" x14ac:dyDescent="0.25">
      <c r="A1655" s="39" t="str">
        <f>+IF(PROVEEDORES[[#This Row],[FECHA DE PAGO]]=PROVEEDORES[[#This Row],[FECHA DE FACTURACIÓN]],"DE CONTADO","CRÉDITO")</f>
        <v>CRÉDITO</v>
      </c>
      <c r="B1655" s="67" t="str">
        <f>+IF((PROVEEDORES[[#This Row],[FECHA DE PAGO]]-PROVEEDORES[[#This Row],[FECHA DE FACTURACIÓN]])&gt;PROVEEDORES[[#This Row],[PLAZO Días]],"PAGO VENCIDO")</f>
        <v>PAGO VENCIDO</v>
      </c>
      <c r="C1655" s="27">
        <f>+VLOOKUP(PROVEEDORES[[#This Row],[PROVEEDOR]],TERCEROS_INFO[#All],2,FALSE)</f>
        <v>30</v>
      </c>
      <c r="D1655" s="37">
        <f>+SUMIFS(PROVEEDORES[Total],PROVEEDORES[PROVEEDOR],PROVEEDORES[[#This Row],[PROVEEDOR]],PROVEEDORES[FECHA DE PAGO],"")</f>
        <v>29808954.024999999</v>
      </c>
      <c r="E1655" s="37"/>
      <c r="F1655" s="108" t="str">
        <f>+VLOOKUP(PROVEEDORES[[#This Row],[PROVEEDOR]],TERCEROS_INFO[[PROVEEDOR]:[CORREO]],5,FALSE)</f>
        <v>cartera1@grupostatur.com;girlesa.ruiz@servipilas.com;joriescobar64@gmail.com</v>
      </c>
      <c r="G1655" s="143">
        <v>44118</v>
      </c>
      <c r="H1655" s="38" t="s">
        <v>9</v>
      </c>
      <c r="I1655" s="30">
        <v>44082</v>
      </c>
      <c r="J1655" s="58">
        <v>66988</v>
      </c>
      <c r="K1655" s="32">
        <v>1907201.6806722691</v>
      </c>
      <c r="L1655" s="32"/>
      <c r="M1655" s="33">
        <f>(PROVEEDORES[[#This Row],[SUBTOTAL]]-PROVEEDORES[[#This Row],[descuento antes de IVA]])*VLOOKUP(PROVEEDORES[[#This Row],[PROVEEDOR]],TERCEROS_INFO[#All],3,FALSE)</f>
        <v>362368.31932773115</v>
      </c>
      <c r="N1655" s="34"/>
      <c r="O1655" s="33">
        <f>+PROVEEDORES[[#This Row],[Descuento sobre subtotal %]]*(PROVEEDORES[[#This Row],[SUBTOTAL]]-PROVEEDORES[[#This Row],[descuento antes de IVA]])</f>
        <v>0</v>
      </c>
      <c r="P16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55" s="33">
        <f>+(PROVEEDORES[[#This Row],[SUBTOTAL]]-PROVEEDORES[[#This Row],[descuento antes de IVA]])*PROVEEDORES[[#This Row],[Rete Fuente %]]</f>
        <v>47680.042016806728</v>
      </c>
      <c r="R1655" s="32">
        <f>+PROVEEDORES[[#This Row],[SUBTOTAL]]+PROVEEDORES[[#This Row],[IVA 19%]]-PROVEEDORES[[#This Row],[descuento antes de IVA]]-PROVEEDORES[[#This Row],[Descuento sobre subtotal $]]-PROVEEDORES[[#This Row],[Rete Fuente $]]</f>
        <v>2221889.9579831935</v>
      </c>
      <c r="S165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6" spans="1:19" ht="21.95" hidden="1" customHeight="1" x14ac:dyDescent="0.25">
      <c r="A1656" s="39" t="str">
        <f>+IF(PROVEEDORES[[#This Row],[FECHA DE PAGO]]=PROVEEDORES[[#This Row],[FECHA DE FACTURACIÓN]],"DE CONTADO","CRÉDITO")</f>
        <v>CRÉDITO</v>
      </c>
      <c r="B1656" s="67" t="b">
        <f>+IF((PROVEEDORES[[#This Row],[FECHA DE PAGO]]-PROVEEDORES[[#This Row],[FECHA DE FACTURACIÓN]])&gt;PROVEEDORES[[#This Row],[PLAZO Días]],"PAGO VENCIDO")</f>
        <v>0</v>
      </c>
      <c r="C1656" s="27">
        <f>+VLOOKUP(PROVEEDORES[[#This Row],[PROVEEDOR]],TERCEROS_INFO[#All],2,FALSE)</f>
        <v>30</v>
      </c>
      <c r="D1656" s="37">
        <f>+SUMIFS(PROVEEDORES[Total],PROVEEDORES[PROVEEDOR],PROVEEDORES[[#This Row],[PROVEEDOR]],PROVEEDORES[FECHA DE PAGO],"")</f>
        <v>29808954.024999999</v>
      </c>
      <c r="E1656" s="37"/>
      <c r="F1656" s="108" t="str">
        <f>+VLOOKUP(PROVEEDORES[[#This Row],[PROVEEDOR]],TERCEROS_INFO[[PROVEEDOR]:[CORREO]],5,FALSE)</f>
        <v>cartera1@grupostatur.com;girlesa.ruiz@servipilas.com;joriescobar64@gmail.com</v>
      </c>
      <c r="G1656" s="143">
        <v>44180</v>
      </c>
      <c r="H1656" s="38" t="s">
        <v>9</v>
      </c>
      <c r="I1656" s="30">
        <v>44154</v>
      </c>
      <c r="J1656" s="58">
        <v>67906</v>
      </c>
      <c r="K1656" s="32">
        <v>249957.98319327732</v>
      </c>
      <c r="L1656" s="32"/>
      <c r="M1656" s="33">
        <f>(PROVEEDORES[[#This Row],[SUBTOTAL]]-PROVEEDORES[[#This Row],[descuento antes de IVA]])*VLOOKUP(PROVEEDORES[[#This Row],[PROVEEDOR]],TERCEROS_INFO[#All],3,FALSE)</f>
        <v>47492.016806722691</v>
      </c>
      <c r="N1656" s="34"/>
      <c r="O1656" s="33">
        <f>+PROVEEDORES[[#This Row],[Descuento sobre subtotal %]]*(PROVEEDORES[[#This Row],[SUBTOTAL]]-PROVEEDORES[[#This Row],[descuento antes de IVA]])</f>
        <v>0</v>
      </c>
      <c r="P16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56" s="33">
        <f>+(PROVEEDORES[[#This Row],[SUBTOTAL]]-PROVEEDORES[[#This Row],[descuento antes de IVA]])*PROVEEDORES[[#This Row],[Rete Fuente %]]</f>
        <v>0</v>
      </c>
      <c r="R1656" s="32">
        <f>+PROVEEDORES[[#This Row],[SUBTOTAL]]+PROVEEDORES[[#This Row],[IVA 19%]]-PROVEEDORES[[#This Row],[descuento antes de IVA]]-PROVEEDORES[[#This Row],[Descuento sobre subtotal $]]-PROVEEDORES[[#This Row],[Rete Fuente $]]</f>
        <v>297450</v>
      </c>
      <c r="S165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7" spans="1:19" ht="21.95" hidden="1" customHeight="1" x14ac:dyDescent="0.25">
      <c r="A1657" s="39" t="str">
        <f>+IF(PROVEEDORES[[#This Row],[FECHA DE PAGO]]=PROVEEDORES[[#This Row],[FECHA DE FACTURACIÓN]],"DE CONTADO","CRÉDITO")</f>
        <v>CRÉDITO</v>
      </c>
      <c r="B1657" s="67" t="str">
        <f>+IF((PROVEEDORES[[#This Row],[FECHA DE PAGO]]-PROVEEDORES[[#This Row],[FECHA DE FACTURACIÓN]])&gt;PROVEEDORES[[#This Row],[PLAZO Días]],"PAGO VENCIDO")</f>
        <v>PAGO VENCIDO</v>
      </c>
      <c r="C1657" s="27">
        <f>+VLOOKUP(PROVEEDORES[[#This Row],[PROVEEDOR]],TERCEROS_INFO[#All],2,FALSE)</f>
        <v>30</v>
      </c>
      <c r="D1657" s="37">
        <f>+SUMIFS(PROVEEDORES[Total],PROVEEDORES[PROVEEDOR],PROVEEDORES[[#This Row],[PROVEEDOR]],PROVEEDORES[FECHA DE PAGO],"")</f>
        <v>29808954.024999999</v>
      </c>
      <c r="E1657" s="37"/>
      <c r="F1657" s="108" t="str">
        <f>+VLOOKUP(PROVEEDORES[[#This Row],[PROVEEDOR]],TERCEROS_INFO[[PROVEEDOR]:[CORREO]],5,FALSE)</f>
        <v>cartera1@grupostatur.com;girlesa.ruiz@servipilas.com;joriescobar64@gmail.com</v>
      </c>
      <c r="G1657" s="143">
        <v>44243</v>
      </c>
      <c r="H1657" s="38" t="s">
        <v>9</v>
      </c>
      <c r="I1657" s="30">
        <v>44187</v>
      </c>
      <c r="J1657" s="58">
        <v>68545</v>
      </c>
      <c r="K1657" s="32">
        <v>5954922</v>
      </c>
      <c r="L1657" s="32"/>
      <c r="M1657" s="33">
        <f>(PROVEEDORES[[#This Row],[SUBTOTAL]]-PROVEEDORES[[#This Row],[descuento antes de IVA]])*VLOOKUP(PROVEEDORES[[#This Row],[PROVEEDOR]],TERCEROS_INFO[#All],3,FALSE)</f>
        <v>1131435.18</v>
      </c>
      <c r="N1657" s="34">
        <v>0.04</v>
      </c>
      <c r="O1657" s="33">
        <f>+PROVEEDORES[[#This Row],[Descuento sobre subtotal %]]*(PROVEEDORES[[#This Row],[SUBTOTAL]]-PROVEEDORES[[#This Row],[descuento antes de IVA]])</f>
        <v>238196.88</v>
      </c>
      <c r="P16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57" s="33">
        <f>+(PROVEEDORES[[#This Row],[SUBTOTAL]]-PROVEEDORES[[#This Row],[descuento antes de IVA]])*PROVEEDORES[[#This Row],[Rete Fuente %]]</f>
        <v>148873.05000000002</v>
      </c>
      <c r="R1657" s="32">
        <f>+PROVEEDORES[[#This Row],[SUBTOTAL]]+PROVEEDORES[[#This Row],[IVA 19%]]-PROVEEDORES[[#This Row],[descuento antes de IVA]]-PROVEEDORES[[#This Row],[Descuento sobre subtotal $]]-PROVEEDORES[[#This Row],[Rete Fuente $]]</f>
        <v>6699287.25</v>
      </c>
      <c r="S165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8" spans="1:19" ht="21.95" hidden="1" customHeight="1" x14ac:dyDescent="0.25">
      <c r="A1658" s="103" t="str">
        <f>+IF(PROVEEDORES[[#This Row],[FECHA DE PAGO]]=PROVEEDORES[[#This Row],[FECHA DE FACTURACIÓN]],"DE CONTADO","CRÉDITO")</f>
        <v>CRÉDITO</v>
      </c>
      <c r="B1658" s="70" t="str">
        <f>+IF((PROVEEDORES[[#This Row],[FECHA DE PAGO]]-PROVEEDORES[[#This Row],[FECHA DE FACTURACIÓN]])&gt;PROVEEDORES[[#This Row],[PLAZO Días]],"PAGO VENCIDO")</f>
        <v>PAGO VENCIDO</v>
      </c>
      <c r="C1658" s="27">
        <f>+VLOOKUP(PROVEEDORES[[#This Row],[PROVEEDOR]],TERCEROS_INFO[#All],2,FALSE)</f>
        <v>30</v>
      </c>
      <c r="D1658" s="37">
        <f>+SUMIFS(PROVEEDORES[Total],PROVEEDORES[PROVEEDOR],PROVEEDORES[[#This Row],[PROVEEDOR]],PROVEEDORES[FECHA DE PAGO],"")</f>
        <v>29808954.024999999</v>
      </c>
      <c r="E1658" s="37"/>
      <c r="F1658" s="108" t="str">
        <f>+VLOOKUP(PROVEEDORES[[#This Row],[PROVEEDOR]],TERCEROS_INFO[[PROVEEDOR]:[CORREO]],5,FALSE)</f>
        <v>cartera1@grupostatur.com;girlesa.ruiz@servipilas.com;joriescobar64@gmail.com</v>
      </c>
      <c r="G1658" s="143">
        <v>44376</v>
      </c>
      <c r="H1658" s="38" t="s">
        <v>9</v>
      </c>
      <c r="I1658" s="30">
        <v>44338</v>
      </c>
      <c r="J1658" s="58">
        <v>70032</v>
      </c>
      <c r="K1658" s="32">
        <v>2022230</v>
      </c>
      <c r="L1658" s="32"/>
      <c r="M1658" s="33">
        <f>(PROVEEDORES[[#This Row],[SUBTOTAL]]-PROVEEDORES[[#This Row],[descuento antes de IVA]])*VLOOKUP(PROVEEDORES[[#This Row],[PROVEEDOR]],TERCEROS_INFO[#All],3,FALSE)</f>
        <v>384223.7</v>
      </c>
      <c r="N1658" s="34"/>
      <c r="O1658" s="33">
        <f>+PROVEEDORES[[#This Row],[Descuento sobre subtotal %]]*(PROVEEDORES[[#This Row],[SUBTOTAL]]-PROVEEDORES[[#This Row],[descuento antes de IVA]])</f>
        <v>0</v>
      </c>
      <c r="P16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58" s="33">
        <f>+(PROVEEDORES[[#This Row],[SUBTOTAL]]-PROVEEDORES[[#This Row],[descuento antes de IVA]])*PROVEEDORES[[#This Row],[Rete Fuente %]]</f>
        <v>50555.75</v>
      </c>
      <c r="R1658" s="32">
        <f>+PROVEEDORES[[#This Row],[SUBTOTAL]]+PROVEEDORES[[#This Row],[IVA 19%]]-PROVEEDORES[[#This Row],[descuento antes de IVA]]-PROVEEDORES[[#This Row],[Descuento sobre subtotal $]]-PROVEEDORES[[#This Row],[Rete Fuente $]]</f>
        <v>2355897.9500000002</v>
      </c>
      <c r="S1658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59" spans="1:19" ht="21.95" hidden="1" customHeight="1" x14ac:dyDescent="0.25">
      <c r="A1659" s="144" t="str">
        <f>+IF(PROVEEDORES[[#This Row],[FECHA DE PAGO]]=PROVEEDORES[[#This Row],[FECHA DE FACTURACIÓN]],"DE CONTADO","CRÉDITO")</f>
        <v>CRÉDITO</v>
      </c>
      <c r="B1659" s="70" t="str">
        <f>+IF((PROVEEDORES[[#This Row],[FECHA DE PAGO]]-PROVEEDORES[[#This Row],[FECHA DE FACTURACIÓN]])&gt;PROVEEDORES[[#This Row],[PLAZO Días]],"PAGO VENCIDO")</f>
        <v>PAGO VENCIDO</v>
      </c>
      <c r="C1659" s="27">
        <f>+VLOOKUP(PROVEEDORES[[#This Row],[PROVEEDOR]],TERCEROS_INFO[#All],2,FALSE)</f>
        <v>30</v>
      </c>
      <c r="D1659" s="37">
        <f>+SUMIFS(PROVEEDORES[Total],PROVEEDORES[PROVEEDOR],PROVEEDORES[[#This Row],[PROVEEDOR]],PROVEEDORES[FECHA DE PAGO],"")</f>
        <v>29808954.024999999</v>
      </c>
      <c r="E1659" s="37"/>
      <c r="F1659" s="108" t="str">
        <f>+VLOOKUP(PROVEEDORES[[#This Row],[PROVEEDOR]],TERCEROS_INFO[[PROVEEDOR]:[CORREO]],5,FALSE)</f>
        <v>cartera1@grupostatur.com;girlesa.ruiz@servipilas.com;joriescobar64@gmail.com</v>
      </c>
      <c r="G1659" s="143">
        <v>44533</v>
      </c>
      <c r="H1659" s="38" t="s">
        <v>9</v>
      </c>
      <c r="I1659" s="30">
        <v>44435</v>
      </c>
      <c r="J1659" s="168">
        <v>71593</v>
      </c>
      <c r="K1659" s="32">
        <v>14809823</v>
      </c>
      <c r="L1659" s="32"/>
      <c r="M1659" s="33">
        <f>(PROVEEDORES[[#This Row],[SUBTOTAL]]-PROVEEDORES[[#This Row],[descuento antes de IVA]])*VLOOKUP(PROVEEDORES[[#This Row],[PROVEEDOR]],TERCEROS_INFO[#All],3,FALSE)</f>
        <v>2813866.37</v>
      </c>
      <c r="N1659" s="34"/>
      <c r="O1659" s="33">
        <f>+PROVEEDORES[[#This Row],[Descuento sobre subtotal %]]*(PROVEEDORES[[#This Row],[SUBTOTAL]]-PROVEEDORES[[#This Row],[descuento antes de IVA]])</f>
        <v>0</v>
      </c>
      <c r="P16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59" s="33">
        <f>+(PROVEEDORES[[#This Row],[SUBTOTAL]]-PROVEEDORES[[#This Row],[descuento antes de IVA]])*PROVEEDORES[[#This Row],[Rete Fuente %]]</f>
        <v>370245.57500000001</v>
      </c>
      <c r="R1659" s="32">
        <f>+PROVEEDORES[[#This Row],[SUBTOTAL]]+PROVEEDORES[[#This Row],[IVA 19%]]-PROVEEDORES[[#This Row],[descuento antes de IVA]]-PROVEEDORES[[#This Row],[Descuento sobre subtotal $]]-PROVEEDORES[[#This Row],[Rete Fuente $]]</f>
        <v>17253443.795000002</v>
      </c>
      <c r="S1659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60" spans="1:19" ht="21.95" hidden="1" customHeight="1" x14ac:dyDescent="0.25">
      <c r="A1660" s="144" t="str">
        <f>+IF(PROVEEDORES[[#This Row],[FECHA DE PAGO]]=PROVEEDORES[[#This Row],[FECHA DE FACTURACIÓN]],"DE CONTADO","CRÉDITO")</f>
        <v>CRÉDITO</v>
      </c>
      <c r="B1660" s="70" t="str">
        <f>+IF((PROVEEDORES[[#This Row],[FECHA DE PAGO]]-PROVEEDORES[[#This Row],[FECHA DE FACTURACIÓN]])&gt;PROVEEDORES[[#This Row],[PLAZO Días]],"PAGO VENCIDO")</f>
        <v>PAGO VENCIDO</v>
      </c>
      <c r="C1660" s="27">
        <f>+VLOOKUP(PROVEEDORES[[#This Row],[PROVEEDOR]],TERCEROS_INFO[#All],2,FALSE)</f>
        <v>30</v>
      </c>
      <c r="D1660" s="37">
        <f>+SUMIFS(PROVEEDORES[Total],PROVEEDORES[PROVEEDOR],PROVEEDORES[[#This Row],[PROVEEDOR]],PROVEEDORES[FECHA DE PAGO],"")</f>
        <v>29808954.024999999</v>
      </c>
      <c r="E1660" s="37"/>
      <c r="F1660" s="108" t="str">
        <f>+VLOOKUP(PROVEEDORES[[#This Row],[PROVEEDOR]],TERCEROS_INFO[[PROVEEDOR]:[CORREO]],5,FALSE)</f>
        <v>cartera1@grupostatur.com;girlesa.ruiz@servipilas.com;joriescobar64@gmail.com</v>
      </c>
      <c r="G1660" s="143">
        <v>44537</v>
      </c>
      <c r="H1660" s="38" t="s">
        <v>9</v>
      </c>
      <c r="I1660" s="30">
        <v>44435</v>
      </c>
      <c r="J1660" s="168">
        <v>71594</v>
      </c>
      <c r="K1660" s="32">
        <v>289527</v>
      </c>
      <c r="L1660" s="32"/>
      <c r="M1660" s="33">
        <f>(PROVEEDORES[[#This Row],[SUBTOTAL]]-PROVEEDORES[[#This Row],[descuento antes de IVA]])*VLOOKUP(PROVEEDORES[[#This Row],[PROVEEDOR]],TERCEROS_INFO[#All],3,FALSE)</f>
        <v>55010.13</v>
      </c>
      <c r="N1660" s="34"/>
      <c r="O1660" s="33">
        <f>+PROVEEDORES[[#This Row],[Descuento sobre subtotal %]]*(PROVEEDORES[[#This Row],[SUBTOTAL]]-PROVEEDORES[[#This Row],[descuento antes de IVA]])</f>
        <v>0</v>
      </c>
      <c r="P16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60" s="33">
        <f>+(PROVEEDORES[[#This Row],[SUBTOTAL]]-PROVEEDORES[[#This Row],[descuento antes de IVA]])*PROVEEDORES[[#This Row],[Rete Fuente %]]</f>
        <v>0</v>
      </c>
      <c r="R1660" s="32">
        <f>+PROVEEDORES[[#This Row],[SUBTOTAL]]+PROVEEDORES[[#This Row],[IVA 19%]]-PROVEEDORES[[#This Row],[descuento antes de IVA]]-PROVEEDORES[[#This Row],[Descuento sobre subtotal $]]-PROVEEDORES[[#This Row],[Rete Fuente $]]</f>
        <v>344537.13</v>
      </c>
      <c r="S1660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61" spans="1:19" ht="21.95" hidden="1" customHeight="1" x14ac:dyDescent="0.25">
      <c r="A1661" s="164" t="str">
        <f>+IF(PROVEEDORES[[#This Row],[FECHA DE PAGO]]=PROVEEDORES[[#This Row],[FECHA DE FACTURACIÓN]],"DE CONTADO","CRÉDITO")</f>
        <v>CRÉDITO</v>
      </c>
      <c r="B1661" s="70" t="str">
        <f>+IF((PROVEEDORES[[#This Row],[FECHA DE PAGO]]-PROVEEDORES[[#This Row],[FECHA DE FACTURACIÓN]])&gt;PROVEEDORES[[#This Row],[PLAZO Días]],"PAGO VENCIDO")</f>
        <v>PAGO VENCIDO</v>
      </c>
      <c r="C1661" s="27">
        <v>1</v>
      </c>
      <c r="D1661" s="37">
        <f>+SUMIFS(PROVEEDORES[Total],PROVEEDORES[PROVEEDOR],PROVEEDORES[[#This Row],[PROVEEDOR]],PROVEEDORES[FECHA DE PAGO],"")</f>
        <v>29808954.024999999</v>
      </c>
      <c r="E1661" s="37"/>
      <c r="F1661" s="108" t="str">
        <f>+VLOOKUP(PROVEEDORES[[#This Row],[PROVEEDOR]],TERCEROS_INFO[[PROVEEDOR]:[CORREO]],5,FALSE)</f>
        <v>cartera1@grupostatur.com;girlesa.ruiz@servipilas.com;joriescobar64@gmail.com</v>
      </c>
      <c r="G1661" s="143">
        <v>44533</v>
      </c>
      <c r="H1661" s="38" t="s">
        <v>9</v>
      </c>
      <c r="I1661" s="30">
        <v>44498</v>
      </c>
      <c r="J1661" s="58" t="s">
        <v>1293</v>
      </c>
      <c r="K1661" s="32">
        <v>-5000000</v>
      </c>
      <c r="L1661" s="32"/>
      <c r="M1661" s="33">
        <v>0</v>
      </c>
      <c r="N1661" s="34"/>
      <c r="O1661" s="33">
        <f>+PROVEEDORES[[#This Row],[Descuento sobre subtotal %]]*(PROVEEDORES[[#This Row],[SUBTOTAL]]-PROVEEDORES[[#This Row],[descuento antes de IVA]])</f>
        <v>0</v>
      </c>
      <c r="P16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61" s="33">
        <f>+(PROVEEDORES[[#This Row],[SUBTOTAL]]-PROVEEDORES[[#This Row],[descuento antes de IVA]])*PROVEEDORES[[#This Row],[Rete Fuente %]]</f>
        <v>0</v>
      </c>
      <c r="R1661" s="32">
        <v>0</v>
      </c>
      <c r="S1661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62" spans="1:19" ht="21.95" hidden="1" customHeight="1" x14ac:dyDescent="0.25">
      <c r="A1662" s="165" t="str">
        <f>+IF(PROVEEDORES[[#This Row],[FECHA DE PAGO]]=PROVEEDORES[[#This Row],[FECHA DE FACTURACIÓN]],"DE CONTADO","CRÉDITO")</f>
        <v>CRÉDITO</v>
      </c>
      <c r="B1662" s="70" t="str">
        <f>+IF((PROVEEDORES[[#This Row],[FECHA DE PAGO]]-PROVEEDORES[[#This Row],[FECHA DE FACTURACIÓN]])&gt;PROVEEDORES[[#This Row],[PLAZO Días]],"PAGO VENCIDO")</f>
        <v>PAGO VENCIDO</v>
      </c>
      <c r="C1662" s="27">
        <v>-1</v>
      </c>
      <c r="D1662" s="37">
        <f>+SUMIFS(PROVEEDORES[Total],PROVEEDORES[PROVEEDOR],PROVEEDORES[[#This Row],[PROVEEDOR]],PROVEEDORES[FECHA DE PAGO],"")</f>
        <v>29808954.024999999</v>
      </c>
      <c r="E1662" s="37"/>
      <c r="F1662" s="108" t="str">
        <f>+VLOOKUP(PROVEEDORES[[#This Row],[PROVEEDOR]],TERCEROS_INFO[[PROVEEDOR]:[CORREO]],5,FALSE)</f>
        <v>cartera1@grupostatur.com;girlesa.ruiz@servipilas.com;joriescobar64@gmail.com</v>
      </c>
      <c r="G1662" s="143">
        <v>44533</v>
      </c>
      <c r="H1662" s="38" t="s">
        <v>9</v>
      </c>
      <c r="I1662" s="30">
        <v>44523</v>
      </c>
      <c r="J1662" s="58" t="s">
        <v>1293</v>
      </c>
      <c r="K1662" s="32">
        <v>-6000000</v>
      </c>
      <c r="L1662" s="32"/>
      <c r="M1662" s="33">
        <v>0</v>
      </c>
      <c r="N1662" s="34"/>
      <c r="O1662" s="33">
        <f>+PROVEEDORES[[#This Row],[Descuento sobre subtotal %]]*(PROVEEDORES[[#This Row],[SUBTOTAL]]-PROVEEDORES[[#This Row],[descuento antes de IVA]])</f>
        <v>0</v>
      </c>
      <c r="P16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62" s="33">
        <f>+(PROVEEDORES[[#This Row],[SUBTOTAL]]-PROVEEDORES[[#This Row],[descuento antes de IVA]])*PROVEEDORES[[#This Row],[Rete Fuente %]]</f>
        <v>0</v>
      </c>
      <c r="R1662" s="32">
        <v>0</v>
      </c>
      <c r="S1662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63" spans="1:19" ht="21.95" hidden="1" customHeight="1" x14ac:dyDescent="0.25">
      <c r="A1663" s="35" t="str">
        <f>+IF(PROVEEDORES[[#This Row],[FECHA DE PAGO]]=PROVEEDORES[[#This Row],[FECHA DE FACTURACIÓN]],"DE CONTADO","CRÉDITO")</f>
        <v>DE CONTADO</v>
      </c>
      <c r="B1663" s="70" t="str">
        <f>+IF((PROVEEDORES[[#This Row],[FECHA DE PAGO]]-PROVEEDORES[[#This Row],[FECHA DE FACTURACIÓN]])&gt;PROVEEDORES[[#This Row],[PLAZO Días]],"PAGO VENCIDO")</f>
        <v>PAGO VENCIDO</v>
      </c>
      <c r="C1663" s="27">
        <v>-3</v>
      </c>
      <c r="D1663" s="37">
        <f>+SUMIFS(PROVEEDORES[Total],PROVEEDORES[PROVEEDOR],PROVEEDORES[[#This Row],[PROVEEDOR]],PROVEEDORES[FECHA DE PAGO],"")</f>
        <v>29808954.024999999</v>
      </c>
      <c r="E1663" s="37"/>
      <c r="F1663" s="108" t="str">
        <f>+VLOOKUP(PROVEEDORES[[#This Row],[PROVEEDOR]],TERCEROS_INFO[[PROVEEDOR]:[CORREO]],5,FALSE)</f>
        <v>cartera1@grupostatur.com;girlesa.ruiz@servipilas.com;joriescobar64@gmail.com</v>
      </c>
      <c r="G1663" s="143">
        <v>44533</v>
      </c>
      <c r="H1663" s="38" t="s">
        <v>9</v>
      </c>
      <c r="I1663" s="30">
        <v>44533</v>
      </c>
      <c r="J1663" s="58" t="s">
        <v>1293</v>
      </c>
      <c r="K1663" s="32">
        <v>-6253444</v>
      </c>
      <c r="L1663" s="32"/>
      <c r="M1663" s="33">
        <v>0</v>
      </c>
      <c r="N1663" s="34"/>
      <c r="O1663" s="33">
        <f>+PROVEEDORES[[#This Row],[Descuento sobre subtotal %]]*(PROVEEDORES[[#This Row],[SUBTOTAL]]-PROVEEDORES[[#This Row],[descuento antes de IVA]])</f>
        <v>0</v>
      </c>
      <c r="P16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63" s="33">
        <f>+(PROVEEDORES[[#This Row],[SUBTOTAL]]-PROVEEDORES[[#This Row],[descuento antes de IVA]])*PROVEEDORES[[#This Row],[Rete Fuente %]]</f>
        <v>0</v>
      </c>
      <c r="R1663" s="32">
        <v>0</v>
      </c>
      <c r="S166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64" spans="1:19" ht="21.95" hidden="1" customHeight="1" x14ac:dyDescent="0.25">
      <c r="A1664" s="35" t="str">
        <f>+IF(PROVEEDORES[[#This Row],[FECHA DE PAGO]]=PROVEEDORES[[#This Row],[FECHA DE FACTURACIÓN]],"DE CONTADO","CRÉDITO")</f>
        <v>CRÉDITO</v>
      </c>
      <c r="B1664" s="70" t="b">
        <f>+IF((PROVEEDORES[[#This Row],[FECHA DE PAGO]]-PROVEEDORES[[#This Row],[FECHA DE FACTURACIÓN]])&gt;PROVEEDORES[[#This Row],[PLAZO Días]],"PAGO VENCIDO")</f>
        <v>0</v>
      </c>
      <c r="C1664" s="27">
        <f>+VLOOKUP(PROVEEDORES[[#This Row],[PROVEEDOR]],TERCEROS_INFO[#All],2,FALSE)</f>
        <v>30</v>
      </c>
      <c r="D1664" s="37">
        <f>+SUMIFS(PROVEEDORES[Total],PROVEEDORES[PROVEEDOR],PROVEEDORES[[#This Row],[PROVEEDOR]],PROVEEDORES[FECHA DE PAGO],"")</f>
        <v>29808954.024999999</v>
      </c>
      <c r="E1664" s="37"/>
      <c r="F1664" s="108" t="str">
        <f>+VLOOKUP(PROVEEDORES[[#This Row],[PROVEEDOR]],TERCEROS_INFO[[PROVEEDOR]:[CORREO]],5,FALSE)</f>
        <v>cartera1@grupostatur.com;girlesa.ruiz@servipilas.com;joriescobar64@gmail.com</v>
      </c>
      <c r="H1664" s="38" t="s">
        <v>9</v>
      </c>
      <c r="I1664" s="30">
        <v>44539</v>
      </c>
      <c r="J1664" s="58">
        <v>73279</v>
      </c>
      <c r="K1664" s="32">
        <v>25587085</v>
      </c>
      <c r="L1664" s="32"/>
      <c r="M1664" s="33">
        <f>(PROVEEDORES[[#This Row],[SUBTOTAL]]-PROVEEDORES[[#This Row],[descuento antes de IVA]])*VLOOKUP(PROVEEDORES[[#This Row],[PROVEEDOR]],TERCEROS_INFO[#All],3,FALSE)</f>
        <v>4861546.1500000004</v>
      </c>
      <c r="N1664" s="34"/>
      <c r="O1664" s="33">
        <f>+PROVEEDORES[[#This Row],[Descuento sobre subtotal %]]*(PROVEEDORES[[#This Row],[SUBTOTAL]]-PROVEEDORES[[#This Row],[descuento antes de IVA]])</f>
        <v>0</v>
      </c>
      <c r="P16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64" s="33">
        <f>+(PROVEEDORES[[#This Row],[SUBTOTAL]]-PROVEEDORES[[#This Row],[descuento antes de IVA]])*PROVEEDORES[[#This Row],[Rete Fuente %]]</f>
        <v>639677.125</v>
      </c>
      <c r="R1664" s="32">
        <f>+PROVEEDORES[[#This Row],[SUBTOTAL]]+PROVEEDORES[[#This Row],[IVA 19%]]-PROVEEDORES[[#This Row],[descuento antes de IVA]]-PROVEEDORES[[#This Row],[Descuento sobre subtotal $]]-PROVEEDORES[[#This Row],[Rete Fuente $]]</f>
        <v>29808954.024999999</v>
      </c>
      <c r="S1664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665" spans="1:19" ht="21.95" hidden="1" customHeight="1" x14ac:dyDescent="0.25">
      <c r="A1665" s="35" t="str">
        <f>+IF(PROVEEDORES[[#This Row],[FECHA DE PAGO]]=PROVEEDORES[[#This Row],[FECHA DE FACTURACIÓN]],"DE CONTADO","CRÉDITO")</f>
        <v>CRÉDITO</v>
      </c>
      <c r="B1665" s="70" t="b">
        <f>+IF((PROVEEDORES[[#This Row],[FECHA DE PAGO]]-PROVEEDORES[[#This Row],[FECHA DE FACTURACIÓN]])&gt;PROVEEDORES[[#This Row],[PLAZO Días]],"PAGO VENCIDO")</f>
        <v>0</v>
      </c>
      <c r="C1665" s="27">
        <f>+VLOOKUP(PROVEEDORES[[#This Row],[PROVEEDOR]],TERCEROS_INFO[#All],2,FALSE)</f>
        <v>30</v>
      </c>
      <c r="D1665" s="37">
        <f>+SUMIFS(PROVEEDORES[Total],PROVEEDORES[PROVEEDOR],PROVEEDORES[[#This Row],[PROVEEDOR]],PROVEEDORES[FECHA DE PAGO],"")</f>
        <v>0</v>
      </c>
      <c r="E1665" s="37"/>
      <c r="F1665" s="108" t="str">
        <f>+VLOOKUP(PROVEEDORES[[#This Row],[PROVEEDOR]],TERCEROS_INFO[[PROVEEDOR]:[CORREO]],5,FALSE)</f>
        <v>??;girlesa.ruiz@servipilas.com;joriescobar64@gmail.com</v>
      </c>
      <c r="G1665" s="143">
        <v>44432</v>
      </c>
      <c r="H1665" s="38" t="s">
        <v>806</v>
      </c>
      <c r="I1665" s="30">
        <v>44427</v>
      </c>
      <c r="J1665" s="58">
        <v>10186</v>
      </c>
      <c r="K1665" s="32">
        <v>1326772</v>
      </c>
      <c r="L1665" s="32"/>
      <c r="M1665" s="33">
        <f>(PROVEEDORES[[#This Row],[SUBTOTAL]]-PROVEEDORES[[#This Row],[descuento antes de IVA]])*VLOOKUP(PROVEEDORES[[#This Row],[PROVEEDOR]],TERCEROS_INFO[#All],3,FALSE)</f>
        <v>252086.68</v>
      </c>
      <c r="N1665" s="34"/>
      <c r="O1665" s="33">
        <f>+PROVEEDORES[[#This Row],[Descuento sobre subtotal %]]*(PROVEEDORES[[#This Row],[SUBTOTAL]]-PROVEEDORES[[#This Row],[descuento antes de IVA]])</f>
        <v>0</v>
      </c>
      <c r="P16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65" s="33">
        <f>+(PROVEEDORES[[#This Row],[SUBTOTAL]]-PROVEEDORES[[#This Row],[descuento antes de IVA]])*PROVEEDORES[[#This Row],[Rete Fuente %]]</f>
        <v>33169.300000000003</v>
      </c>
      <c r="R1665" s="32">
        <f>+PROVEEDORES[[#This Row],[SUBTOTAL]]+PROVEEDORES[[#This Row],[IVA 19%]]-PROVEEDORES[[#This Row],[descuento antes de IVA]]-PROVEEDORES[[#This Row],[Descuento sobre subtotal $]]-PROVEEDORES[[#This Row],[Rete Fuente $]]</f>
        <v>1545689.38</v>
      </c>
      <c r="S166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66" spans="1:19" ht="21.95" hidden="1" customHeight="1" x14ac:dyDescent="0.25">
      <c r="A1666" s="35" t="str">
        <f>+IF(PROVEEDORES[[#This Row],[FECHA DE PAGO]]=PROVEEDORES[[#This Row],[FECHA DE FACTURACIÓN]],"DE CONTADO","CRÉDITO")</f>
        <v>CRÉDITO</v>
      </c>
      <c r="B1666" s="70" t="b">
        <f>+IF((PROVEEDORES[[#This Row],[FECHA DE PAGO]]-PROVEEDORES[[#This Row],[FECHA DE FACTURACIÓN]])&gt;PROVEEDORES[[#This Row],[PLAZO Días]],"PAGO VENCIDO")</f>
        <v>0</v>
      </c>
      <c r="C1666" s="27">
        <f>+VLOOKUP(PROVEEDORES[[#This Row],[PROVEEDOR]],TERCEROS_INFO[#All],2,FALSE)</f>
        <v>30</v>
      </c>
      <c r="D1666" s="37">
        <f>+SUMIFS(PROVEEDORES[Total],PROVEEDORES[PROVEEDOR],PROVEEDORES[[#This Row],[PROVEEDOR]],PROVEEDORES[FECHA DE PAGO],"")</f>
        <v>0</v>
      </c>
      <c r="E1666" s="37"/>
      <c r="F1666" s="108" t="str">
        <f>+VLOOKUP(PROVEEDORES[[#This Row],[PROVEEDOR]],TERCEROS_INFO[[PROVEEDOR]:[CORREO]],5,FALSE)</f>
        <v>lpena@tbplusenergy.com;girlesa.ruiz@servipilas.com;joriescobar64@gmail.com</v>
      </c>
      <c r="G1666" s="143">
        <v>44426</v>
      </c>
      <c r="H1666" s="38" t="s">
        <v>800</v>
      </c>
      <c r="I1666" s="30">
        <v>44425</v>
      </c>
      <c r="J1666" s="58">
        <v>10348</v>
      </c>
      <c r="K1666" s="32">
        <v>630000</v>
      </c>
      <c r="L1666" s="32"/>
      <c r="M1666" s="33">
        <f>(PROVEEDORES[[#This Row],[SUBTOTAL]]-PROVEEDORES[[#This Row],[descuento antes de IVA]])*VLOOKUP(PROVEEDORES[[#This Row],[PROVEEDOR]],TERCEROS_INFO[#All],3,FALSE)</f>
        <v>119700</v>
      </c>
      <c r="N1666" s="34"/>
      <c r="O1666" s="33">
        <f>+PROVEEDORES[[#This Row],[Descuento sobre subtotal %]]*(PROVEEDORES[[#This Row],[SUBTOTAL]]-PROVEEDORES[[#This Row],[descuento antes de IVA]])</f>
        <v>0</v>
      </c>
      <c r="P16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66" s="33">
        <f>+(PROVEEDORES[[#This Row],[SUBTOTAL]]-PROVEEDORES[[#This Row],[descuento antes de IVA]])*PROVEEDORES[[#This Row],[Rete Fuente %]]</f>
        <v>0</v>
      </c>
      <c r="R1666" s="32">
        <f>+PROVEEDORES[[#This Row],[SUBTOTAL]]+PROVEEDORES[[#This Row],[IVA 19%]]-PROVEEDORES[[#This Row],[descuento antes de IVA]]-PROVEEDORES[[#This Row],[Descuento sobre subtotal $]]-PROVEEDORES[[#This Row],[Rete Fuente $]]</f>
        <v>749700</v>
      </c>
      <c r="S166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67" spans="1:19" ht="21.95" hidden="1" customHeight="1" x14ac:dyDescent="0.25">
      <c r="A1667" s="157" t="str">
        <f>+IF(PROVEEDORES[[#This Row],[FECHA DE PAGO]]=PROVEEDORES[[#This Row],[FECHA DE FACTURACIÓN]],"DE CONTADO","CRÉDITO")</f>
        <v>CRÉDITO</v>
      </c>
      <c r="B1667" s="70" t="str">
        <f>+IF((PROVEEDORES[[#This Row],[FECHA DE PAGO]]-PROVEEDORES[[#This Row],[FECHA DE FACTURACIÓN]])&gt;PROVEEDORES[[#This Row],[PLAZO Días]],"PAGO VENCIDO")</f>
        <v>PAGO VENCIDO</v>
      </c>
      <c r="C1667" s="27">
        <f>+VLOOKUP(PROVEEDORES[[#This Row],[PROVEEDOR]],TERCEROS_INFO[#All],2,FALSE)</f>
        <v>30</v>
      </c>
      <c r="D1667" s="37">
        <f>+SUMIFS(PROVEEDORES[Total],PROVEEDORES[PROVEEDOR],PROVEEDORES[[#This Row],[PROVEEDOR]],PROVEEDORES[FECHA DE PAGO],"")</f>
        <v>0</v>
      </c>
      <c r="E1667" s="37"/>
      <c r="F1667" s="108" t="str">
        <f>+VLOOKUP(PROVEEDORES[[#This Row],[PROVEEDOR]],TERCEROS_INFO[[PROVEEDOR]:[CORREO]],5,FALSE)</f>
        <v>lpena@tbplusenergy.com;girlesa.ruiz@servipilas.com;joriescobar64@gmail.com</v>
      </c>
      <c r="G1667" s="143">
        <v>44537</v>
      </c>
      <c r="H1667" s="38" t="s">
        <v>800</v>
      </c>
      <c r="I1667" s="30">
        <v>44489</v>
      </c>
      <c r="J1667" s="58">
        <v>10568</v>
      </c>
      <c r="K1667" s="32">
        <v>580000</v>
      </c>
      <c r="L1667" s="32"/>
      <c r="M1667" s="33">
        <f>(PROVEEDORES[[#This Row],[SUBTOTAL]]-PROVEEDORES[[#This Row],[descuento antes de IVA]])*VLOOKUP(PROVEEDORES[[#This Row],[PROVEEDOR]],TERCEROS_INFO[#All],3,FALSE)</f>
        <v>110200</v>
      </c>
      <c r="N1667" s="34"/>
      <c r="O1667" s="33">
        <f>+PROVEEDORES[[#This Row],[Descuento sobre subtotal %]]*(PROVEEDORES[[#This Row],[SUBTOTAL]]-PROVEEDORES[[#This Row],[descuento antes de IVA]])</f>
        <v>0</v>
      </c>
      <c r="P16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67" s="33">
        <f>+(PROVEEDORES[[#This Row],[SUBTOTAL]]-PROVEEDORES[[#This Row],[descuento antes de IVA]])*PROVEEDORES[[#This Row],[Rete Fuente %]]</f>
        <v>0</v>
      </c>
      <c r="R1667" s="32">
        <f>+PROVEEDORES[[#This Row],[SUBTOTAL]]+PROVEEDORES[[#This Row],[IVA 19%]]-PROVEEDORES[[#This Row],[descuento antes de IVA]]-PROVEEDORES[[#This Row],[Descuento sobre subtotal $]]-PROVEEDORES[[#This Row],[Rete Fuente $]]</f>
        <v>690200</v>
      </c>
      <c r="S1667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68" spans="1:19" ht="21.95" hidden="1" customHeight="1" x14ac:dyDescent="0.25">
      <c r="A1668" s="161" t="str">
        <f>+IF(PROVEEDORES[[#This Row],[FECHA DE PAGO]]=PROVEEDORES[[#This Row],[FECHA DE FACTURACIÓN]],"DE CONTADO","CRÉDITO")</f>
        <v>CRÉDITO</v>
      </c>
      <c r="B1668" s="70" t="str">
        <f>+IF((PROVEEDORES[[#This Row],[FECHA DE PAGO]]-PROVEEDORES[[#This Row],[FECHA DE FACTURACIÓN]])&gt;PROVEEDORES[[#This Row],[PLAZO Días]],"PAGO VENCIDO")</f>
        <v>PAGO VENCIDO</v>
      </c>
      <c r="C1668" s="27">
        <f>+VLOOKUP(PROVEEDORES[[#This Row],[PROVEEDOR]],TERCEROS_INFO[#All],2,FALSE)</f>
        <v>30</v>
      </c>
      <c r="D1668" s="37">
        <f>+SUMIFS(PROVEEDORES[Total],PROVEEDORES[PROVEEDOR],PROVEEDORES[[#This Row],[PROVEEDOR]],PROVEEDORES[FECHA DE PAGO],"")</f>
        <v>0</v>
      </c>
      <c r="E1668" s="37"/>
      <c r="F1668" s="108" t="str">
        <f>+VLOOKUP(PROVEEDORES[[#This Row],[PROVEEDOR]],TERCEROS_INFO[[PROVEEDOR]:[CORREO]],5,FALSE)</f>
        <v>lpena@tbplusenergy.com;girlesa.ruiz@servipilas.com;joriescobar64@gmail.com</v>
      </c>
      <c r="G1668" s="143">
        <v>44537</v>
      </c>
      <c r="H1668" s="38" t="s">
        <v>800</v>
      </c>
      <c r="I1668" s="30">
        <v>44497</v>
      </c>
      <c r="J1668" s="58">
        <v>10615</v>
      </c>
      <c r="K1668" s="32">
        <v>1380000</v>
      </c>
      <c r="L1668" s="32"/>
      <c r="M1668" s="33">
        <f>(PROVEEDORES[[#This Row],[SUBTOTAL]]-PROVEEDORES[[#This Row],[descuento antes de IVA]])*VLOOKUP(PROVEEDORES[[#This Row],[PROVEEDOR]],TERCEROS_INFO[#All],3,FALSE)</f>
        <v>262200</v>
      </c>
      <c r="N1668" s="34"/>
      <c r="O1668" s="33">
        <f>+PROVEEDORES[[#This Row],[Descuento sobre subtotal %]]*(PROVEEDORES[[#This Row],[SUBTOTAL]]-PROVEEDORES[[#This Row],[descuento antes de IVA]])</f>
        <v>0</v>
      </c>
      <c r="P16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68" s="33">
        <f>+(PROVEEDORES[[#This Row],[SUBTOTAL]]-PROVEEDORES[[#This Row],[descuento antes de IVA]])*PROVEEDORES[[#This Row],[Rete Fuente %]]</f>
        <v>34500</v>
      </c>
      <c r="R1668" s="32">
        <f>+PROVEEDORES[[#This Row],[SUBTOTAL]]+PROVEEDORES[[#This Row],[IVA 19%]]-PROVEEDORES[[#This Row],[descuento antes de IVA]]-PROVEEDORES[[#This Row],[Descuento sobre subtotal $]]-PROVEEDORES[[#This Row],[Rete Fuente $]]</f>
        <v>1607700</v>
      </c>
      <c r="S1668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69" spans="1:19" ht="21.95" hidden="1" customHeight="1" x14ac:dyDescent="0.25">
      <c r="A1669" s="165" t="str">
        <f>+IF(PROVEEDORES[[#This Row],[FECHA DE PAGO]]=PROVEEDORES[[#This Row],[FECHA DE FACTURACIÓN]],"DE CONTADO","CRÉDITO")</f>
        <v>CRÉDITO</v>
      </c>
      <c r="B1669" s="70" t="str">
        <f>+IF((PROVEEDORES[[#This Row],[FECHA DE PAGO]]-PROVEEDORES[[#This Row],[FECHA DE FACTURACIÓN]])&gt;PROVEEDORES[[#This Row],[PLAZO Días]],"PAGO VENCIDO")</f>
        <v>PAGO VENCIDO</v>
      </c>
      <c r="C1669" s="27">
        <f>+VLOOKUP(PROVEEDORES[[#This Row],[PROVEEDOR]],TERCEROS_INFO[#All],2,FALSE)</f>
        <v>30</v>
      </c>
      <c r="D1669" s="37">
        <f>+SUMIFS(PROVEEDORES[Total],PROVEEDORES[PROVEEDOR],PROVEEDORES[[#This Row],[PROVEEDOR]],PROVEEDORES[FECHA DE PAGO],"")</f>
        <v>0</v>
      </c>
      <c r="E1669" s="37"/>
      <c r="F1669" s="108" t="str">
        <f>+VLOOKUP(PROVEEDORES[[#This Row],[PROVEEDOR]],TERCEROS_INFO[[PROVEEDOR]:[CORREO]],5,FALSE)</f>
        <v>lpena@tbplusenergy.com;girlesa.ruiz@servipilas.com;joriescobar64@gmail.com</v>
      </c>
      <c r="G1669" s="143">
        <v>44552</v>
      </c>
      <c r="H1669" s="38" t="s">
        <v>800</v>
      </c>
      <c r="I1669" s="30">
        <v>44518</v>
      </c>
      <c r="J1669" s="58">
        <v>10765</v>
      </c>
      <c r="K1669" s="32">
        <v>2304000</v>
      </c>
      <c r="L1669" s="32"/>
      <c r="M1669" s="33">
        <f>(PROVEEDORES[[#This Row],[SUBTOTAL]]-PROVEEDORES[[#This Row],[descuento antes de IVA]])*VLOOKUP(PROVEEDORES[[#This Row],[PROVEEDOR]],TERCEROS_INFO[#All],3,FALSE)</f>
        <v>437760</v>
      </c>
      <c r="N1669" s="34"/>
      <c r="O1669" s="33">
        <f>+PROVEEDORES[[#This Row],[Descuento sobre subtotal %]]*(PROVEEDORES[[#This Row],[SUBTOTAL]]-PROVEEDORES[[#This Row],[descuento antes de IVA]])</f>
        <v>0</v>
      </c>
      <c r="P16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669" s="33">
        <f>+(PROVEEDORES[[#This Row],[SUBTOTAL]]-PROVEEDORES[[#This Row],[descuento antes de IVA]])*PROVEEDORES[[#This Row],[Rete Fuente %]]</f>
        <v>57600</v>
      </c>
      <c r="R1669" s="32">
        <f>+PROVEEDORES[[#This Row],[SUBTOTAL]]+PROVEEDORES[[#This Row],[IVA 19%]]-PROVEEDORES[[#This Row],[descuento antes de IVA]]-PROVEEDORES[[#This Row],[Descuento sobre subtotal $]]-PROVEEDORES[[#This Row],[Rete Fuente $]]</f>
        <v>2684160</v>
      </c>
      <c r="S1669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0" spans="1:19" ht="21.95" hidden="1" customHeight="1" x14ac:dyDescent="0.25">
      <c r="A1670" s="39" t="str">
        <f>+IF(PROVEEDORES[[#This Row],[FECHA DE PAGO]]=PROVEEDORES[[#This Row],[FECHA DE FACTURACIÓN]],"DE CONTADO","CRÉDITO")</f>
        <v>CRÉDITO</v>
      </c>
      <c r="B1670" s="67" t="b">
        <f>+IF((PROVEEDORES[[#This Row],[FECHA DE PAGO]]-PROVEEDORES[[#This Row],[FECHA DE FACTURACIÓN]])&gt;PROVEEDORES[[#This Row],[PLAZO Días]],"PAGO VENCIDO")</f>
        <v>0</v>
      </c>
      <c r="C1670" s="27">
        <f>+VLOOKUP(PROVEEDORES[[#This Row],[PROVEEDOR]],TERCEROS_INFO[#All],2,FALSE)</f>
        <v>30</v>
      </c>
      <c r="D1670" s="37">
        <f>+SUMIFS(PROVEEDORES[Total],PROVEEDORES[PROVEEDOR],PROVEEDORES[[#This Row],[PROVEEDOR]],PROVEEDORES[FECHA DE PAGO],"")</f>
        <v>0</v>
      </c>
      <c r="E1670" s="37" t="s">
        <v>354</v>
      </c>
      <c r="F1670" s="108" t="str">
        <f>+VLOOKUP(PROVEEDORES[[#This Row],[PROVEEDOR]],TERCEROS_INFO[[PROVEEDOR]:[CORREO]],5,FALSE)</f>
        <v/>
      </c>
      <c r="G1670" s="143">
        <v>44036</v>
      </c>
      <c r="H1670" s="38" t="s">
        <v>30</v>
      </c>
      <c r="I1670" s="30">
        <v>44033</v>
      </c>
      <c r="J1670" s="58">
        <v>983818</v>
      </c>
      <c r="K1670" s="32">
        <v>6671814</v>
      </c>
      <c r="L1670" s="32"/>
      <c r="M1670" s="33">
        <f>(PROVEEDORES[[#This Row],[SUBTOTAL]]-PROVEEDORES[[#This Row],[descuento antes de IVA]])*VLOOKUP(PROVEEDORES[[#This Row],[PROVEEDOR]],TERCEROS_INFO[#All],3,FALSE)</f>
        <v>0</v>
      </c>
      <c r="N1670" s="34"/>
      <c r="O1670" s="33">
        <f>+PROVEEDORES[[#This Row],[Descuento sobre subtotal %]]*(PROVEEDORES[[#This Row],[SUBTOTAL]]-PROVEEDORES[[#This Row],[descuento antes de IVA]])</f>
        <v>0</v>
      </c>
      <c r="P16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0" s="33">
        <f>+(PROVEEDORES[[#This Row],[SUBTOTAL]]-PROVEEDORES[[#This Row],[descuento antes de IVA]])*PROVEEDORES[[#This Row],[Rete Fuente %]]</f>
        <v>0</v>
      </c>
      <c r="R1670" s="32">
        <f>+PROVEEDORES[[#This Row],[SUBTOTAL]]+PROVEEDORES[[#This Row],[IVA 19%]]-PROVEEDORES[[#This Row],[descuento antes de IVA]]-PROVEEDORES[[#This Row],[Descuento sobre subtotal $]]-PROVEEDORES[[#This Row],[Rete Fuente $]]</f>
        <v>6671814</v>
      </c>
      <c r="S167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1" spans="1:19" ht="21.95" hidden="1" customHeight="1" x14ac:dyDescent="0.25">
      <c r="A1671" s="39" t="str">
        <f>+IF(PROVEEDORES[[#This Row],[FECHA DE PAGO]]=PROVEEDORES[[#This Row],[FECHA DE FACTURACIÓN]],"DE CONTADO","CRÉDITO")</f>
        <v>CRÉDITO</v>
      </c>
      <c r="B1671" s="67" t="b">
        <f>+IF((PROVEEDORES[[#This Row],[FECHA DE PAGO]]-PROVEEDORES[[#This Row],[FECHA DE FACTURACIÓN]])&gt;PROVEEDORES[[#This Row],[PLAZO Días]],"PAGO VENCIDO")</f>
        <v>0</v>
      </c>
      <c r="C1671" s="27">
        <f>+VLOOKUP(PROVEEDORES[[#This Row],[PROVEEDOR]],TERCEROS_INFO[#All],2,FALSE)</f>
        <v>30</v>
      </c>
      <c r="D1671" s="37">
        <f>+SUMIFS(PROVEEDORES[Total],PROVEEDORES[PROVEEDOR],PROVEEDORES[[#This Row],[PROVEEDOR]],PROVEEDORES[FECHA DE PAGO],"")</f>
        <v>0</v>
      </c>
      <c r="E1671" s="37" t="s">
        <v>354</v>
      </c>
      <c r="F1671" s="108" t="str">
        <f>+VLOOKUP(PROVEEDORES[[#This Row],[PROVEEDOR]],TERCEROS_INFO[[PROVEEDOR]:[CORREO]],5,FALSE)</f>
        <v/>
      </c>
      <c r="G1671" s="143">
        <v>44036</v>
      </c>
      <c r="H1671" s="38" t="s">
        <v>30</v>
      </c>
      <c r="I1671" s="30">
        <v>44033</v>
      </c>
      <c r="J1671" s="58">
        <v>983819</v>
      </c>
      <c r="K1671" s="32">
        <v>5653894.7999999998</v>
      </c>
      <c r="L1671" s="32"/>
      <c r="M1671" s="33">
        <f>(PROVEEDORES[[#This Row],[SUBTOTAL]]-PROVEEDORES[[#This Row],[descuento antes de IVA]])*VLOOKUP(PROVEEDORES[[#This Row],[PROVEEDOR]],TERCEROS_INFO[#All],3,FALSE)</f>
        <v>0</v>
      </c>
      <c r="N1671" s="34"/>
      <c r="O1671" s="33">
        <f>+PROVEEDORES[[#This Row],[Descuento sobre subtotal %]]*(PROVEEDORES[[#This Row],[SUBTOTAL]]-PROVEEDORES[[#This Row],[descuento antes de IVA]])</f>
        <v>0</v>
      </c>
      <c r="P16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1" s="33">
        <f>+(PROVEEDORES[[#This Row],[SUBTOTAL]]-PROVEEDORES[[#This Row],[descuento antes de IVA]])*PROVEEDORES[[#This Row],[Rete Fuente %]]</f>
        <v>0</v>
      </c>
      <c r="R1671" s="32">
        <f>+PROVEEDORES[[#This Row],[SUBTOTAL]]+PROVEEDORES[[#This Row],[IVA 19%]]-PROVEEDORES[[#This Row],[descuento antes de IVA]]-PROVEEDORES[[#This Row],[Descuento sobre subtotal $]]-PROVEEDORES[[#This Row],[Rete Fuente $]]</f>
        <v>5653894.7999999998</v>
      </c>
      <c r="S167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2" spans="1:19" ht="21.95" hidden="1" customHeight="1" x14ac:dyDescent="0.25">
      <c r="A1672" s="39" t="str">
        <f>+IF(PROVEEDORES[[#This Row],[FECHA DE PAGO]]=PROVEEDORES[[#This Row],[FECHA DE FACTURACIÓN]],"DE CONTADO","CRÉDITO")</f>
        <v>CRÉDITO</v>
      </c>
      <c r="B1672" s="67" t="b">
        <f>+IF((PROVEEDORES[[#This Row],[FECHA DE PAGO]]-PROVEEDORES[[#This Row],[FECHA DE FACTURACIÓN]])&gt;PROVEEDORES[[#This Row],[PLAZO Días]],"PAGO VENCIDO")</f>
        <v>0</v>
      </c>
      <c r="C1672" s="27">
        <f>+VLOOKUP(PROVEEDORES[[#This Row],[PROVEEDOR]],TERCEROS_INFO[#All],2,FALSE)</f>
        <v>30</v>
      </c>
      <c r="D1672" s="37">
        <f>+SUMIFS(PROVEEDORES[Total],PROVEEDORES[PROVEEDOR],PROVEEDORES[[#This Row],[PROVEEDOR]],PROVEEDORES[FECHA DE PAGO],"")</f>
        <v>0</v>
      </c>
      <c r="E1672" s="37"/>
      <c r="F1672" s="108" t="str">
        <f>+VLOOKUP(PROVEEDORES[[#This Row],[PROVEEDOR]],TERCEROS_INFO[[PROVEEDOR]:[CORREO]],5,FALSE)</f>
        <v/>
      </c>
      <c r="G1672" s="143">
        <v>43859</v>
      </c>
      <c r="H1672" s="38" t="s">
        <v>50</v>
      </c>
      <c r="I1672" s="30">
        <v>43855</v>
      </c>
      <c r="J1672" s="58" t="s">
        <v>1030</v>
      </c>
      <c r="K1672" s="32">
        <v>734879.83193277312</v>
      </c>
      <c r="L1672" s="32"/>
      <c r="M1672" s="33">
        <f>(PROVEEDORES[[#This Row],[SUBTOTAL]]-PROVEEDORES[[#This Row],[descuento antes de IVA]])*VLOOKUP(PROVEEDORES[[#This Row],[PROVEEDOR]],TERCEROS_INFO[#All],3,FALSE)</f>
        <v>139627.16806722688</v>
      </c>
      <c r="N1672" s="34"/>
      <c r="O1672" s="33">
        <f>+PROVEEDORES[[#This Row],[Descuento sobre subtotal %]]*(PROVEEDORES[[#This Row],[SUBTOTAL]]-PROVEEDORES[[#This Row],[descuento antes de IVA]])</f>
        <v>0</v>
      </c>
      <c r="P16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2" s="33">
        <f>+(PROVEEDORES[[#This Row],[SUBTOTAL]]-PROVEEDORES[[#This Row],[descuento antes de IVA]])*PROVEEDORES[[#This Row],[Rete Fuente %]]</f>
        <v>0</v>
      </c>
      <c r="R1672" s="32">
        <f>+PROVEEDORES[[#This Row],[SUBTOTAL]]+PROVEEDORES[[#This Row],[IVA 19%]]-PROVEEDORES[[#This Row],[descuento antes de IVA]]-PROVEEDORES[[#This Row],[Descuento sobre subtotal $]]-PROVEEDORES[[#This Row],[Rete Fuente $]]</f>
        <v>874507</v>
      </c>
      <c r="S167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3" spans="1:19" ht="21.95" hidden="1" customHeight="1" x14ac:dyDescent="0.25">
      <c r="A1673" s="140" t="str">
        <f>+IF(PROVEEDORES[[#This Row],[FECHA DE PAGO]]=PROVEEDORES[[#This Row],[FECHA DE FACTURACIÓN]],"DE CONTADO","CRÉDITO")</f>
        <v>DE CONTADO</v>
      </c>
      <c r="B1673" s="70" t="b">
        <f>+IF((PROVEEDORES[[#This Row],[FECHA DE PAGO]]-PROVEEDORES[[#This Row],[FECHA DE FACTURACIÓN]])&gt;PROVEEDORES[[#This Row],[PLAZO Días]],"PAGO VENCIDO")</f>
        <v>0</v>
      </c>
      <c r="C1673" s="27">
        <f>+VLOOKUP(PROVEEDORES[[#This Row],[PROVEEDOR]],TERCEROS_INFO[#All],2,FALSE)</f>
        <v>30</v>
      </c>
      <c r="D1673" s="37">
        <f>+SUMIFS(PROVEEDORES[Total],PROVEEDORES[PROVEEDOR],PROVEEDORES[[#This Row],[PROVEEDOR]],PROVEEDORES[FECHA DE PAGO],"")</f>
        <v>0</v>
      </c>
      <c r="E1673" s="37"/>
      <c r="F1673" s="108" t="str">
        <f>+VLOOKUP(PROVEEDORES[[#This Row],[PROVEEDOR]],TERCEROS_INFO[[PROVEEDOR]:[CORREO]],5,FALSE)</f>
        <v/>
      </c>
      <c r="G1673" s="143">
        <v>44417</v>
      </c>
      <c r="H1673" s="57" t="s">
        <v>50</v>
      </c>
      <c r="I1673" s="30">
        <v>44417</v>
      </c>
      <c r="J1673" s="58" t="s">
        <v>781</v>
      </c>
      <c r="K1673" s="32">
        <v>772893</v>
      </c>
      <c r="L1673" s="32"/>
      <c r="M1673" s="33">
        <f>(PROVEEDORES[[#This Row],[SUBTOTAL]]-PROVEEDORES[[#This Row],[descuento antes de IVA]])*VLOOKUP(PROVEEDORES[[#This Row],[PROVEEDOR]],TERCEROS_INFO[#All],3,FALSE)</f>
        <v>146849.67000000001</v>
      </c>
      <c r="N1673" s="34"/>
      <c r="O1673" s="33">
        <f>+PROVEEDORES[[#This Row],[Descuento sobre subtotal %]]*(PROVEEDORES[[#This Row],[SUBTOTAL]]-PROVEEDORES[[#This Row],[descuento antes de IVA]])</f>
        <v>0</v>
      </c>
      <c r="P16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3" s="33">
        <f>+(PROVEEDORES[[#This Row],[SUBTOTAL]]-PROVEEDORES[[#This Row],[descuento antes de IVA]])*PROVEEDORES[[#This Row],[Rete Fuente %]]</f>
        <v>0</v>
      </c>
      <c r="R1673" s="32">
        <f>+PROVEEDORES[[#This Row],[SUBTOTAL]]+PROVEEDORES[[#This Row],[IVA 19%]]-PROVEEDORES[[#This Row],[descuento antes de IVA]]-PROVEEDORES[[#This Row],[Descuento sobre subtotal $]]-PROVEEDORES[[#This Row],[Rete Fuente $]]</f>
        <v>919742.67</v>
      </c>
      <c r="S1673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4" spans="1:19" ht="21.95" hidden="1" customHeight="1" x14ac:dyDescent="0.25">
      <c r="A1674" s="39" t="str">
        <f>+IF(PROVEEDORES[[#This Row],[FECHA DE PAGO]]=PROVEEDORES[[#This Row],[FECHA DE FACTURACIÓN]],"DE CONTADO","CRÉDITO")</f>
        <v>CRÉDITO</v>
      </c>
      <c r="B1674" s="67" t="b">
        <f>+IF((PROVEEDORES[[#This Row],[FECHA DE PAGO]]-PROVEEDORES[[#This Row],[FECHA DE FACTURACIÓN]])&gt;PROVEEDORES[[#This Row],[PLAZO Días]],"PAGO VENCIDO")</f>
        <v>0</v>
      </c>
      <c r="C1674" s="27">
        <f>+VLOOKUP(PROVEEDORES[[#This Row],[PROVEEDOR]],TERCEROS_INFO[#All],2,FALSE)</f>
        <v>10</v>
      </c>
      <c r="D1674" s="37">
        <f>+SUMIFS(PROVEEDORES[Total],PROVEEDORES[PROVEEDOR],PROVEEDORES[[#This Row],[PROVEEDOR]],PROVEEDORES[FECHA DE PAGO],"")</f>
        <v>0</v>
      </c>
      <c r="E1674" s="37" t="s">
        <v>373</v>
      </c>
      <c r="F1674" s="108" t="str">
        <f>+VLOOKUP(PROVEEDORES[[#This Row],[PROVEEDOR]],TERCEROS_INFO[[PROVEEDOR]:[CORREO]],5,FALSE)</f>
        <v/>
      </c>
      <c r="G1674" s="143">
        <v>43868</v>
      </c>
      <c r="H1674" s="38" t="s">
        <v>24</v>
      </c>
      <c r="I1674" s="30">
        <v>43867</v>
      </c>
      <c r="J1674" s="58">
        <v>2709948</v>
      </c>
      <c r="K1674" s="32">
        <v>6940932.9199999999</v>
      </c>
      <c r="L1674" s="32"/>
      <c r="M1674" s="33">
        <f>(PROVEEDORES[[#This Row],[SUBTOTAL]]-PROVEEDORES[[#This Row],[descuento antes de IVA]])*VLOOKUP(PROVEEDORES[[#This Row],[PROVEEDOR]],TERCEROS_INFO[#All],3,FALSE)</f>
        <v>0</v>
      </c>
      <c r="N1674" s="34"/>
      <c r="O1674" s="33">
        <f>+PROVEEDORES[[#This Row],[Descuento sobre subtotal %]]*(PROVEEDORES[[#This Row],[SUBTOTAL]]-PROVEEDORES[[#This Row],[descuento antes de IVA]])</f>
        <v>0</v>
      </c>
      <c r="P16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4" s="33">
        <f>+(PROVEEDORES[[#This Row],[SUBTOTAL]]-PROVEEDORES[[#This Row],[descuento antes de IVA]])*PROVEEDORES[[#This Row],[Rete Fuente %]]</f>
        <v>0</v>
      </c>
      <c r="R1674" s="32">
        <f>+PROVEEDORES[[#This Row],[SUBTOTAL]]+PROVEEDORES[[#This Row],[IVA 19%]]-PROVEEDORES[[#This Row],[descuento antes de IVA]]-PROVEEDORES[[#This Row],[Descuento sobre subtotal $]]-PROVEEDORES[[#This Row],[Rete Fuente $]]</f>
        <v>6940932.9199999999</v>
      </c>
      <c r="S167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5" spans="1:19" ht="21.95" hidden="1" customHeight="1" x14ac:dyDescent="0.25">
      <c r="A1675" s="39" t="str">
        <f>+IF(PROVEEDORES[[#This Row],[FECHA DE PAGO]]=PROVEEDORES[[#This Row],[FECHA DE FACTURACIÓN]],"DE CONTADO","CRÉDITO")</f>
        <v>DE CONTADO</v>
      </c>
      <c r="B1675" s="67" t="b">
        <f>+IF((PROVEEDORES[[#This Row],[FECHA DE PAGO]]-PROVEEDORES[[#This Row],[FECHA DE FACTURACIÓN]])&gt;PROVEEDORES[[#This Row],[PLAZO Días]],"PAGO VENCIDO")</f>
        <v>0</v>
      </c>
      <c r="C1675" s="27">
        <f>+VLOOKUP(PROVEEDORES[[#This Row],[PROVEEDOR]],TERCEROS_INFO[#All],2,FALSE)</f>
        <v>10</v>
      </c>
      <c r="D1675" s="37">
        <f>+SUMIFS(PROVEEDORES[Total],PROVEEDORES[PROVEEDOR],PROVEEDORES[[#This Row],[PROVEEDOR]],PROVEEDORES[FECHA DE PAGO],"")</f>
        <v>0</v>
      </c>
      <c r="E1675" s="37" t="s">
        <v>362</v>
      </c>
      <c r="F1675" s="108" t="str">
        <f>+VLOOKUP(PROVEEDORES[[#This Row],[PROVEEDOR]],TERCEROS_INFO[[PROVEEDOR]:[CORREO]],5,FALSE)</f>
        <v/>
      </c>
      <c r="G1675" s="143">
        <v>43909</v>
      </c>
      <c r="H1675" s="38" t="s">
        <v>24</v>
      </c>
      <c r="I1675" s="30">
        <v>43909</v>
      </c>
      <c r="J1675" s="58">
        <v>1614636</v>
      </c>
      <c r="K1675" s="32">
        <v>4852373.34</v>
      </c>
      <c r="L1675" s="32"/>
      <c r="M1675" s="33">
        <f>(PROVEEDORES[[#This Row],[SUBTOTAL]]-PROVEEDORES[[#This Row],[descuento antes de IVA]])*VLOOKUP(PROVEEDORES[[#This Row],[PROVEEDOR]],TERCEROS_INFO[#All],3,FALSE)</f>
        <v>0</v>
      </c>
      <c r="N1675" s="34"/>
      <c r="O1675" s="33">
        <f>+PROVEEDORES[[#This Row],[Descuento sobre subtotal %]]*(PROVEEDORES[[#This Row],[SUBTOTAL]]-PROVEEDORES[[#This Row],[descuento antes de IVA]])</f>
        <v>0</v>
      </c>
      <c r="P16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5" s="33">
        <f>+(PROVEEDORES[[#This Row],[SUBTOTAL]]-PROVEEDORES[[#This Row],[descuento antes de IVA]])*PROVEEDORES[[#This Row],[Rete Fuente %]]</f>
        <v>0</v>
      </c>
      <c r="R1675" s="32">
        <f>+PROVEEDORES[[#This Row],[SUBTOTAL]]+PROVEEDORES[[#This Row],[IVA 19%]]-PROVEEDORES[[#This Row],[descuento antes de IVA]]-PROVEEDORES[[#This Row],[Descuento sobre subtotal $]]-PROVEEDORES[[#This Row],[Rete Fuente $]]</f>
        <v>4852373.34</v>
      </c>
      <c r="S167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6" spans="1:19" ht="21.95" hidden="1" customHeight="1" x14ac:dyDescent="0.25">
      <c r="A1676" s="39" t="str">
        <f>+IF(PROVEEDORES[[#This Row],[FECHA DE PAGO]]=PROVEEDORES[[#This Row],[FECHA DE FACTURACIÓN]],"DE CONTADO","CRÉDITO")</f>
        <v>DE CONTADO</v>
      </c>
      <c r="B1676" s="67" t="b">
        <f>+IF((PROVEEDORES[[#This Row],[FECHA DE PAGO]]-PROVEEDORES[[#This Row],[FECHA DE FACTURACIÓN]])&gt;PROVEEDORES[[#This Row],[PLAZO Días]],"PAGO VENCIDO")</f>
        <v>0</v>
      </c>
      <c r="C1676" s="27">
        <f>+VLOOKUP(PROVEEDORES[[#This Row],[PROVEEDOR]],TERCEROS_INFO[#All],2,FALSE)</f>
        <v>10</v>
      </c>
      <c r="D1676" s="37">
        <f>+SUMIFS(PROVEEDORES[Total],PROVEEDORES[PROVEEDOR],PROVEEDORES[[#This Row],[PROVEEDOR]],PROVEEDORES[FECHA DE PAGO],"")</f>
        <v>0</v>
      </c>
      <c r="E1676" s="37" t="s">
        <v>374</v>
      </c>
      <c r="F1676" s="108" t="str">
        <f>+VLOOKUP(PROVEEDORES[[#This Row],[PROVEEDOR]],TERCEROS_INFO[[PROVEEDOR]:[CORREO]],5,FALSE)</f>
        <v/>
      </c>
      <c r="G1676" s="143">
        <v>43951</v>
      </c>
      <c r="H1676" s="38" t="s">
        <v>24</v>
      </c>
      <c r="I1676" s="30">
        <v>43951</v>
      </c>
      <c r="J1676" s="58">
        <v>273362</v>
      </c>
      <c r="K1676" s="32">
        <v>2289805</v>
      </c>
      <c r="L1676" s="32"/>
      <c r="M1676" s="33">
        <f>(PROVEEDORES[[#This Row],[SUBTOTAL]]-PROVEEDORES[[#This Row],[descuento antes de IVA]])*VLOOKUP(PROVEEDORES[[#This Row],[PROVEEDOR]],TERCEROS_INFO[#All],3,FALSE)</f>
        <v>0</v>
      </c>
      <c r="N1676" s="34"/>
      <c r="O1676" s="33">
        <f>+PROVEEDORES[[#This Row],[Descuento sobre subtotal %]]*(PROVEEDORES[[#This Row],[SUBTOTAL]]-PROVEEDORES[[#This Row],[descuento antes de IVA]])</f>
        <v>0</v>
      </c>
      <c r="P16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6" s="33">
        <f>+(PROVEEDORES[[#This Row],[SUBTOTAL]]-PROVEEDORES[[#This Row],[descuento antes de IVA]])*PROVEEDORES[[#This Row],[Rete Fuente %]]</f>
        <v>0</v>
      </c>
      <c r="R1676" s="32">
        <f>+PROVEEDORES[[#This Row],[SUBTOTAL]]+PROVEEDORES[[#This Row],[IVA 19%]]-PROVEEDORES[[#This Row],[descuento antes de IVA]]-PROVEEDORES[[#This Row],[Descuento sobre subtotal $]]-PROVEEDORES[[#This Row],[Rete Fuente $]]</f>
        <v>2289805</v>
      </c>
      <c r="S167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7" spans="1:19" ht="21.95" hidden="1" customHeight="1" x14ac:dyDescent="0.25">
      <c r="A1677" s="39" t="str">
        <f>+IF(PROVEEDORES[[#This Row],[FECHA DE PAGO]]=PROVEEDORES[[#This Row],[FECHA DE FACTURACIÓN]],"DE CONTADO","CRÉDITO")</f>
        <v>CRÉDITO</v>
      </c>
      <c r="B1677" s="67" t="b">
        <f>+IF((PROVEEDORES[[#This Row],[FECHA DE PAGO]]-PROVEEDORES[[#This Row],[FECHA DE FACTURACIÓN]])&gt;PROVEEDORES[[#This Row],[PLAZO Días]],"PAGO VENCIDO")</f>
        <v>0</v>
      </c>
      <c r="C1677" s="27">
        <f>+VLOOKUP(PROVEEDORES[[#This Row],[PROVEEDOR]],TERCEROS_INFO[#All],2,FALSE)</f>
        <v>10</v>
      </c>
      <c r="D1677" s="37">
        <f>+SUMIFS(PROVEEDORES[Total],PROVEEDORES[PROVEEDOR],PROVEEDORES[[#This Row],[PROVEEDOR]],PROVEEDORES[FECHA DE PAGO],"")</f>
        <v>0</v>
      </c>
      <c r="E1677" s="37" t="s">
        <v>354</v>
      </c>
      <c r="F1677" s="108" t="str">
        <f>+VLOOKUP(PROVEEDORES[[#This Row],[PROVEEDOR]],TERCEROS_INFO[[PROVEEDOR]:[CORREO]],5,FALSE)</f>
        <v/>
      </c>
      <c r="G1677" s="143">
        <v>43986</v>
      </c>
      <c r="H1677" s="38" t="s">
        <v>24</v>
      </c>
      <c r="I1677" s="30">
        <v>43985</v>
      </c>
      <c r="J1677" s="58">
        <v>273979</v>
      </c>
      <c r="K1677" s="32">
        <v>14224650</v>
      </c>
      <c r="L1677" s="32"/>
      <c r="M1677" s="33">
        <f>(PROVEEDORES[[#This Row],[SUBTOTAL]]-PROVEEDORES[[#This Row],[descuento antes de IVA]])*VLOOKUP(PROVEEDORES[[#This Row],[PROVEEDOR]],TERCEROS_INFO[#All],3,FALSE)</f>
        <v>0</v>
      </c>
      <c r="N1677" s="34"/>
      <c r="O1677" s="33">
        <f>+PROVEEDORES[[#This Row],[Descuento sobre subtotal %]]*(PROVEEDORES[[#This Row],[SUBTOTAL]]-PROVEEDORES[[#This Row],[descuento antes de IVA]])</f>
        <v>0</v>
      </c>
      <c r="P16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7" s="33">
        <f>+(PROVEEDORES[[#This Row],[SUBTOTAL]]-PROVEEDORES[[#This Row],[descuento antes de IVA]])*PROVEEDORES[[#This Row],[Rete Fuente %]]</f>
        <v>0</v>
      </c>
      <c r="R1677" s="32">
        <f>+PROVEEDORES[[#This Row],[SUBTOTAL]]+PROVEEDORES[[#This Row],[IVA 19%]]-PROVEEDORES[[#This Row],[descuento antes de IVA]]-PROVEEDORES[[#This Row],[Descuento sobre subtotal $]]-PROVEEDORES[[#This Row],[Rete Fuente $]]</f>
        <v>14224650</v>
      </c>
      <c r="S167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8" spans="1:19" ht="21.95" hidden="1" customHeight="1" x14ac:dyDescent="0.25">
      <c r="A1678" s="39" t="str">
        <f>+IF(PROVEEDORES[[#This Row],[FECHA DE PAGO]]=PROVEEDORES[[#This Row],[FECHA DE FACTURACIÓN]],"DE CONTADO","CRÉDITO")</f>
        <v>CRÉDITO</v>
      </c>
      <c r="B1678" s="67" t="b">
        <f>+IF((PROVEEDORES[[#This Row],[FECHA DE PAGO]]-PROVEEDORES[[#This Row],[FECHA DE FACTURACIÓN]])&gt;PROVEEDORES[[#This Row],[PLAZO Días]],"PAGO VENCIDO")</f>
        <v>0</v>
      </c>
      <c r="C1678" s="27">
        <f>+VLOOKUP(PROVEEDORES[[#This Row],[PROVEEDOR]],TERCEROS_INFO[#All],2,FALSE)</f>
        <v>10</v>
      </c>
      <c r="D1678" s="37">
        <f>+SUMIFS(PROVEEDORES[Total],PROVEEDORES[PROVEEDOR],PROVEEDORES[[#This Row],[PROVEEDOR]],PROVEEDORES[FECHA DE PAGO],"")</f>
        <v>0</v>
      </c>
      <c r="E1678" s="37" t="s">
        <v>354</v>
      </c>
      <c r="F1678" s="108" t="str">
        <f>+VLOOKUP(PROVEEDORES[[#This Row],[PROVEEDOR]],TERCEROS_INFO[[PROVEEDOR]:[CORREO]],5,FALSE)</f>
        <v/>
      </c>
      <c r="G1678" s="143">
        <v>44008</v>
      </c>
      <c r="H1678" s="38" t="s">
        <v>24</v>
      </c>
      <c r="I1678" s="30">
        <v>44005</v>
      </c>
      <c r="J1678" s="58">
        <v>274512</v>
      </c>
      <c r="K1678" s="32">
        <v>4733356</v>
      </c>
      <c r="L1678" s="32"/>
      <c r="M1678" s="33">
        <f>(PROVEEDORES[[#This Row],[SUBTOTAL]]-PROVEEDORES[[#This Row],[descuento antes de IVA]])*VLOOKUP(PROVEEDORES[[#This Row],[PROVEEDOR]],TERCEROS_INFO[#All],3,FALSE)</f>
        <v>0</v>
      </c>
      <c r="N1678" s="34"/>
      <c r="O1678" s="33">
        <f>+PROVEEDORES[[#This Row],[Descuento sobre subtotal %]]*(PROVEEDORES[[#This Row],[SUBTOTAL]]-PROVEEDORES[[#This Row],[descuento antes de IVA]])</f>
        <v>0</v>
      </c>
      <c r="P16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8" s="33">
        <f>+(PROVEEDORES[[#This Row],[SUBTOTAL]]-PROVEEDORES[[#This Row],[descuento antes de IVA]])*PROVEEDORES[[#This Row],[Rete Fuente %]]</f>
        <v>0</v>
      </c>
      <c r="R1678" s="32">
        <f>+PROVEEDORES[[#This Row],[SUBTOTAL]]+PROVEEDORES[[#This Row],[IVA 19%]]-PROVEEDORES[[#This Row],[descuento antes de IVA]]-PROVEEDORES[[#This Row],[Descuento sobre subtotal $]]-PROVEEDORES[[#This Row],[Rete Fuente $]]</f>
        <v>4733356</v>
      </c>
      <c r="S167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79" spans="1:19" ht="21.95" hidden="1" customHeight="1" x14ac:dyDescent="0.25">
      <c r="A1679" s="39" t="str">
        <f>+IF(PROVEEDORES[[#This Row],[FECHA DE PAGO]]=PROVEEDORES[[#This Row],[FECHA DE FACTURACIÓN]],"DE CONTADO","CRÉDITO")</f>
        <v>DE CONTADO</v>
      </c>
      <c r="B1679" s="67" t="b">
        <f>+IF((PROVEEDORES[[#This Row],[FECHA DE PAGO]]-PROVEEDORES[[#This Row],[FECHA DE FACTURACIÓN]])&gt;PROVEEDORES[[#This Row],[PLAZO Días]],"PAGO VENCIDO")</f>
        <v>0</v>
      </c>
      <c r="C1679" s="27">
        <f>+VLOOKUP(PROVEEDORES[[#This Row],[PROVEEDOR]],TERCEROS_INFO[#All],2,FALSE)</f>
        <v>10</v>
      </c>
      <c r="D1679" s="37">
        <f>+SUMIFS(PROVEEDORES[Total],PROVEEDORES[PROVEEDOR],PROVEEDORES[[#This Row],[PROVEEDOR]],PROVEEDORES[FECHA DE PAGO],"")</f>
        <v>0</v>
      </c>
      <c r="E1679" s="37" t="s">
        <v>354</v>
      </c>
      <c r="F1679" s="108" t="str">
        <f>+VLOOKUP(PROVEEDORES[[#This Row],[PROVEEDOR]],TERCEROS_INFO[[PROVEEDOR]:[CORREO]],5,FALSE)</f>
        <v/>
      </c>
      <c r="G1679" s="143">
        <v>44018</v>
      </c>
      <c r="H1679" s="38" t="s">
        <v>24</v>
      </c>
      <c r="I1679" s="30">
        <v>44018</v>
      </c>
      <c r="J1679" s="58">
        <v>274667</v>
      </c>
      <c r="K1679" s="32">
        <v>6774732</v>
      </c>
      <c r="L1679" s="32"/>
      <c r="M1679" s="33">
        <f>(PROVEEDORES[[#This Row],[SUBTOTAL]]-PROVEEDORES[[#This Row],[descuento antes de IVA]])*VLOOKUP(PROVEEDORES[[#This Row],[PROVEEDOR]],TERCEROS_INFO[#All],3,FALSE)</f>
        <v>0</v>
      </c>
      <c r="N1679" s="34"/>
      <c r="O1679" s="33">
        <f>+PROVEEDORES[[#This Row],[Descuento sobre subtotal %]]*(PROVEEDORES[[#This Row],[SUBTOTAL]]-PROVEEDORES[[#This Row],[descuento antes de IVA]])</f>
        <v>0</v>
      </c>
      <c r="P16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79" s="33">
        <f>+(PROVEEDORES[[#This Row],[SUBTOTAL]]-PROVEEDORES[[#This Row],[descuento antes de IVA]])*PROVEEDORES[[#This Row],[Rete Fuente %]]</f>
        <v>0</v>
      </c>
      <c r="R1679" s="32">
        <f>+PROVEEDORES[[#This Row],[SUBTOTAL]]+PROVEEDORES[[#This Row],[IVA 19%]]-PROVEEDORES[[#This Row],[descuento antes de IVA]]-PROVEEDORES[[#This Row],[Descuento sobre subtotal $]]-PROVEEDORES[[#This Row],[Rete Fuente $]]</f>
        <v>6774732</v>
      </c>
      <c r="S167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0" spans="1:19" ht="21.95" hidden="1" customHeight="1" x14ac:dyDescent="0.25">
      <c r="A1680" s="39" t="str">
        <f>+IF(PROVEEDORES[[#This Row],[FECHA DE PAGO]]=PROVEEDORES[[#This Row],[FECHA DE FACTURACIÓN]],"DE CONTADO","CRÉDITO")</f>
        <v>CRÉDITO</v>
      </c>
      <c r="B1680" s="67" t="str">
        <f>+IF((PROVEEDORES[[#This Row],[FECHA DE PAGO]]-PROVEEDORES[[#This Row],[FECHA DE FACTURACIÓN]])&gt;PROVEEDORES[[#This Row],[PLAZO Días]],"PAGO VENCIDO")</f>
        <v>PAGO VENCIDO</v>
      </c>
      <c r="C1680" s="27">
        <f>+VLOOKUP(PROVEEDORES[[#This Row],[PROVEEDOR]],TERCEROS_INFO[#All],2,FALSE)</f>
        <v>10</v>
      </c>
      <c r="D1680" s="37">
        <f>+SUMIFS(PROVEEDORES[Total],PROVEEDORES[PROVEEDOR],PROVEEDORES[[#This Row],[PROVEEDOR]],PROVEEDORES[FECHA DE PAGO],"")</f>
        <v>0</v>
      </c>
      <c r="E1680" s="37"/>
      <c r="F1680" s="108" t="str">
        <f>+VLOOKUP(PROVEEDORES[[#This Row],[PROVEEDOR]],TERCEROS_INFO[[PROVEEDOR]:[CORREO]],5,FALSE)</f>
        <v/>
      </c>
      <c r="G1680" s="143">
        <v>44104</v>
      </c>
      <c r="H1680" s="38" t="s">
        <v>24</v>
      </c>
      <c r="I1680" s="30">
        <v>44075</v>
      </c>
      <c r="J1680" s="58">
        <v>276166</v>
      </c>
      <c r="K1680" s="32">
        <v>6868500</v>
      </c>
      <c r="L1680" s="32"/>
      <c r="M1680" s="33">
        <f>(PROVEEDORES[[#This Row],[SUBTOTAL]]-PROVEEDORES[[#This Row],[descuento antes de IVA]])*VLOOKUP(PROVEEDORES[[#This Row],[PROVEEDOR]],TERCEROS_INFO[#All],3,FALSE)</f>
        <v>0</v>
      </c>
      <c r="N1680" s="34"/>
      <c r="O1680" s="33">
        <f>+PROVEEDORES[[#This Row],[Descuento sobre subtotal %]]*(PROVEEDORES[[#This Row],[SUBTOTAL]]-PROVEEDORES[[#This Row],[descuento antes de IVA]])</f>
        <v>0</v>
      </c>
      <c r="P16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0" s="33">
        <f>+(PROVEEDORES[[#This Row],[SUBTOTAL]]-PROVEEDORES[[#This Row],[descuento antes de IVA]])*PROVEEDORES[[#This Row],[Rete Fuente %]]</f>
        <v>0</v>
      </c>
      <c r="R1680" s="32">
        <f>+PROVEEDORES[[#This Row],[SUBTOTAL]]+PROVEEDORES[[#This Row],[IVA 19%]]-PROVEEDORES[[#This Row],[descuento antes de IVA]]-PROVEEDORES[[#This Row],[Descuento sobre subtotal $]]-PROVEEDORES[[#This Row],[Rete Fuente $]]</f>
        <v>6868500</v>
      </c>
      <c r="S168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1" spans="1:19" ht="21.95" hidden="1" customHeight="1" x14ac:dyDescent="0.25">
      <c r="A1681" s="39" t="str">
        <f>+IF(PROVEEDORES[[#This Row],[FECHA DE PAGO]]=PROVEEDORES[[#This Row],[FECHA DE FACTURACIÓN]],"DE CONTADO","CRÉDITO")</f>
        <v>CRÉDITO</v>
      </c>
      <c r="B1681" s="67" t="b">
        <f>+IF((PROVEEDORES[[#This Row],[FECHA DE PAGO]]-PROVEEDORES[[#This Row],[FECHA DE FACTURACIÓN]])&gt;PROVEEDORES[[#This Row],[PLAZO Días]],"PAGO VENCIDO")</f>
        <v>0</v>
      </c>
      <c r="C1681" s="27">
        <f>+VLOOKUP(PROVEEDORES[[#This Row],[PROVEEDOR]],TERCEROS_INFO[#All],2,FALSE)</f>
        <v>10</v>
      </c>
      <c r="D1681" s="37">
        <f>+SUMIFS(PROVEEDORES[Total],PROVEEDORES[PROVEEDOR],PROVEEDORES[[#This Row],[PROVEEDOR]],PROVEEDORES[FECHA DE PAGO],"")</f>
        <v>0</v>
      </c>
      <c r="E1681" s="37" t="s">
        <v>354</v>
      </c>
      <c r="F1681" s="108" t="str">
        <f>+VLOOKUP(PROVEEDORES[[#This Row],[PROVEEDOR]],TERCEROS_INFO[[PROVEEDOR]:[CORREO]],5,FALSE)</f>
        <v/>
      </c>
      <c r="G1681" s="143">
        <v>44091</v>
      </c>
      <c r="H1681" s="38" t="s">
        <v>24</v>
      </c>
      <c r="I1681" s="30">
        <v>44090</v>
      </c>
      <c r="J1681" s="58">
        <v>276857</v>
      </c>
      <c r="K1681" s="32">
        <v>1520000</v>
      </c>
      <c r="L1681" s="32"/>
      <c r="M1681" s="33">
        <f>(PROVEEDORES[[#This Row],[SUBTOTAL]]-PROVEEDORES[[#This Row],[descuento antes de IVA]])*VLOOKUP(PROVEEDORES[[#This Row],[PROVEEDOR]],TERCEROS_INFO[#All],3,FALSE)</f>
        <v>0</v>
      </c>
      <c r="N1681" s="34"/>
      <c r="O1681" s="33">
        <f>+PROVEEDORES[[#This Row],[Descuento sobre subtotal %]]*(PROVEEDORES[[#This Row],[SUBTOTAL]]-PROVEEDORES[[#This Row],[descuento antes de IVA]])</f>
        <v>0</v>
      </c>
      <c r="P16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1" s="33">
        <f>+(PROVEEDORES[[#This Row],[SUBTOTAL]]-PROVEEDORES[[#This Row],[descuento antes de IVA]])*PROVEEDORES[[#This Row],[Rete Fuente %]]</f>
        <v>0</v>
      </c>
      <c r="R1681" s="32">
        <f>+PROVEEDORES[[#This Row],[SUBTOTAL]]+PROVEEDORES[[#This Row],[IVA 19%]]-PROVEEDORES[[#This Row],[descuento antes de IVA]]-PROVEEDORES[[#This Row],[Descuento sobre subtotal $]]-PROVEEDORES[[#This Row],[Rete Fuente $]]</f>
        <v>1520000</v>
      </c>
      <c r="S168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2" spans="1:19" ht="21.95" hidden="1" customHeight="1" x14ac:dyDescent="0.25">
      <c r="A1682" s="39" t="str">
        <f>+IF(PROVEEDORES[[#This Row],[FECHA DE PAGO]]=PROVEEDORES[[#This Row],[FECHA DE FACTURACIÓN]],"DE CONTADO","CRÉDITO")</f>
        <v>CRÉDITO</v>
      </c>
      <c r="B1682" s="67" t="b">
        <f>+IF((PROVEEDORES[[#This Row],[FECHA DE PAGO]]-PROVEEDORES[[#This Row],[FECHA DE FACTURACIÓN]])&gt;PROVEEDORES[[#This Row],[PLAZO Días]],"PAGO VENCIDO")</f>
        <v>0</v>
      </c>
      <c r="C1682" s="27">
        <f>+VLOOKUP(PROVEEDORES[[#This Row],[PROVEEDOR]],TERCEROS_INFO[#All],2,FALSE)</f>
        <v>10</v>
      </c>
      <c r="D1682" s="37">
        <f>+SUMIFS(PROVEEDORES[Total],PROVEEDORES[PROVEEDOR],PROVEEDORES[[#This Row],[PROVEEDOR]],PROVEEDORES[FECHA DE PAGO],"")</f>
        <v>0</v>
      </c>
      <c r="E1682" s="37"/>
      <c r="F1682" s="108" t="str">
        <f>+VLOOKUP(PROVEEDORES[[#This Row],[PROVEEDOR]],TERCEROS_INFO[[PROVEEDOR]:[CORREO]],5,FALSE)</f>
        <v/>
      </c>
      <c r="G1682" s="143">
        <v>44091</v>
      </c>
      <c r="H1682" s="38" t="s">
        <v>24</v>
      </c>
      <c r="I1682" s="30">
        <v>44090</v>
      </c>
      <c r="J1682" s="58">
        <v>276857</v>
      </c>
      <c r="K1682" s="32">
        <v>1560000</v>
      </c>
      <c r="L1682" s="32"/>
      <c r="M1682" s="33">
        <f>(PROVEEDORES[[#This Row],[SUBTOTAL]]-PROVEEDORES[[#This Row],[descuento antes de IVA]])*VLOOKUP(PROVEEDORES[[#This Row],[PROVEEDOR]],TERCEROS_INFO[#All],3,FALSE)</f>
        <v>0</v>
      </c>
      <c r="N1682" s="34"/>
      <c r="O1682" s="33">
        <f>+PROVEEDORES[[#This Row],[Descuento sobre subtotal %]]*(PROVEEDORES[[#This Row],[SUBTOTAL]]-PROVEEDORES[[#This Row],[descuento antes de IVA]])</f>
        <v>0</v>
      </c>
      <c r="P16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2" s="33">
        <f>+(PROVEEDORES[[#This Row],[SUBTOTAL]]-PROVEEDORES[[#This Row],[descuento antes de IVA]])*PROVEEDORES[[#This Row],[Rete Fuente %]]</f>
        <v>0</v>
      </c>
      <c r="R1682" s="32">
        <f>+PROVEEDORES[[#This Row],[SUBTOTAL]]+PROVEEDORES[[#This Row],[IVA 19%]]-PROVEEDORES[[#This Row],[descuento antes de IVA]]-PROVEEDORES[[#This Row],[Descuento sobre subtotal $]]-PROVEEDORES[[#This Row],[Rete Fuente $]]</f>
        <v>1560000</v>
      </c>
      <c r="S168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3" spans="1:19" ht="21.95" hidden="1" customHeight="1" x14ac:dyDescent="0.25">
      <c r="A1683" s="39" t="str">
        <f>+IF(PROVEEDORES[[#This Row],[FECHA DE PAGO]]=PROVEEDORES[[#This Row],[FECHA DE FACTURACIÓN]],"DE CONTADO","CRÉDITO")</f>
        <v>CRÉDITO</v>
      </c>
      <c r="B1683" s="67" t="b">
        <f>+IF((PROVEEDORES[[#This Row],[FECHA DE PAGO]]-PROVEEDORES[[#This Row],[FECHA DE FACTURACIÓN]])&gt;PROVEEDORES[[#This Row],[PLAZO Días]],"PAGO VENCIDO")</f>
        <v>0</v>
      </c>
      <c r="C1683" s="27">
        <f>+VLOOKUP(PROVEEDORES[[#This Row],[PROVEEDOR]],TERCEROS_INFO[#All],2,FALSE)</f>
        <v>10</v>
      </c>
      <c r="D1683" s="37">
        <f>+SUMIFS(PROVEEDORES[Total],PROVEEDORES[PROVEEDOR],PROVEEDORES[[#This Row],[PROVEEDOR]],PROVEEDORES[FECHA DE PAGO],"")</f>
        <v>0</v>
      </c>
      <c r="E1683" s="37"/>
      <c r="F1683" s="108" t="str">
        <f>+VLOOKUP(PROVEEDORES[[#This Row],[PROVEEDOR]],TERCEROS_INFO[[PROVEEDOR]:[CORREO]],5,FALSE)</f>
        <v/>
      </c>
      <c r="G1683" s="143">
        <v>44092</v>
      </c>
      <c r="H1683" s="38" t="s">
        <v>24</v>
      </c>
      <c r="I1683" s="30">
        <v>44091</v>
      </c>
      <c r="J1683" s="58">
        <v>276833</v>
      </c>
      <c r="K1683" s="32">
        <v>8070698.9999999991</v>
      </c>
      <c r="L1683" s="32"/>
      <c r="M1683" s="33">
        <f>(PROVEEDORES[[#This Row],[SUBTOTAL]]-PROVEEDORES[[#This Row],[descuento antes de IVA]])*VLOOKUP(PROVEEDORES[[#This Row],[PROVEEDOR]],TERCEROS_INFO[#All],3,FALSE)</f>
        <v>0</v>
      </c>
      <c r="N1683" s="34"/>
      <c r="O1683" s="33">
        <f>+PROVEEDORES[[#This Row],[Descuento sobre subtotal %]]*(PROVEEDORES[[#This Row],[SUBTOTAL]]-PROVEEDORES[[#This Row],[descuento antes de IVA]])</f>
        <v>0</v>
      </c>
      <c r="P16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3" s="33">
        <f>+(PROVEEDORES[[#This Row],[SUBTOTAL]]-PROVEEDORES[[#This Row],[descuento antes de IVA]])*PROVEEDORES[[#This Row],[Rete Fuente %]]</f>
        <v>0</v>
      </c>
      <c r="R1683" s="32">
        <f>+PROVEEDORES[[#This Row],[SUBTOTAL]]+PROVEEDORES[[#This Row],[IVA 19%]]-PROVEEDORES[[#This Row],[descuento antes de IVA]]-PROVEEDORES[[#This Row],[Descuento sobre subtotal $]]-PROVEEDORES[[#This Row],[Rete Fuente $]]</f>
        <v>8070698.9999999991</v>
      </c>
      <c r="S168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4" spans="1:19" ht="21.95" hidden="1" customHeight="1" x14ac:dyDescent="0.25">
      <c r="A1684" s="39" t="str">
        <f>+IF(PROVEEDORES[[#This Row],[FECHA DE PAGO]]=PROVEEDORES[[#This Row],[FECHA DE FACTURACIÓN]],"DE CONTADO","CRÉDITO")</f>
        <v>CRÉDITO</v>
      </c>
      <c r="B1684" s="67" t="b">
        <f>+IF((PROVEEDORES[[#This Row],[FECHA DE PAGO]]-PROVEEDORES[[#This Row],[FECHA DE FACTURACIÓN]])&gt;PROVEEDORES[[#This Row],[PLAZO Días]],"PAGO VENCIDO")</f>
        <v>0</v>
      </c>
      <c r="C1684" s="27">
        <f>+VLOOKUP(PROVEEDORES[[#This Row],[PROVEEDOR]],TERCEROS_INFO[#All],2,FALSE)</f>
        <v>10</v>
      </c>
      <c r="D1684" s="37">
        <f>+SUMIFS(PROVEEDORES[Total],PROVEEDORES[PROVEEDOR],PROVEEDORES[[#This Row],[PROVEEDOR]],PROVEEDORES[FECHA DE PAGO],"")</f>
        <v>0</v>
      </c>
      <c r="E1684" s="37"/>
      <c r="F1684" s="108" t="str">
        <f>+VLOOKUP(PROVEEDORES[[#This Row],[PROVEEDOR]],TERCEROS_INFO[[PROVEEDOR]:[CORREO]],5,FALSE)</f>
        <v/>
      </c>
      <c r="G1684" s="143">
        <v>44146</v>
      </c>
      <c r="H1684" s="38" t="s">
        <v>24</v>
      </c>
      <c r="I1684" s="30">
        <v>44147</v>
      </c>
      <c r="J1684" s="58">
        <v>278259</v>
      </c>
      <c r="K1684" s="32">
        <v>10665650</v>
      </c>
      <c r="L1684" s="32"/>
      <c r="M1684" s="33">
        <f>(PROVEEDORES[[#This Row],[SUBTOTAL]]-PROVEEDORES[[#This Row],[descuento antes de IVA]])*VLOOKUP(PROVEEDORES[[#This Row],[PROVEEDOR]],TERCEROS_INFO[#All],3,FALSE)</f>
        <v>0</v>
      </c>
      <c r="N1684" s="34"/>
      <c r="O1684" s="33">
        <f>+PROVEEDORES[[#This Row],[Descuento sobre subtotal %]]*(PROVEEDORES[[#This Row],[SUBTOTAL]]-PROVEEDORES[[#This Row],[descuento antes de IVA]])</f>
        <v>0</v>
      </c>
      <c r="P16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4" s="33">
        <f>+(PROVEEDORES[[#This Row],[SUBTOTAL]]-PROVEEDORES[[#This Row],[descuento antes de IVA]])*PROVEEDORES[[#This Row],[Rete Fuente %]]</f>
        <v>0</v>
      </c>
      <c r="R1684" s="32">
        <f>+PROVEEDORES[[#This Row],[SUBTOTAL]]+PROVEEDORES[[#This Row],[IVA 19%]]-PROVEEDORES[[#This Row],[descuento antes de IVA]]-PROVEEDORES[[#This Row],[Descuento sobre subtotal $]]-PROVEEDORES[[#This Row],[Rete Fuente $]]</f>
        <v>10665650</v>
      </c>
      <c r="S168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5" spans="1:19" ht="21.95" hidden="1" customHeight="1" x14ac:dyDescent="0.25">
      <c r="A1685" s="35" t="str">
        <f>+IF(PROVEEDORES[[#This Row],[FECHA DE PAGO]]=PROVEEDORES[[#This Row],[FECHA DE FACTURACIÓN]],"DE CONTADO","CRÉDITO")</f>
        <v>CRÉDITO</v>
      </c>
      <c r="B1685" s="67" t="b">
        <f>+IF((PROVEEDORES[[#This Row],[FECHA DE PAGO]]-PROVEEDORES[[#This Row],[FECHA DE FACTURACIÓN]])&gt;PROVEEDORES[[#This Row],[PLAZO Días]],"PAGO VENCIDO")</f>
        <v>0</v>
      </c>
      <c r="C1685" s="27">
        <f>+VLOOKUP(PROVEEDORES[[#This Row],[PROVEEDOR]],TERCEROS_INFO[#All],2,FALSE)</f>
        <v>10</v>
      </c>
      <c r="D1685" s="37">
        <f>+SUMIFS(PROVEEDORES[Total],PROVEEDORES[PROVEEDOR],PROVEEDORES[[#This Row],[PROVEEDOR]],PROVEEDORES[FECHA DE PAGO],"")</f>
        <v>0</v>
      </c>
      <c r="E1685" s="37"/>
      <c r="F1685" s="108" t="str">
        <f>+VLOOKUP(PROVEEDORES[[#This Row],[PROVEEDOR]],TERCEROS_INFO[[PROVEEDOR]:[CORREO]],5,FALSE)</f>
        <v/>
      </c>
      <c r="G1685" s="143">
        <v>44215</v>
      </c>
      <c r="H1685" s="38" t="s">
        <v>24</v>
      </c>
      <c r="I1685" s="30">
        <v>44205</v>
      </c>
      <c r="J1685" s="58">
        <v>279400</v>
      </c>
      <c r="K1685" s="32">
        <f>3500*1311.5</f>
        <v>4590250</v>
      </c>
      <c r="L1685" s="32"/>
      <c r="M1685" s="33">
        <f>(PROVEEDORES[[#This Row],[SUBTOTAL]]-PROVEEDORES[[#This Row],[descuento antes de IVA]])*VLOOKUP(PROVEEDORES[[#This Row],[PROVEEDOR]],TERCEROS_INFO[#All],3,FALSE)</f>
        <v>0</v>
      </c>
      <c r="N1685" s="34"/>
      <c r="O1685" s="33">
        <f>+PROVEEDORES[[#This Row],[Descuento sobre subtotal %]]*(PROVEEDORES[[#This Row],[SUBTOTAL]]-PROVEEDORES[[#This Row],[descuento antes de IVA]])</f>
        <v>0</v>
      </c>
      <c r="P16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5" s="33">
        <f>+(PROVEEDORES[[#This Row],[SUBTOTAL]]-PROVEEDORES[[#This Row],[descuento antes de IVA]])*PROVEEDORES[[#This Row],[Rete Fuente %]]</f>
        <v>0</v>
      </c>
      <c r="R1685" s="32">
        <f>+PROVEEDORES[[#This Row],[SUBTOTAL]]+PROVEEDORES[[#This Row],[IVA 19%]]-PROVEEDORES[[#This Row],[descuento antes de IVA]]-PROVEEDORES[[#This Row],[Descuento sobre subtotal $]]-PROVEEDORES[[#This Row],[Rete Fuente $]]</f>
        <v>4590250</v>
      </c>
      <c r="S168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6" spans="1:19" ht="21.95" hidden="1" customHeight="1" x14ac:dyDescent="0.25">
      <c r="A1686" s="88" t="str">
        <f>+IF(PROVEEDORES[[#This Row],[FECHA DE PAGO]]=PROVEEDORES[[#This Row],[FECHA DE FACTURACIÓN]],"DE CONTADO","CRÉDITO")</f>
        <v>CRÉDITO</v>
      </c>
      <c r="B1686" s="70" t="b">
        <f>+IF((PROVEEDORES[[#This Row],[FECHA DE PAGO]]-PROVEEDORES[[#This Row],[FECHA DE FACTURACIÓN]])&gt;PROVEEDORES[[#This Row],[PLAZO Días]],"PAGO VENCIDO")</f>
        <v>0</v>
      </c>
      <c r="C1686" s="27">
        <f>+VLOOKUP(PROVEEDORES[[#This Row],[PROVEEDOR]],TERCEROS_INFO[#All],2,FALSE)</f>
        <v>10</v>
      </c>
      <c r="D1686" s="37">
        <f>+SUMIFS(PROVEEDORES[Total],PROVEEDORES[PROVEEDOR],PROVEEDORES[[#This Row],[PROVEEDOR]],PROVEEDORES[FECHA DE PAGO],"")</f>
        <v>0</v>
      </c>
      <c r="E1686" s="37"/>
      <c r="F1686" s="108" t="str">
        <f>+VLOOKUP(PROVEEDORES[[#This Row],[PROVEEDOR]],TERCEROS_INFO[[PROVEEDOR]:[CORREO]],5,FALSE)</f>
        <v/>
      </c>
      <c r="G1686" s="143">
        <v>44239</v>
      </c>
      <c r="H1686" s="38" t="s">
        <v>24</v>
      </c>
      <c r="I1686" s="30">
        <v>44238</v>
      </c>
      <c r="J1686" s="58">
        <v>280191</v>
      </c>
      <c r="K1686" s="32">
        <f>1889.25*3600</f>
        <v>6801300</v>
      </c>
      <c r="L1686" s="32"/>
      <c r="M1686" s="33">
        <f>(PROVEEDORES[[#This Row],[SUBTOTAL]]-PROVEEDORES[[#This Row],[descuento antes de IVA]])*VLOOKUP(PROVEEDORES[[#This Row],[PROVEEDOR]],TERCEROS_INFO[#All],3,FALSE)</f>
        <v>0</v>
      </c>
      <c r="N1686" s="34"/>
      <c r="O1686" s="33">
        <f>+PROVEEDORES[[#This Row],[Descuento sobre subtotal %]]*(PROVEEDORES[[#This Row],[SUBTOTAL]]-PROVEEDORES[[#This Row],[descuento antes de IVA]])</f>
        <v>0</v>
      </c>
      <c r="P16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6" s="33">
        <f>+(PROVEEDORES[[#This Row],[SUBTOTAL]]-PROVEEDORES[[#This Row],[descuento antes de IVA]])*PROVEEDORES[[#This Row],[Rete Fuente %]]</f>
        <v>0</v>
      </c>
      <c r="R1686" s="32">
        <f>+PROVEEDORES[[#This Row],[SUBTOTAL]]+PROVEEDORES[[#This Row],[IVA 19%]]-PROVEEDORES[[#This Row],[descuento antes de IVA]]-PROVEEDORES[[#This Row],[Descuento sobre subtotal $]]-PROVEEDORES[[#This Row],[Rete Fuente $]]</f>
        <v>6801300</v>
      </c>
      <c r="S168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7" spans="1:19" ht="21.95" hidden="1" customHeight="1" x14ac:dyDescent="0.25">
      <c r="A1687" s="88" t="str">
        <f>+IF(PROVEEDORES[[#This Row],[FECHA DE PAGO]]=PROVEEDORES[[#This Row],[FECHA DE FACTURACIÓN]],"DE CONTADO","CRÉDITO")</f>
        <v>CRÉDITO</v>
      </c>
      <c r="B1687" s="70" t="b">
        <f>+IF((PROVEEDORES[[#This Row],[FECHA DE PAGO]]-PROVEEDORES[[#This Row],[FECHA DE FACTURACIÓN]])&gt;PROVEEDORES[[#This Row],[PLAZO Días]],"PAGO VENCIDO")</f>
        <v>0</v>
      </c>
      <c r="C1687" s="27">
        <f>+VLOOKUP(PROVEEDORES[[#This Row],[PROVEEDOR]],TERCEROS_INFO[#All],2,FALSE)</f>
        <v>10</v>
      </c>
      <c r="D1687" s="37">
        <f>+SUMIFS(PROVEEDORES[Total],PROVEEDORES[PROVEEDOR],PROVEEDORES[[#This Row],[PROVEEDOR]],PROVEEDORES[FECHA DE PAGO],"")</f>
        <v>0</v>
      </c>
      <c r="E1687" s="37"/>
      <c r="F1687" s="108" t="str">
        <f>+VLOOKUP(PROVEEDORES[[#This Row],[PROVEEDOR]],TERCEROS_INFO[[PROVEEDOR]:[CORREO]],5,FALSE)</f>
        <v/>
      </c>
      <c r="G1687" s="143">
        <v>44270</v>
      </c>
      <c r="H1687" s="38" t="s">
        <v>24</v>
      </c>
      <c r="I1687" s="30">
        <v>44265</v>
      </c>
      <c r="J1687" s="58">
        <v>280663</v>
      </c>
      <c r="K1687" s="32">
        <f>2094*3600</f>
        <v>7538400</v>
      </c>
      <c r="L1687" s="32"/>
      <c r="M1687" s="33">
        <f>(PROVEEDORES[[#This Row],[SUBTOTAL]]-PROVEEDORES[[#This Row],[descuento antes de IVA]])*VLOOKUP(PROVEEDORES[[#This Row],[PROVEEDOR]],TERCEROS_INFO[#All],3,FALSE)</f>
        <v>0</v>
      </c>
      <c r="N1687" s="34"/>
      <c r="O1687" s="33">
        <f>+PROVEEDORES[[#This Row],[Descuento sobre subtotal %]]*(PROVEEDORES[[#This Row],[SUBTOTAL]]-PROVEEDORES[[#This Row],[descuento antes de IVA]])</f>
        <v>0</v>
      </c>
      <c r="P16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7" s="33">
        <f>+(PROVEEDORES[[#This Row],[SUBTOTAL]]-PROVEEDORES[[#This Row],[descuento antes de IVA]])*PROVEEDORES[[#This Row],[Rete Fuente %]]</f>
        <v>0</v>
      </c>
      <c r="R1687" s="32">
        <f>+PROVEEDORES[[#This Row],[SUBTOTAL]]+PROVEEDORES[[#This Row],[IVA 19%]]-PROVEEDORES[[#This Row],[descuento antes de IVA]]-PROVEEDORES[[#This Row],[Descuento sobre subtotal $]]-PROVEEDORES[[#This Row],[Rete Fuente $]]</f>
        <v>7538400</v>
      </c>
      <c r="S1687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8" spans="1:19" ht="21.95" hidden="1" customHeight="1" x14ac:dyDescent="0.25">
      <c r="A1688" s="102" t="str">
        <f>+IF(PROVEEDORES[[#This Row],[FECHA DE PAGO]]=PROVEEDORES[[#This Row],[FECHA DE FACTURACIÓN]],"DE CONTADO","CRÉDITO")</f>
        <v>CRÉDITO</v>
      </c>
      <c r="B1688" s="70" t="b">
        <f>+IF((PROVEEDORES[[#This Row],[FECHA DE PAGO]]-PROVEEDORES[[#This Row],[FECHA DE FACTURACIÓN]])&gt;PROVEEDORES[[#This Row],[PLAZO Días]],"PAGO VENCIDO")</f>
        <v>0</v>
      </c>
      <c r="C1688" s="27">
        <f>+VLOOKUP(PROVEEDORES[[#This Row],[PROVEEDOR]],TERCEROS_INFO[#All],2,FALSE)</f>
        <v>10</v>
      </c>
      <c r="D1688" s="37">
        <f>+SUMIFS(PROVEEDORES[Total],PROVEEDORES[PROVEEDOR],PROVEEDORES[[#This Row],[PROVEEDOR]],PROVEEDORES[FECHA DE PAGO],"")</f>
        <v>0</v>
      </c>
      <c r="E1688" s="37"/>
      <c r="F1688" s="108" t="str">
        <f>+VLOOKUP(PROVEEDORES[[#This Row],[PROVEEDOR]],TERCEROS_INFO[[PROVEEDOR]:[CORREO]],5,FALSE)</f>
        <v/>
      </c>
      <c r="G1688" s="143">
        <v>44299</v>
      </c>
      <c r="H1688" s="38" t="s">
        <v>24</v>
      </c>
      <c r="I1688" s="30">
        <v>44296</v>
      </c>
      <c r="J1688" s="58">
        <v>281564</v>
      </c>
      <c r="K1688" s="32">
        <f>3585.5*3700</f>
        <v>13266350</v>
      </c>
      <c r="L1688" s="32"/>
      <c r="M1688" s="33">
        <f>(PROVEEDORES[[#This Row],[SUBTOTAL]]-PROVEEDORES[[#This Row],[descuento antes de IVA]])*VLOOKUP(PROVEEDORES[[#This Row],[PROVEEDOR]],TERCEROS_INFO[#All],3,FALSE)</f>
        <v>0</v>
      </c>
      <c r="N1688" s="34"/>
      <c r="O1688" s="33">
        <f>+PROVEEDORES[[#This Row],[Descuento sobre subtotal %]]*(PROVEEDORES[[#This Row],[SUBTOTAL]]-PROVEEDORES[[#This Row],[descuento antes de IVA]])</f>
        <v>0</v>
      </c>
      <c r="P16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8" s="33">
        <f>+(PROVEEDORES[[#This Row],[SUBTOTAL]]-PROVEEDORES[[#This Row],[descuento antes de IVA]])*PROVEEDORES[[#This Row],[Rete Fuente %]]</f>
        <v>0</v>
      </c>
      <c r="R1688" s="32">
        <f>+PROVEEDORES[[#This Row],[SUBTOTAL]]+PROVEEDORES[[#This Row],[IVA 19%]]-PROVEEDORES[[#This Row],[descuento antes de IVA]]-PROVEEDORES[[#This Row],[Descuento sobre subtotal $]]-PROVEEDORES[[#This Row],[Rete Fuente $]]</f>
        <v>13266350</v>
      </c>
      <c r="S1688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89" spans="1:19" ht="21.95" hidden="1" customHeight="1" x14ac:dyDescent="0.25">
      <c r="A1689" s="118" t="str">
        <f>+IF(PROVEEDORES[[#This Row],[FECHA DE PAGO]]=PROVEEDORES[[#This Row],[FECHA DE FACTURACIÓN]],"DE CONTADO","CRÉDITO")</f>
        <v>CRÉDITO</v>
      </c>
      <c r="B1689" s="70" t="b">
        <f>+IF((PROVEEDORES[[#This Row],[FECHA DE PAGO]]-PROVEEDORES[[#This Row],[FECHA DE FACTURACIÓN]])&gt;PROVEEDORES[[#This Row],[PLAZO Días]],"PAGO VENCIDO")</f>
        <v>0</v>
      </c>
      <c r="C1689" s="27">
        <f>+VLOOKUP(PROVEEDORES[[#This Row],[PROVEEDOR]],TERCEROS_INFO[#All],2,FALSE)</f>
        <v>10</v>
      </c>
      <c r="D1689" s="37">
        <f>+SUMIFS(PROVEEDORES[Total],PROVEEDORES[PROVEEDOR],PROVEEDORES[[#This Row],[PROVEEDOR]],PROVEEDORES[FECHA DE PAGO],"")</f>
        <v>0</v>
      </c>
      <c r="E1689" s="37"/>
      <c r="F1689" s="108" t="str">
        <f>+VLOOKUP(PROVEEDORES[[#This Row],[PROVEEDOR]],TERCEROS_INFO[[PROVEEDOR]:[CORREO]],5,FALSE)</f>
        <v/>
      </c>
      <c r="G1689" s="143">
        <v>44342</v>
      </c>
      <c r="H1689" s="38" t="s">
        <v>24</v>
      </c>
      <c r="I1689" s="30">
        <v>44341</v>
      </c>
      <c r="J1689" s="58">
        <v>282538</v>
      </c>
      <c r="K1689" s="32">
        <f>2055.5*3800</f>
        <v>7810900</v>
      </c>
      <c r="L1689" s="32"/>
      <c r="M1689" s="33">
        <f>(PROVEEDORES[[#This Row],[SUBTOTAL]]-PROVEEDORES[[#This Row],[descuento antes de IVA]])*VLOOKUP(PROVEEDORES[[#This Row],[PROVEEDOR]],TERCEROS_INFO[#All],3,FALSE)</f>
        <v>0</v>
      </c>
      <c r="N1689" s="34"/>
      <c r="O1689" s="33">
        <f>+PROVEEDORES[[#This Row],[Descuento sobre subtotal %]]*(PROVEEDORES[[#This Row],[SUBTOTAL]]-PROVEEDORES[[#This Row],[descuento antes de IVA]])</f>
        <v>0</v>
      </c>
      <c r="P16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89" s="33">
        <f>+(PROVEEDORES[[#This Row],[SUBTOTAL]]-PROVEEDORES[[#This Row],[descuento antes de IVA]])*PROVEEDORES[[#This Row],[Rete Fuente %]]</f>
        <v>0</v>
      </c>
      <c r="R1689" s="32">
        <f>+PROVEEDORES[[#This Row],[SUBTOTAL]]+PROVEEDORES[[#This Row],[IVA 19%]]-PROVEEDORES[[#This Row],[descuento antes de IVA]]-PROVEEDORES[[#This Row],[Descuento sobre subtotal $]]-PROVEEDORES[[#This Row],[Rete Fuente $]]</f>
        <v>7810900</v>
      </c>
      <c r="S1689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0" spans="1:19" ht="21.95" hidden="1" customHeight="1" x14ac:dyDescent="0.25">
      <c r="A1690" s="35" t="str">
        <f>+IF(PROVEEDORES[[#This Row],[FECHA DE PAGO]]=PROVEEDORES[[#This Row],[FECHA DE FACTURACIÓN]],"DE CONTADO","CRÉDITO")</f>
        <v>CRÉDITO</v>
      </c>
      <c r="B1690" s="70" t="b">
        <f>+IF((PROVEEDORES[[#This Row],[FECHA DE PAGO]]-PROVEEDORES[[#This Row],[FECHA DE FACTURACIÓN]])&gt;PROVEEDORES[[#This Row],[PLAZO Días]],"PAGO VENCIDO")</f>
        <v>0</v>
      </c>
      <c r="C1690" s="27">
        <f>+VLOOKUP(PROVEEDORES[[#This Row],[PROVEEDOR]],TERCEROS_INFO[#All],2,FALSE)</f>
        <v>10</v>
      </c>
      <c r="D1690" s="37">
        <f>+SUMIFS(PROVEEDORES[Total],PROVEEDORES[PROVEEDOR],PROVEEDORES[[#This Row],[PROVEEDOR]],PROVEEDORES[FECHA DE PAGO],"")</f>
        <v>0</v>
      </c>
      <c r="E1690" s="37"/>
      <c r="F1690" s="108" t="str">
        <f>+VLOOKUP(PROVEEDORES[[#This Row],[PROVEEDOR]],TERCEROS_INFO[[PROVEEDOR]:[CORREO]],5,FALSE)</f>
        <v/>
      </c>
      <c r="G1690" s="143">
        <v>44368</v>
      </c>
      <c r="H1690" s="38" t="s">
        <v>24</v>
      </c>
      <c r="I1690" s="30">
        <v>44364</v>
      </c>
      <c r="J1690" s="58">
        <v>283198</v>
      </c>
      <c r="K1690" s="32">
        <f>1640*3800</f>
        <v>6232000</v>
      </c>
      <c r="L1690" s="32"/>
      <c r="M1690" s="33">
        <f>(PROVEEDORES[[#This Row],[SUBTOTAL]]-PROVEEDORES[[#This Row],[descuento antes de IVA]])*VLOOKUP(PROVEEDORES[[#This Row],[PROVEEDOR]],TERCEROS_INFO[#All],3,FALSE)</f>
        <v>0</v>
      </c>
      <c r="N1690" s="34"/>
      <c r="O1690" s="33">
        <f>+PROVEEDORES[[#This Row],[Descuento sobre subtotal %]]*(PROVEEDORES[[#This Row],[SUBTOTAL]]-PROVEEDORES[[#This Row],[descuento antes de IVA]])</f>
        <v>0</v>
      </c>
      <c r="P16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0" s="33">
        <f>+(PROVEEDORES[[#This Row],[SUBTOTAL]]-PROVEEDORES[[#This Row],[descuento antes de IVA]])*PROVEEDORES[[#This Row],[Rete Fuente %]]</f>
        <v>0</v>
      </c>
      <c r="R1690" s="32">
        <f>+PROVEEDORES[[#This Row],[SUBTOTAL]]+PROVEEDORES[[#This Row],[IVA 19%]]-PROVEEDORES[[#This Row],[descuento antes de IVA]]-PROVEEDORES[[#This Row],[Descuento sobre subtotal $]]-PROVEEDORES[[#This Row],[Rete Fuente $]]</f>
        <v>6232000</v>
      </c>
      <c r="S169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1" spans="1:19" ht="21.95" hidden="1" customHeight="1" x14ac:dyDescent="0.25">
      <c r="A1691" s="142" t="str">
        <f>+IF(PROVEEDORES[[#This Row],[FECHA DE PAGO]]=PROVEEDORES[[#This Row],[FECHA DE FACTURACIÓN]],"DE CONTADO","CRÉDITO")</f>
        <v>CRÉDITO</v>
      </c>
      <c r="B1691" s="70" t="b">
        <f>+IF((PROVEEDORES[[#This Row],[FECHA DE PAGO]]-PROVEEDORES[[#This Row],[FECHA DE FACTURACIÓN]])&gt;PROVEEDORES[[#This Row],[PLAZO Días]],"PAGO VENCIDO")</f>
        <v>0</v>
      </c>
      <c r="C1691" s="27">
        <f>+VLOOKUP(PROVEEDORES[[#This Row],[PROVEEDOR]],TERCEROS_INFO[#All],2,FALSE)</f>
        <v>10</v>
      </c>
      <c r="D1691" s="37">
        <f>+SUMIFS(PROVEEDORES[Total],PROVEEDORES[PROVEEDOR],PROVEEDORES[[#This Row],[PROVEEDOR]],PROVEEDORES[FECHA DE PAGO],"")</f>
        <v>0</v>
      </c>
      <c r="E1691" s="37"/>
      <c r="F1691" s="108" t="str">
        <f>+VLOOKUP(PROVEEDORES[[#This Row],[PROVEEDOR]],TERCEROS_INFO[[PROVEEDOR]:[CORREO]],5,FALSE)</f>
        <v/>
      </c>
      <c r="G1691" s="143">
        <v>44431</v>
      </c>
      <c r="H1691" s="38" t="s">
        <v>24</v>
      </c>
      <c r="I1691" s="30">
        <v>44426</v>
      </c>
      <c r="J1691" s="58">
        <v>284593</v>
      </c>
      <c r="K1691" s="32">
        <f>1993.5*3900</f>
        <v>7774650</v>
      </c>
      <c r="L1691" s="32"/>
      <c r="M1691" s="33">
        <f>(PROVEEDORES[[#This Row],[SUBTOTAL]]-PROVEEDORES[[#This Row],[descuento antes de IVA]])*VLOOKUP(PROVEEDORES[[#This Row],[PROVEEDOR]],TERCEROS_INFO[#All],3,FALSE)</f>
        <v>0</v>
      </c>
      <c r="N1691" s="34"/>
      <c r="O1691" s="33">
        <f>+PROVEEDORES[[#This Row],[Descuento sobre subtotal %]]*(PROVEEDORES[[#This Row],[SUBTOTAL]]-PROVEEDORES[[#This Row],[descuento antes de IVA]])</f>
        <v>0</v>
      </c>
      <c r="P16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1" s="33">
        <f>+(PROVEEDORES[[#This Row],[SUBTOTAL]]-PROVEEDORES[[#This Row],[descuento antes de IVA]])*PROVEEDORES[[#This Row],[Rete Fuente %]]</f>
        <v>0</v>
      </c>
      <c r="R1691" s="32">
        <f>+PROVEEDORES[[#This Row],[SUBTOTAL]]+PROVEEDORES[[#This Row],[IVA 19%]]-PROVEEDORES[[#This Row],[descuento antes de IVA]]-PROVEEDORES[[#This Row],[Descuento sobre subtotal $]]-PROVEEDORES[[#This Row],[Rete Fuente $]]</f>
        <v>7774650</v>
      </c>
      <c r="S1691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2" spans="1:19" ht="21.95" hidden="1" customHeight="1" x14ac:dyDescent="0.25">
      <c r="A1692" s="144" t="str">
        <f>+IF(PROVEEDORES[[#This Row],[FECHA DE PAGO]]=PROVEEDORES[[#This Row],[FECHA DE FACTURACIÓN]],"DE CONTADO","CRÉDITO")</f>
        <v>DE CONTADO</v>
      </c>
      <c r="B1692" s="70" t="b">
        <f>+IF((PROVEEDORES[[#This Row],[FECHA DE PAGO]]-PROVEEDORES[[#This Row],[FECHA DE FACTURACIÓN]])&gt;PROVEEDORES[[#This Row],[PLAZO Días]],"PAGO VENCIDO")</f>
        <v>0</v>
      </c>
      <c r="C1692" s="27">
        <f>+VLOOKUP(PROVEEDORES[[#This Row],[PROVEEDOR]],TERCEROS_INFO[#All],2,FALSE)</f>
        <v>10</v>
      </c>
      <c r="D1692" s="37">
        <f>+SUMIFS(PROVEEDORES[Total],PROVEEDORES[PROVEEDOR],PROVEEDORES[[#This Row],[PROVEEDOR]],PROVEEDORES[FECHA DE PAGO],"")</f>
        <v>0</v>
      </c>
      <c r="E1692" s="37"/>
      <c r="F1692" s="108" t="str">
        <f>+VLOOKUP(PROVEEDORES[[#This Row],[PROVEEDOR]],TERCEROS_INFO[[PROVEEDOR]:[CORREO]],5,FALSE)</f>
        <v/>
      </c>
      <c r="G1692" s="143">
        <v>44438</v>
      </c>
      <c r="H1692" s="38" t="s">
        <v>24</v>
      </c>
      <c r="I1692" s="30">
        <v>44438</v>
      </c>
      <c r="J1692" s="58">
        <v>284796</v>
      </c>
      <c r="K1692" s="32">
        <f>615.34*3900</f>
        <v>2399826</v>
      </c>
      <c r="L1692" s="32"/>
      <c r="M1692" s="33">
        <f>(PROVEEDORES[[#This Row],[SUBTOTAL]]-PROVEEDORES[[#This Row],[descuento antes de IVA]])*VLOOKUP(PROVEEDORES[[#This Row],[PROVEEDOR]],TERCEROS_INFO[#All],3,FALSE)</f>
        <v>0</v>
      </c>
      <c r="N1692" s="34"/>
      <c r="O1692" s="33">
        <f>+PROVEEDORES[[#This Row],[Descuento sobre subtotal %]]*(PROVEEDORES[[#This Row],[SUBTOTAL]]-PROVEEDORES[[#This Row],[descuento antes de IVA]])</f>
        <v>0</v>
      </c>
      <c r="P16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2" s="33">
        <f>+(PROVEEDORES[[#This Row],[SUBTOTAL]]-PROVEEDORES[[#This Row],[descuento antes de IVA]])*PROVEEDORES[[#This Row],[Rete Fuente %]]</f>
        <v>0</v>
      </c>
      <c r="R1692" s="32">
        <f>+PROVEEDORES[[#This Row],[SUBTOTAL]]+PROVEEDORES[[#This Row],[IVA 19%]]-PROVEEDORES[[#This Row],[descuento antes de IVA]]-PROVEEDORES[[#This Row],[Descuento sobre subtotal $]]-PROVEEDORES[[#This Row],[Rete Fuente $]]</f>
        <v>2399826</v>
      </c>
      <c r="S1692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3" spans="1:19" ht="21.95" hidden="1" customHeight="1" x14ac:dyDescent="0.25">
      <c r="A1693" s="147" t="str">
        <f>+IF(PROVEEDORES[[#This Row],[FECHA DE PAGO]]=PROVEEDORES[[#This Row],[FECHA DE FACTURACIÓN]],"DE CONTADO","CRÉDITO")</f>
        <v>CRÉDITO</v>
      </c>
      <c r="B1693" s="70" t="b">
        <f>+IF((PROVEEDORES[[#This Row],[FECHA DE PAGO]]-PROVEEDORES[[#This Row],[FECHA DE FACTURACIÓN]])&gt;PROVEEDORES[[#This Row],[PLAZO Días]],"PAGO VENCIDO")</f>
        <v>0</v>
      </c>
      <c r="C1693" s="27">
        <f>+VLOOKUP(PROVEEDORES[[#This Row],[PROVEEDOR]],TERCEROS_INFO[#All],2,FALSE)</f>
        <v>10</v>
      </c>
      <c r="D1693" s="37">
        <f>+SUMIFS(PROVEEDORES[Total],PROVEEDORES[PROVEEDOR],PROVEEDORES[[#This Row],[PROVEEDOR]],PROVEEDORES[FECHA DE PAGO],"")</f>
        <v>0</v>
      </c>
      <c r="E1693" s="37"/>
      <c r="F1693" s="108" t="str">
        <f>+VLOOKUP(PROVEEDORES[[#This Row],[PROVEEDOR]],TERCEROS_INFO[[PROVEEDOR]:[CORREO]],5,FALSE)</f>
        <v/>
      </c>
      <c r="G1693" s="143">
        <v>44454</v>
      </c>
      <c r="H1693" s="38" t="s">
        <v>24</v>
      </c>
      <c r="I1693" s="30">
        <v>44453</v>
      </c>
      <c r="J1693" s="58">
        <v>284978</v>
      </c>
      <c r="K1693" s="32">
        <f>2480.71*3900</f>
        <v>9674769</v>
      </c>
      <c r="L1693" s="32"/>
      <c r="M1693" s="33">
        <f>(PROVEEDORES[[#This Row],[SUBTOTAL]]-PROVEEDORES[[#This Row],[descuento antes de IVA]])*VLOOKUP(PROVEEDORES[[#This Row],[PROVEEDOR]],TERCEROS_INFO[#All],3,FALSE)</f>
        <v>0</v>
      </c>
      <c r="N1693" s="34"/>
      <c r="O1693" s="33">
        <f>+PROVEEDORES[[#This Row],[Descuento sobre subtotal %]]*(PROVEEDORES[[#This Row],[SUBTOTAL]]-PROVEEDORES[[#This Row],[descuento antes de IVA]])</f>
        <v>0</v>
      </c>
      <c r="P16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3" s="33">
        <f>+(PROVEEDORES[[#This Row],[SUBTOTAL]]-PROVEEDORES[[#This Row],[descuento antes de IVA]])*PROVEEDORES[[#This Row],[Rete Fuente %]]</f>
        <v>0</v>
      </c>
      <c r="R1693" s="32">
        <f>+PROVEEDORES[[#This Row],[SUBTOTAL]]+PROVEEDORES[[#This Row],[IVA 19%]]-PROVEEDORES[[#This Row],[descuento antes de IVA]]-PROVEEDORES[[#This Row],[Descuento sobre subtotal $]]-PROVEEDORES[[#This Row],[Rete Fuente $]]</f>
        <v>9674769</v>
      </c>
      <c r="S1693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4" spans="1:19" ht="21.95" hidden="1" customHeight="1" x14ac:dyDescent="0.25">
      <c r="A1694" s="157" t="str">
        <f>+IF(PROVEEDORES[[#This Row],[FECHA DE PAGO]]=PROVEEDORES[[#This Row],[FECHA DE FACTURACIÓN]],"DE CONTADO","CRÉDITO")</f>
        <v>CRÉDITO</v>
      </c>
      <c r="B1694" s="70" t="b">
        <f>+IF((PROVEEDORES[[#This Row],[FECHA DE PAGO]]-PROVEEDORES[[#This Row],[FECHA DE FACTURACIÓN]])&gt;PROVEEDORES[[#This Row],[PLAZO Días]],"PAGO VENCIDO")</f>
        <v>0</v>
      </c>
      <c r="C1694" s="27">
        <f>+VLOOKUP(PROVEEDORES[[#This Row],[PROVEEDOR]],TERCEROS_INFO[#All],2,FALSE)</f>
        <v>10</v>
      </c>
      <c r="D1694" s="37">
        <f>+SUMIFS(PROVEEDORES[Total],PROVEEDORES[PROVEEDOR],PROVEEDORES[[#This Row],[PROVEEDOR]],PROVEEDORES[FECHA DE PAGO],"")</f>
        <v>0</v>
      </c>
      <c r="E1694" s="37"/>
      <c r="F1694" s="108" t="str">
        <f>+VLOOKUP(PROVEEDORES[[#This Row],[PROVEEDOR]],TERCEROS_INFO[[PROVEEDOR]:[CORREO]],5,FALSE)</f>
        <v/>
      </c>
      <c r="G1694" s="143">
        <v>44484</v>
      </c>
      <c r="H1694" s="38" t="s">
        <v>24</v>
      </c>
      <c r="I1694" s="30">
        <v>44475</v>
      </c>
      <c r="J1694" s="58">
        <v>285759</v>
      </c>
      <c r="K1694" s="32">
        <f>1886.11*3800</f>
        <v>7167218</v>
      </c>
      <c r="L1694" s="32"/>
      <c r="M1694" s="33">
        <f>(PROVEEDORES[[#This Row],[SUBTOTAL]]-PROVEEDORES[[#This Row],[descuento antes de IVA]])*VLOOKUP(PROVEEDORES[[#This Row],[PROVEEDOR]],TERCEROS_INFO[#All],3,FALSE)</f>
        <v>0</v>
      </c>
      <c r="N1694" s="34"/>
      <c r="O1694" s="33">
        <f>+PROVEEDORES[[#This Row],[Descuento sobre subtotal %]]*(PROVEEDORES[[#This Row],[SUBTOTAL]]-PROVEEDORES[[#This Row],[descuento antes de IVA]])</f>
        <v>0</v>
      </c>
      <c r="P16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4" s="33">
        <f>+(PROVEEDORES[[#This Row],[SUBTOTAL]]-PROVEEDORES[[#This Row],[descuento antes de IVA]])*PROVEEDORES[[#This Row],[Rete Fuente %]]</f>
        <v>0</v>
      </c>
      <c r="R1694" s="32">
        <f>+PROVEEDORES[[#This Row],[SUBTOTAL]]+PROVEEDORES[[#This Row],[IVA 19%]]-PROVEEDORES[[#This Row],[descuento antes de IVA]]-PROVEEDORES[[#This Row],[Descuento sobre subtotal $]]-PROVEEDORES[[#This Row],[Rete Fuente $]]</f>
        <v>7167218</v>
      </c>
      <c r="S1694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5" spans="1:19" ht="21.95" hidden="1" customHeight="1" x14ac:dyDescent="0.25">
      <c r="A1695" s="156" t="str">
        <f>+IF(PROVEEDORES[[#This Row],[FECHA DE PAGO]]=PROVEEDORES[[#This Row],[FECHA DE FACTURACIÓN]],"DE CONTADO","CRÉDITO")</f>
        <v>CRÉDITO</v>
      </c>
      <c r="B1695" s="70" t="str">
        <f>+IF((PROVEEDORES[[#This Row],[FECHA DE PAGO]]-PROVEEDORES[[#This Row],[FECHA DE FACTURACIÓN]])&gt;PROVEEDORES[[#This Row],[PLAZO Días]],"PAGO VENCIDO")</f>
        <v>PAGO VENCIDO</v>
      </c>
      <c r="C1695" s="27">
        <f>+VLOOKUP(PROVEEDORES[[#This Row],[PROVEEDOR]],TERCEROS_INFO[#All],2,FALSE)</f>
        <v>10</v>
      </c>
      <c r="D1695" s="37">
        <f>+SUMIFS(PROVEEDORES[Total],PROVEEDORES[PROVEEDOR],PROVEEDORES[[#This Row],[PROVEEDOR]],PROVEEDORES[FECHA DE PAGO],"")</f>
        <v>0</v>
      </c>
      <c r="E1695" s="37"/>
      <c r="F1695" s="108" t="str">
        <f>+VLOOKUP(PROVEEDORES[[#This Row],[PROVEEDOR]],TERCEROS_INFO[[PROVEEDOR]:[CORREO]],5,FALSE)</f>
        <v/>
      </c>
      <c r="G1695" s="143">
        <v>44487</v>
      </c>
      <c r="H1695" s="38" t="s">
        <v>24</v>
      </c>
      <c r="I1695" s="30">
        <v>44476</v>
      </c>
      <c r="J1695" s="58">
        <v>285851</v>
      </c>
      <c r="K1695" s="32">
        <f>4742.5*3800</f>
        <v>18021500</v>
      </c>
      <c r="L1695" s="32"/>
      <c r="M1695" s="33">
        <f>(PROVEEDORES[[#This Row],[SUBTOTAL]]-PROVEEDORES[[#This Row],[descuento antes de IVA]])*VLOOKUP(PROVEEDORES[[#This Row],[PROVEEDOR]],TERCEROS_INFO[#All],3,FALSE)</f>
        <v>0</v>
      </c>
      <c r="N1695" s="34"/>
      <c r="O1695" s="33">
        <f>+PROVEEDORES[[#This Row],[Descuento sobre subtotal %]]*(PROVEEDORES[[#This Row],[SUBTOTAL]]-PROVEEDORES[[#This Row],[descuento antes de IVA]])</f>
        <v>0</v>
      </c>
      <c r="P16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5" s="33">
        <f>+(PROVEEDORES[[#This Row],[SUBTOTAL]]-PROVEEDORES[[#This Row],[descuento antes de IVA]])*PROVEEDORES[[#This Row],[Rete Fuente %]]</f>
        <v>0</v>
      </c>
      <c r="R1695" s="32">
        <f>+PROVEEDORES[[#This Row],[SUBTOTAL]]+PROVEEDORES[[#This Row],[IVA 19%]]-PROVEEDORES[[#This Row],[descuento antes de IVA]]-PROVEEDORES[[#This Row],[Descuento sobre subtotal $]]-PROVEEDORES[[#This Row],[Rete Fuente $]]</f>
        <v>18021500</v>
      </c>
      <c r="S1695" s="15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6" spans="1:19" ht="21.95" hidden="1" customHeight="1" x14ac:dyDescent="0.25">
      <c r="A1696" s="35" t="str">
        <f>+IF(PROVEEDORES[[#This Row],[FECHA DE PAGO]]=PROVEEDORES[[#This Row],[FECHA DE FACTURACIÓN]],"DE CONTADO","CRÉDITO")</f>
        <v>CRÉDITO</v>
      </c>
      <c r="B1696" s="70" t="b">
        <f>+IF((PROVEEDORES[[#This Row],[FECHA DE PAGO]]-PROVEEDORES[[#This Row],[FECHA DE FACTURACIÓN]])&gt;PROVEEDORES[[#This Row],[PLAZO Días]],"PAGO VENCIDO")</f>
        <v>0</v>
      </c>
      <c r="C1696" s="27">
        <f>+VLOOKUP(PROVEEDORES[[#This Row],[PROVEEDOR]],TERCEROS_INFO[#All],2,FALSE)</f>
        <v>10</v>
      </c>
      <c r="D1696" s="37">
        <f>+SUMIFS(PROVEEDORES[Total],PROVEEDORES[PROVEEDOR],PROVEEDORES[[#This Row],[PROVEEDOR]],PROVEEDORES[FECHA DE PAGO],"")</f>
        <v>0</v>
      </c>
      <c r="E1696" s="37"/>
      <c r="F1696" s="108" t="str">
        <f>+VLOOKUP(PROVEEDORES[[#This Row],[PROVEEDOR]],TERCEROS_INFO[[PROVEEDOR]:[CORREO]],5,FALSE)</f>
        <v/>
      </c>
      <c r="G1696" s="143">
        <v>44536</v>
      </c>
      <c r="H1696" s="38" t="s">
        <v>24</v>
      </c>
      <c r="I1696" s="30">
        <v>44531</v>
      </c>
      <c r="J1696" s="58">
        <v>286942</v>
      </c>
      <c r="K1696" s="32">
        <f>2637.85*3900</f>
        <v>10287615</v>
      </c>
      <c r="L1696" s="32"/>
      <c r="M1696" s="33">
        <f>(PROVEEDORES[[#This Row],[SUBTOTAL]]-PROVEEDORES[[#This Row],[descuento antes de IVA]])*VLOOKUP(PROVEEDORES[[#This Row],[PROVEEDOR]],TERCEROS_INFO[#All],3,FALSE)</f>
        <v>0</v>
      </c>
      <c r="N1696" s="34"/>
      <c r="O1696" s="33">
        <f>+PROVEEDORES[[#This Row],[Descuento sobre subtotal %]]*(PROVEEDORES[[#This Row],[SUBTOTAL]]-PROVEEDORES[[#This Row],[descuento antes de IVA]])</f>
        <v>0</v>
      </c>
      <c r="P16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6" s="33">
        <f>+(PROVEEDORES[[#This Row],[SUBTOTAL]]-PROVEEDORES[[#This Row],[descuento antes de IVA]])*PROVEEDORES[[#This Row],[Rete Fuente %]]</f>
        <v>0</v>
      </c>
      <c r="R1696" s="32">
        <f>+PROVEEDORES[[#This Row],[SUBTOTAL]]+PROVEEDORES[[#This Row],[IVA 19%]]-PROVEEDORES[[#This Row],[descuento antes de IVA]]-PROVEEDORES[[#This Row],[Descuento sobre subtotal $]]-PROVEEDORES[[#This Row],[Rete Fuente $]]</f>
        <v>10287615</v>
      </c>
      <c r="S169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7" spans="1:19" ht="21.95" hidden="1" customHeight="1" x14ac:dyDescent="0.25">
      <c r="A1697" s="39" t="str">
        <f>+IF(PROVEEDORES[[#This Row],[FECHA DE PAGO]]=PROVEEDORES[[#This Row],[FECHA DE FACTURACIÓN]],"DE CONTADO","CRÉDITO")</f>
        <v>CRÉDITO</v>
      </c>
      <c r="B1697" s="67" t="b">
        <f>+IF((PROVEEDORES[[#This Row],[FECHA DE PAGO]]-PROVEEDORES[[#This Row],[FECHA DE FACTURACIÓN]])&gt;PROVEEDORES[[#This Row],[PLAZO Días]],"PAGO VENCIDO")</f>
        <v>0</v>
      </c>
      <c r="C1697" s="27">
        <f>+VLOOKUP(PROVEEDORES[[#This Row],[PROVEEDOR]],TERCEROS_INFO[#All],2,FALSE)</f>
        <v>45</v>
      </c>
      <c r="D1697" s="37">
        <f>+SUMIFS(PROVEEDORES[Total],PROVEEDORES[PROVEEDOR],PROVEEDORES[[#This Row],[PROVEEDOR]],PROVEEDORES[FECHA DE PAGO],"")</f>
        <v>1416100</v>
      </c>
      <c r="E1697" s="37"/>
      <c r="F1697" s="108" t="str">
        <f>+VLOOKUP(PROVEEDORES[[#This Row],[PROVEEDOR]],TERCEROS_INFO[[PROVEEDOR]:[CORREO]],5,FALSE)</f>
        <v>libardopineda@tronex.com;girlesa.ruiz@servipilas.com;joriescobar64@gmail.com</v>
      </c>
      <c r="G1697" s="143">
        <v>43901</v>
      </c>
      <c r="H1697" s="38" t="s">
        <v>10</v>
      </c>
      <c r="I1697" s="30">
        <v>43859</v>
      </c>
      <c r="J1697" s="58">
        <v>456953</v>
      </c>
      <c r="K1697" s="32">
        <v>732000</v>
      </c>
      <c r="L1697" s="32"/>
      <c r="M1697" s="33">
        <f>(PROVEEDORES[[#This Row],[SUBTOTAL]]-PROVEEDORES[[#This Row],[descuento antes de IVA]])*VLOOKUP(PROVEEDORES[[#This Row],[PROVEEDOR]],TERCEROS_INFO[#All],3,FALSE)</f>
        <v>139080</v>
      </c>
      <c r="N1697" s="34"/>
      <c r="O1697" s="33">
        <f>+PROVEEDORES[[#This Row],[Descuento sobre subtotal %]]*(PROVEEDORES[[#This Row],[SUBTOTAL]]-PROVEEDORES[[#This Row],[descuento antes de IVA]])</f>
        <v>0</v>
      </c>
      <c r="P16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7" s="33">
        <f>+(PROVEEDORES[[#This Row],[SUBTOTAL]]-PROVEEDORES[[#This Row],[descuento antes de IVA]])*PROVEEDORES[[#This Row],[Rete Fuente %]]</f>
        <v>0</v>
      </c>
      <c r="R1697" s="32">
        <f>+PROVEEDORES[[#This Row],[SUBTOTAL]]+PROVEEDORES[[#This Row],[IVA 19%]]-PROVEEDORES[[#This Row],[descuento antes de IVA]]-PROVEEDORES[[#This Row],[Descuento sobre subtotal $]]-PROVEEDORES[[#This Row],[Rete Fuente $]]</f>
        <v>871080</v>
      </c>
      <c r="S169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8" spans="1:19" ht="21.95" hidden="1" customHeight="1" x14ac:dyDescent="0.25">
      <c r="A1698" s="39" t="str">
        <f>+IF(PROVEEDORES[[#This Row],[FECHA DE PAGO]]=PROVEEDORES[[#This Row],[FECHA DE FACTURACIÓN]],"DE CONTADO","CRÉDITO")</f>
        <v>CRÉDITO</v>
      </c>
      <c r="B1698" s="67" t="str">
        <f>+IF((PROVEEDORES[[#This Row],[FECHA DE PAGO]]-PROVEEDORES[[#This Row],[FECHA DE FACTURACIÓN]])&gt;PROVEEDORES[[#This Row],[PLAZO Días]],"PAGO VENCIDO")</f>
        <v>PAGO VENCIDO</v>
      </c>
      <c r="C1698" s="27">
        <f>+VLOOKUP(PROVEEDORES[[#This Row],[PROVEEDOR]],TERCEROS_INFO[#All],2,FALSE)</f>
        <v>45</v>
      </c>
      <c r="D1698" s="37">
        <f>+SUMIFS(PROVEEDORES[Total],PROVEEDORES[PROVEEDOR],PROVEEDORES[[#This Row],[PROVEEDOR]],PROVEEDORES[FECHA DE PAGO],"")</f>
        <v>1416100</v>
      </c>
      <c r="E1698" s="37"/>
      <c r="F1698" s="108" t="str">
        <f>+VLOOKUP(PROVEEDORES[[#This Row],[PROVEEDOR]],TERCEROS_INFO[[PROVEEDOR]:[CORREO]],5,FALSE)</f>
        <v>libardopineda@tronex.com;girlesa.ruiz@servipilas.com;joriescobar64@gmail.com</v>
      </c>
      <c r="G1698" s="143">
        <v>43948</v>
      </c>
      <c r="H1698" s="38" t="s">
        <v>10</v>
      </c>
      <c r="I1698" s="30">
        <v>43879</v>
      </c>
      <c r="J1698" s="58">
        <v>458373</v>
      </c>
      <c r="K1698" s="32">
        <v>679000</v>
      </c>
      <c r="L1698" s="32"/>
      <c r="M1698" s="33">
        <f>(PROVEEDORES[[#This Row],[SUBTOTAL]]-PROVEEDORES[[#This Row],[descuento antes de IVA]])*VLOOKUP(PROVEEDORES[[#This Row],[PROVEEDOR]],TERCEROS_INFO[#All],3,FALSE)</f>
        <v>129010</v>
      </c>
      <c r="N1698" s="34"/>
      <c r="O1698" s="33">
        <f>+PROVEEDORES[[#This Row],[Descuento sobre subtotal %]]*(PROVEEDORES[[#This Row],[SUBTOTAL]]-PROVEEDORES[[#This Row],[descuento antes de IVA]])</f>
        <v>0</v>
      </c>
      <c r="P16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8" s="33">
        <f>+(PROVEEDORES[[#This Row],[SUBTOTAL]]-PROVEEDORES[[#This Row],[descuento antes de IVA]])*PROVEEDORES[[#This Row],[Rete Fuente %]]</f>
        <v>0</v>
      </c>
      <c r="R1698" s="32">
        <f>+PROVEEDORES[[#This Row],[SUBTOTAL]]+PROVEEDORES[[#This Row],[IVA 19%]]-PROVEEDORES[[#This Row],[descuento antes de IVA]]-PROVEEDORES[[#This Row],[Descuento sobre subtotal $]]-PROVEEDORES[[#This Row],[Rete Fuente $]]</f>
        <v>808010</v>
      </c>
      <c r="S169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699" spans="1:19" ht="21.95" hidden="1" customHeight="1" x14ac:dyDescent="0.25">
      <c r="A1699" s="39" t="str">
        <f>+IF(PROVEEDORES[[#This Row],[FECHA DE PAGO]]=PROVEEDORES[[#This Row],[FECHA DE FACTURACIÓN]],"DE CONTADO","CRÉDITO")</f>
        <v>CRÉDITO</v>
      </c>
      <c r="B1699" s="67" t="str">
        <f>+IF((PROVEEDORES[[#This Row],[FECHA DE PAGO]]-PROVEEDORES[[#This Row],[FECHA DE FACTURACIÓN]])&gt;PROVEEDORES[[#This Row],[PLAZO Días]],"PAGO VENCIDO")</f>
        <v>PAGO VENCIDO</v>
      </c>
      <c r="C1699" s="27">
        <f>+VLOOKUP(PROVEEDORES[[#This Row],[PROVEEDOR]],TERCEROS_INFO[#All],2,FALSE)</f>
        <v>45</v>
      </c>
      <c r="D1699" s="37">
        <f>+SUMIFS(PROVEEDORES[Total],PROVEEDORES[PROVEEDOR],PROVEEDORES[[#This Row],[PROVEEDOR]],PROVEEDORES[FECHA DE PAGO],"")</f>
        <v>1416100</v>
      </c>
      <c r="E1699" s="37"/>
      <c r="F1699" s="108" t="str">
        <f>+VLOOKUP(PROVEEDORES[[#This Row],[PROVEEDOR]],TERCEROS_INFO[[PROVEEDOR]:[CORREO]],5,FALSE)</f>
        <v>libardopineda@tronex.com;girlesa.ruiz@servipilas.com;joriescobar64@gmail.com</v>
      </c>
      <c r="G1699" s="143">
        <v>43948</v>
      </c>
      <c r="H1699" s="38" t="s">
        <v>10</v>
      </c>
      <c r="I1699" s="30">
        <v>43879</v>
      </c>
      <c r="J1699" s="58">
        <v>458438</v>
      </c>
      <c r="K1699" s="32">
        <v>155000</v>
      </c>
      <c r="L1699" s="32"/>
      <c r="M1699" s="33">
        <f>(PROVEEDORES[[#This Row],[SUBTOTAL]]-PROVEEDORES[[#This Row],[descuento antes de IVA]])*VLOOKUP(PROVEEDORES[[#This Row],[PROVEEDOR]],TERCEROS_INFO[#All],3,FALSE)</f>
        <v>29450</v>
      </c>
      <c r="N1699" s="34"/>
      <c r="O1699" s="33">
        <f>+PROVEEDORES[[#This Row],[Descuento sobre subtotal %]]*(PROVEEDORES[[#This Row],[SUBTOTAL]]-PROVEEDORES[[#This Row],[descuento antes de IVA]])</f>
        <v>0</v>
      </c>
      <c r="P16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699" s="33">
        <f>+(PROVEEDORES[[#This Row],[SUBTOTAL]]-PROVEEDORES[[#This Row],[descuento antes de IVA]])*PROVEEDORES[[#This Row],[Rete Fuente %]]</f>
        <v>0</v>
      </c>
      <c r="R1699" s="32">
        <f>+PROVEEDORES[[#This Row],[SUBTOTAL]]+PROVEEDORES[[#This Row],[IVA 19%]]-PROVEEDORES[[#This Row],[descuento antes de IVA]]-PROVEEDORES[[#This Row],[Descuento sobre subtotal $]]-PROVEEDORES[[#This Row],[Rete Fuente $]]</f>
        <v>184450</v>
      </c>
      <c r="S169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0" spans="1:19" ht="21.95" hidden="1" customHeight="1" x14ac:dyDescent="0.25">
      <c r="A1700" s="39" t="str">
        <f>+IF(PROVEEDORES[[#This Row],[FECHA DE PAGO]]=PROVEEDORES[[#This Row],[FECHA DE FACTURACIÓN]],"DE CONTADO","CRÉDITO")</f>
        <v>CRÉDITO</v>
      </c>
      <c r="B1700" s="67" t="str">
        <f>+IF((PROVEEDORES[[#This Row],[FECHA DE PAGO]]-PROVEEDORES[[#This Row],[FECHA DE FACTURACIÓN]])&gt;PROVEEDORES[[#This Row],[PLAZO Días]],"PAGO VENCIDO")</f>
        <v>PAGO VENCIDO</v>
      </c>
      <c r="C1700" s="27">
        <f>+VLOOKUP(PROVEEDORES[[#This Row],[PROVEEDOR]],TERCEROS_INFO[#All],2,FALSE)</f>
        <v>45</v>
      </c>
      <c r="D1700" s="37">
        <f>+SUMIFS(PROVEEDORES[Total],PROVEEDORES[PROVEEDOR],PROVEEDORES[[#This Row],[PROVEEDOR]],PROVEEDORES[FECHA DE PAGO],"")</f>
        <v>1416100</v>
      </c>
      <c r="E1700" s="37"/>
      <c r="F1700" s="108" t="str">
        <f>+VLOOKUP(PROVEEDORES[[#This Row],[PROVEEDOR]],TERCEROS_INFO[[PROVEEDOR]:[CORREO]],5,FALSE)</f>
        <v>libardopineda@tronex.com;girlesa.ruiz@servipilas.com;joriescobar64@gmail.com</v>
      </c>
      <c r="G1700" s="143">
        <v>43948</v>
      </c>
      <c r="H1700" s="38" t="s">
        <v>10</v>
      </c>
      <c r="I1700" s="30">
        <v>43879</v>
      </c>
      <c r="J1700" s="58">
        <v>458440</v>
      </c>
      <c r="K1700" s="32">
        <v>693000</v>
      </c>
      <c r="L1700" s="32"/>
      <c r="M1700" s="33">
        <f>(PROVEEDORES[[#This Row],[SUBTOTAL]]-PROVEEDORES[[#This Row],[descuento antes de IVA]])*VLOOKUP(PROVEEDORES[[#This Row],[PROVEEDOR]],TERCEROS_INFO[#All],3,FALSE)</f>
        <v>131670</v>
      </c>
      <c r="N1700" s="34"/>
      <c r="O1700" s="33">
        <f>+PROVEEDORES[[#This Row],[Descuento sobre subtotal %]]*(PROVEEDORES[[#This Row],[SUBTOTAL]]-PROVEEDORES[[#This Row],[descuento antes de IVA]])</f>
        <v>0</v>
      </c>
      <c r="P17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0" s="33">
        <f>+(PROVEEDORES[[#This Row],[SUBTOTAL]]-PROVEEDORES[[#This Row],[descuento antes de IVA]])*PROVEEDORES[[#This Row],[Rete Fuente %]]</f>
        <v>0</v>
      </c>
      <c r="R1700" s="32">
        <f>+PROVEEDORES[[#This Row],[SUBTOTAL]]+PROVEEDORES[[#This Row],[IVA 19%]]-PROVEEDORES[[#This Row],[descuento antes de IVA]]-PROVEEDORES[[#This Row],[Descuento sobre subtotal $]]-PROVEEDORES[[#This Row],[Rete Fuente $]]</f>
        <v>824670</v>
      </c>
      <c r="S170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1" spans="1:19" ht="21.95" hidden="1" customHeight="1" x14ac:dyDescent="0.25">
      <c r="A1701" s="39" t="str">
        <f>+IF(PROVEEDORES[[#This Row],[FECHA DE PAGO]]=PROVEEDORES[[#This Row],[FECHA DE FACTURACIÓN]],"DE CONTADO","CRÉDITO")</f>
        <v>CRÉDITO</v>
      </c>
      <c r="B1701" s="67" t="str">
        <f>+IF((PROVEEDORES[[#This Row],[FECHA DE PAGO]]-PROVEEDORES[[#This Row],[FECHA DE FACTURACIÓN]])&gt;PROVEEDORES[[#This Row],[PLAZO Días]],"PAGO VENCIDO")</f>
        <v>PAGO VENCIDO</v>
      </c>
      <c r="C1701" s="27">
        <f>+VLOOKUP(PROVEEDORES[[#This Row],[PROVEEDOR]],TERCEROS_INFO[#All],2,FALSE)</f>
        <v>45</v>
      </c>
      <c r="D1701" s="37">
        <f>+SUMIFS(PROVEEDORES[Total],PROVEEDORES[PROVEEDOR],PROVEEDORES[[#This Row],[PROVEEDOR]],PROVEEDORES[FECHA DE PAGO],"")</f>
        <v>1416100</v>
      </c>
      <c r="E1701" s="37"/>
      <c r="F1701" s="108" t="str">
        <f>+VLOOKUP(PROVEEDORES[[#This Row],[PROVEEDOR]],TERCEROS_INFO[[PROVEEDOR]:[CORREO]],5,FALSE)</f>
        <v>libardopineda@tronex.com;girlesa.ruiz@servipilas.com;joriescobar64@gmail.com</v>
      </c>
      <c r="G1701" s="143">
        <v>43948</v>
      </c>
      <c r="H1701" s="38" t="s">
        <v>10</v>
      </c>
      <c r="I1701" s="30">
        <v>43881</v>
      </c>
      <c r="J1701" s="58">
        <v>458689</v>
      </c>
      <c r="K1701" s="32">
        <v>465000</v>
      </c>
      <c r="L1701" s="32"/>
      <c r="M1701" s="33">
        <f>(PROVEEDORES[[#This Row],[SUBTOTAL]]-PROVEEDORES[[#This Row],[descuento antes de IVA]])*VLOOKUP(PROVEEDORES[[#This Row],[PROVEEDOR]],TERCEROS_INFO[#All],3,FALSE)</f>
        <v>88350</v>
      </c>
      <c r="N1701" s="34"/>
      <c r="O1701" s="33">
        <f>+PROVEEDORES[[#This Row],[Descuento sobre subtotal %]]*(PROVEEDORES[[#This Row],[SUBTOTAL]]-PROVEEDORES[[#This Row],[descuento antes de IVA]])</f>
        <v>0</v>
      </c>
      <c r="P17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1" s="33">
        <f>+(PROVEEDORES[[#This Row],[SUBTOTAL]]-PROVEEDORES[[#This Row],[descuento antes de IVA]])*PROVEEDORES[[#This Row],[Rete Fuente %]]</f>
        <v>0</v>
      </c>
      <c r="R1701" s="32">
        <f>+PROVEEDORES[[#This Row],[SUBTOTAL]]+PROVEEDORES[[#This Row],[IVA 19%]]-PROVEEDORES[[#This Row],[descuento antes de IVA]]-PROVEEDORES[[#This Row],[Descuento sobre subtotal $]]-PROVEEDORES[[#This Row],[Rete Fuente $]]</f>
        <v>553350</v>
      </c>
      <c r="S170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2" spans="1:19" ht="21.95" hidden="1" customHeight="1" x14ac:dyDescent="0.25">
      <c r="A1702" s="39" t="str">
        <f>+IF(PROVEEDORES[[#This Row],[FECHA DE PAGO]]=PROVEEDORES[[#This Row],[FECHA DE FACTURACIÓN]],"DE CONTADO","CRÉDITO")</f>
        <v>CRÉDITO</v>
      </c>
      <c r="B1702" s="67" t="str">
        <f>+IF((PROVEEDORES[[#This Row],[FECHA DE PAGO]]-PROVEEDORES[[#This Row],[FECHA DE FACTURACIÓN]])&gt;PROVEEDORES[[#This Row],[PLAZO Días]],"PAGO VENCIDO")</f>
        <v>PAGO VENCIDO</v>
      </c>
      <c r="C1702" s="27">
        <f>+VLOOKUP(PROVEEDORES[[#This Row],[PROVEEDOR]],TERCEROS_INFO[#All],2,FALSE)</f>
        <v>45</v>
      </c>
      <c r="D1702" s="37">
        <f>+SUMIFS(PROVEEDORES[Total],PROVEEDORES[PROVEEDOR],PROVEEDORES[[#This Row],[PROVEEDOR]],PROVEEDORES[FECHA DE PAGO],"")</f>
        <v>1416100</v>
      </c>
      <c r="E1702" s="37"/>
      <c r="F1702" s="108" t="str">
        <f>+VLOOKUP(PROVEEDORES[[#This Row],[PROVEEDOR]],TERCEROS_INFO[[PROVEEDOR]:[CORREO]],5,FALSE)</f>
        <v>libardopineda@tronex.com;girlesa.ruiz@servipilas.com;joriescobar64@gmail.com</v>
      </c>
      <c r="G1702" s="143">
        <v>43959</v>
      </c>
      <c r="H1702" s="38" t="s">
        <v>10</v>
      </c>
      <c r="I1702" s="30">
        <v>43893</v>
      </c>
      <c r="J1702" s="58">
        <v>459665</v>
      </c>
      <c r="K1702" s="32">
        <v>1100000</v>
      </c>
      <c r="L1702" s="32"/>
      <c r="M1702" s="33">
        <f>(PROVEEDORES[[#This Row],[SUBTOTAL]]-PROVEEDORES[[#This Row],[descuento antes de IVA]])*VLOOKUP(PROVEEDORES[[#This Row],[PROVEEDOR]],TERCEROS_INFO[#All],3,FALSE)</f>
        <v>209000</v>
      </c>
      <c r="N1702" s="34"/>
      <c r="O1702" s="33">
        <f>+PROVEEDORES[[#This Row],[Descuento sobre subtotal %]]*(PROVEEDORES[[#This Row],[SUBTOTAL]]-PROVEEDORES[[#This Row],[descuento antes de IVA]])</f>
        <v>0</v>
      </c>
      <c r="P17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2" s="33">
        <f>+(PROVEEDORES[[#This Row],[SUBTOTAL]]-PROVEEDORES[[#This Row],[descuento antes de IVA]])*PROVEEDORES[[#This Row],[Rete Fuente %]]</f>
        <v>0</v>
      </c>
      <c r="R1702" s="32">
        <f>+PROVEEDORES[[#This Row],[SUBTOTAL]]+PROVEEDORES[[#This Row],[IVA 19%]]-PROVEEDORES[[#This Row],[descuento antes de IVA]]-PROVEEDORES[[#This Row],[Descuento sobre subtotal $]]-PROVEEDORES[[#This Row],[Rete Fuente $]]</f>
        <v>1309000</v>
      </c>
      <c r="S170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3" spans="1:19" ht="21.95" hidden="1" customHeight="1" x14ac:dyDescent="0.25">
      <c r="A1703" s="39" t="str">
        <f>+IF(PROVEEDORES[[#This Row],[FECHA DE PAGO]]=PROVEEDORES[[#This Row],[FECHA DE FACTURACIÓN]],"DE CONTADO","CRÉDITO")</f>
        <v>CRÉDITO</v>
      </c>
      <c r="B1703" s="67" t="b">
        <f>+IF((PROVEEDORES[[#This Row],[FECHA DE PAGO]]-PROVEEDORES[[#This Row],[FECHA DE FACTURACIÓN]])&gt;PROVEEDORES[[#This Row],[PLAZO Días]],"PAGO VENCIDO")</f>
        <v>0</v>
      </c>
      <c r="C1703" s="27">
        <f>+VLOOKUP(PROVEEDORES[[#This Row],[PROVEEDOR]],TERCEROS_INFO[#All],2,FALSE)</f>
        <v>45</v>
      </c>
      <c r="D1703" s="37">
        <f>+SUMIFS(PROVEEDORES[Total],PROVEEDORES[PROVEEDOR],PROVEEDORES[[#This Row],[PROVEEDOR]],PROVEEDORES[FECHA DE PAGO],"")</f>
        <v>1416100</v>
      </c>
      <c r="E1703" s="37"/>
      <c r="F1703" s="108" t="str">
        <f>+VLOOKUP(PROVEEDORES[[#This Row],[PROVEEDOR]],TERCEROS_INFO[[PROVEEDOR]:[CORREO]],5,FALSE)</f>
        <v>libardopineda@tronex.com;girlesa.ruiz@servipilas.com;joriescobar64@gmail.com</v>
      </c>
      <c r="G1703" s="143">
        <v>43973</v>
      </c>
      <c r="H1703" s="38" t="s">
        <v>10</v>
      </c>
      <c r="I1703" s="30">
        <v>43937</v>
      </c>
      <c r="J1703" s="58">
        <v>461727</v>
      </c>
      <c r="K1703" s="32">
        <v>453779.83193277312</v>
      </c>
      <c r="L1703" s="32"/>
      <c r="M1703" s="33">
        <f>(PROVEEDORES[[#This Row],[SUBTOTAL]]-PROVEEDORES[[#This Row],[descuento antes de IVA]])*VLOOKUP(PROVEEDORES[[#This Row],[PROVEEDOR]],TERCEROS_INFO[#All],3,FALSE)</f>
        <v>86218.168067226899</v>
      </c>
      <c r="N1703" s="34"/>
      <c r="O1703" s="33">
        <f>+PROVEEDORES[[#This Row],[Descuento sobre subtotal %]]*(PROVEEDORES[[#This Row],[SUBTOTAL]]-PROVEEDORES[[#This Row],[descuento antes de IVA]])</f>
        <v>0</v>
      </c>
      <c r="P17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3" s="33">
        <f>+(PROVEEDORES[[#This Row],[SUBTOTAL]]-PROVEEDORES[[#This Row],[descuento antes de IVA]])*PROVEEDORES[[#This Row],[Rete Fuente %]]</f>
        <v>0</v>
      </c>
      <c r="R1703" s="32">
        <f>+PROVEEDORES[[#This Row],[SUBTOTAL]]+PROVEEDORES[[#This Row],[IVA 19%]]-PROVEEDORES[[#This Row],[descuento antes de IVA]]-PROVEEDORES[[#This Row],[Descuento sobre subtotal $]]-PROVEEDORES[[#This Row],[Rete Fuente $]]</f>
        <v>539998</v>
      </c>
      <c r="S170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4" spans="1:19" ht="21.95" hidden="1" customHeight="1" x14ac:dyDescent="0.25">
      <c r="A1704" s="39" t="str">
        <f>+IF(PROVEEDORES[[#This Row],[FECHA DE PAGO]]=PROVEEDORES[[#This Row],[FECHA DE FACTURACIÓN]],"DE CONTADO","CRÉDITO")</f>
        <v>CRÉDITO</v>
      </c>
      <c r="B1704" s="67" t="b">
        <f>+IF((PROVEEDORES[[#This Row],[FECHA DE PAGO]]-PROVEEDORES[[#This Row],[FECHA DE FACTURACIÓN]])&gt;PROVEEDORES[[#This Row],[PLAZO Días]],"PAGO VENCIDO")</f>
        <v>0</v>
      </c>
      <c r="C1704" s="27">
        <f>+VLOOKUP(PROVEEDORES[[#This Row],[PROVEEDOR]],TERCEROS_INFO[#All],2,FALSE)</f>
        <v>45</v>
      </c>
      <c r="D1704" s="37">
        <f>+SUMIFS(PROVEEDORES[Total],PROVEEDORES[PROVEEDOR],PROVEEDORES[[#This Row],[PROVEEDOR]],PROVEEDORES[FECHA DE PAGO],"")</f>
        <v>1416100</v>
      </c>
      <c r="E1704" s="37"/>
      <c r="F1704" s="108" t="str">
        <f>+VLOOKUP(PROVEEDORES[[#This Row],[PROVEEDOR]],TERCEROS_INFO[[PROVEEDOR]:[CORREO]],5,FALSE)</f>
        <v>libardopineda@tronex.com;girlesa.ruiz@servipilas.com;joriescobar64@gmail.com</v>
      </c>
      <c r="G1704" s="143">
        <v>43973</v>
      </c>
      <c r="H1704" s="38" t="s">
        <v>10</v>
      </c>
      <c r="I1704" s="30">
        <v>43942</v>
      </c>
      <c r="J1704" s="58">
        <v>461897</v>
      </c>
      <c r="K1704" s="32">
        <v>378150</v>
      </c>
      <c r="L1704" s="32"/>
      <c r="M1704" s="33">
        <f>(PROVEEDORES[[#This Row],[SUBTOTAL]]-PROVEEDORES[[#This Row],[descuento antes de IVA]])*VLOOKUP(PROVEEDORES[[#This Row],[PROVEEDOR]],TERCEROS_INFO[#All],3,FALSE)</f>
        <v>71848.5</v>
      </c>
      <c r="N1704" s="34"/>
      <c r="O1704" s="33">
        <f>+PROVEEDORES[[#This Row],[Descuento sobre subtotal %]]*(PROVEEDORES[[#This Row],[SUBTOTAL]]-PROVEEDORES[[#This Row],[descuento antes de IVA]])</f>
        <v>0</v>
      </c>
      <c r="P17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4" s="33">
        <f>+(PROVEEDORES[[#This Row],[SUBTOTAL]]-PROVEEDORES[[#This Row],[descuento antes de IVA]])*PROVEEDORES[[#This Row],[Rete Fuente %]]</f>
        <v>0</v>
      </c>
      <c r="R1704" s="32">
        <f>+PROVEEDORES[[#This Row],[SUBTOTAL]]+PROVEEDORES[[#This Row],[IVA 19%]]-PROVEEDORES[[#This Row],[descuento antes de IVA]]-PROVEEDORES[[#This Row],[Descuento sobre subtotal $]]-PROVEEDORES[[#This Row],[Rete Fuente $]]</f>
        <v>449998.5</v>
      </c>
      <c r="S170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5" spans="1:19" ht="21.95" hidden="1" customHeight="1" x14ac:dyDescent="0.25">
      <c r="A1705" s="39" t="str">
        <f>+IF(PROVEEDORES[[#This Row],[FECHA DE PAGO]]=PROVEEDORES[[#This Row],[FECHA DE FACTURACIÓN]],"DE CONTADO","CRÉDITO")</f>
        <v>CRÉDITO</v>
      </c>
      <c r="B1705" s="67" t="b">
        <f>+IF((PROVEEDORES[[#This Row],[FECHA DE PAGO]]-PROVEEDORES[[#This Row],[FECHA DE FACTURACIÓN]])&gt;PROVEEDORES[[#This Row],[PLAZO Días]],"PAGO VENCIDO")</f>
        <v>0</v>
      </c>
      <c r="C1705" s="27">
        <f>+VLOOKUP(PROVEEDORES[[#This Row],[PROVEEDOR]],TERCEROS_INFO[#All],2,FALSE)</f>
        <v>45</v>
      </c>
      <c r="D1705" s="37">
        <f>+SUMIFS(PROVEEDORES[Total],PROVEEDORES[PROVEEDOR],PROVEEDORES[[#This Row],[PROVEEDOR]],PROVEEDORES[FECHA DE PAGO],"")</f>
        <v>1416100</v>
      </c>
      <c r="E1705" s="37"/>
      <c r="F1705" s="108" t="str">
        <f>+VLOOKUP(PROVEEDORES[[#This Row],[PROVEEDOR]],TERCEROS_INFO[[PROVEEDOR]:[CORREO]],5,FALSE)</f>
        <v>libardopineda@tronex.com;girlesa.ruiz@servipilas.com;joriescobar64@gmail.com</v>
      </c>
      <c r="G1705" s="143">
        <v>43973</v>
      </c>
      <c r="H1705" s="38" t="s">
        <v>10</v>
      </c>
      <c r="I1705" s="30">
        <v>43948</v>
      </c>
      <c r="J1705" s="58" t="s">
        <v>1062</v>
      </c>
      <c r="K1705" s="32">
        <v>16159.663865546219</v>
      </c>
      <c r="L1705" s="32"/>
      <c r="M1705" s="33">
        <f>(PROVEEDORES[[#This Row],[SUBTOTAL]]-PROVEEDORES[[#This Row],[descuento antes de IVA]])*VLOOKUP(PROVEEDORES[[#This Row],[PROVEEDOR]],TERCEROS_INFO[#All],3,FALSE)</f>
        <v>3070.3361344537816</v>
      </c>
      <c r="N1705" s="34"/>
      <c r="O1705" s="33">
        <f>+PROVEEDORES[[#This Row],[Descuento sobre subtotal %]]*(PROVEEDORES[[#This Row],[SUBTOTAL]]-PROVEEDORES[[#This Row],[descuento antes de IVA]])</f>
        <v>0</v>
      </c>
      <c r="P17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5" s="33">
        <f>+(PROVEEDORES[[#This Row],[SUBTOTAL]]-PROVEEDORES[[#This Row],[descuento antes de IVA]])*PROVEEDORES[[#This Row],[Rete Fuente %]]</f>
        <v>0</v>
      </c>
      <c r="R1705" s="32">
        <f>+PROVEEDORES[[#This Row],[SUBTOTAL]]+PROVEEDORES[[#This Row],[IVA 19%]]-PROVEEDORES[[#This Row],[descuento antes de IVA]]-PROVEEDORES[[#This Row],[Descuento sobre subtotal $]]-PROVEEDORES[[#This Row],[Rete Fuente $]]</f>
        <v>19230</v>
      </c>
      <c r="S17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6" spans="1:19" ht="21.95" hidden="1" customHeight="1" x14ac:dyDescent="0.25">
      <c r="A1706" s="39" t="str">
        <f>+IF(PROVEEDORES[[#This Row],[FECHA DE PAGO]]=PROVEEDORES[[#This Row],[FECHA DE FACTURACIÓN]],"DE CONTADO","CRÉDITO")</f>
        <v>CRÉDITO</v>
      </c>
      <c r="B1706" s="67" t="b">
        <f>+IF((PROVEEDORES[[#This Row],[FECHA DE PAGO]]-PROVEEDORES[[#This Row],[FECHA DE FACTURACIÓN]])&gt;PROVEEDORES[[#This Row],[PLAZO Días]],"PAGO VENCIDO")</f>
        <v>0</v>
      </c>
      <c r="C1706" s="27">
        <f>+VLOOKUP(PROVEEDORES[[#This Row],[PROVEEDOR]],TERCEROS_INFO[#All],2,FALSE)</f>
        <v>45</v>
      </c>
      <c r="D1706" s="37">
        <f>+SUMIFS(PROVEEDORES[Total],PROVEEDORES[PROVEEDOR],PROVEEDORES[[#This Row],[PROVEEDOR]],PROVEEDORES[FECHA DE PAGO],"")</f>
        <v>1416100</v>
      </c>
      <c r="E1706" s="37"/>
      <c r="F1706" s="108" t="str">
        <f>+VLOOKUP(PROVEEDORES[[#This Row],[PROVEEDOR]],TERCEROS_INFO[[PROVEEDOR]:[CORREO]],5,FALSE)</f>
        <v>libardopineda@tronex.com;girlesa.ruiz@servipilas.com;joriescobar64@gmail.com</v>
      </c>
      <c r="G1706" s="143">
        <v>43973</v>
      </c>
      <c r="H1706" s="38" t="s">
        <v>10</v>
      </c>
      <c r="I1706" s="30">
        <v>43950</v>
      </c>
      <c r="J1706" s="58">
        <v>462298</v>
      </c>
      <c r="K1706" s="32">
        <v>679000</v>
      </c>
      <c r="L1706" s="32"/>
      <c r="M1706" s="33">
        <f>(PROVEEDORES[[#This Row],[SUBTOTAL]]-PROVEEDORES[[#This Row],[descuento antes de IVA]])*VLOOKUP(PROVEEDORES[[#This Row],[PROVEEDOR]],TERCEROS_INFO[#All],3,FALSE)</f>
        <v>129010</v>
      </c>
      <c r="N1706" s="34"/>
      <c r="O1706" s="33">
        <f>+PROVEEDORES[[#This Row],[Descuento sobre subtotal %]]*(PROVEEDORES[[#This Row],[SUBTOTAL]]-PROVEEDORES[[#This Row],[descuento antes de IVA]])</f>
        <v>0</v>
      </c>
      <c r="P17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6" s="33">
        <f>+(PROVEEDORES[[#This Row],[SUBTOTAL]]-PROVEEDORES[[#This Row],[descuento antes de IVA]])*PROVEEDORES[[#This Row],[Rete Fuente %]]</f>
        <v>0</v>
      </c>
      <c r="R1706" s="32">
        <f>+PROVEEDORES[[#This Row],[SUBTOTAL]]+PROVEEDORES[[#This Row],[IVA 19%]]-PROVEEDORES[[#This Row],[descuento antes de IVA]]-PROVEEDORES[[#This Row],[Descuento sobre subtotal $]]-PROVEEDORES[[#This Row],[Rete Fuente $]]</f>
        <v>808010</v>
      </c>
      <c r="S17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7" spans="1:19" ht="21.95" hidden="1" customHeight="1" x14ac:dyDescent="0.25">
      <c r="A1707" s="39" t="str">
        <f>+IF(PROVEEDORES[[#This Row],[FECHA DE PAGO]]=PROVEEDORES[[#This Row],[FECHA DE FACTURACIÓN]],"DE CONTADO","CRÉDITO")</f>
        <v>CRÉDITO</v>
      </c>
      <c r="B1707" s="67" t="b">
        <f>+IF((PROVEEDORES[[#This Row],[FECHA DE PAGO]]-PROVEEDORES[[#This Row],[FECHA DE FACTURACIÓN]])&gt;PROVEEDORES[[#This Row],[PLAZO Días]],"PAGO VENCIDO")</f>
        <v>0</v>
      </c>
      <c r="C1707" s="27">
        <f>+VLOOKUP(PROVEEDORES[[#This Row],[PROVEEDOR]],TERCEROS_INFO[#All],2,FALSE)</f>
        <v>45</v>
      </c>
      <c r="D1707" s="37">
        <f>+SUMIFS(PROVEEDORES[Total],PROVEEDORES[PROVEEDOR],PROVEEDORES[[#This Row],[PROVEEDOR]],PROVEEDORES[FECHA DE PAGO],"")</f>
        <v>1416100</v>
      </c>
      <c r="E1707" s="37"/>
      <c r="F1707" s="108" t="str">
        <f>+VLOOKUP(PROVEEDORES[[#This Row],[PROVEEDOR]],TERCEROS_INFO[[PROVEEDOR]:[CORREO]],5,FALSE)</f>
        <v>libardopineda@tronex.com;girlesa.ruiz@servipilas.com;joriescobar64@gmail.com</v>
      </c>
      <c r="G1707" s="143">
        <v>43994</v>
      </c>
      <c r="H1707" s="38" t="s">
        <v>10</v>
      </c>
      <c r="I1707" s="30">
        <v>43962</v>
      </c>
      <c r="J1707" s="58">
        <v>462787</v>
      </c>
      <c r="K1707" s="32">
        <v>372000</v>
      </c>
      <c r="L1707" s="32"/>
      <c r="M1707" s="33">
        <f>(PROVEEDORES[[#This Row],[SUBTOTAL]]-PROVEEDORES[[#This Row],[descuento antes de IVA]])*VLOOKUP(PROVEEDORES[[#This Row],[PROVEEDOR]],TERCEROS_INFO[#All],3,FALSE)</f>
        <v>70680</v>
      </c>
      <c r="N1707" s="34"/>
      <c r="O1707" s="33">
        <f>+PROVEEDORES[[#This Row],[Descuento sobre subtotal %]]*(PROVEEDORES[[#This Row],[SUBTOTAL]]-PROVEEDORES[[#This Row],[descuento antes de IVA]])</f>
        <v>0</v>
      </c>
      <c r="P17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7" s="33">
        <f>+(PROVEEDORES[[#This Row],[SUBTOTAL]]-PROVEEDORES[[#This Row],[descuento antes de IVA]])*PROVEEDORES[[#This Row],[Rete Fuente %]]</f>
        <v>0</v>
      </c>
      <c r="R1707" s="32">
        <f>+PROVEEDORES[[#This Row],[SUBTOTAL]]+PROVEEDORES[[#This Row],[IVA 19%]]-PROVEEDORES[[#This Row],[descuento antes de IVA]]-PROVEEDORES[[#This Row],[Descuento sobre subtotal $]]-PROVEEDORES[[#This Row],[Rete Fuente $]]</f>
        <v>442680</v>
      </c>
      <c r="S17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8" spans="1:19" ht="21.95" hidden="1" customHeight="1" x14ac:dyDescent="0.25">
      <c r="A1708" s="39" t="str">
        <f>+IF(PROVEEDORES[[#This Row],[FECHA DE PAGO]]=PROVEEDORES[[#This Row],[FECHA DE FACTURACIÓN]],"DE CONTADO","CRÉDITO")</f>
        <v>CRÉDITO</v>
      </c>
      <c r="B1708" s="67" t="b">
        <f>+IF((PROVEEDORES[[#This Row],[FECHA DE PAGO]]-PROVEEDORES[[#This Row],[FECHA DE FACTURACIÓN]])&gt;PROVEEDORES[[#This Row],[PLAZO Días]],"PAGO VENCIDO")</f>
        <v>0</v>
      </c>
      <c r="C1708" s="27">
        <f>+VLOOKUP(PROVEEDORES[[#This Row],[PROVEEDOR]],TERCEROS_INFO[#All],2,FALSE)</f>
        <v>45</v>
      </c>
      <c r="D1708" s="37">
        <f>+SUMIFS(PROVEEDORES[Total],PROVEEDORES[PROVEEDOR],PROVEEDORES[[#This Row],[PROVEEDOR]],PROVEEDORES[FECHA DE PAGO],"")</f>
        <v>1416100</v>
      </c>
      <c r="E1708" s="37"/>
      <c r="F1708" s="108" t="str">
        <f>+VLOOKUP(PROVEEDORES[[#This Row],[PROVEEDOR]],TERCEROS_INFO[[PROVEEDOR]:[CORREO]],5,FALSE)</f>
        <v>libardopineda@tronex.com;girlesa.ruiz@servipilas.com;joriescobar64@gmail.com</v>
      </c>
      <c r="G1708" s="143">
        <v>43994</v>
      </c>
      <c r="H1708" s="38" t="s">
        <v>10</v>
      </c>
      <c r="I1708" s="30">
        <v>43962</v>
      </c>
      <c r="J1708" s="58" t="s">
        <v>68</v>
      </c>
      <c r="K1708" s="32">
        <v>1314000</v>
      </c>
      <c r="L1708" s="32"/>
      <c r="M1708" s="33">
        <f>(PROVEEDORES[[#This Row],[SUBTOTAL]]-PROVEEDORES[[#This Row],[descuento antes de IVA]])*VLOOKUP(PROVEEDORES[[#This Row],[PROVEEDOR]],TERCEROS_INFO[#All],3,FALSE)</f>
        <v>249660</v>
      </c>
      <c r="N1708" s="34"/>
      <c r="O1708" s="33">
        <f>+PROVEEDORES[[#This Row],[Descuento sobre subtotal %]]*(PROVEEDORES[[#This Row],[SUBTOTAL]]-PROVEEDORES[[#This Row],[descuento antes de IVA]])</f>
        <v>0</v>
      </c>
      <c r="P17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8" s="33">
        <f>+(PROVEEDORES[[#This Row],[SUBTOTAL]]-PROVEEDORES[[#This Row],[descuento antes de IVA]])*PROVEEDORES[[#This Row],[Rete Fuente %]]</f>
        <v>0</v>
      </c>
      <c r="R1708" s="32">
        <f>+PROVEEDORES[[#This Row],[SUBTOTAL]]+PROVEEDORES[[#This Row],[IVA 19%]]-PROVEEDORES[[#This Row],[descuento antes de IVA]]-PROVEEDORES[[#This Row],[Descuento sobre subtotal $]]-PROVEEDORES[[#This Row],[Rete Fuente $]]</f>
        <v>1563660</v>
      </c>
      <c r="S17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09" spans="1:19" ht="21.95" hidden="1" customHeight="1" x14ac:dyDescent="0.25">
      <c r="A1709" s="39" t="str">
        <f>+IF(PROVEEDORES[[#This Row],[FECHA DE PAGO]]=PROVEEDORES[[#This Row],[FECHA DE FACTURACIÓN]],"DE CONTADO","CRÉDITO")</f>
        <v>CRÉDITO</v>
      </c>
      <c r="B1709" s="67" t="str">
        <f>+IF((PROVEEDORES[[#This Row],[FECHA DE PAGO]]-PROVEEDORES[[#This Row],[FECHA DE FACTURACIÓN]])&gt;PROVEEDORES[[#This Row],[PLAZO Días]],"PAGO VENCIDO")</f>
        <v>PAGO VENCIDO</v>
      </c>
      <c r="C1709" s="27">
        <f>+VLOOKUP(PROVEEDORES[[#This Row],[PROVEEDOR]],TERCEROS_INFO[#All],2,FALSE)</f>
        <v>45</v>
      </c>
      <c r="D1709" s="37">
        <f>+SUMIFS(PROVEEDORES[Total],PROVEEDORES[PROVEEDOR],PROVEEDORES[[#This Row],[PROVEEDOR]],PROVEEDORES[FECHA DE PAGO],"")</f>
        <v>1416100</v>
      </c>
      <c r="E1709" s="37"/>
      <c r="F1709" s="108" t="str">
        <f>+VLOOKUP(PROVEEDORES[[#This Row],[PROVEEDOR]],TERCEROS_INFO[[PROVEEDOR]:[CORREO]],5,FALSE)</f>
        <v>libardopineda@tronex.com;girlesa.ruiz@servipilas.com;joriescobar64@gmail.com</v>
      </c>
      <c r="G1709" s="143">
        <v>44019</v>
      </c>
      <c r="H1709" s="38" t="s">
        <v>10</v>
      </c>
      <c r="I1709" s="30">
        <v>43969</v>
      </c>
      <c r="J1709" s="58" t="s">
        <v>67</v>
      </c>
      <c r="K1709" s="32">
        <v>355500</v>
      </c>
      <c r="L1709" s="32"/>
      <c r="M1709" s="33">
        <f>(PROVEEDORES[[#This Row],[SUBTOTAL]]-PROVEEDORES[[#This Row],[descuento antes de IVA]])*VLOOKUP(PROVEEDORES[[#This Row],[PROVEEDOR]],TERCEROS_INFO[#All],3,FALSE)</f>
        <v>67545</v>
      </c>
      <c r="N1709" s="34"/>
      <c r="O1709" s="33">
        <f>+PROVEEDORES[[#This Row],[Descuento sobre subtotal %]]*(PROVEEDORES[[#This Row],[SUBTOTAL]]-PROVEEDORES[[#This Row],[descuento antes de IVA]])</f>
        <v>0</v>
      </c>
      <c r="P17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09" s="33">
        <f>+(PROVEEDORES[[#This Row],[SUBTOTAL]]-PROVEEDORES[[#This Row],[descuento antes de IVA]])*PROVEEDORES[[#This Row],[Rete Fuente %]]</f>
        <v>0</v>
      </c>
      <c r="R1709" s="32">
        <f>+PROVEEDORES[[#This Row],[SUBTOTAL]]+PROVEEDORES[[#This Row],[IVA 19%]]-PROVEEDORES[[#This Row],[descuento antes de IVA]]-PROVEEDORES[[#This Row],[Descuento sobre subtotal $]]-PROVEEDORES[[#This Row],[Rete Fuente $]]</f>
        <v>423045</v>
      </c>
      <c r="S17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0" spans="1:19" ht="21.95" hidden="1" customHeight="1" x14ac:dyDescent="0.25">
      <c r="A1710" s="39" t="str">
        <f>+IF(PROVEEDORES[[#This Row],[FECHA DE PAGO]]=PROVEEDORES[[#This Row],[FECHA DE FACTURACIÓN]],"DE CONTADO","CRÉDITO")</f>
        <v>CRÉDITO</v>
      </c>
      <c r="B1710" s="67" t="str">
        <f>+IF((PROVEEDORES[[#This Row],[FECHA DE PAGO]]-PROVEEDORES[[#This Row],[FECHA DE FACTURACIÓN]])&gt;PROVEEDORES[[#This Row],[PLAZO Días]],"PAGO VENCIDO")</f>
        <v>PAGO VENCIDO</v>
      </c>
      <c r="C1710" s="27">
        <f>+VLOOKUP(PROVEEDORES[[#This Row],[PROVEEDOR]],TERCEROS_INFO[#All],2,FALSE)</f>
        <v>45</v>
      </c>
      <c r="D1710" s="37">
        <f>+SUMIFS(PROVEEDORES[Total],PROVEEDORES[PROVEEDOR],PROVEEDORES[[#This Row],[PROVEEDOR]],PROVEEDORES[FECHA DE PAGO],"")</f>
        <v>1416100</v>
      </c>
      <c r="E1710" s="37"/>
      <c r="F1710" s="108" t="str">
        <f>+VLOOKUP(PROVEEDORES[[#This Row],[PROVEEDOR]],TERCEROS_INFO[[PROVEEDOR]:[CORREO]],5,FALSE)</f>
        <v>libardopineda@tronex.com;girlesa.ruiz@servipilas.com;joriescobar64@gmail.com</v>
      </c>
      <c r="G1710" s="143">
        <v>44019</v>
      </c>
      <c r="H1710" s="38" t="s">
        <v>10</v>
      </c>
      <c r="I1710" s="30">
        <v>43973</v>
      </c>
      <c r="J1710" s="58" t="s">
        <v>70</v>
      </c>
      <c r="K1710" s="32">
        <v>975000</v>
      </c>
      <c r="L1710" s="32"/>
      <c r="M1710" s="33">
        <f>(PROVEEDORES[[#This Row],[SUBTOTAL]]-PROVEEDORES[[#This Row],[descuento antes de IVA]])*VLOOKUP(PROVEEDORES[[#This Row],[PROVEEDOR]],TERCEROS_INFO[#All],3,FALSE)</f>
        <v>185250</v>
      </c>
      <c r="N1710" s="34"/>
      <c r="O1710" s="33">
        <f>+PROVEEDORES[[#This Row],[Descuento sobre subtotal %]]*(PROVEEDORES[[#This Row],[SUBTOTAL]]-PROVEEDORES[[#This Row],[descuento antes de IVA]])</f>
        <v>0</v>
      </c>
      <c r="P17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0" s="33">
        <f>+(PROVEEDORES[[#This Row],[SUBTOTAL]]-PROVEEDORES[[#This Row],[descuento antes de IVA]])*PROVEEDORES[[#This Row],[Rete Fuente %]]</f>
        <v>0</v>
      </c>
      <c r="R1710" s="32">
        <f>+PROVEEDORES[[#This Row],[SUBTOTAL]]+PROVEEDORES[[#This Row],[IVA 19%]]-PROVEEDORES[[#This Row],[descuento antes de IVA]]-PROVEEDORES[[#This Row],[Descuento sobre subtotal $]]-PROVEEDORES[[#This Row],[Rete Fuente $]]</f>
        <v>1160250</v>
      </c>
      <c r="S17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1" spans="1:19" ht="21.95" hidden="1" customHeight="1" x14ac:dyDescent="0.25">
      <c r="A1711" s="39" t="str">
        <f>+IF(PROVEEDORES[[#This Row],[FECHA DE PAGO]]=PROVEEDORES[[#This Row],[FECHA DE FACTURACIÓN]],"DE CONTADO","CRÉDITO")</f>
        <v>CRÉDITO</v>
      </c>
      <c r="B1711" s="67" t="b">
        <f>+IF((PROVEEDORES[[#This Row],[FECHA DE PAGO]]-PROVEEDORES[[#This Row],[FECHA DE FACTURACIÓN]])&gt;PROVEEDORES[[#This Row],[PLAZO Días]],"PAGO VENCIDO")</f>
        <v>0</v>
      </c>
      <c r="C1711" s="27">
        <f>+VLOOKUP(PROVEEDORES[[#This Row],[PROVEEDOR]],TERCEROS_INFO[#All],2,FALSE)</f>
        <v>45</v>
      </c>
      <c r="D1711" s="37">
        <f>+SUMIFS(PROVEEDORES[Total],PROVEEDORES[PROVEEDOR],PROVEEDORES[[#This Row],[PROVEEDOR]],PROVEEDORES[FECHA DE PAGO],"")</f>
        <v>1416100</v>
      </c>
      <c r="E1711" s="37"/>
      <c r="F1711" s="108" t="str">
        <f>+VLOOKUP(PROVEEDORES[[#This Row],[PROVEEDOR]],TERCEROS_INFO[[PROVEEDOR]:[CORREO]],5,FALSE)</f>
        <v>libardopineda@tronex.com;girlesa.ruiz@servipilas.com;joriescobar64@gmail.com</v>
      </c>
      <c r="G1711" s="143">
        <v>44019</v>
      </c>
      <c r="H1711" s="38" t="s">
        <v>10</v>
      </c>
      <c r="I1711" s="30">
        <v>43979</v>
      </c>
      <c r="J1711" s="58" t="s">
        <v>71</v>
      </c>
      <c r="K1711" s="32">
        <v>1300000</v>
      </c>
      <c r="L1711" s="32"/>
      <c r="M1711" s="33">
        <f>(PROVEEDORES[[#This Row],[SUBTOTAL]]-PROVEEDORES[[#This Row],[descuento antes de IVA]])*VLOOKUP(PROVEEDORES[[#This Row],[PROVEEDOR]],TERCEROS_INFO[#All],3,FALSE)</f>
        <v>247000</v>
      </c>
      <c r="N1711" s="34"/>
      <c r="O1711" s="33">
        <f>+PROVEEDORES[[#This Row],[Descuento sobre subtotal %]]*(PROVEEDORES[[#This Row],[SUBTOTAL]]-PROVEEDORES[[#This Row],[descuento antes de IVA]])</f>
        <v>0</v>
      </c>
      <c r="P17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1" s="33">
        <f>+(PROVEEDORES[[#This Row],[SUBTOTAL]]-PROVEEDORES[[#This Row],[descuento antes de IVA]])*PROVEEDORES[[#This Row],[Rete Fuente %]]</f>
        <v>0</v>
      </c>
      <c r="R1711" s="32">
        <f>+PROVEEDORES[[#This Row],[SUBTOTAL]]+PROVEEDORES[[#This Row],[IVA 19%]]-PROVEEDORES[[#This Row],[descuento antes de IVA]]-PROVEEDORES[[#This Row],[Descuento sobre subtotal $]]-PROVEEDORES[[#This Row],[Rete Fuente $]]</f>
        <v>1547000</v>
      </c>
      <c r="S17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2" spans="1:19" ht="21.95" hidden="1" customHeight="1" x14ac:dyDescent="0.25">
      <c r="A1712" s="39" t="str">
        <f>+IF(PROVEEDORES[[#This Row],[FECHA DE PAGO]]=PROVEEDORES[[#This Row],[FECHA DE FACTURACIÓN]],"DE CONTADO","CRÉDITO")</f>
        <v>CRÉDITO</v>
      </c>
      <c r="B1712" s="67" t="str">
        <f>+IF((PROVEEDORES[[#This Row],[FECHA DE PAGO]]-PROVEEDORES[[#This Row],[FECHA DE FACTURACIÓN]])&gt;PROVEEDORES[[#This Row],[PLAZO Días]],"PAGO VENCIDO")</f>
        <v>PAGO VENCIDO</v>
      </c>
      <c r="C1712" s="27">
        <f>+VLOOKUP(PROVEEDORES[[#This Row],[PROVEEDOR]],TERCEROS_INFO[#All],2,FALSE)</f>
        <v>45</v>
      </c>
      <c r="D1712" s="37">
        <f>+SUMIFS(PROVEEDORES[Total],PROVEEDORES[PROVEEDOR],PROVEEDORES[[#This Row],[PROVEEDOR]],PROVEEDORES[FECHA DE PAGO],"")</f>
        <v>1416100</v>
      </c>
      <c r="E1712" s="37"/>
      <c r="F1712" s="108" t="str">
        <f>+VLOOKUP(PROVEEDORES[[#This Row],[PROVEEDOR]],TERCEROS_INFO[[PROVEEDOR]:[CORREO]],5,FALSE)</f>
        <v>libardopineda@tronex.com;girlesa.ruiz@servipilas.com;joriescobar64@gmail.com</v>
      </c>
      <c r="G1712" s="143">
        <v>44068</v>
      </c>
      <c r="H1712" s="38" t="s">
        <v>10</v>
      </c>
      <c r="I1712" s="30">
        <v>43983</v>
      </c>
      <c r="J1712" s="58" t="s">
        <v>72</v>
      </c>
      <c r="K1712" s="32">
        <v>420000</v>
      </c>
      <c r="L1712" s="32"/>
      <c r="M1712" s="33">
        <f>(PROVEEDORES[[#This Row],[SUBTOTAL]]-PROVEEDORES[[#This Row],[descuento antes de IVA]])*VLOOKUP(PROVEEDORES[[#This Row],[PROVEEDOR]],TERCEROS_INFO[#All],3,FALSE)</f>
        <v>79800</v>
      </c>
      <c r="N1712" s="34"/>
      <c r="O1712" s="33">
        <f>+PROVEEDORES[[#This Row],[Descuento sobre subtotal %]]*(PROVEEDORES[[#This Row],[SUBTOTAL]]-PROVEEDORES[[#This Row],[descuento antes de IVA]])</f>
        <v>0</v>
      </c>
      <c r="P17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2" s="33">
        <f>+(PROVEEDORES[[#This Row],[SUBTOTAL]]-PROVEEDORES[[#This Row],[descuento antes de IVA]])*PROVEEDORES[[#This Row],[Rete Fuente %]]</f>
        <v>0</v>
      </c>
      <c r="R1712" s="32">
        <f>+PROVEEDORES[[#This Row],[SUBTOTAL]]+PROVEEDORES[[#This Row],[IVA 19%]]-PROVEEDORES[[#This Row],[descuento antes de IVA]]-PROVEEDORES[[#This Row],[Descuento sobre subtotal $]]-PROVEEDORES[[#This Row],[Rete Fuente $]]</f>
        <v>499800</v>
      </c>
      <c r="S171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3" spans="1:19" ht="21.95" hidden="1" customHeight="1" x14ac:dyDescent="0.25">
      <c r="A1713" s="39" t="str">
        <f>+IF(PROVEEDORES[[#This Row],[FECHA DE PAGO]]=PROVEEDORES[[#This Row],[FECHA DE FACTURACIÓN]],"DE CONTADO","CRÉDITO")</f>
        <v>CRÉDITO</v>
      </c>
      <c r="B1713" s="67" t="str">
        <f>+IF((PROVEEDORES[[#This Row],[FECHA DE PAGO]]-PROVEEDORES[[#This Row],[FECHA DE FACTURACIÓN]])&gt;PROVEEDORES[[#This Row],[PLAZO Días]],"PAGO VENCIDO")</f>
        <v>PAGO VENCIDO</v>
      </c>
      <c r="C1713" s="27">
        <f>+VLOOKUP(PROVEEDORES[[#This Row],[PROVEEDOR]],TERCEROS_INFO[#All],2,FALSE)</f>
        <v>45</v>
      </c>
      <c r="D1713" s="37">
        <f>+SUMIFS(PROVEEDORES[Total],PROVEEDORES[PROVEEDOR],PROVEEDORES[[#This Row],[PROVEEDOR]],PROVEEDORES[FECHA DE PAGO],"")</f>
        <v>1416100</v>
      </c>
      <c r="E1713" s="37"/>
      <c r="F1713" s="108" t="str">
        <f>+VLOOKUP(PROVEEDORES[[#This Row],[PROVEEDOR]],TERCEROS_INFO[[PROVEEDOR]:[CORREO]],5,FALSE)</f>
        <v>libardopineda@tronex.com;girlesa.ruiz@servipilas.com;joriescobar64@gmail.com</v>
      </c>
      <c r="G1713" s="143">
        <v>44068</v>
      </c>
      <c r="H1713" s="38" t="s">
        <v>10</v>
      </c>
      <c r="I1713" s="30">
        <v>43985</v>
      </c>
      <c r="J1713" s="58" t="s">
        <v>73</v>
      </c>
      <c r="K1713" s="32">
        <v>642000</v>
      </c>
      <c r="L1713" s="32"/>
      <c r="M1713" s="33">
        <f>(PROVEEDORES[[#This Row],[SUBTOTAL]]-PROVEEDORES[[#This Row],[descuento antes de IVA]])*VLOOKUP(PROVEEDORES[[#This Row],[PROVEEDOR]],TERCEROS_INFO[#All],3,FALSE)</f>
        <v>121980</v>
      </c>
      <c r="N1713" s="34"/>
      <c r="O1713" s="33">
        <f>+PROVEEDORES[[#This Row],[Descuento sobre subtotal %]]*(PROVEEDORES[[#This Row],[SUBTOTAL]]-PROVEEDORES[[#This Row],[descuento antes de IVA]])</f>
        <v>0</v>
      </c>
      <c r="P17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3" s="33">
        <f>+(PROVEEDORES[[#This Row],[SUBTOTAL]]-PROVEEDORES[[#This Row],[descuento antes de IVA]])*PROVEEDORES[[#This Row],[Rete Fuente %]]</f>
        <v>0</v>
      </c>
      <c r="R1713" s="32">
        <f>+PROVEEDORES[[#This Row],[SUBTOTAL]]+PROVEEDORES[[#This Row],[IVA 19%]]-PROVEEDORES[[#This Row],[descuento antes de IVA]]-PROVEEDORES[[#This Row],[Descuento sobre subtotal $]]-PROVEEDORES[[#This Row],[Rete Fuente $]]</f>
        <v>763980</v>
      </c>
      <c r="S171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4" spans="1:19" ht="21.95" hidden="1" customHeight="1" x14ac:dyDescent="0.25">
      <c r="A1714" s="39" t="str">
        <f>+IF(PROVEEDORES[[#This Row],[FECHA DE PAGO]]=PROVEEDORES[[#This Row],[FECHA DE FACTURACIÓN]],"DE CONTADO","CRÉDITO")</f>
        <v>CRÉDITO</v>
      </c>
      <c r="B1714" s="67" t="str">
        <f>+IF((PROVEEDORES[[#This Row],[FECHA DE PAGO]]-PROVEEDORES[[#This Row],[FECHA DE FACTURACIÓN]])&gt;PROVEEDORES[[#This Row],[PLAZO Días]],"PAGO VENCIDO")</f>
        <v>PAGO VENCIDO</v>
      </c>
      <c r="C1714" s="27">
        <f>+VLOOKUP(PROVEEDORES[[#This Row],[PROVEEDOR]],TERCEROS_INFO[#All],2,FALSE)</f>
        <v>45</v>
      </c>
      <c r="D1714" s="37">
        <f>+SUMIFS(PROVEEDORES[Total],PROVEEDORES[PROVEEDOR],PROVEEDORES[[#This Row],[PROVEEDOR]],PROVEEDORES[FECHA DE PAGO],"")</f>
        <v>1416100</v>
      </c>
      <c r="E1714" s="37"/>
      <c r="F1714" s="108" t="str">
        <f>+VLOOKUP(PROVEEDORES[[#This Row],[PROVEEDOR]],TERCEROS_INFO[[PROVEEDOR]:[CORREO]],5,FALSE)</f>
        <v>libardopineda@tronex.com;girlesa.ruiz@servipilas.com;joriescobar64@gmail.com</v>
      </c>
      <c r="G1714" s="143">
        <v>44068</v>
      </c>
      <c r="H1714" s="38" t="s">
        <v>10</v>
      </c>
      <c r="I1714" s="30">
        <v>43994</v>
      </c>
      <c r="J1714" s="58" t="s">
        <v>79</v>
      </c>
      <c r="K1714" s="32">
        <v>3876000</v>
      </c>
      <c r="L1714" s="32"/>
      <c r="M1714" s="33">
        <f>(PROVEEDORES[[#This Row],[SUBTOTAL]]-PROVEEDORES[[#This Row],[descuento antes de IVA]])*VLOOKUP(PROVEEDORES[[#This Row],[PROVEEDOR]],TERCEROS_INFO[#All],3,FALSE)</f>
        <v>736440</v>
      </c>
      <c r="N1714" s="34"/>
      <c r="O1714" s="33">
        <f>+PROVEEDORES[[#This Row],[Descuento sobre subtotal %]]*(PROVEEDORES[[#This Row],[SUBTOTAL]]-PROVEEDORES[[#This Row],[descuento antes de IVA]])</f>
        <v>0</v>
      </c>
      <c r="P17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4" s="33">
        <f>+(PROVEEDORES[[#This Row],[SUBTOTAL]]-PROVEEDORES[[#This Row],[descuento antes de IVA]])*PROVEEDORES[[#This Row],[Rete Fuente %]]</f>
        <v>0</v>
      </c>
      <c r="R1714" s="32">
        <f>+PROVEEDORES[[#This Row],[SUBTOTAL]]+PROVEEDORES[[#This Row],[IVA 19%]]-PROVEEDORES[[#This Row],[descuento antes de IVA]]-PROVEEDORES[[#This Row],[Descuento sobre subtotal $]]-PROVEEDORES[[#This Row],[Rete Fuente $]]</f>
        <v>4612440</v>
      </c>
      <c r="S17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5" spans="1:19" ht="21.95" hidden="1" customHeight="1" x14ac:dyDescent="0.25">
      <c r="A1715" s="39" t="str">
        <f>+IF(PROVEEDORES[[#This Row],[FECHA DE PAGO]]=PROVEEDORES[[#This Row],[FECHA DE FACTURACIÓN]],"DE CONTADO","CRÉDITO")</f>
        <v>CRÉDITO</v>
      </c>
      <c r="B1715" s="67" t="str">
        <f>+IF((PROVEEDORES[[#This Row],[FECHA DE PAGO]]-PROVEEDORES[[#This Row],[FECHA DE FACTURACIÓN]])&gt;PROVEEDORES[[#This Row],[PLAZO Días]],"PAGO VENCIDO")</f>
        <v>PAGO VENCIDO</v>
      </c>
      <c r="C1715" s="27">
        <f>+VLOOKUP(PROVEEDORES[[#This Row],[PROVEEDOR]],TERCEROS_INFO[#All],2,FALSE)</f>
        <v>45</v>
      </c>
      <c r="D1715" s="37">
        <f>+SUMIFS(PROVEEDORES[Total],PROVEEDORES[PROVEEDOR],PROVEEDORES[[#This Row],[PROVEEDOR]],PROVEEDORES[FECHA DE PAGO],"")</f>
        <v>1416100</v>
      </c>
      <c r="E1715" s="37"/>
      <c r="F1715" s="108" t="str">
        <f>+VLOOKUP(PROVEEDORES[[#This Row],[PROVEEDOR]],TERCEROS_INFO[[PROVEEDOR]:[CORREO]],5,FALSE)</f>
        <v>libardopineda@tronex.com;girlesa.ruiz@servipilas.com;joriescobar64@gmail.com</v>
      </c>
      <c r="G1715" s="143">
        <v>44068</v>
      </c>
      <c r="H1715" s="38" t="s">
        <v>10</v>
      </c>
      <c r="I1715" s="30">
        <v>43994</v>
      </c>
      <c r="J1715" s="58" t="s">
        <v>80</v>
      </c>
      <c r="K1715" s="32">
        <v>1950000</v>
      </c>
      <c r="L1715" s="32"/>
      <c r="M1715" s="33">
        <f>(PROVEEDORES[[#This Row],[SUBTOTAL]]-PROVEEDORES[[#This Row],[descuento antes de IVA]])*VLOOKUP(PROVEEDORES[[#This Row],[PROVEEDOR]],TERCEROS_INFO[#All],3,FALSE)</f>
        <v>370500</v>
      </c>
      <c r="N1715" s="34"/>
      <c r="O1715" s="33">
        <f>+PROVEEDORES[[#This Row],[Descuento sobre subtotal %]]*(PROVEEDORES[[#This Row],[SUBTOTAL]]-PROVEEDORES[[#This Row],[descuento antes de IVA]])</f>
        <v>0</v>
      </c>
      <c r="P17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5" s="33">
        <f>+(PROVEEDORES[[#This Row],[SUBTOTAL]]-PROVEEDORES[[#This Row],[descuento antes de IVA]])*PROVEEDORES[[#This Row],[Rete Fuente %]]</f>
        <v>0</v>
      </c>
      <c r="R1715" s="32">
        <f>+PROVEEDORES[[#This Row],[SUBTOTAL]]+PROVEEDORES[[#This Row],[IVA 19%]]-PROVEEDORES[[#This Row],[descuento antes de IVA]]-PROVEEDORES[[#This Row],[Descuento sobre subtotal $]]-PROVEEDORES[[#This Row],[Rete Fuente $]]</f>
        <v>2320500</v>
      </c>
      <c r="S17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6" spans="1:19" ht="21.95" hidden="1" customHeight="1" x14ac:dyDescent="0.25">
      <c r="A1716" s="39" t="str">
        <f>+IF(PROVEEDORES[[#This Row],[FECHA DE PAGO]]=PROVEEDORES[[#This Row],[FECHA DE FACTURACIÓN]],"DE CONTADO","CRÉDITO")</f>
        <v>CRÉDITO</v>
      </c>
      <c r="B1716" s="67" t="str">
        <f>+IF((PROVEEDORES[[#This Row],[FECHA DE PAGO]]-PROVEEDORES[[#This Row],[FECHA DE FACTURACIÓN]])&gt;PROVEEDORES[[#This Row],[PLAZO Días]],"PAGO VENCIDO")</f>
        <v>PAGO VENCIDO</v>
      </c>
      <c r="C1716" s="27">
        <f>+VLOOKUP(PROVEEDORES[[#This Row],[PROVEEDOR]],TERCEROS_INFO[#All],2,FALSE)</f>
        <v>45</v>
      </c>
      <c r="D1716" s="37">
        <f>+SUMIFS(PROVEEDORES[Total],PROVEEDORES[PROVEEDOR],PROVEEDORES[[#This Row],[PROVEEDOR]],PROVEEDORES[FECHA DE PAGO],"")</f>
        <v>1416100</v>
      </c>
      <c r="E1716" s="37"/>
      <c r="F1716" s="108" t="str">
        <f>+VLOOKUP(PROVEEDORES[[#This Row],[PROVEEDOR]],TERCEROS_INFO[[PROVEEDOR]:[CORREO]],5,FALSE)</f>
        <v>libardopineda@tronex.com;girlesa.ruiz@servipilas.com;joriescobar64@gmail.com</v>
      </c>
      <c r="G1716" s="143">
        <v>44082</v>
      </c>
      <c r="H1716" s="38" t="s">
        <v>10</v>
      </c>
      <c r="I1716" s="30">
        <v>44019</v>
      </c>
      <c r="J1716" s="58" t="s">
        <v>94</v>
      </c>
      <c r="K1716" s="32">
        <v>1270000</v>
      </c>
      <c r="L1716" s="32"/>
      <c r="M1716" s="33">
        <f>(PROVEEDORES[[#This Row],[SUBTOTAL]]-PROVEEDORES[[#This Row],[descuento antes de IVA]])*VLOOKUP(PROVEEDORES[[#This Row],[PROVEEDOR]],TERCEROS_INFO[#All],3,FALSE)</f>
        <v>241300</v>
      </c>
      <c r="N1716" s="34"/>
      <c r="O1716" s="33">
        <f>+PROVEEDORES[[#This Row],[Descuento sobre subtotal %]]*(PROVEEDORES[[#This Row],[SUBTOTAL]]-PROVEEDORES[[#This Row],[descuento antes de IVA]])</f>
        <v>0</v>
      </c>
      <c r="P17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6" s="33">
        <f>+(PROVEEDORES[[#This Row],[SUBTOTAL]]-PROVEEDORES[[#This Row],[descuento antes de IVA]])*PROVEEDORES[[#This Row],[Rete Fuente %]]</f>
        <v>0</v>
      </c>
      <c r="R1716" s="32">
        <f>+PROVEEDORES[[#This Row],[SUBTOTAL]]+PROVEEDORES[[#This Row],[IVA 19%]]-PROVEEDORES[[#This Row],[descuento antes de IVA]]-PROVEEDORES[[#This Row],[Descuento sobre subtotal $]]-PROVEEDORES[[#This Row],[Rete Fuente $]]</f>
        <v>1511300</v>
      </c>
      <c r="S17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7" spans="1:19" ht="21.95" hidden="1" customHeight="1" x14ac:dyDescent="0.25">
      <c r="A1717" s="39" t="str">
        <f>+IF(PROVEEDORES[[#This Row],[FECHA DE PAGO]]=PROVEEDORES[[#This Row],[FECHA DE FACTURACIÓN]],"DE CONTADO","CRÉDITO")</f>
        <v>CRÉDITO</v>
      </c>
      <c r="B1717" s="67" t="str">
        <f>+IF((PROVEEDORES[[#This Row],[FECHA DE PAGO]]-PROVEEDORES[[#This Row],[FECHA DE FACTURACIÓN]])&gt;PROVEEDORES[[#This Row],[PLAZO Días]],"PAGO VENCIDO")</f>
        <v>PAGO VENCIDO</v>
      </c>
      <c r="C1717" s="27">
        <f>+VLOOKUP(PROVEEDORES[[#This Row],[PROVEEDOR]],TERCEROS_INFO[#All],2,FALSE)</f>
        <v>45</v>
      </c>
      <c r="D1717" s="37">
        <f>+SUMIFS(PROVEEDORES[Total],PROVEEDORES[PROVEEDOR],PROVEEDORES[[#This Row],[PROVEEDOR]],PROVEEDORES[FECHA DE PAGO],"")</f>
        <v>1416100</v>
      </c>
      <c r="E1717" s="37"/>
      <c r="F1717" s="108" t="str">
        <f>+VLOOKUP(PROVEEDORES[[#This Row],[PROVEEDOR]],TERCEROS_INFO[[PROVEEDOR]:[CORREO]],5,FALSE)</f>
        <v>libardopineda@tronex.com;girlesa.ruiz@servipilas.com;joriescobar64@gmail.com</v>
      </c>
      <c r="G1717" s="143">
        <v>44082</v>
      </c>
      <c r="H1717" s="38" t="s">
        <v>10</v>
      </c>
      <c r="I1717" s="30">
        <v>44019</v>
      </c>
      <c r="J1717" s="58" t="s">
        <v>93</v>
      </c>
      <c r="K1717" s="32">
        <v>1254000</v>
      </c>
      <c r="L1717" s="32"/>
      <c r="M1717" s="33">
        <f>(PROVEEDORES[[#This Row],[SUBTOTAL]]-PROVEEDORES[[#This Row],[descuento antes de IVA]])*VLOOKUP(PROVEEDORES[[#This Row],[PROVEEDOR]],TERCEROS_INFO[#All],3,FALSE)</f>
        <v>238260</v>
      </c>
      <c r="N1717" s="34"/>
      <c r="O1717" s="33">
        <f>+PROVEEDORES[[#This Row],[Descuento sobre subtotal %]]*(PROVEEDORES[[#This Row],[SUBTOTAL]]-PROVEEDORES[[#This Row],[descuento antes de IVA]])</f>
        <v>0</v>
      </c>
      <c r="P17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7" s="33">
        <f>+(PROVEEDORES[[#This Row],[SUBTOTAL]]-PROVEEDORES[[#This Row],[descuento antes de IVA]])*PROVEEDORES[[#This Row],[Rete Fuente %]]</f>
        <v>0</v>
      </c>
      <c r="R1717" s="32">
        <f>+PROVEEDORES[[#This Row],[SUBTOTAL]]+PROVEEDORES[[#This Row],[IVA 19%]]-PROVEEDORES[[#This Row],[descuento antes de IVA]]-PROVEEDORES[[#This Row],[Descuento sobre subtotal $]]-PROVEEDORES[[#This Row],[Rete Fuente $]]</f>
        <v>1492260</v>
      </c>
      <c r="S171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8" spans="1:19" ht="21.95" hidden="1" customHeight="1" x14ac:dyDescent="0.25">
      <c r="A1718" s="39" t="str">
        <f>+IF(PROVEEDORES[[#This Row],[FECHA DE PAGO]]=PROVEEDORES[[#This Row],[FECHA DE FACTURACIÓN]],"DE CONTADO","CRÉDITO")</f>
        <v>CRÉDITO</v>
      </c>
      <c r="B1718" s="67" t="str">
        <f>+IF((PROVEEDORES[[#This Row],[FECHA DE PAGO]]-PROVEEDORES[[#This Row],[FECHA DE FACTURACIÓN]])&gt;PROVEEDORES[[#This Row],[PLAZO Días]],"PAGO VENCIDO")</f>
        <v>PAGO VENCIDO</v>
      </c>
      <c r="C1718" s="27">
        <f>+VLOOKUP(PROVEEDORES[[#This Row],[PROVEEDOR]],TERCEROS_INFO[#All],2,FALSE)</f>
        <v>45</v>
      </c>
      <c r="D1718" s="37">
        <f>+SUMIFS(PROVEEDORES[Total],PROVEEDORES[PROVEEDOR],PROVEEDORES[[#This Row],[PROVEEDOR]],PROVEEDORES[FECHA DE PAGO],"")</f>
        <v>1416100</v>
      </c>
      <c r="E1718" s="37"/>
      <c r="F1718" s="108" t="str">
        <f>+VLOOKUP(PROVEEDORES[[#This Row],[PROVEEDOR]],TERCEROS_INFO[[PROVEEDOR]:[CORREO]],5,FALSE)</f>
        <v>libardopineda@tronex.com;girlesa.ruiz@servipilas.com;joriescobar64@gmail.com</v>
      </c>
      <c r="G1718" s="143">
        <v>44088</v>
      </c>
      <c r="H1718" s="38" t="s">
        <v>10</v>
      </c>
      <c r="I1718" s="30">
        <v>44020</v>
      </c>
      <c r="J1718" s="58" t="s">
        <v>92</v>
      </c>
      <c r="K1718" s="32">
        <v>952000</v>
      </c>
      <c r="L1718" s="32"/>
      <c r="M1718" s="33">
        <f>(PROVEEDORES[[#This Row],[SUBTOTAL]]-PROVEEDORES[[#This Row],[descuento antes de IVA]])*VLOOKUP(PROVEEDORES[[#This Row],[PROVEEDOR]],TERCEROS_INFO[#All],3,FALSE)</f>
        <v>180880</v>
      </c>
      <c r="N1718" s="34"/>
      <c r="O1718" s="33">
        <f>+PROVEEDORES[[#This Row],[Descuento sobre subtotal %]]*(PROVEEDORES[[#This Row],[SUBTOTAL]]-PROVEEDORES[[#This Row],[descuento antes de IVA]])</f>
        <v>0</v>
      </c>
      <c r="P17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8" s="33">
        <f>+(PROVEEDORES[[#This Row],[SUBTOTAL]]-PROVEEDORES[[#This Row],[descuento antes de IVA]])*PROVEEDORES[[#This Row],[Rete Fuente %]]</f>
        <v>0</v>
      </c>
      <c r="R1718" s="32">
        <f>+PROVEEDORES[[#This Row],[SUBTOTAL]]+PROVEEDORES[[#This Row],[IVA 19%]]-PROVEEDORES[[#This Row],[descuento antes de IVA]]-PROVEEDORES[[#This Row],[Descuento sobre subtotal $]]-PROVEEDORES[[#This Row],[Rete Fuente $]]</f>
        <v>1132880</v>
      </c>
      <c r="S17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19" spans="1:19" ht="21.95" hidden="1" customHeight="1" x14ac:dyDescent="0.25">
      <c r="A1719" s="39" t="str">
        <f>+IF(PROVEEDORES[[#This Row],[FECHA DE PAGO]]=PROVEEDORES[[#This Row],[FECHA DE FACTURACIÓN]],"DE CONTADO","CRÉDITO")</f>
        <v>CRÉDITO</v>
      </c>
      <c r="B1719" s="67" t="str">
        <f>+IF((PROVEEDORES[[#This Row],[FECHA DE PAGO]]-PROVEEDORES[[#This Row],[FECHA DE FACTURACIÓN]])&gt;PROVEEDORES[[#This Row],[PLAZO Días]],"PAGO VENCIDO")</f>
        <v>PAGO VENCIDO</v>
      </c>
      <c r="C1719" s="27">
        <f>+VLOOKUP(PROVEEDORES[[#This Row],[PROVEEDOR]],TERCEROS_INFO[#All],2,FALSE)</f>
        <v>45</v>
      </c>
      <c r="D1719" s="37">
        <f>+SUMIFS(PROVEEDORES[Total],PROVEEDORES[PROVEEDOR],PROVEEDORES[[#This Row],[PROVEEDOR]],PROVEEDORES[FECHA DE PAGO],"")</f>
        <v>1416100</v>
      </c>
      <c r="E1719" s="37"/>
      <c r="F1719" s="108" t="str">
        <f>+VLOOKUP(PROVEEDORES[[#This Row],[PROVEEDOR]],TERCEROS_INFO[[PROVEEDOR]:[CORREO]],5,FALSE)</f>
        <v>libardopineda@tronex.com;girlesa.ruiz@servipilas.com;joriescobar64@gmail.com</v>
      </c>
      <c r="G1719" s="143">
        <v>44088</v>
      </c>
      <c r="H1719" s="38" t="s">
        <v>10</v>
      </c>
      <c r="I1719" s="30">
        <v>44025</v>
      </c>
      <c r="J1719" s="58" t="s">
        <v>95</v>
      </c>
      <c r="K1719" s="32">
        <v>864000</v>
      </c>
      <c r="L1719" s="32"/>
      <c r="M1719" s="33">
        <f>(PROVEEDORES[[#This Row],[SUBTOTAL]]-PROVEEDORES[[#This Row],[descuento antes de IVA]])*VLOOKUP(PROVEEDORES[[#This Row],[PROVEEDOR]],TERCEROS_INFO[#All],3,FALSE)</f>
        <v>164160</v>
      </c>
      <c r="N1719" s="34"/>
      <c r="O1719" s="33">
        <f>+PROVEEDORES[[#This Row],[Descuento sobre subtotal %]]*(PROVEEDORES[[#This Row],[SUBTOTAL]]-PROVEEDORES[[#This Row],[descuento antes de IVA]])</f>
        <v>0</v>
      </c>
      <c r="P17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19" s="33">
        <f>+(PROVEEDORES[[#This Row],[SUBTOTAL]]-PROVEEDORES[[#This Row],[descuento antes de IVA]])*PROVEEDORES[[#This Row],[Rete Fuente %]]</f>
        <v>0</v>
      </c>
      <c r="R1719" s="32">
        <f>+PROVEEDORES[[#This Row],[SUBTOTAL]]+PROVEEDORES[[#This Row],[IVA 19%]]-PROVEEDORES[[#This Row],[descuento antes de IVA]]-PROVEEDORES[[#This Row],[Descuento sobre subtotal $]]-PROVEEDORES[[#This Row],[Rete Fuente $]]</f>
        <v>1028160</v>
      </c>
      <c r="S171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0" spans="1:19" ht="21.95" hidden="1" customHeight="1" x14ac:dyDescent="0.25">
      <c r="A1720" s="39" t="str">
        <f>+IF(PROVEEDORES[[#This Row],[FECHA DE PAGO]]=PROVEEDORES[[#This Row],[FECHA DE FACTURACIÓN]],"DE CONTADO","CRÉDITO")</f>
        <v>CRÉDITO</v>
      </c>
      <c r="B1720" s="67" t="str">
        <f>+IF((PROVEEDORES[[#This Row],[FECHA DE PAGO]]-PROVEEDORES[[#This Row],[FECHA DE FACTURACIÓN]])&gt;PROVEEDORES[[#This Row],[PLAZO Días]],"PAGO VENCIDO")</f>
        <v>PAGO VENCIDO</v>
      </c>
      <c r="C1720" s="27">
        <f>+VLOOKUP(PROVEEDORES[[#This Row],[PROVEEDOR]],TERCEROS_INFO[#All],2,FALSE)</f>
        <v>45</v>
      </c>
      <c r="D1720" s="37">
        <f>+SUMIFS(PROVEEDORES[Total],PROVEEDORES[PROVEEDOR],PROVEEDORES[[#This Row],[PROVEEDOR]],PROVEEDORES[FECHA DE PAGO],"")</f>
        <v>1416100</v>
      </c>
      <c r="E1720" s="37"/>
      <c r="F1720" s="108" t="str">
        <f>+VLOOKUP(PROVEEDORES[[#This Row],[PROVEEDOR]],TERCEROS_INFO[[PROVEEDOR]:[CORREO]],5,FALSE)</f>
        <v>libardopineda@tronex.com;girlesa.ruiz@servipilas.com;joriescobar64@gmail.com</v>
      </c>
      <c r="G1720" s="143">
        <v>44088</v>
      </c>
      <c r="H1720" s="38" t="s">
        <v>10</v>
      </c>
      <c r="I1720" s="30">
        <v>44027</v>
      </c>
      <c r="J1720" s="58" t="s">
        <v>100</v>
      </c>
      <c r="K1720" s="32">
        <v>523500</v>
      </c>
      <c r="L1720" s="32"/>
      <c r="M1720" s="33">
        <f>(PROVEEDORES[[#This Row],[SUBTOTAL]]-PROVEEDORES[[#This Row],[descuento antes de IVA]])*VLOOKUP(PROVEEDORES[[#This Row],[PROVEEDOR]],TERCEROS_INFO[#All],3,FALSE)</f>
        <v>99465</v>
      </c>
      <c r="N1720" s="34"/>
      <c r="O1720" s="33">
        <f>+PROVEEDORES[[#This Row],[Descuento sobre subtotal %]]*(PROVEEDORES[[#This Row],[SUBTOTAL]]-PROVEEDORES[[#This Row],[descuento antes de IVA]])</f>
        <v>0</v>
      </c>
      <c r="P17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0" s="33">
        <f>+(PROVEEDORES[[#This Row],[SUBTOTAL]]-PROVEEDORES[[#This Row],[descuento antes de IVA]])*PROVEEDORES[[#This Row],[Rete Fuente %]]</f>
        <v>0</v>
      </c>
      <c r="R1720" s="32">
        <f>+PROVEEDORES[[#This Row],[SUBTOTAL]]+PROVEEDORES[[#This Row],[IVA 19%]]-PROVEEDORES[[#This Row],[descuento antes de IVA]]-PROVEEDORES[[#This Row],[Descuento sobre subtotal $]]-PROVEEDORES[[#This Row],[Rete Fuente $]]</f>
        <v>622965</v>
      </c>
      <c r="S17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1" spans="1:19" ht="21.95" hidden="1" customHeight="1" x14ac:dyDescent="0.25">
      <c r="A1721" s="39" t="str">
        <f>+IF(PROVEEDORES[[#This Row],[FECHA DE PAGO]]=PROVEEDORES[[#This Row],[FECHA DE FACTURACIÓN]],"DE CONTADO","CRÉDITO")</f>
        <v>CRÉDITO</v>
      </c>
      <c r="B1721" s="67" t="str">
        <f>+IF((PROVEEDORES[[#This Row],[FECHA DE PAGO]]-PROVEEDORES[[#This Row],[FECHA DE FACTURACIÓN]])&gt;PROVEEDORES[[#This Row],[PLAZO Días]],"PAGO VENCIDO")</f>
        <v>PAGO VENCIDO</v>
      </c>
      <c r="C1721" s="27">
        <f>+VLOOKUP(PROVEEDORES[[#This Row],[PROVEEDOR]],TERCEROS_INFO[#All],2,FALSE)</f>
        <v>45</v>
      </c>
      <c r="D1721" s="37">
        <f>+SUMIFS(PROVEEDORES[Total],PROVEEDORES[PROVEEDOR],PROVEEDORES[[#This Row],[PROVEEDOR]],PROVEEDORES[FECHA DE PAGO],"")</f>
        <v>1416100</v>
      </c>
      <c r="E1721" s="37"/>
      <c r="F1721" s="108" t="str">
        <f>+VLOOKUP(PROVEEDORES[[#This Row],[PROVEEDOR]],TERCEROS_INFO[[PROVEEDOR]:[CORREO]],5,FALSE)</f>
        <v>libardopineda@tronex.com;girlesa.ruiz@servipilas.com;joriescobar64@gmail.com</v>
      </c>
      <c r="G1721" s="143">
        <v>44088</v>
      </c>
      <c r="H1721" s="38" t="s">
        <v>10</v>
      </c>
      <c r="I1721" s="30">
        <v>44035</v>
      </c>
      <c r="J1721" s="58" t="s">
        <v>103</v>
      </c>
      <c r="K1721" s="32">
        <v>312000</v>
      </c>
      <c r="L1721" s="32"/>
      <c r="M1721" s="33">
        <f>(PROVEEDORES[[#This Row],[SUBTOTAL]]-PROVEEDORES[[#This Row],[descuento antes de IVA]])*VLOOKUP(PROVEEDORES[[#This Row],[PROVEEDOR]],TERCEROS_INFO[#All],3,FALSE)</f>
        <v>59280</v>
      </c>
      <c r="N1721" s="34"/>
      <c r="O1721" s="33">
        <f>+PROVEEDORES[[#This Row],[Descuento sobre subtotal %]]*(PROVEEDORES[[#This Row],[SUBTOTAL]]-PROVEEDORES[[#This Row],[descuento antes de IVA]])</f>
        <v>0</v>
      </c>
      <c r="P17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1" s="33">
        <f>+(PROVEEDORES[[#This Row],[SUBTOTAL]]-PROVEEDORES[[#This Row],[descuento antes de IVA]])*PROVEEDORES[[#This Row],[Rete Fuente %]]</f>
        <v>0</v>
      </c>
      <c r="R1721" s="32">
        <f>+PROVEEDORES[[#This Row],[SUBTOTAL]]+PROVEEDORES[[#This Row],[IVA 19%]]-PROVEEDORES[[#This Row],[descuento antes de IVA]]-PROVEEDORES[[#This Row],[Descuento sobre subtotal $]]-PROVEEDORES[[#This Row],[Rete Fuente $]]</f>
        <v>371280</v>
      </c>
      <c r="S17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2" spans="1:19" ht="21.95" hidden="1" customHeight="1" x14ac:dyDescent="0.25">
      <c r="A1722" s="39" t="str">
        <f>+IF(PROVEEDORES[[#This Row],[FECHA DE PAGO]]=PROVEEDORES[[#This Row],[FECHA DE FACTURACIÓN]],"DE CONTADO","CRÉDITO")</f>
        <v>CRÉDITO</v>
      </c>
      <c r="B1722" s="67" t="str">
        <f>+IF((PROVEEDORES[[#This Row],[FECHA DE PAGO]]-PROVEEDORES[[#This Row],[FECHA DE FACTURACIÓN]])&gt;PROVEEDORES[[#This Row],[PLAZO Días]],"PAGO VENCIDO")</f>
        <v>PAGO VENCIDO</v>
      </c>
      <c r="C1722" s="27">
        <f>+VLOOKUP(PROVEEDORES[[#This Row],[PROVEEDOR]],TERCEROS_INFO[#All],2,FALSE)</f>
        <v>45</v>
      </c>
      <c r="D1722" s="37">
        <f>+SUMIFS(PROVEEDORES[Total],PROVEEDORES[PROVEEDOR],PROVEEDORES[[#This Row],[PROVEEDOR]],PROVEEDORES[FECHA DE PAGO],"")</f>
        <v>1416100</v>
      </c>
      <c r="E1722" s="37"/>
      <c r="F1722" s="108" t="str">
        <f>+VLOOKUP(PROVEEDORES[[#This Row],[PROVEEDOR]],TERCEROS_INFO[[PROVEEDOR]:[CORREO]],5,FALSE)</f>
        <v>libardopineda@tronex.com;girlesa.ruiz@servipilas.com;joriescobar64@gmail.com</v>
      </c>
      <c r="G1722" s="143">
        <v>44124</v>
      </c>
      <c r="H1722" s="38" t="s">
        <v>10</v>
      </c>
      <c r="I1722" s="30">
        <v>44054</v>
      </c>
      <c r="J1722" s="58" t="s">
        <v>120</v>
      </c>
      <c r="K1722" s="32">
        <v>1396000</v>
      </c>
      <c r="L1722" s="32"/>
      <c r="M1722" s="33">
        <f>(PROVEEDORES[[#This Row],[SUBTOTAL]]-PROVEEDORES[[#This Row],[descuento antes de IVA]])*VLOOKUP(PROVEEDORES[[#This Row],[PROVEEDOR]],TERCEROS_INFO[#All],3,FALSE)</f>
        <v>265240</v>
      </c>
      <c r="N1722" s="34"/>
      <c r="O1722" s="33">
        <f>+PROVEEDORES[[#This Row],[Descuento sobre subtotal %]]*(PROVEEDORES[[#This Row],[SUBTOTAL]]-PROVEEDORES[[#This Row],[descuento antes de IVA]])</f>
        <v>0</v>
      </c>
      <c r="P17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2" s="33">
        <f>+(PROVEEDORES[[#This Row],[SUBTOTAL]]-PROVEEDORES[[#This Row],[descuento antes de IVA]])*PROVEEDORES[[#This Row],[Rete Fuente %]]</f>
        <v>0</v>
      </c>
      <c r="R1722" s="32">
        <f>+PROVEEDORES[[#This Row],[SUBTOTAL]]+PROVEEDORES[[#This Row],[IVA 19%]]-PROVEEDORES[[#This Row],[descuento antes de IVA]]-PROVEEDORES[[#This Row],[Descuento sobre subtotal $]]-PROVEEDORES[[#This Row],[Rete Fuente $]]</f>
        <v>1661240</v>
      </c>
      <c r="S17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3" spans="1:19" ht="21.95" hidden="1" customHeight="1" x14ac:dyDescent="0.25">
      <c r="A1723" s="39" t="str">
        <f>+IF(PROVEEDORES[[#This Row],[FECHA DE PAGO]]=PROVEEDORES[[#This Row],[FECHA DE FACTURACIÓN]],"DE CONTADO","CRÉDITO")</f>
        <v>CRÉDITO</v>
      </c>
      <c r="B1723" s="67" t="str">
        <f>+IF((PROVEEDORES[[#This Row],[FECHA DE PAGO]]-PROVEEDORES[[#This Row],[FECHA DE FACTURACIÓN]])&gt;PROVEEDORES[[#This Row],[PLAZO Días]],"PAGO VENCIDO")</f>
        <v>PAGO VENCIDO</v>
      </c>
      <c r="C1723" s="27">
        <f>+VLOOKUP(PROVEEDORES[[#This Row],[PROVEEDOR]],TERCEROS_INFO[#All],2,FALSE)</f>
        <v>45</v>
      </c>
      <c r="D1723" s="37">
        <f>+SUMIFS(PROVEEDORES[Total],PROVEEDORES[PROVEEDOR],PROVEEDORES[[#This Row],[PROVEEDOR]],PROVEEDORES[FECHA DE PAGO],"")</f>
        <v>1416100</v>
      </c>
      <c r="E1723" s="37"/>
      <c r="F1723" s="108" t="str">
        <f>+VLOOKUP(PROVEEDORES[[#This Row],[PROVEEDOR]],TERCEROS_INFO[[PROVEEDOR]:[CORREO]],5,FALSE)</f>
        <v>libardopineda@tronex.com;girlesa.ruiz@servipilas.com;joriescobar64@gmail.com</v>
      </c>
      <c r="G1723" s="143">
        <v>44124</v>
      </c>
      <c r="H1723" s="38" t="s">
        <v>10</v>
      </c>
      <c r="I1723" s="30">
        <v>44055</v>
      </c>
      <c r="J1723" s="58" t="s">
        <v>121</v>
      </c>
      <c r="K1723" s="32">
        <v>1300000</v>
      </c>
      <c r="L1723" s="32"/>
      <c r="M1723" s="33">
        <f>(PROVEEDORES[[#This Row],[SUBTOTAL]]-PROVEEDORES[[#This Row],[descuento antes de IVA]])*VLOOKUP(PROVEEDORES[[#This Row],[PROVEEDOR]],TERCEROS_INFO[#All],3,FALSE)</f>
        <v>247000</v>
      </c>
      <c r="N1723" s="34"/>
      <c r="O1723" s="33">
        <f>+PROVEEDORES[[#This Row],[Descuento sobre subtotal %]]*(PROVEEDORES[[#This Row],[SUBTOTAL]]-PROVEEDORES[[#This Row],[descuento antes de IVA]])</f>
        <v>0</v>
      </c>
      <c r="P17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3" s="33">
        <f>+(PROVEEDORES[[#This Row],[SUBTOTAL]]-PROVEEDORES[[#This Row],[descuento antes de IVA]])*PROVEEDORES[[#This Row],[Rete Fuente %]]</f>
        <v>0</v>
      </c>
      <c r="R1723" s="32">
        <f>+PROVEEDORES[[#This Row],[SUBTOTAL]]+PROVEEDORES[[#This Row],[IVA 19%]]-PROVEEDORES[[#This Row],[descuento antes de IVA]]-PROVEEDORES[[#This Row],[Descuento sobre subtotal $]]-PROVEEDORES[[#This Row],[Rete Fuente $]]</f>
        <v>1547000</v>
      </c>
      <c r="S17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4" spans="1:19" ht="21.95" hidden="1" customHeight="1" x14ac:dyDescent="0.25">
      <c r="A1724" s="39" t="str">
        <f>+IF(PROVEEDORES[[#This Row],[FECHA DE PAGO]]=PROVEEDORES[[#This Row],[FECHA DE FACTURACIÓN]],"DE CONTADO","CRÉDITO")</f>
        <v>CRÉDITO</v>
      </c>
      <c r="B1724" s="67" t="str">
        <f>+IF((PROVEEDORES[[#This Row],[FECHA DE PAGO]]-PROVEEDORES[[#This Row],[FECHA DE FACTURACIÓN]])&gt;PROVEEDORES[[#This Row],[PLAZO Días]],"PAGO VENCIDO")</f>
        <v>PAGO VENCIDO</v>
      </c>
      <c r="C1724" s="27">
        <f>+VLOOKUP(PROVEEDORES[[#This Row],[PROVEEDOR]],TERCEROS_INFO[#All],2,FALSE)</f>
        <v>45</v>
      </c>
      <c r="D1724" s="37">
        <f>+SUMIFS(PROVEEDORES[Total],PROVEEDORES[PROVEEDOR],PROVEEDORES[[#This Row],[PROVEEDOR]],PROVEEDORES[FECHA DE PAGO],"")</f>
        <v>1416100</v>
      </c>
      <c r="E1724" s="37"/>
      <c r="F1724" s="108" t="str">
        <f>+VLOOKUP(PROVEEDORES[[#This Row],[PROVEEDOR]],TERCEROS_INFO[[PROVEEDOR]:[CORREO]],5,FALSE)</f>
        <v>libardopineda@tronex.com;girlesa.ruiz@servipilas.com;joriescobar64@gmail.com</v>
      </c>
      <c r="G1724" s="143">
        <v>44124</v>
      </c>
      <c r="H1724" s="38" t="s">
        <v>10</v>
      </c>
      <c r="I1724" s="30">
        <v>44070</v>
      </c>
      <c r="J1724" s="58" t="s">
        <v>129</v>
      </c>
      <c r="K1724" s="32">
        <v>610000</v>
      </c>
      <c r="L1724" s="32"/>
      <c r="M1724" s="33">
        <f>(PROVEEDORES[[#This Row],[SUBTOTAL]]-PROVEEDORES[[#This Row],[descuento antes de IVA]])*VLOOKUP(PROVEEDORES[[#This Row],[PROVEEDOR]],TERCEROS_INFO[#All],3,FALSE)</f>
        <v>115900</v>
      </c>
      <c r="N1724" s="34"/>
      <c r="O1724" s="33">
        <f>+PROVEEDORES[[#This Row],[Descuento sobre subtotal %]]*(PROVEEDORES[[#This Row],[SUBTOTAL]]-PROVEEDORES[[#This Row],[descuento antes de IVA]])</f>
        <v>0</v>
      </c>
      <c r="P17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4" s="33">
        <f>+(PROVEEDORES[[#This Row],[SUBTOTAL]]-PROVEEDORES[[#This Row],[descuento antes de IVA]])*PROVEEDORES[[#This Row],[Rete Fuente %]]</f>
        <v>0</v>
      </c>
      <c r="R1724" s="32">
        <f>+PROVEEDORES[[#This Row],[SUBTOTAL]]+PROVEEDORES[[#This Row],[IVA 19%]]-PROVEEDORES[[#This Row],[descuento antes de IVA]]-PROVEEDORES[[#This Row],[Descuento sobre subtotal $]]-PROVEEDORES[[#This Row],[Rete Fuente $]]</f>
        <v>725900</v>
      </c>
      <c r="S17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5" spans="1:19" ht="21.95" hidden="1" customHeight="1" x14ac:dyDescent="0.25">
      <c r="A1725" s="39" t="str">
        <f>+IF(PROVEEDORES[[#This Row],[FECHA DE PAGO]]=PROVEEDORES[[#This Row],[FECHA DE FACTURACIÓN]],"DE CONTADO","CRÉDITO")</f>
        <v>CRÉDITO</v>
      </c>
      <c r="B1725" s="67" t="str">
        <f>+IF((PROVEEDORES[[#This Row],[FECHA DE PAGO]]-PROVEEDORES[[#This Row],[FECHA DE FACTURACIÓN]])&gt;PROVEEDORES[[#This Row],[PLAZO Días]],"PAGO VENCIDO")</f>
        <v>PAGO VENCIDO</v>
      </c>
      <c r="C1725" s="27">
        <f>+VLOOKUP(PROVEEDORES[[#This Row],[PROVEEDOR]],TERCEROS_INFO[#All],2,FALSE)</f>
        <v>45</v>
      </c>
      <c r="D1725" s="37">
        <f>+SUMIFS(PROVEEDORES[Total],PROVEEDORES[PROVEEDOR],PROVEEDORES[[#This Row],[PROVEEDOR]],PROVEEDORES[FECHA DE PAGO],"")</f>
        <v>1416100</v>
      </c>
      <c r="E1725" s="37"/>
      <c r="F1725" s="108" t="str">
        <f>+VLOOKUP(PROVEEDORES[[#This Row],[PROVEEDOR]],TERCEROS_INFO[[PROVEEDOR]:[CORREO]],5,FALSE)</f>
        <v>libardopineda@tronex.com;girlesa.ruiz@servipilas.com;joriescobar64@gmail.com</v>
      </c>
      <c r="G1725" s="143">
        <v>44138</v>
      </c>
      <c r="H1725" s="38" t="s">
        <v>10</v>
      </c>
      <c r="I1725" s="30">
        <v>44076</v>
      </c>
      <c r="J1725" s="58" t="s">
        <v>135</v>
      </c>
      <c r="K1725" s="32">
        <v>876000</v>
      </c>
      <c r="L1725" s="32"/>
      <c r="M1725" s="33">
        <f>(PROVEEDORES[[#This Row],[SUBTOTAL]]-PROVEEDORES[[#This Row],[descuento antes de IVA]])*VLOOKUP(PROVEEDORES[[#This Row],[PROVEEDOR]],TERCEROS_INFO[#All],3,FALSE)</f>
        <v>166440</v>
      </c>
      <c r="N1725" s="34"/>
      <c r="O1725" s="33">
        <f>+PROVEEDORES[[#This Row],[Descuento sobre subtotal %]]*(PROVEEDORES[[#This Row],[SUBTOTAL]]-PROVEEDORES[[#This Row],[descuento antes de IVA]])</f>
        <v>0</v>
      </c>
      <c r="P17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5" s="33">
        <f>+(PROVEEDORES[[#This Row],[SUBTOTAL]]-PROVEEDORES[[#This Row],[descuento antes de IVA]])*PROVEEDORES[[#This Row],[Rete Fuente %]]</f>
        <v>0</v>
      </c>
      <c r="R1725" s="32">
        <f>+PROVEEDORES[[#This Row],[SUBTOTAL]]+PROVEEDORES[[#This Row],[IVA 19%]]-PROVEEDORES[[#This Row],[descuento antes de IVA]]-PROVEEDORES[[#This Row],[Descuento sobre subtotal $]]-PROVEEDORES[[#This Row],[Rete Fuente $]]</f>
        <v>1042440</v>
      </c>
      <c r="S17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6" spans="1:19" ht="21.95" hidden="1" customHeight="1" x14ac:dyDescent="0.25">
      <c r="A1726" s="39" t="str">
        <f>+IF(PROVEEDORES[[#This Row],[FECHA DE PAGO]]=PROVEEDORES[[#This Row],[FECHA DE FACTURACIÓN]],"DE CONTADO","CRÉDITO")</f>
        <v>CRÉDITO</v>
      </c>
      <c r="B1726" s="67" t="str">
        <f>+IF((PROVEEDORES[[#This Row],[FECHA DE PAGO]]-PROVEEDORES[[#This Row],[FECHA DE FACTURACIÓN]])&gt;PROVEEDORES[[#This Row],[PLAZO Días]],"PAGO VENCIDO")</f>
        <v>PAGO VENCIDO</v>
      </c>
      <c r="C1726" s="27">
        <f>+VLOOKUP(PROVEEDORES[[#This Row],[PROVEEDOR]],TERCEROS_INFO[#All],2,FALSE)</f>
        <v>45</v>
      </c>
      <c r="D1726" s="37">
        <f>+SUMIFS(PROVEEDORES[Total],PROVEEDORES[PROVEEDOR],PROVEEDORES[[#This Row],[PROVEEDOR]],PROVEEDORES[FECHA DE PAGO],"")</f>
        <v>1416100</v>
      </c>
      <c r="E1726" s="37"/>
      <c r="F1726" s="108" t="str">
        <f>+VLOOKUP(PROVEEDORES[[#This Row],[PROVEEDOR]],TERCEROS_INFO[[PROVEEDOR]:[CORREO]],5,FALSE)</f>
        <v>libardopineda@tronex.com;girlesa.ruiz@servipilas.com;joriescobar64@gmail.com</v>
      </c>
      <c r="G1726" s="143">
        <v>44124</v>
      </c>
      <c r="H1726" s="38" t="s">
        <v>10</v>
      </c>
      <c r="I1726" s="30">
        <v>44076</v>
      </c>
      <c r="J1726" s="58" t="s">
        <v>134</v>
      </c>
      <c r="K1726" s="32">
        <v>730000</v>
      </c>
      <c r="L1726" s="32"/>
      <c r="M1726" s="33">
        <f>(PROVEEDORES[[#This Row],[SUBTOTAL]]-PROVEEDORES[[#This Row],[descuento antes de IVA]])*VLOOKUP(PROVEEDORES[[#This Row],[PROVEEDOR]],TERCEROS_INFO[#All],3,FALSE)</f>
        <v>138700</v>
      </c>
      <c r="N1726" s="34"/>
      <c r="O1726" s="33">
        <f>+PROVEEDORES[[#This Row],[Descuento sobre subtotal %]]*(PROVEEDORES[[#This Row],[SUBTOTAL]]-PROVEEDORES[[#This Row],[descuento antes de IVA]])</f>
        <v>0</v>
      </c>
      <c r="P17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6" s="33">
        <f>+(PROVEEDORES[[#This Row],[SUBTOTAL]]-PROVEEDORES[[#This Row],[descuento antes de IVA]])*PROVEEDORES[[#This Row],[Rete Fuente %]]</f>
        <v>0</v>
      </c>
      <c r="R1726" s="32">
        <f>+PROVEEDORES[[#This Row],[SUBTOTAL]]+PROVEEDORES[[#This Row],[IVA 19%]]-PROVEEDORES[[#This Row],[descuento antes de IVA]]-PROVEEDORES[[#This Row],[Descuento sobre subtotal $]]-PROVEEDORES[[#This Row],[Rete Fuente $]]</f>
        <v>868700</v>
      </c>
      <c r="S172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7" spans="1:19" ht="21.95" hidden="1" customHeight="1" x14ac:dyDescent="0.25">
      <c r="A1727" s="39" t="str">
        <f>+IF(PROVEEDORES[[#This Row],[FECHA DE PAGO]]=PROVEEDORES[[#This Row],[FECHA DE FACTURACIÓN]],"DE CONTADO","CRÉDITO")</f>
        <v>CRÉDITO</v>
      </c>
      <c r="B1727" s="67" t="str">
        <f>+IF((PROVEEDORES[[#This Row],[FECHA DE PAGO]]-PROVEEDORES[[#This Row],[FECHA DE FACTURACIÓN]])&gt;PROVEEDORES[[#This Row],[PLAZO Días]],"PAGO VENCIDO")</f>
        <v>PAGO VENCIDO</v>
      </c>
      <c r="C1727" s="27">
        <f>+VLOOKUP(PROVEEDORES[[#This Row],[PROVEEDOR]],TERCEROS_INFO[#All],2,FALSE)</f>
        <v>45</v>
      </c>
      <c r="D1727" s="37">
        <f>+SUMIFS(PROVEEDORES[Total],PROVEEDORES[PROVEEDOR],PROVEEDORES[[#This Row],[PROVEEDOR]],PROVEEDORES[FECHA DE PAGO],"")</f>
        <v>1416100</v>
      </c>
      <c r="E1727" s="37"/>
      <c r="F1727" s="108" t="str">
        <f>+VLOOKUP(PROVEEDORES[[#This Row],[PROVEEDOR]],TERCEROS_INFO[[PROVEEDOR]:[CORREO]],5,FALSE)</f>
        <v>libardopineda@tronex.com;girlesa.ruiz@servipilas.com;joriescobar64@gmail.com</v>
      </c>
      <c r="G1727" s="143">
        <v>44138</v>
      </c>
      <c r="H1727" s="38" t="s">
        <v>10</v>
      </c>
      <c r="I1727" s="30">
        <v>44088</v>
      </c>
      <c r="J1727" s="58" t="s">
        <v>141</v>
      </c>
      <c r="K1727" s="32">
        <v>1855000</v>
      </c>
      <c r="L1727" s="32"/>
      <c r="M1727" s="33">
        <f>(PROVEEDORES[[#This Row],[SUBTOTAL]]-PROVEEDORES[[#This Row],[descuento antes de IVA]])*VLOOKUP(PROVEEDORES[[#This Row],[PROVEEDOR]],TERCEROS_INFO[#All],3,FALSE)</f>
        <v>352450</v>
      </c>
      <c r="N1727" s="34"/>
      <c r="O1727" s="33">
        <f>+PROVEEDORES[[#This Row],[Descuento sobre subtotal %]]*(PROVEEDORES[[#This Row],[SUBTOTAL]]-PROVEEDORES[[#This Row],[descuento antes de IVA]])</f>
        <v>0</v>
      </c>
      <c r="P17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7" s="33">
        <f>+(PROVEEDORES[[#This Row],[SUBTOTAL]]-PROVEEDORES[[#This Row],[descuento antes de IVA]])*PROVEEDORES[[#This Row],[Rete Fuente %]]</f>
        <v>0</v>
      </c>
      <c r="R1727" s="32">
        <f>+PROVEEDORES[[#This Row],[SUBTOTAL]]+PROVEEDORES[[#This Row],[IVA 19%]]-PROVEEDORES[[#This Row],[descuento antes de IVA]]-PROVEEDORES[[#This Row],[Descuento sobre subtotal $]]-PROVEEDORES[[#This Row],[Rete Fuente $]]</f>
        <v>2207450</v>
      </c>
      <c r="S172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8" spans="1:19" ht="21.95" hidden="1" customHeight="1" x14ac:dyDescent="0.25">
      <c r="A1728" s="39" t="str">
        <f>+IF(PROVEEDORES[[#This Row],[FECHA DE PAGO]]=PROVEEDORES[[#This Row],[FECHA DE FACTURACIÓN]],"DE CONTADO","CRÉDITO")</f>
        <v>CRÉDITO</v>
      </c>
      <c r="B1728" s="67" t="str">
        <f>+IF((PROVEEDORES[[#This Row],[FECHA DE PAGO]]-PROVEEDORES[[#This Row],[FECHA DE FACTURACIÓN]])&gt;PROVEEDORES[[#This Row],[PLAZO Días]],"PAGO VENCIDO")</f>
        <v>PAGO VENCIDO</v>
      </c>
      <c r="C1728" s="27">
        <f>+VLOOKUP(PROVEEDORES[[#This Row],[PROVEEDOR]],TERCEROS_INFO[#All],2,FALSE)</f>
        <v>45</v>
      </c>
      <c r="D1728" s="37">
        <f>+SUMIFS(PROVEEDORES[Total],PROVEEDORES[PROVEEDOR],PROVEEDORES[[#This Row],[PROVEEDOR]],PROVEEDORES[FECHA DE PAGO],"")</f>
        <v>1416100</v>
      </c>
      <c r="E1728" s="37"/>
      <c r="F1728" s="108" t="str">
        <f>+VLOOKUP(PROVEEDORES[[#This Row],[PROVEEDOR]],TERCEROS_INFO[[PROVEEDOR]:[CORREO]],5,FALSE)</f>
        <v>libardopineda@tronex.com;girlesa.ruiz@servipilas.com;joriescobar64@gmail.com</v>
      </c>
      <c r="G1728" s="143">
        <v>44172</v>
      </c>
      <c r="H1728" s="38" t="s">
        <v>10</v>
      </c>
      <c r="I1728" s="30">
        <v>44103</v>
      </c>
      <c r="J1728" s="58" t="s">
        <v>150</v>
      </c>
      <c r="K1728" s="32">
        <v>372000</v>
      </c>
      <c r="L1728" s="32"/>
      <c r="M1728" s="33">
        <f>(PROVEEDORES[[#This Row],[SUBTOTAL]]-PROVEEDORES[[#This Row],[descuento antes de IVA]])*VLOOKUP(PROVEEDORES[[#This Row],[PROVEEDOR]],TERCEROS_INFO[#All],3,FALSE)</f>
        <v>70680</v>
      </c>
      <c r="N1728" s="34"/>
      <c r="O1728" s="33">
        <f>+PROVEEDORES[[#This Row],[Descuento sobre subtotal %]]*(PROVEEDORES[[#This Row],[SUBTOTAL]]-PROVEEDORES[[#This Row],[descuento antes de IVA]])</f>
        <v>0</v>
      </c>
      <c r="P17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8" s="33">
        <f>+(PROVEEDORES[[#This Row],[SUBTOTAL]]-PROVEEDORES[[#This Row],[descuento antes de IVA]])*PROVEEDORES[[#This Row],[Rete Fuente %]]</f>
        <v>0</v>
      </c>
      <c r="R1728" s="32">
        <f>+PROVEEDORES[[#This Row],[SUBTOTAL]]+PROVEEDORES[[#This Row],[IVA 19%]]-PROVEEDORES[[#This Row],[descuento antes de IVA]]-PROVEEDORES[[#This Row],[Descuento sobre subtotal $]]-PROVEEDORES[[#This Row],[Rete Fuente $]]</f>
        <v>442680</v>
      </c>
      <c r="S172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29" spans="1:19" ht="21.95" hidden="1" customHeight="1" x14ac:dyDescent="0.25">
      <c r="A1729" s="39" t="str">
        <f>+IF(PROVEEDORES[[#This Row],[FECHA DE PAGO]]=PROVEEDORES[[#This Row],[FECHA DE FACTURACIÓN]],"DE CONTADO","CRÉDITO")</f>
        <v>CRÉDITO</v>
      </c>
      <c r="B1729" s="67" t="str">
        <f>+IF((PROVEEDORES[[#This Row],[FECHA DE PAGO]]-PROVEEDORES[[#This Row],[FECHA DE FACTURACIÓN]])&gt;PROVEEDORES[[#This Row],[PLAZO Días]],"PAGO VENCIDO")</f>
        <v>PAGO VENCIDO</v>
      </c>
      <c r="C1729" s="27">
        <f>+VLOOKUP(PROVEEDORES[[#This Row],[PROVEEDOR]],TERCEROS_INFO[#All],2,FALSE)</f>
        <v>45</v>
      </c>
      <c r="D1729" s="37">
        <f>+SUMIFS(PROVEEDORES[Total],PROVEEDORES[PROVEEDOR],PROVEEDORES[[#This Row],[PROVEEDOR]],PROVEEDORES[FECHA DE PAGO],"")</f>
        <v>1416100</v>
      </c>
      <c r="E1729" s="37"/>
      <c r="F1729" s="108" t="str">
        <f>+VLOOKUP(PROVEEDORES[[#This Row],[PROVEEDOR]],TERCEROS_INFO[[PROVEEDOR]:[CORREO]],5,FALSE)</f>
        <v>libardopineda@tronex.com;girlesa.ruiz@servipilas.com;joriescobar64@gmail.com</v>
      </c>
      <c r="G1729" s="143">
        <v>44172</v>
      </c>
      <c r="H1729" s="38" t="s">
        <v>10</v>
      </c>
      <c r="I1729" s="30">
        <v>44109</v>
      </c>
      <c r="J1729" s="58" t="s">
        <v>156</v>
      </c>
      <c r="K1729" s="32">
        <v>160000</v>
      </c>
      <c r="L1729" s="32"/>
      <c r="M1729" s="33">
        <f>(PROVEEDORES[[#This Row],[SUBTOTAL]]-PROVEEDORES[[#This Row],[descuento antes de IVA]])*VLOOKUP(PROVEEDORES[[#This Row],[PROVEEDOR]],TERCEROS_INFO[#All],3,FALSE)</f>
        <v>30400</v>
      </c>
      <c r="N1729" s="34"/>
      <c r="O1729" s="33">
        <f>+PROVEEDORES[[#This Row],[Descuento sobre subtotal %]]*(PROVEEDORES[[#This Row],[SUBTOTAL]]-PROVEEDORES[[#This Row],[descuento antes de IVA]])</f>
        <v>0</v>
      </c>
      <c r="P17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29" s="33">
        <f>+(PROVEEDORES[[#This Row],[SUBTOTAL]]-PROVEEDORES[[#This Row],[descuento antes de IVA]])*PROVEEDORES[[#This Row],[Rete Fuente %]]</f>
        <v>0</v>
      </c>
      <c r="R1729" s="32">
        <f>+PROVEEDORES[[#This Row],[SUBTOTAL]]+PROVEEDORES[[#This Row],[IVA 19%]]-PROVEEDORES[[#This Row],[descuento antes de IVA]]-PROVEEDORES[[#This Row],[Descuento sobre subtotal $]]-PROVEEDORES[[#This Row],[Rete Fuente $]]</f>
        <v>190400</v>
      </c>
      <c r="S172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0" spans="1:19" ht="21.95" hidden="1" customHeight="1" x14ac:dyDescent="0.25">
      <c r="A1730" s="39" t="str">
        <f>+IF(PROVEEDORES[[#This Row],[FECHA DE PAGO]]=PROVEEDORES[[#This Row],[FECHA DE FACTURACIÓN]],"DE CONTADO","CRÉDITO")</f>
        <v>CRÉDITO</v>
      </c>
      <c r="B1730" s="67" t="str">
        <f>+IF((PROVEEDORES[[#This Row],[FECHA DE PAGO]]-PROVEEDORES[[#This Row],[FECHA DE FACTURACIÓN]])&gt;PROVEEDORES[[#This Row],[PLAZO Días]],"PAGO VENCIDO")</f>
        <v>PAGO VENCIDO</v>
      </c>
      <c r="C1730" s="27">
        <f>+VLOOKUP(PROVEEDORES[[#This Row],[PROVEEDOR]],TERCEROS_INFO[#All],2,FALSE)</f>
        <v>45</v>
      </c>
      <c r="D1730" s="37">
        <f>+SUMIFS(PROVEEDORES[Total],PROVEEDORES[PROVEEDOR],PROVEEDORES[[#This Row],[PROVEEDOR]],PROVEEDORES[FECHA DE PAGO],"")</f>
        <v>1416100</v>
      </c>
      <c r="E1730" s="37"/>
      <c r="F1730" s="108" t="str">
        <f>+VLOOKUP(PROVEEDORES[[#This Row],[PROVEEDOR]],TERCEROS_INFO[[PROVEEDOR]:[CORREO]],5,FALSE)</f>
        <v>libardopineda@tronex.com;girlesa.ruiz@servipilas.com;joriescobar64@gmail.com</v>
      </c>
      <c r="G1730" s="143">
        <v>44172</v>
      </c>
      <c r="H1730" s="38" t="s">
        <v>10</v>
      </c>
      <c r="I1730" s="30">
        <v>44112</v>
      </c>
      <c r="J1730" s="58" t="s">
        <v>155</v>
      </c>
      <c r="K1730" s="32">
        <v>610000</v>
      </c>
      <c r="L1730" s="32"/>
      <c r="M1730" s="33">
        <f>(PROVEEDORES[[#This Row],[SUBTOTAL]]-PROVEEDORES[[#This Row],[descuento antes de IVA]])*VLOOKUP(PROVEEDORES[[#This Row],[PROVEEDOR]],TERCEROS_INFO[#All],3,FALSE)</f>
        <v>115900</v>
      </c>
      <c r="N1730" s="34"/>
      <c r="O1730" s="33">
        <f>+PROVEEDORES[[#This Row],[Descuento sobre subtotal %]]*(PROVEEDORES[[#This Row],[SUBTOTAL]]-PROVEEDORES[[#This Row],[descuento antes de IVA]])</f>
        <v>0</v>
      </c>
      <c r="P17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0" s="33">
        <f>+(PROVEEDORES[[#This Row],[SUBTOTAL]]-PROVEEDORES[[#This Row],[descuento antes de IVA]])*PROVEEDORES[[#This Row],[Rete Fuente %]]</f>
        <v>0</v>
      </c>
      <c r="R1730" s="32">
        <f>+PROVEEDORES[[#This Row],[SUBTOTAL]]+PROVEEDORES[[#This Row],[IVA 19%]]-PROVEEDORES[[#This Row],[descuento antes de IVA]]-PROVEEDORES[[#This Row],[Descuento sobre subtotal $]]-PROVEEDORES[[#This Row],[Rete Fuente $]]</f>
        <v>725900</v>
      </c>
      <c r="S173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1" spans="1:19" ht="21.95" hidden="1" customHeight="1" x14ac:dyDescent="0.25">
      <c r="A1731" s="39" t="str">
        <f>+IF(PROVEEDORES[[#This Row],[FECHA DE PAGO]]=PROVEEDORES[[#This Row],[FECHA DE FACTURACIÓN]],"DE CONTADO","CRÉDITO")</f>
        <v>CRÉDITO</v>
      </c>
      <c r="B1731" s="67" t="str">
        <f>+IF((PROVEEDORES[[#This Row],[FECHA DE PAGO]]-PROVEEDORES[[#This Row],[FECHA DE FACTURACIÓN]])&gt;PROVEEDORES[[#This Row],[PLAZO Días]],"PAGO VENCIDO")</f>
        <v>PAGO VENCIDO</v>
      </c>
      <c r="C1731" s="27">
        <f>+VLOOKUP(PROVEEDORES[[#This Row],[PROVEEDOR]],TERCEROS_INFO[#All],2,FALSE)</f>
        <v>45</v>
      </c>
      <c r="D1731" s="37">
        <f>+SUMIFS(PROVEEDORES[Total],PROVEEDORES[PROVEEDOR],PROVEEDORES[[#This Row],[PROVEEDOR]],PROVEEDORES[FECHA DE PAGO],"")</f>
        <v>1416100</v>
      </c>
      <c r="E1731" s="37"/>
      <c r="F1731" s="108" t="str">
        <f>+VLOOKUP(PROVEEDORES[[#This Row],[PROVEEDOR]],TERCEROS_INFO[[PROVEEDOR]:[CORREO]],5,FALSE)</f>
        <v>libardopineda@tronex.com;girlesa.ruiz@servipilas.com;joriescobar64@gmail.com</v>
      </c>
      <c r="G1731" s="143">
        <v>44172</v>
      </c>
      <c r="H1731" s="38" t="s">
        <v>10</v>
      </c>
      <c r="I1731" s="30">
        <v>44117</v>
      </c>
      <c r="J1731" s="58" t="s">
        <v>159</v>
      </c>
      <c r="K1731" s="32">
        <v>780000</v>
      </c>
      <c r="L1731" s="32"/>
      <c r="M1731" s="33">
        <f>(PROVEEDORES[[#This Row],[SUBTOTAL]]-PROVEEDORES[[#This Row],[descuento antes de IVA]])*VLOOKUP(PROVEEDORES[[#This Row],[PROVEEDOR]],TERCEROS_INFO[#All],3,FALSE)</f>
        <v>148200</v>
      </c>
      <c r="N1731" s="34"/>
      <c r="O1731" s="33">
        <f>+PROVEEDORES[[#This Row],[Descuento sobre subtotal %]]*(PROVEEDORES[[#This Row],[SUBTOTAL]]-PROVEEDORES[[#This Row],[descuento antes de IVA]])</f>
        <v>0</v>
      </c>
      <c r="P17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1" s="33">
        <f>+(PROVEEDORES[[#This Row],[SUBTOTAL]]-PROVEEDORES[[#This Row],[descuento antes de IVA]])*PROVEEDORES[[#This Row],[Rete Fuente %]]</f>
        <v>0</v>
      </c>
      <c r="R1731" s="32">
        <f>+PROVEEDORES[[#This Row],[SUBTOTAL]]+PROVEEDORES[[#This Row],[IVA 19%]]-PROVEEDORES[[#This Row],[descuento antes de IVA]]-PROVEEDORES[[#This Row],[Descuento sobre subtotal $]]-PROVEEDORES[[#This Row],[Rete Fuente $]]</f>
        <v>928200</v>
      </c>
      <c r="S173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2" spans="1:19" ht="21.95" hidden="1" customHeight="1" x14ac:dyDescent="0.25">
      <c r="A1732" s="39" t="str">
        <f>+IF(PROVEEDORES[[#This Row],[FECHA DE PAGO]]=PROVEEDORES[[#This Row],[FECHA DE FACTURACIÓN]],"DE CONTADO","CRÉDITO")</f>
        <v>CRÉDITO</v>
      </c>
      <c r="B1732" s="67" t="str">
        <f>+IF((PROVEEDORES[[#This Row],[FECHA DE PAGO]]-PROVEEDORES[[#This Row],[FECHA DE FACTURACIÓN]])&gt;PROVEEDORES[[#This Row],[PLAZO Días]],"PAGO VENCIDO")</f>
        <v>PAGO VENCIDO</v>
      </c>
      <c r="C1732" s="27">
        <f>+VLOOKUP(PROVEEDORES[[#This Row],[PROVEEDOR]],TERCEROS_INFO[#All],2,FALSE)</f>
        <v>45</v>
      </c>
      <c r="D1732" s="37">
        <f>+SUMIFS(PROVEEDORES[Total],PROVEEDORES[PROVEEDOR],PROVEEDORES[[#This Row],[PROVEEDOR]],PROVEEDORES[FECHA DE PAGO],"")</f>
        <v>1416100</v>
      </c>
      <c r="E1732" s="37"/>
      <c r="F1732" s="108" t="str">
        <f>+VLOOKUP(PROVEEDORES[[#This Row],[PROVEEDOR]],TERCEROS_INFO[[PROVEEDOR]:[CORREO]],5,FALSE)</f>
        <v>libardopineda@tronex.com;girlesa.ruiz@servipilas.com;joriescobar64@gmail.com</v>
      </c>
      <c r="G1732" s="143">
        <v>44172</v>
      </c>
      <c r="H1732" s="38" t="s">
        <v>10</v>
      </c>
      <c r="I1732" s="30">
        <v>44124</v>
      </c>
      <c r="J1732" s="58" t="s">
        <v>162</v>
      </c>
      <c r="K1732" s="32">
        <v>1057500</v>
      </c>
      <c r="L1732" s="32"/>
      <c r="M1732" s="33">
        <f>(PROVEEDORES[[#This Row],[SUBTOTAL]]-PROVEEDORES[[#This Row],[descuento antes de IVA]])*VLOOKUP(PROVEEDORES[[#This Row],[PROVEEDOR]],TERCEROS_INFO[#All],3,FALSE)</f>
        <v>200925</v>
      </c>
      <c r="N1732" s="34"/>
      <c r="O1732" s="33">
        <f>+PROVEEDORES[[#This Row],[Descuento sobre subtotal %]]*(PROVEEDORES[[#This Row],[SUBTOTAL]]-PROVEEDORES[[#This Row],[descuento antes de IVA]])</f>
        <v>0</v>
      </c>
      <c r="P17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2" s="33">
        <f>+(PROVEEDORES[[#This Row],[SUBTOTAL]]-PROVEEDORES[[#This Row],[descuento antes de IVA]])*PROVEEDORES[[#This Row],[Rete Fuente %]]</f>
        <v>0</v>
      </c>
      <c r="R1732" s="32">
        <f>+PROVEEDORES[[#This Row],[SUBTOTAL]]+PROVEEDORES[[#This Row],[IVA 19%]]-PROVEEDORES[[#This Row],[descuento antes de IVA]]-PROVEEDORES[[#This Row],[Descuento sobre subtotal $]]-PROVEEDORES[[#This Row],[Rete Fuente $]]</f>
        <v>1258425</v>
      </c>
      <c r="S173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3" spans="1:19" ht="21.95" hidden="1" customHeight="1" x14ac:dyDescent="0.25">
      <c r="A1733" s="39" t="str">
        <f>+IF(PROVEEDORES[[#This Row],[FECHA DE PAGO]]=PROVEEDORES[[#This Row],[FECHA DE FACTURACIÓN]],"DE CONTADO","CRÉDITO")</f>
        <v>CRÉDITO</v>
      </c>
      <c r="B1733" s="67" t="str">
        <f>+IF((PROVEEDORES[[#This Row],[FECHA DE PAGO]]-PROVEEDORES[[#This Row],[FECHA DE FACTURACIÓN]])&gt;PROVEEDORES[[#This Row],[PLAZO Días]],"PAGO VENCIDO")</f>
        <v>PAGO VENCIDO</v>
      </c>
      <c r="C1733" s="27">
        <f>+VLOOKUP(PROVEEDORES[[#This Row],[PROVEEDOR]],TERCEROS_INFO[#All],2,FALSE)</f>
        <v>45</v>
      </c>
      <c r="D1733" s="37">
        <f>+SUMIFS(PROVEEDORES[Total],PROVEEDORES[PROVEEDOR],PROVEEDORES[[#This Row],[PROVEEDOR]],PROVEEDORES[FECHA DE PAGO],"")</f>
        <v>1416100</v>
      </c>
      <c r="E1733" s="37"/>
      <c r="F1733" s="108" t="str">
        <f>+VLOOKUP(PROVEEDORES[[#This Row],[PROVEEDOR]],TERCEROS_INFO[[PROVEEDOR]:[CORREO]],5,FALSE)</f>
        <v>libardopineda@tronex.com;girlesa.ruiz@servipilas.com;joriescobar64@gmail.com</v>
      </c>
      <c r="G1733" s="143">
        <v>44180</v>
      </c>
      <c r="H1733" s="38" t="s">
        <v>10</v>
      </c>
      <c r="I1733" s="30">
        <v>44127</v>
      </c>
      <c r="J1733" s="58" t="s">
        <v>167</v>
      </c>
      <c r="K1733" s="32">
        <v>730000</v>
      </c>
      <c r="L1733" s="32"/>
      <c r="M1733" s="33">
        <f>(PROVEEDORES[[#This Row],[SUBTOTAL]]-PROVEEDORES[[#This Row],[descuento antes de IVA]])*VLOOKUP(PROVEEDORES[[#This Row],[PROVEEDOR]],TERCEROS_INFO[#All],3,FALSE)</f>
        <v>138700</v>
      </c>
      <c r="N1733" s="34"/>
      <c r="O1733" s="33">
        <f>+PROVEEDORES[[#This Row],[Descuento sobre subtotal %]]*(PROVEEDORES[[#This Row],[SUBTOTAL]]-PROVEEDORES[[#This Row],[descuento antes de IVA]])</f>
        <v>0</v>
      </c>
      <c r="P17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3" s="33">
        <f>+(PROVEEDORES[[#This Row],[SUBTOTAL]]-PROVEEDORES[[#This Row],[descuento antes de IVA]])*PROVEEDORES[[#This Row],[Rete Fuente %]]</f>
        <v>0</v>
      </c>
      <c r="R1733" s="32">
        <f>+PROVEEDORES[[#This Row],[SUBTOTAL]]+PROVEEDORES[[#This Row],[IVA 19%]]-PROVEEDORES[[#This Row],[descuento antes de IVA]]-PROVEEDORES[[#This Row],[Descuento sobre subtotal $]]-PROVEEDORES[[#This Row],[Rete Fuente $]]</f>
        <v>868700</v>
      </c>
      <c r="S173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4" spans="1:19" ht="21.95" hidden="1" customHeight="1" x14ac:dyDescent="0.25">
      <c r="A1734" s="39" t="str">
        <f>+IF(PROVEEDORES[[#This Row],[FECHA DE PAGO]]=PROVEEDORES[[#This Row],[FECHA DE FACTURACIÓN]],"DE CONTADO","CRÉDITO")</f>
        <v>CRÉDITO</v>
      </c>
      <c r="B1734" s="67" t="str">
        <f>+IF((PROVEEDORES[[#This Row],[FECHA DE PAGO]]-PROVEEDORES[[#This Row],[FECHA DE FACTURACIÓN]])&gt;PROVEEDORES[[#This Row],[PLAZO Días]],"PAGO VENCIDO")</f>
        <v>PAGO VENCIDO</v>
      </c>
      <c r="C1734" s="27">
        <f>+VLOOKUP(PROVEEDORES[[#This Row],[PROVEEDOR]],TERCEROS_INFO[#All],2,FALSE)</f>
        <v>45</v>
      </c>
      <c r="D1734" s="37">
        <f>+SUMIFS(PROVEEDORES[Total],PROVEEDORES[PROVEEDOR],PROVEEDORES[[#This Row],[PROVEEDOR]],PROVEEDORES[FECHA DE PAGO],"")</f>
        <v>1416100</v>
      </c>
      <c r="E1734" s="37"/>
      <c r="F1734" s="108" t="str">
        <f>+VLOOKUP(PROVEEDORES[[#This Row],[PROVEEDOR]],TERCEROS_INFO[[PROVEEDOR]:[CORREO]],5,FALSE)</f>
        <v>libardopineda@tronex.com;girlesa.ruiz@servipilas.com;joriescobar64@gmail.com</v>
      </c>
      <c r="G1734" s="143">
        <v>44187</v>
      </c>
      <c r="H1734" s="38" t="s">
        <v>10</v>
      </c>
      <c r="I1734" s="30">
        <v>44138</v>
      </c>
      <c r="J1734" s="58" t="s">
        <v>177</v>
      </c>
      <c r="K1734" s="32">
        <v>1599000</v>
      </c>
      <c r="L1734" s="32"/>
      <c r="M1734" s="33">
        <f>(PROVEEDORES[[#This Row],[SUBTOTAL]]-PROVEEDORES[[#This Row],[descuento antes de IVA]])*VLOOKUP(PROVEEDORES[[#This Row],[PROVEEDOR]],TERCEROS_INFO[#All],3,FALSE)</f>
        <v>303810</v>
      </c>
      <c r="N1734" s="34"/>
      <c r="O1734" s="33">
        <f>+PROVEEDORES[[#This Row],[Descuento sobre subtotal %]]*(PROVEEDORES[[#This Row],[SUBTOTAL]]-PROVEEDORES[[#This Row],[descuento antes de IVA]])</f>
        <v>0</v>
      </c>
      <c r="P17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4" s="33">
        <f>+(PROVEEDORES[[#This Row],[SUBTOTAL]]-PROVEEDORES[[#This Row],[descuento antes de IVA]])*PROVEEDORES[[#This Row],[Rete Fuente %]]</f>
        <v>0</v>
      </c>
      <c r="R1734" s="32">
        <f>+PROVEEDORES[[#This Row],[SUBTOTAL]]+PROVEEDORES[[#This Row],[IVA 19%]]-PROVEEDORES[[#This Row],[descuento antes de IVA]]-PROVEEDORES[[#This Row],[Descuento sobre subtotal $]]-PROVEEDORES[[#This Row],[Rete Fuente $]]</f>
        <v>1902810</v>
      </c>
      <c r="S173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5" spans="1:19" ht="21.95" hidden="1" customHeight="1" x14ac:dyDescent="0.25">
      <c r="A1735" s="39" t="str">
        <f>+IF(PROVEEDORES[[#This Row],[FECHA DE PAGO]]=PROVEEDORES[[#This Row],[FECHA DE FACTURACIÓN]],"DE CONTADO","CRÉDITO")</f>
        <v>CRÉDITO</v>
      </c>
      <c r="B1735" s="67" t="str">
        <f>+IF((PROVEEDORES[[#This Row],[FECHA DE PAGO]]-PROVEEDORES[[#This Row],[FECHA DE FACTURACIÓN]])&gt;PROVEEDORES[[#This Row],[PLAZO Días]],"PAGO VENCIDO")</f>
        <v>PAGO VENCIDO</v>
      </c>
      <c r="C1735" s="27">
        <f>+VLOOKUP(PROVEEDORES[[#This Row],[PROVEEDOR]],TERCEROS_INFO[#All],2,FALSE)</f>
        <v>45</v>
      </c>
      <c r="D1735" s="37">
        <f>+SUMIFS(PROVEEDORES[Total],PROVEEDORES[PROVEEDOR],PROVEEDORES[[#This Row],[PROVEEDOR]],PROVEEDORES[FECHA DE PAGO],"")</f>
        <v>1416100</v>
      </c>
      <c r="E1735" s="37"/>
      <c r="F1735" s="108" t="str">
        <f>+VLOOKUP(PROVEEDORES[[#This Row],[PROVEEDOR]],TERCEROS_INFO[[PROVEEDOR]:[CORREO]],5,FALSE)</f>
        <v>libardopineda@tronex.com;girlesa.ruiz@servipilas.com;joriescobar64@gmail.com</v>
      </c>
      <c r="G1735" s="143">
        <v>44187</v>
      </c>
      <c r="H1735" s="38" t="s">
        <v>10</v>
      </c>
      <c r="I1735" s="30">
        <v>44139</v>
      </c>
      <c r="J1735" s="58" t="s">
        <v>176</v>
      </c>
      <c r="K1735" s="32">
        <v>1112000</v>
      </c>
      <c r="L1735" s="32"/>
      <c r="M1735" s="33">
        <f>(PROVEEDORES[[#This Row],[SUBTOTAL]]-PROVEEDORES[[#This Row],[descuento antes de IVA]])*VLOOKUP(PROVEEDORES[[#This Row],[PROVEEDOR]],TERCEROS_INFO[#All],3,FALSE)</f>
        <v>211280</v>
      </c>
      <c r="N1735" s="34"/>
      <c r="O1735" s="33">
        <f>+PROVEEDORES[[#This Row],[Descuento sobre subtotal %]]*(PROVEEDORES[[#This Row],[SUBTOTAL]]-PROVEEDORES[[#This Row],[descuento antes de IVA]])</f>
        <v>0</v>
      </c>
      <c r="P17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5" s="33">
        <f>+(PROVEEDORES[[#This Row],[SUBTOTAL]]-PROVEEDORES[[#This Row],[descuento antes de IVA]])*PROVEEDORES[[#This Row],[Rete Fuente %]]</f>
        <v>0</v>
      </c>
      <c r="R1735" s="32">
        <f>+PROVEEDORES[[#This Row],[SUBTOTAL]]+PROVEEDORES[[#This Row],[IVA 19%]]-PROVEEDORES[[#This Row],[descuento antes de IVA]]-PROVEEDORES[[#This Row],[Descuento sobre subtotal $]]-PROVEEDORES[[#This Row],[Rete Fuente $]]</f>
        <v>1323280</v>
      </c>
      <c r="S173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6" spans="1:19" ht="21.95" hidden="1" customHeight="1" x14ac:dyDescent="0.25">
      <c r="A1736" s="39" t="str">
        <f>+IF(PROVEEDORES[[#This Row],[FECHA DE PAGO]]=PROVEEDORES[[#This Row],[FECHA DE FACTURACIÓN]],"DE CONTADO","CRÉDITO")</f>
        <v>CRÉDITO</v>
      </c>
      <c r="B1736" s="67" t="str">
        <f>+IF((PROVEEDORES[[#This Row],[FECHA DE PAGO]]-PROVEEDORES[[#This Row],[FECHA DE FACTURACIÓN]])&gt;PROVEEDORES[[#This Row],[PLAZO Días]],"PAGO VENCIDO")</f>
        <v>PAGO VENCIDO</v>
      </c>
      <c r="C1736" s="27">
        <f>+VLOOKUP(PROVEEDORES[[#This Row],[PROVEEDOR]],TERCEROS_INFO[#All],2,FALSE)</f>
        <v>45</v>
      </c>
      <c r="D1736" s="37">
        <f>+SUMIFS(PROVEEDORES[Total],PROVEEDORES[PROVEEDOR],PROVEEDORES[[#This Row],[PROVEEDOR]],PROVEEDORES[FECHA DE PAGO],"")</f>
        <v>1416100</v>
      </c>
      <c r="E1736" s="37"/>
      <c r="F1736" s="108" t="str">
        <f>+VLOOKUP(PROVEEDORES[[#This Row],[PROVEEDOR]],TERCEROS_INFO[[PROVEEDOR]:[CORREO]],5,FALSE)</f>
        <v>libardopineda@tronex.com;girlesa.ruiz@servipilas.com;joriescobar64@gmail.com</v>
      </c>
      <c r="G1736" s="143">
        <v>44208</v>
      </c>
      <c r="H1736" s="38" t="s">
        <v>10</v>
      </c>
      <c r="I1736" s="30">
        <v>44147</v>
      </c>
      <c r="J1736" s="58" t="s">
        <v>181</v>
      </c>
      <c r="K1736" s="32">
        <v>732000</v>
      </c>
      <c r="L1736" s="32"/>
      <c r="M1736" s="33">
        <f>(PROVEEDORES[[#This Row],[SUBTOTAL]]-PROVEEDORES[[#This Row],[descuento antes de IVA]])*VLOOKUP(PROVEEDORES[[#This Row],[PROVEEDOR]],TERCEROS_INFO[#All],3,FALSE)</f>
        <v>139080</v>
      </c>
      <c r="N1736" s="34"/>
      <c r="O1736" s="33">
        <f>+PROVEEDORES[[#This Row],[Descuento sobre subtotal %]]*(PROVEEDORES[[#This Row],[SUBTOTAL]]-PROVEEDORES[[#This Row],[descuento antes de IVA]])</f>
        <v>0</v>
      </c>
      <c r="P17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6" s="33">
        <f>+(PROVEEDORES[[#This Row],[SUBTOTAL]]-PROVEEDORES[[#This Row],[descuento antes de IVA]])*PROVEEDORES[[#This Row],[Rete Fuente %]]</f>
        <v>0</v>
      </c>
      <c r="R1736" s="32">
        <f>+PROVEEDORES[[#This Row],[SUBTOTAL]]+PROVEEDORES[[#This Row],[IVA 19%]]-PROVEEDORES[[#This Row],[descuento antes de IVA]]-PROVEEDORES[[#This Row],[Descuento sobre subtotal $]]-PROVEEDORES[[#This Row],[Rete Fuente $]]</f>
        <v>871080</v>
      </c>
      <c r="S173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7" spans="1:19" ht="21.95" hidden="1" customHeight="1" x14ac:dyDescent="0.25">
      <c r="A1737" s="39" t="str">
        <f>+IF(PROVEEDORES[[#This Row],[FECHA DE PAGO]]=PROVEEDORES[[#This Row],[FECHA DE FACTURACIÓN]],"DE CONTADO","CRÉDITO")</f>
        <v>CRÉDITO</v>
      </c>
      <c r="B1737" s="67" t="b">
        <f>+IF((PROVEEDORES[[#This Row],[FECHA DE PAGO]]-PROVEEDORES[[#This Row],[FECHA DE FACTURACIÓN]])&gt;PROVEEDORES[[#This Row],[PLAZO Días]],"PAGO VENCIDO")</f>
        <v>0</v>
      </c>
      <c r="C1737" s="27">
        <f>+VLOOKUP(PROVEEDORES[[#This Row],[PROVEEDOR]],TERCEROS_INFO[#All],2,FALSE)</f>
        <v>45</v>
      </c>
      <c r="D1737" s="37">
        <f>+SUMIFS(PROVEEDORES[Total],PROVEEDORES[PROVEEDOR],PROVEEDORES[[#This Row],[PROVEEDOR]],PROVEEDORES[FECHA DE PAGO],"")</f>
        <v>1416100</v>
      </c>
      <c r="E1737" s="37"/>
      <c r="F1737" s="108" t="str">
        <f>+VLOOKUP(PROVEEDORES[[#This Row],[PROVEEDOR]],TERCEROS_INFO[[PROVEEDOR]:[CORREO]],5,FALSE)</f>
        <v>libardopineda@tronex.com;girlesa.ruiz@servipilas.com;joriescobar64@gmail.com</v>
      </c>
      <c r="G1737" s="143">
        <v>44187</v>
      </c>
      <c r="H1737" s="38" t="s">
        <v>10</v>
      </c>
      <c r="I1737" s="30">
        <v>44163</v>
      </c>
      <c r="J1737" s="58" t="s">
        <v>201</v>
      </c>
      <c r="K1737" s="32">
        <v>580500</v>
      </c>
      <c r="L1737" s="32"/>
      <c r="M1737" s="33">
        <f>(PROVEEDORES[[#This Row],[SUBTOTAL]]-PROVEEDORES[[#This Row],[descuento antes de IVA]])*VLOOKUP(PROVEEDORES[[#This Row],[PROVEEDOR]],TERCEROS_INFO[#All],3,FALSE)</f>
        <v>110295</v>
      </c>
      <c r="N1737" s="34"/>
      <c r="O1737" s="33">
        <f>+PROVEEDORES[[#This Row],[Descuento sobre subtotal %]]*(PROVEEDORES[[#This Row],[SUBTOTAL]]-PROVEEDORES[[#This Row],[descuento antes de IVA]])</f>
        <v>0</v>
      </c>
      <c r="P17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7" s="33">
        <f>+(PROVEEDORES[[#This Row],[SUBTOTAL]]-PROVEEDORES[[#This Row],[descuento antes de IVA]])*PROVEEDORES[[#This Row],[Rete Fuente %]]</f>
        <v>0</v>
      </c>
      <c r="R1737" s="32">
        <f>+PROVEEDORES[[#This Row],[SUBTOTAL]]+PROVEEDORES[[#This Row],[IVA 19%]]-PROVEEDORES[[#This Row],[descuento antes de IVA]]-PROVEEDORES[[#This Row],[Descuento sobre subtotal $]]-PROVEEDORES[[#This Row],[Rete Fuente $]]</f>
        <v>690795</v>
      </c>
      <c r="S173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8" spans="1:19" ht="21.95" hidden="1" customHeight="1" x14ac:dyDescent="0.25">
      <c r="A1738" s="39" t="str">
        <f>+IF(PROVEEDORES[[#This Row],[FECHA DE PAGO]]=PROVEEDORES[[#This Row],[FECHA DE FACTURACIÓN]],"DE CONTADO","CRÉDITO")</f>
        <v>CRÉDITO</v>
      </c>
      <c r="B1738" s="67" t="str">
        <f>+IF((PROVEEDORES[[#This Row],[FECHA DE PAGO]]-PROVEEDORES[[#This Row],[FECHA DE FACTURACIÓN]])&gt;PROVEEDORES[[#This Row],[PLAZO Días]],"PAGO VENCIDO")</f>
        <v>PAGO VENCIDO</v>
      </c>
      <c r="C1738" s="27">
        <f>+VLOOKUP(PROVEEDORES[[#This Row],[PROVEEDOR]],TERCEROS_INFO[#All],2,FALSE)</f>
        <v>45</v>
      </c>
      <c r="D1738" s="37">
        <f>+SUMIFS(PROVEEDORES[Total],PROVEEDORES[PROVEEDOR],PROVEEDORES[[#This Row],[PROVEEDOR]],PROVEEDORES[FECHA DE PAGO],"")</f>
        <v>1416100</v>
      </c>
      <c r="E1738" s="37"/>
      <c r="F1738" s="108" t="str">
        <f>+VLOOKUP(PROVEEDORES[[#This Row],[PROVEEDOR]],TERCEROS_INFO[[PROVEEDOR]:[CORREO]],5,FALSE)</f>
        <v>libardopineda@tronex.com;girlesa.ruiz@servipilas.com;joriescobar64@gmail.com</v>
      </c>
      <c r="G1738" s="143">
        <v>44229</v>
      </c>
      <c r="H1738" s="38" t="s">
        <v>10</v>
      </c>
      <c r="I1738" s="30">
        <v>44168</v>
      </c>
      <c r="J1738" s="58" t="s">
        <v>198</v>
      </c>
      <c r="K1738" s="32">
        <v>2291200</v>
      </c>
      <c r="L1738" s="32"/>
      <c r="M1738" s="33">
        <f>(PROVEEDORES[[#This Row],[SUBTOTAL]]-PROVEEDORES[[#This Row],[descuento antes de IVA]])*VLOOKUP(PROVEEDORES[[#This Row],[PROVEEDOR]],TERCEROS_INFO[#All],3,FALSE)</f>
        <v>435328</v>
      </c>
      <c r="N1738" s="34"/>
      <c r="O1738" s="33">
        <f>+PROVEEDORES[[#This Row],[Descuento sobre subtotal %]]*(PROVEEDORES[[#This Row],[SUBTOTAL]]-PROVEEDORES[[#This Row],[descuento antes de IVA]])</f>
        <v>0</v>
      </c>
      <c r="P17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8" s="33">
        <f>+(PROVEEDORES[[#This Row],[SUBTOTAL]]-PROVEEDORES[[#This Row],[descuento antes de IVA]])*PROVEEDORES[[#This Row],[Rete Fuente %]]</f>
        <v>0</v>
      </c>
      <c r="R1738" s="32">
        <f>+PROVEEDORES[[#This Row],[SUBTOTAL]]+PROVEEDORES[[#This Row],[IVA 19%]]-PROVEEDORES[[#This Row],[descuento antes de IVA]]-PROVEEDORES[[#This Row],[Descuento sobre subtotal $]]-PROVEEDORES[[#This Row],[Rete Fuente $]]</f>
        <v>2726528</v>
      </c>
      <c r="S173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39" spans="1:19" ht="21.95" hidden="1" customHeight="1" x14ac:dyDescent="0.25">
      <c r="A1739" s="39" t="str">
        <f>+IF(PROVEEDORES[[#This Row],[FECHA DE PAGO]]=PROVEEDORES[[#This Row],[FECHA DE FACTURACIÓN]],"DE CONTADO","CRÉDITO")</f>
        <v>CRÉDITO</v>
      </c>
      <c r="B1739" s="67" t="str">
        <f>+IF((PROVEEDORES[[#This Row],[FECHA DE PAGO]]-PROVEEDORES[[#This Row],[FECHA DE FACTURACIÓN]])&gt;PROVEEDORES[[#This Row],[PLAZO Días]],"PAGO VENCIDO")</f>
        <v>PAGO VENCIDO</v>
      </c>
      <c r="C1739" s="27">
        <f>+VLOOKUP(PROVEEDORES[[#This Row],[PROVEEDOR]],TERCEROS_INFO[#All],2,FALSE)</f>
        <v>45</v>
      </c>
      <c r="D1739" s="37">
        <f>+SUMIFS(PROVEEDORES[Total],PROVEEDORES[PROVEEDOR],PROVEEDORES[[#This Row],[PROVEEDOR]],PROVEEDORES[FECHA DE PAGO],"")</f>
        <v>1416100</v>
      </c>
      <c r="E1739" s="37"/>
      <c r="F1739" s="108" t="str">
        <f>+VLOOKUP(PROVEEDORES[[#This Row],[PROVEEDOR]],TERCEROS_INFO[[PROVEEDOR]:[CORREO]],5,FALSE)</f>
        <v>libardopineda@tronex.com;girlesa.ruiz@servipilas.com;joriescobar64@gmail.com</v>
      </c>
      <c r="G1739" s="143">
        <v>44229</v>
      </c>
      <c r="H1739" s="38" t="s">
        <v>10</v>
      </c>
      <c r="I1739" s="30">
        <v>44169</v>
      </c>
      <c r="J1739" s="58" t="s">
        <v>199</v>
      </c>
      <c r="K1739" s="32">
        <v>800000</v>
      </c>
      <c r="L1739" s="32"/>
      <c r="M1739" s="33">
        <f>(PROVEEDORES[[#This Row],[SUBTOTAL]]-PROVEEDORES[[#This Row],[descuento antes de IVA]])*VLOOKUP(PROVEEDORES[[#This Row],[PROVEEDOR]],TERCEROS_INFO[#All],3,FALSE)</f>
        <v>152000</v>
      </c>
      <c r="N1739" s="34"/>
      <c r="O1739" s="33">
        <f>+PROVEEDORES[[#This Row],[Descuento sobre subtotal %]]*(PROVEEDORES[[#This Row],[SUBTOTAL]]-PROVEEDORES[[#This Row],[descuento antes de IVA]])</f>
        <v>0</v>
      </c>
      <c r="P17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39" s="33">
        <f>+(PROVEEDORES[[#This Row],[SUBTOTAL]]-PROVEEDORES[[#This Row],[descuento antes de IVA]])*PROVEEDORES[[#This Row],[Rete Fuente %]]</f>
        <v>0</v>
      </c>
      <c r="R1739" s="32">
        <f>+PROVEEDORES[[#This Row],[SUBTOTAL]]+PROVEEDORES[[#This Row],[IVA 19%]]-PROVEEDORES[[#This Row],[descuento antes de IVA]]-PROVEEDORES[[#This Row],[Descuento sobre subtotal $]]-PROVEEDORES[[#This Row],[Rete Fuente $]]</f>
        <v>952000</v>
      </c>
      <c r="S173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0" spans="1:19" ht="21.95" hidden="1" customHeight="1" x14ac:dyDescent="0.25">
      <c r="A1740" s="39" t="str">
        <f>+IF(PROVEEDORES[[#This Row],[FECHA DE PAGO]]=PROVEEDORES[[#This Row],[FECHA DE FACTURACIÓN]],"DE CONTADO","CRÉDITO")</f>
        <v>CRÉDITO</v>
      </c>
      <c r="B1740" s="67" t="str">
        <f>+IF((PROVEEDORES[[#This Row],[FECHA DE PAGO]]-PROVEEDORES[[#This Row],[FECHA DE FACTURACIÓN]])&gt;PROVEEDORES[[#This Row],[PLAZO Días]],"PAGO VENCIDO")</f>
        <v>PAGO VENCIDO</v>
      </c>
      <c r="C1740" s="27">
        <f>+VLOOKUP(PROVEEDORES[[#This Row],[PROVEEDOR]],TERCEROS_INFO[#All],2,FALSE)</f>
        <v>45</v>
      </c>
      <c r="D1740" s="37">
        <f>+SUMIFS(PROVEEDORES[Total],PROVEEDORES[PROVEEDOR],PROVEEDORES[[#This Row],[PROVEEDOR]],PROVEEDORES[FECHA DE PAGO],"")</f>
        <v>1416100</v>
      </c>
      <c r="E1740" s="37"/>
      <c r="F1740" s="108" t="str">
        <f>+VLOOKUP(PROVEEDORES[[#This Row],[PROVEEDOR]],TERCEROS_INFO[[PROVEEDOR]:[CORREO]],5,FALSE)</f>
        <v>libardopineda@tronex.com;girlesa.ruiz@servipilas.com;joriescobar64@gmail.com</v>
      </c>
      <c r="G1740" s="143">
        <v>44229</v>
      </c>
      <c r="H1740" s="38" t="s">
        <v>10</v>
      </c>
      <c r="I1740" s="30">
        <v>44181</v>
      </c>
      <c r="J1740" s="58" t="s">
        <v>209</v>
      </c>
      <c r="K1740" s="32">
        <v>920000</v>
      </c>
      <c r="L1740" s="32"/>
      <c r="M1740" s="33">
        <f>(PROVEEDORES[[#This Row],[SUBTOTAL]]-PROVEEDORES[[#This Row],[descuento antes de IVA]])*VLOOKUP(PROVEEDORES[[#This Row],[PROVEEDOR]],TERCEROS_INFO[#All],3,FALSE)</f>
        <v>174800</v>
      </c>
      <c r="N1740" s="34"/>
      <c r="O1740" s="33">
        <f>+PROVEEDORES[[#This Row],[Descuento sobre subtotal %]]*(PROVEEDORES[[#This Row],[SUBTOTAL]]-PROVEEDORES[[#This Row],[descuento antes de IVA]])</f>
        <v>0</v>
      </c>
      <c r="P17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0" s="33">
        <f>+(PROVEEDORES[[#This Row],[SUBTOTAL]]-PROVEEDORES[[#This Row],[descuento antes de IVA]])*PROVEEDORES[[#This Row],[Rete Fuente %]]</f>
        <v>0</v>
      </c>
      <c r="R1740" s="32">
        <f>+PROVEEDORES[[#This Row],[SUBTOTAL]]+PROVEEDORES[[#This Row],[IVA 19%]]-PROVEEDORES[[#This Row],[descuento antes de IVA]]-PROVEEDORES[[#This Row],[Descuento sobre subtotal $]]-PROVEEDORES[[#This Row],[Rete Fuente $]]</f>
        <v>1094800</v>
      </c>
      <c r="S174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1" spans="1:19" ht="21.95" hidden="1" customHeight="1" x14ac:dyDescent="0.25">
      <c r="A1741" s="39" t="str">
        <f>+IF(PROVEEDORES[[#This Row],[FECHA DE PAGO]]=PROVEEDORES[[#This Row],[FECHA DE FACTURACIÓN]],"DE CONTADO","CRÉDITO")</f>
        <v>CRÉDITO</v>
      </c>
      <c r="B1741" s="67" t="str">
        <f>+IF((PROVEEDORES[[#This Row],[FECHA DE PAGO]]-PROVEEDORES[[#This Row],[FECHA DE FACTURACIÓN]])&gt;PROVEEDORES[[#This Row],[PLAZO Días]],"PAGO VENCIDO")</f>
        <v>PAGO VENCIDO</v>
      </c>
      <c r="C1741" s="27">
        <f>+VLOOKUP(PROVEEDORES[[#This Row],[PROVEEDOR]],TERCEROS_INFO[#All],2,FALSE)</f>
        <v>45</v>
      </c>
      <c r="D1741" s="37">
        <f>+SUMIFS(PROVEEDORES[Total],PROVEEDORES[PROVEEDOR],PROVEEDORES[[#This Row],[PROVEEDOR]],PROVEEDORES[FECHA DE PAGO],"")</f>
        <v>1416100</v>
      </c>
      <c r="E1741" s="37"/>
      <c r="F1741" s="108" t="str">
        <f>+VLOOKUP(PROVEEDORES[[#This Row],[PROVEEDOR]],TERCEROS_INFO[[PROVEEDOR]:[CORREO]],5,FALSE)</f>
        <v>libardopineda@tronex.com;girlesa.ruiz@servipilas.com;joriescobar64@gmail.com</v>
      </c>
      <c r="G1741" s="143">
        <v>44257</v>
      </c>
      <c r="H1741" s="38" t="s">
        <v>10</v>
      </c>
      <c r="I1741" s="30">
        <v>44187</v>
      </c>
      <c r="J1741" s="58" t="s">
        <v>210</v>
      </c>
      <c r="K1741" s="32">
        <v>1386000</v>
      </c>
      <c r="L1741" s="32"/>
      <c r="M1741" s="33">
        <f>(PROVEEDORES[[#This Row],[SUBTOTAL]]-PROVEEDORES[[#This Row],[descuento antes de IVA]])*VLOOKUP(PROVEEDORES[[#This Row],[PROVEEDOR]],TERCEROS_INFO[#All],3,FALSE)</f>
        <v>263340</v>
      </c>
      <c r="N1741" s="34"/>
      <c r="O1741" s="33">
        <f>+PROVEEDORES[[#This Row],[Descuento sobre subtotal %]]*(PROVEEDORES[[#This Row],[SUBTOTAL]]-PROVEEDORES[[#This Row],[descuento antes de IVA]])</f>
        <v>0</v>
      </c>
      <c r="P17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1" s="33">
        <f>+(PROVEEDORES[[#This Row],[SUBTOTAL]]-PROVEEDORES[[#This Row],[descuento antes de IVA]])*PROVEEDORES[[#This Row],[Rete Fuente %]]</f>
        <v>0</v>
      </c>
      <c r="R1741" s="32">
        <f>+PROVEEDORES[[#This Row],[SUBTOTAL]]+PROVEEDORES[[#This Row],[IVA 19%]]-PROVEEDORES[[#This Row],[descuento antes de IVA]]-PROVEEDORES[[#This Row],[Descuento sobre subtotal $]]-PROVEEDORES[[#This Row],[Rete Fuente $]]</f>
        <v>1649340</v>
      </c>
      <c r="S174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2" spans="1:19" ht="21.95" hidden="1" customHeight="1" x14ac:dyDescent="0.25">
      <c r="A1742" s="39" t="str">
        <f>+IF(PROVEEDORES[[#This Row],[FECHA DE PAGO]]=PROVEEDORES[[#This Row],[FECHA DE FACTURACIÓN]],"DE CONTADO","CRÉDITO")</f>
        <v>CRÉDITO</v>
      </c>
      <c r="B1742" s="67" t="str">
        <f>+IF((PROVEEDORES[[#This Row],[FECHA DE PAGO]]-PROVEEDORES[[#This Row],[FECHA DE FACTURACIÓN]])&gt;PROVEEDORES[[#This Row],[PLAZO Días]],"PAGO VENCIDO")</f>
        <v>PAGO VENCIDO</v>
      </c>
      <c r="C1742" s="27">
        <f>+VLOOKUP(PROVEEDORES[[#This Row],[PROVEEDOR]],TERCEROS_INFO[#All],2,FALSE)</f>
        <v>45</v>
      </c>
      <c r="D1742" s="37">
        <f>+SUMIFS(PROVEEDORES[Total],PROVEEDORES[PROVEEDOR],PROVEEDORES[[#This Row],[PROVEEDOR]],PROVEEDORES[FECHA DE PAGO],"")</f>
        <v>1416100</v>
      </c>
      <c r="E1742" s="37"/>
      <c r="F1742" s="108" t="str">
        <f>+VLOOKUP(PROVEEDORES[[#This Row],[PROVEEDOR]],TERCEROS_INFO[[PROVEEDOR]:[CORREO]],5,FALSE)</f>
        <v>libardopineda@tronex.com;girlesa.ruiz@servipilas.com;joriescobar64@gmail.com</v>
      </c>
      <c r="G1742" s="143">
        <v>44257</v>
      </c>
      <c r="H1742" s="38" t="s">
        <v>10</v>
      </c>
      <c r="I1742" s="30">
        <v>44187</v>
      </c>
      <c r="J1742" s="58" t="s">
        <v>208</v>
      </c>
      <c r="K1742" s="32">
        <v>800000</v>
      </c>
      <c r="L1742" s="32"/>
      <c r="M1742" s="33">
        <f>(PROVEEDORES[[#This Row],[SUBTOTAL]]-PROVEEDORES[[#This Row],[descuento antes de IVA]])*VLOOKUP(PROVEEDORES[[#This Row],[PROVEEDOR]],TERCEROS_INFO[#All],3,FALSE)</f>
        <v>152000</v>
      </c>
      <c r="N1742" s="34"/>
      <c r="O1742" s="33">
        <f>+PROVEEDORES[[#This Row],[Descuento sobre subtotal %]]*(PROVEEDORES[[#This Row],[SUBTOTAL]]-PROVEEDORES[[#This Row],[descuento antes de IVA]])</f>
        <v>0</v>
      </c>
      <c r="P17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2" s="33">
        <f>+(PROVEEDORES[[#This Row],[SUBTOTAL]]-PROVEEDORES[[#This Row],[descuento antes de IVA]])*PROVEEDORES[[#This Row],[Rete Fuente %]]</f>
        <v>0</v>
      </c>
      <c r="R1742" s="32">
        <f>+PROVEEDORES[[#This Row],[SUBTOTAL]]+PROVEEDORES[[#This Row],[IVA 19%]]-PROVEEDORES[[#This Row],[descuento antes de IVA]]-PROVEEDORES[[#This Row],[Descuento sobre subtotal $]]-PROVEEDORES[[#This Row],[Rete Fuente $]]</f>
        <v>952000</v>
      </c>
      <c r="S174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3" spans="1:19" ht="21.95" hidden="1" customHeight="1" x14ac:dyDescent="0.25">
      <c r="A1743" s="39" t="str">
        <f>+IF(PROVEEDORES[[#This Row],[FECHA DE PAGO]]=PROVEEDORES[[#This Row],[FECHA DE FACTURACIÓN]],"DE CONTADO","CRÉDITO")</f>
        <v>CRÉDITO</v>
      </c>
      <c r="B1743" s="67" t="str">
        <f>+IF((PROVEEDORES[[#This Row],[FECHA DE PAGO]]-PROVEEDORES[[#This Row],[FECHA DE FACTURACIÓN]])&gt;PROVEEDORES[[#This Row],[PLAZO Días]],"PAGO VENCIDO")</f>
        <v>PAGO VENCIDO</v>
      </c>
      <c r="C1743" s="27">
        <f>+VLOOKUP(PROVEEDORES[[#This Row],[PROVEEDOR]],TERCEROS_INFO[#All],2,FALSE)</f>
        <v>45</v>
      </c>
      <c r="D1743" s="37">
        <f>+SUMIFS(PROVEEDORES[Total],PROVEEDORES[PROVEEDOR],PROVEEDORES[[#This Row],[PROVEEDOR]],PROVEEDORES[FECHA DE PAGO],"")</f>
        <v>1416100</v>
      </c>
      <c r="E1743" s="37"/>
      <c r="F1743" s="108" t="str">
        <f>+VLOOKUP(PROVEEDORES[[#This Row],[PROVEEDOR]],TERCEROS_INFO[[PROVEEDOR]:[CORREO]],5,FALSE)</f>
        <v>libardopineda@tronex.com;girlesa.ruiz@servipilas.com;joriescobar64@gmail.com</v>
      </c>
      <c r="G1743" s="143">
        <v>44257</v>
      </c>
      <c r="H1743" s="38" t="s">
        <v>10</v>
      </c>
      <c r="I1743" s="30">
        <v>44209</v>
      </c>
      <c r="J1743" s="58" t="s">
        <v>225</v>
      </c>
      <c r="K1743" s="32">
        <v>938000</v>
      </c>
      <c r="L1743" s="32"/>
      <c r="M1743" s="33">
        <f>(PROVEEDORES[[#This Row],[SUBTOTAL]]-PROVEEDORES[[#This Row],[descuento antes de IVA]])*VLOOKUP(PROVEEDORES[[#This Row],[PROVEEDOR]],TERCEROS_INFO[#All],3,FALSE)</f>
        <v>178220</v>
      </c>
      <c r="N1743" s="34"/>
      <c r="O1743" s="33">
        <f>+PROVEEDORES[[#This Row],[Descuento sobre subtotal %]]*(PROVEEDORES[[#This Row],[SUBTOTAL]]-PROVEEDORES[[#This Row],[descuento antes de IVA]])</f>
        <v>0</v>
      </c>
      <c r="P17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3" s="33">
        <f>+(PROVEEDORES[[#This Row],[SUBTOTAL]]-PROVEEDORES[[#This Row],[descuento antes de IVA]])*PROVEEDORES[[#This Row],[Rete Fuente %]]</f>
        <v>0</v>
      </c>
      <c r="R1743" s="32">
        <f>+PROVEEDORES[[#This Row],[SUBTOTAL]]+PROVEEDORES[[#This Row],[IVA 19%]]-PROVEEDORES[[#This Row],[descuento antes de IVA]]-PROVEEDORES[[#This Row],[Descuento sobre subtotal $]]-PROVEEDORES[[#This Row],[Rete Fuente $]]</f>
        <v>1116220</v>
      </c>
      <c r="S174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4" spans="1:19" ht="21.95" hidden="1" customHeight="1" x14ac:dyDescent="0.25">
      <c r="A1744" s="66" t="str">
        <f>+IF(PROVEEDORES[[#This Row],[FECHA DE PAGO]]=PROVEEDORES[[#This Row],[FECHA DE FACTURACIÓN]],"DE CONTADO","CRÉDITO")</f>
        <v>CRÉDITO</v>
      </c>
      <c r="B1744" s="70" t="b">
        <f>+IF((PROVEEDORES[[#This Row],[FECHA DE PAGO]]-PROVEEDORES[[#This Row],[FECHA DE FACTURACIÓN]])&gt;PROVEEDORES[[#This Row],[PLAZO Días]],"PAGO VENCIDO")</f>
        <v>0</v>
      </c>
      <c r="C1744" s="27">
        <f>+VLOOKUP(PROVEEDORES[[#This Row],[PROVEEDOR]],TERCEROS_INFO[#All],2,FALSE)</f>
        <v>45</v>
      </c>
      <c r="D1744" s="37">
        <f>+SUMIFS(PROVEEDORES[Total],PROVEEDORES[PROVEEDOR],PROVEEDORES[[#This Row],[PROVEEDOR]],PROVEEDORES[FECHA DE PAGO],"")</f>
        <v>1416100</v>
      </c>
      <c r="E1744" s="37" t="s">
        <v>441</v>
      </c>
      <c r="F1744" s="108" t="str">
        <f>+VLOOKUP(PROVEEDORES[[#This Row],[PROVEEDOR]],TERCEROS_INFO[[PROVEEDOR]:[CORREO]],5,FALSE)</f>
        <v>libardopineda@tronex.com;girlesa.ruiz@servipilas.com;joriescobar64@gmail.com</v>
      </c>
      <c r="G1744" s="143">
        <v>44257</v>
      </c>
      <c r="H1744" s="38" t="s">
        <v>10</v>
      </c>
      <c r="I1744" s="30">
        <v>44229</v>
      </c>
      <c r="J1744" s="58" t="s">
        <v>395</v>
      </c>
      <c r="K1744" s="32">
        <v>-732000</v>
      </c>
      <c r="L1744" s="32"/>
      <c r="M1744" s="33">
        <f>(PROVEEDORES[[#This Row],[SUBTOTAL]]-PROVEEDORES[[#This Row],[descuento antes de IVA]])*VLOOKUP(PROVEEDORES[[#This Row],[PROVEEDOR]],TERCEROS_INFO[#All],3,FALSE)</f>
        <v>-139080</v>
      </c>
      <c r="N1744" s="34"/>
      <c r="O1744" s="33">
        <f>+PROVEEDORES[[#This Row],[Descuento sobre subtotal %]]*(PROVEEDORES[[#This Row],[SUBTOTAL]]-PROVEEDORES[[#This Row],[descuento antes de IVA]])</f>
        <v>0</v>
      </c>
      <c r="P17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4" s="33">
        <f>+(PROVEEDORES[[#This Row],[SUBTOTAL]]-PROVEEDORES[[#This Row],[descuento antes de IVA]])*PROVEEDORES[[#This Row],[Rete Fuente %]]</f>
        <v>0</v>
      </c>
      <c r="R1744" s="32">
        <f>+PROVEEDORES[[#This Row],[SUBTOTAL]]+PROVEEDORES[[#This Row],[IVA 19%]]-PROVEEDORES[[#This Row],[descuento antes de IVA]]-PROVEEDORES[[#This Row],[Descuento sobre subtotal $]]-PROVEEDORES[[#This Row],[Rete Fuente $]]</f>
        <v>-871080</v>
      </c>
      <c r="S1744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5" spans="1:19" ht="21.95" hidden="1" customHeight="1" x14ac:dyDescent="0.25">
      <c r="A1745" s="66" t="str">
        <f>+IF(PROVEEDORES[[#This Row],[FECHA DE PAGO]]=PROVEEDORES[[#This Row],[FECHA DE FACTURACIÓN]],"DE CONTADO","CRÉDITO")</f>
        <v>CRÉDITO</v>
      </c>
      <c r="B1745" s="68" t="str">
        <f>+IF((PROVEEDORES[[#This Row],[FECHA DE PAGO]]-PROVEEDORES[[#This Row],[FECHA DE FACTURACIÓN]])&gt;PROVEEDORES[[#This Row],[PLAZO Días]],"PAGO VENCIDO")</f>
        <v>PAGO VENCIDO</v>
      </c>
      <c r="C1745" s="27">
        <f>+VLOOKUP(PROVEEDORES[[#This Row],[PROVEEDOR]],TERCEROS_INFO[#All],2,FALSE)</f>
        <v>45</v>
      </c>
      <c r="D1745" s="37">
        <f>+SUMIFS(PROVEEDORES[Total],PROVEEDORES[PROVEEDOR],PROVEEDORES[[#This Row],[PROVEEDOR]],PROVEEDORES[FECHA DE PAGO],"")</f>
        <v>1416100</v>
      </c>
      <c r="E1745" s="37"/>
      <c r="F1745" s="108" t="str">
        <f>+VLOOKUP(PROVEEDORES[[#This Row],[PROVEEDOR]],TERCEROS_INFO[[PROVEEDOR]:[CORREO]],5,FALSE)</f>
        <v>libardopineda@tronex.com;girlesa.ruiz@servipilas.com;joriescobar64@gmail.com</v>
      </c>
      <c r="G1745" s="143">
        <v>44319</v>
      </c>
      <c r="H1745" s="38" t="s">
        <v>10</v>
      </c>
      <c r="I1745" s="30">
        <v>44235</v>
      </c>
      <c r="J1745" s="58" t="s">
        <v>436</v>
      </c>
      <c r="K1745" s="32">
        <v>798000</v>
      </c>
      <c r="L1745" s="32"/>
      <c r="M1745" s="33">
        <f>(PROVEEDORES[[#This Row],[SUBTOTAL]]-PROVEEDORES[[#This Row],[descuento antes de IVA]])*VLOOKUP(PROVEEDORES[[#This Row],[PROVEEDOR]],TERCEROS_INFO[#All],3,FALSE)</f>
        <v>151620</v>
      </c>
      <c r="N1745" s="34"/>
      <c r="O1745" s="33">
        <f>+PROVEEDORES[[#This Row],[Descuento sobre subtotal %]]*(PROVEEDORES[[#This Row],[SUBTOTAL]]-PROVEEDORES[[#This Row],[descuento antes de IVA]])</f>
        <v>0</v>
      </c>
      <c r="P17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5" s="33">
        <f>+(PROVEEDORES[[#This Row],[SUBTOTAL]]-PROVEEDORES[[#This Row],[descuento antes de IVA]])*PROVEEDORES[[#This Row],[Rete Fuente %]]</f>
        <v>0</v>
      </c>
      <c r="R1745" s="32">
        <f>+PROVEEDORES[[#This Row],[SUBTOTAL]]+PROVEEDORES[[#This Row],[IVA 19%]]-PROVEEDORES[[#This Row],[descuento antes de IVA]]-PROVEEDORES[[#This Row],[Descuento sobre subtotal $]]-PROVEEDORES[[#This Row],[Rete Fuente $]]</f>
        <v>949620</v>
      </c>
      <c r="S1745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6" spans="1:19" ht="21.95" hidden="1" customHeight="1" x14ac:dyDescent="0.25">
      <c r="A1746" s="66" t="str">
        <f>+IF(PROVEEDORES[[#This Row],[FECHA DE PAGO]]=PROVEEDORES[[#This Row],[FECHA DE FACTURACIÓN]],"DE CONTADO","CRÉDITO")</f>
        <v>CRÉDITO</v>
      </c>
      <c r="B1746" s="68" t="str">
        <f>+IF((PROVEEDORES[[#This Row],[FECHA DE PAGO]]-PROVEEDORES[[#This Row],[FECHA DE FACTURACIÓN]])&gt;PROVEEDORES[[#This Row],[PLAZO Días]],"PAGO VENCIDO")</f>
        <v>PAGO VENCIDO</v>
      </c>
      <c r="C1746" s="27">
        <f>+VLOOKUP(PROVEEDORES[[#This Row],[PROVEEDOR]],TERCEROS_INFO[#All],2,FALSE)</f>
        <v>45</v>
      </c>
      <c r="D1746" s="37">
        <f>+SUMIFS(PROVEEDORES[Total],PROVEEDORES[PROVEEDOR],PROVEEDORES[[#This Row],[PROVEEDOR]],PROVEEDORES[FECHA DE PAGO],"")</f>
        <v>1416100</v>
      </c>
      <c r="E1746" s="37"/>
      <c r="F1746" s="108" t="str">
        <f>+VLOOKUP(PROVEEDORES[[#This Row],[PROVEEDOR]],TERCEROS_INFO[[PROVEEDOR]:[CORREO]],5,FALSE)</f>
        <v>libardopineda@tronex.com;girlesa.ruiz@servipilas.com;joriescobar64@gmail.com</v>
      </c>
      <c r="G1746" s="143">
        <v>44319</v>
      </c>
      <c r="H1746" s="38" t="s">
        <v>10</v>
      </c>
      <c r="I1746" s="30">
        <v>44235</v>
      </c>
      <c r="J1746" s="58" t="s">
        <v>437</v>
      </c>
      <c r="K1746" s="32">
        <v>3703000</v>
      </c>
      <c r="L1746" s="32"/>
      <c r="M1746" s="33">
        <f>(PROVEEDORES[[#This Row],[SUBTOTAL]]-PROVEEDORES[[#This Row],[descuento antes de IVA]])*VLOOKUP(PROVEEDORES[[#This Row],[PROVEEDOR]],TERCEROS_INFO[#All],3,FALSE)</f>
        <v>703570</v>
      </c>
      <c r="N1746" s="34"/>
      <c r="O1746" s="33">
        <f>+PROVEEDORES[[#This Row],[Descuento sobre subtotal %]]*(PROVEEDORES[[#This Row],[SUBTOTAL]]-PROVEEDORES[[#This Row],[descuento antes de IVA]])</f>
        <v>0</v>
      </c>
      <c r="P17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6" s="33">
        <f>+(PROVEEDORES[[#This Row],[SUBTOTAL]]-PROVEEDORES[[#This Row],[descuento antes de IVA]])*PROVEEDORES[[#This Row],[Rete Fuente %]]</f>
        <v>0</v>
      </c>
      <c r="R1746" s="32">
        <f>+PROVEEDORES[[#This Row],[SUBTOTAL]]+PROVEEDORES[[#This Row],[IVA 19%]]-PROVEEDORES[[#This Row],[descuento antes de IVA]]-PROVEEDORES[[#This Row],[Descuento sobre subtotal $]]-PROVEEDORES[[#This Row],[Rete Fuente $]]</f>
        <v>4406570</v>
      </c>
      <c r="S1746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7" spans="1:19" ht="21.95" hidden="1" customHeight="1" x14ac:dyDescent="0.25">
      <c r="A1747" s="88" t="str">
        <f>+IF(PROVEEDORES[[#This Row],[FECHA DE PAGO]]=PROVEEDORES[[#This Row],[FECHA DE FACTURACIÓN]],"DE CONTADO","CRÉDITO")</f>
        <v>CRÉDITO</v>
      </c>
      <c r="B1747" s="70" t="str">
        <f>+IF((PROVEEDORES[[#This Row],[FECHA DE PAGO]]-PROVEEDORES[[#This Row],[FECHA DE FACTURACIÓN]])&gt;PROVEEDORES[[#This Row],[PLAZO Días]],"PAGO VENCIDO")</f>
        <v>PAGO VENCIDO</v>
      </c>
      <c r="C1747" s="27">
        <f>+VLOOKUP(PROVEEDORES[[#This Row],[PROVEEDOR]],TERCEROS_INFO[#All],2,FALSE)</f>
        <v>45</v>
      </c>
      <c r="D1747" s="37">
        <f>+SUMIFS(PROVEEDORES[Total],PROVEEDORES[PROVEEDOR],PROVEEDORES[[#This Row],[PROVEEDOR]],PROVEEDORES[FECHA DE PAGO],"")</f>
        <v>1416100</v>
      </c>
      <c r="E1747" s="37"/>
      <c r="F1747" s="108" t="str">
        <f>+VLOOKUP(PROVEEDORES[[#This Row],[PROVEEDOR]],TERCEROS_INFO[[PROVEEDOR]:[CORREO]],5,FALSE)</f>
        <v>libardopineda@tronex.com;girlesa.ruiz@servipilas.com;joriescobar64@gmail.com</v>
      </c>
      <c r="G1747" s="143">
        <v>44342</v>
      </c>
      <c r="H1747" s="38" t="s">
        <v>10</v>
      </c>
      <c r="I1747" s="30">
        <v>44257</v>
      </c>
      <c r="J1747" s="58" t="s">
        <v>522</v>
      </c>
      <c r="K1747" s="32">
        <v>864000</v>
      </c>
      <c r="L1747" s="32"/>
      <c r="M1747" s="33">
        <f>(PROVEEDORES[[#This Row],[SUBTOTAL]]-PROVEEDORES[[#This Row],[descuento antes de IVA]])*VLOOKUP(PROVEEDORES[[#This Row],[PROVEEDOR]],TERCEROS_INFO[#All],3,FALSE)</f>
        <v>164160</v>
      </c>
      <c r="N1747" s="34"/>
      <c r="O1747" s="33">
        <f>+PROVEEDORES[[#This Row],[Descuento sobre subtotal %]]*(PROVEEDORES[[#This Row],[SUBTOTAL]]-PROVEEDORES[[#This Row],[descuento antes de IVA]])</f>
        <v>0</v>
      </c>
      <c r="P17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7" s="33">
        <f>+(PROVEEDORES[[#This Row],[SUBTOTAL]]-PROVEEDORES[[#This Row],[descuento antes de IVA]])*PROVEEDORES[[#This Row],[Rete Fuente %]]</f>
        <v>0</v>
      </c>
      <c r="R1747" s="32">
        <f>+PROVEEDORES[[#This Row],[SUBTOTAL]]+PROVEEDORES[[#This Row],[IVA 19%]]-PROVEEDORES[[#This Row],[descuento antes de IVA]]-PROVEEDORES[[#This Row],[Descuento sobre subtotal $]]-PROVEEDORES[[#This Row],[Rete Fuente $]]</f>
        <v>1028160</v>
      </c>
      <c r="S1747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8" spans="1:19" ht="21.95" hidden="1" customHeight="1" x14ac:dyDescent="0.25">
      <c r="A1748" s="88" t="str">
        <f>+IF(PROVEEDORES[[#This Row],[FECHA DE PAGO]]=PROVEEDORES[[#This Row],[FECHA DE FACTURACIÓN]],"DE CONTADO","CRÉDITO")</f>
        <v>CRÉDITO</v>
      </c>
      <c r="B1748" s="70" t="str">
        <f>+IF((PROVEEDORES[[#This Row],[FECHA DE PAGO]]-PROVEEDORES[[#This Row],[FECHA DE FACTURACIÓN]])&gt;PROVEEDORES[[#This Row],[PLAZO Días]],"PAGO VENCIDO")</f>
        <v>PAGO VENCIDO</v>
      </c>
      <c r="C1748" s="27">
        <f>+VLOOKUP(PROVEEDORES[[#This Row],[PROVEEDOR]],TERCEROS_INFO[#All],2,FALSE)</f>
        <v>45</v>
      </c>
      <c r="D1748" s="37">
        <f>+SUMIFS(PROVEEDORES[Total],PROVEEDORES[PROVEEDOR],PROVEEDORES[[#This Row],[PROVEEDOR]],PROVEEDORES[FECHA DE PAGO],"")</f>
        <v>1416100</v>
      </c>
      <c r="E1748" s="37"/>
      <c r="F1748" s="108" t="str">
        <f>+VLOOKUP(PROVEEDORES[[#This Row],[PROVEEDOR]],TERCEROS_INFO[[PROVEEDOR]:[CORREO]],5,FALSE)</f>
        <v>libardopineda@tronex.com;girlesa.ruiz@servipilas.com;joriescobar64@gmail.com</v>
      </c>
      <c r="G1748" s="143">
        <v>44342</v>
      </c>
      <c r="H1748" s="38" t="s">
        <v>10</v>
      </c>
      <c r="I1748" s="30">
        <v>44261</v>
      </c>
      <c r="J1748" s="58" t="s">
        <v>520</v>
      </c>
      <c r="K1748" s="32">
        <v>1200000</v>
      </c>
      <c r="L1748" s="32"/>
      <c r="M1748" s="33">
        <f>(PROVEEDORES[[#This Row],[SUBTOTAL]]-PROVEEDORES[[#This Row],[descuento antes de IVA]])*VLOOKUP(PROVEEDORES[[#This Row],[PROVEEDOR]],TERCEROS_INFO[#All],3,FALSE)</f>
        <v>228000</v>
      </c>
      <c r="N1748" s="34"/>
      <c r="O1748" s="33">
        <f>+PROVEEDORES[[#This Row],[Descuento sobre subtotal %]]*(PROVEEDORES[[#This Row],[SUBTOTAL]]-PROVEEDORES[[#This Row],[descuento antes de IVA]])</f>
        <v>0</v>
      </c>
      <c r="P17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8" s="33">
        <f>+(PROVEEDORES[[#This Row],[SUBTOTAL]]-PROVEEDORES[[#This Row],[descuento antes de IVA]])*PROVEEDORES[[#This Row],[Rete Fuente %]]</f>
        <v>0</v>
      </c>
      <c r="R1748" s="32">
        <f>+PROVEEDORES[[#This Row],[SUBTOTAL]]+PROVEEDORES[[#This Row],[IVA 19%]]-PROVEEDORES[[#This Row],[descuento antes de IVA]]-PROVEEDORES[[#This Row],[Descuento sobre subtotal $]]-PROVEEDORES[[#This Row],[Rete Fuente $]]</f>
        <v>1428000</v>
      </c>
      <c r="S1748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49" spans="1:19" ht="21.95" hidden="1" customHeight="1" x14ac:dyDescent="0.25">
      <c r="A1749" s="88" t="str">
        <f>+IF(PROVEEDORES[[#This Row],[FECHA DE PAGO]]=PROVEEDORES[[#This Row],[FECHA DE FACTURACIÓN]],"DE CONTADO","CRÉDITO")</f>
        <v>CRÉDITO</v>
      </c>
      <c r="B1749" s="70" t="str">
        <f>+IF((PROVEEDORES[[#This Row],[FECHA DE PAGO]]-PROVEEDORES[[#This Row],[FECHA DE FACTURACIÓN]])&gt;PROVEEDORES[[#This Row],[PLAZO Días]],"PAGO VENCIDO")</f>
        <v>PAGO VENCIDO</v>
      </c>
      <c r="C1749" s="27">
        <f>+VLOOKUP(PROVEEDORES[[#This Row],[PROVEEDOR]],TERCEROS_INFO[#All],2,FALSE)</f>
        <v>45</v>
      </c>
      <c r="D1749" s="37">
        <f>+SUMIFS(PROVEEDORES[Total],PROVEEDORES[PROVEEDOR],PROVEEDORES[[#This Row],[PROVEEDOR]],PROVEEDORES[FECHA DE PAGO],"")</f>
        <v>1416100</v>
      </c>
      <c r="E1749" s="37"/>
      <c r="F1749" s="108" t="str">
        <f>+VLOOKUP(PROVEEDORES[[#This Row],[PROVEEDOR]],TERCEROS_INFO[[PROVEEDOR]:[CORREO]],5,FALSE)</f>
        <v>libardopineda@tronex.com;girlesa.ruiz@servipilas.com;joriescobar64@gmail.com</v>
      </c>
      <c r="G1749" s="143">
        <v>44342</v>
      </c>
      <c r="H1749" s="38" t="s">
        <v>10</v>
      </c>
      <c r="I1749" s="30">
        <v>44270</v>
      </c>
      <c r="J1749" s="58" t="s">
        <v>535</v>
      </c>
      <c r="K1749" s="32">
        <v>1386000</v>
      </c>
      <c r="L1749" s="32"/>
      <c r="M1749" s="33">
        <f>(PROVEEDORES[[#This Row],[SUBTOTAL]]-PROVEEDORES[[#This Row],[descuento antes de IVA]])*VLOOKUP(PROVEEDORES[[#This Row],[PROVEEDOR]],TERCEROS_INFO[#All],3,FALSE)</f>
        <v>263340</v>
      </c>
      <c r="N1749" s="34"/>
      <c r="O1749" s="33">
        <f>+PROVEEDORES[[#This Row],[Descuento sobre subtotal %]]*(PROVEEDORES[[#This Row],[SUBTOTAL]]-PROVEEDORES[[#This Row],[descuento antes de IVA]])</f>
        <v>0</v>
      </c>
      <c r="P17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49" s="33">
        <f>+(PROVEEDORES[[#This Row],[SUBTOTAL]]-PROVEEDORES[[#This Row],[descuento antes de IVA]])*PROVEEDORES[[#This Row],[Rete Fuente %]]</f>
        <v>0</v>
      </c>
      <c r="R1749" s="32">
        <f>+PROVEEDORES[[#This Row],[SUBTOTAL]]+PROVEEDORES[[#This Row],[IVA 19%]]-PROVEEDORES[[#This Row],[descuento antes de IVA]]-PROVEEDORES[[#This Row],[Descuento sobre subtotal $]]-PROVEEDORES[[#This Row],[Rete Fuente $]]</f>
        <v>1649340</v>
      </c>
      <c r="S174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0" spans="1:19" ht="21.95" hidden="1" customHeight="1" x14ac:dyDescent="0.25">
      <c r="A1750" s="88" t="str">
        <f>+IF(PROVEEDORES[[#This Row],[FECHA DE PAGO]]=PROVEEDORES[[#This Row],[FECHA DE FACTURACIÓN]],"DE CONTADO","CRÉDITO")</f>
        <v>CRÉDITO</v>
      </c>
      <c r="B1750" s="70" t="str">
        <f>+IF((PROVEEDORES[[#This Row],[FECHA DE PAGO]]-PROVEEDORES[[#This Row],[FECHA DE FACTURACIÓN]])&gt;PROVEEDORES[[#This Row],[PLAZO Días]],"PAGO VENCIDO")</f>
        <v>PAGO VENCIDO</v>
      </c>
      <c r="C1750" s="27">
        <f>+VLOOKUP(PROVEEDORES[[#This Row],[PROVEEDOR]],TERCEROS_INFO[#All],2,FALSE)</f>
        <v>45</v>
      </c>
      <c r="D1750" s="37">
        <f>+SUMIFS(PROVEEDORES[Total],PROVEEDORES[PROVEEDOR],PROVEEDORES[[#This Row],[PROVEEDOR]],PROVEEDORES[FECHA DE PAGO],"")</f>
        <v>1416100</v>
      </c>
      <c r="E1750" s="37"/>
      <c r="F1750" s="108" t="str">
        <f>+VLOOKUP(PROVEEDORES[[#This Row],[PROVEEDOR]],TERCEROS_INFO[[PROVEEDOR]:[CORREO]],5,FALSE)</f>
        <v>libardopineda@tronex.com;girlesa.ruiz@servipilas.com;joriescobar64@gmail.com</v>
      </c>
      <c r="G1750" s="143">
        <v>44351</v>
      </c>
      <c r="H1750" s="38" t="s">
        <v>10</v>
      </c>
      <c r="I1750" s="30">
        <v>44273</v>
      </c>
      <c r="J1750" s="58" t="s">
        <v>536</v>
      </c>
      <c r="K1750" s="32">
        <v>3460000</v>
      </c>
      <c r="L1750" s="32"/>
      <c r="M1750" s="33">
        <f>(PROVEEDORES[[#This Row],[SUBTOTAL]]-PROVEEDORES[[#This Row],[descuento antes de IVA]])*VLOOKUP(PROVEEDORES[[#This Row],[PROVEEDOR]],TERCEROS_INFO[#All],3,FALSE)</f>
        <v>657400</v>
      </c>
      <c r="N1750" s="34"/>
      <c r="O1750" s="33">
        <f>+PROVEEDORES[[#This Row],[Descuento sobre subtotal %]]*(PROVEEDORES[[#This Row],[SUBTOTAL]]-PROVEEDORES[[#This Row],[descuento antes de IVA]])</f>
        <v>0</v>
      </c>
      <c r="P17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0" s="33">
        <f>+(PROVEEDORES[[#This Row],[SUBTOTAL]]-PROVEEDORES[[#This Row],[descuento antes de IVA]])*PROVEEDORES[[#This Row],[Rete Fuente %]]</f>
        <v>0</v>
      </c>
      <c r="R1750" s="32">
        <f>+PROVEEDORES[[#This Row],[SUBTOTAL]]+PROVEEDORES[[#This Row],[IVA 19%]]-PROVEEDORES[[#This Row],[descuento antes de IVA]]-PROVEEDORES[[#This Row],[Descuento sobre subtotal $]]-PROVEEDORES[[#This Row],[Rete Fuente $]]</f>
        <v>4117400</v>
      </c>
      <c r="S1750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1" spans="1:19" ht="21.95" hidden="1" customHeight="1" x14ac:dyDescent="0.25">
      <c r="A1751" s="103" t="str">
        <f>+IF(PROVEEDORES[[#This Row],[FECHA DE PAGO]]=PROVEEDORES[[#This Row],[FECHA DE FACTURACIÓN]],"DE CONTADO","CRÉDITO")</f>
        <v>CRÉDITO</v>
      </c>
      <c r="B1751" s="70" t="str">
        <f>+IF((PROVEEDORES[[#This Row],[FECHA DE PAGO]]-PROVEEDORES[[#This Row],[FECHA DE FACTURACIÓN]])&gt;PROVEEDORES[[#This Row],[PLAZO Días]],"PAGO VENCIDO")</f>
        <v>PAGO VENCIDO</v>
      </c>
      <c r="C1751" s="27">
        <f>+VLOOKUP(PROVEEDORES[[#This Row],[PROVEEDOR]],TERCEROS_INFO[#All],2,FALSE)</f>
        <v>45</v>
      </c>
      <c r="D1751" s="37">
        <f>+SUMIFS(PROVEEDORES[Total],PROVEEDORES[PROVEEDOR],PROVEEDORES[[#This Row],[PROVEEDOR]],PROVEEDORES[FECHA DE PAGO],"")</f>
        <v>1416100</v>
      </c>
      <c r="E1751" s="37"/>
      <c r="F1751" s="108" t="str">
        <f>+VLOOKUP(PROVEEDORES[[#This Row],[PROVEEDOR]],TERCEROS_INFO[[PROVEEDOR]:[CORREO]],5,FALSE)</f>
        <v>libardopineda@tronex.com;girlesa.ruiz@servipilas.com;joriescobar64@gmail.com</v>
      </c>
      <c r="G1751" s="143">
        <v>44351</v>
      </c>
      <c r="H1751" s="38" t="s">
        <v>10</v>
      </c>
      <c r="I1751" s="30">
        <v>44300</v>
      </c>
      <c r="J1751" s="58" t="s">
        <v>608</v>
      </c>
      <c r="K1751" s="32">
        <v>990000</v>
      </c>
      <c r="L1751" s="32"/>
      <c r="M1751" s="33">
        <f>(PROVEEDORES[[#This Row],[SUBTOTAL]]-PROVEEDORES[[#This Row],[descuento antes de IVA]])*VLOOKUP(PROVEEDORES[[#This Row],[PROVEEDOR]],TERCEROS_INFO[#All],3,FALSE)</f>
        <v>188100</v>
      </c>
      <c r="N1751" s="34"/>
      <c r="O1751" s="33">
        <f>+PROVEEDORES[[#This Row],[Descuento sobre subtotal %]]*(PROVEEDORES[[#This Row],[SUBTOTAL]]-PROVEEDORES[[#This Row],[descuento antes de IVA]])</f>
        <v>0</v>
      </c>
      <c r="P17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1" s="33">
        <f>+(PROVEEDORES[[#This Row],[SUBTOTAL]]-PROVEEDORES[[#This Row],[descuento antes de IVA]])*PROVEEDORES[[#This Row],[Rete Fuente %]]</f>
        <v>0</v>
      </c>
      <c r="R1751" s="32">
        <f>+PROVEEDORES[[#This Row],[SUBTOTAL]]+PROVEEDORES[[#This Row],[IVA 19%]]-PROVEEDORES[[#This Row],[descuento antes de IVA]]-PROVEEDORES[[#This Row],[Descuento sobre subtotal $]]-PROVEEDORES[[#This Row],[Rete Fuente $]]</f>
        <v>1178100</v>
      </c>
      <c r="S1751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2" spans="1:19" ht="21.95" hidden="1" customHeight="1" x14ac:dyDescent="0.25">
      <c r="A1752" s="103" t="str">
        <f>+IF(PROVEEDORES[[#This Row],[FECHA DE PAGO]]=PROVEEDORES[[#This Row],[FECHA DE FACTURACIÓN]],"DE CONTADO","CRÉDITO")</f>
        <v>CRÉDITO</v>
      </c>
      <c r="B1752" s="70" t="str">
        <f>+IF((PROVEEDORES[[#This Row],[FECHA DE PAGO]]-PROVEEDORES[[#This Row],[FECHA DE FACTURACIÓN]])&gt;PROVEEDORES[[#This Row],[PLAZO Días]],"PAGO VENCIDO")</f>
        <v>PAGO VENCIDO</v>
      </c>
      <c r="C1752" s="27">
        <f>+VLOOKUP(PROVEEDORES[[#This Row],[PROVEEDOR]],TERCEROS_INFO[#All],2,FALSE)</f>
        <v>45</v>
      </c>
      <c r="D1752" s="37">
        <f>+SUMIFS(PROVEEDORES[Total],PROVEEDORES[PROVEEDOR],PROVEEDORES[[#This Row],[PROVEEDOR]],PROVEEDORES[FECHA DE PAGO],"")</f>
        <v>1416100</v>
      </c>
      <c r="E1752" s="37"/>
      <c r="F1752" s="108" t="str">
        <f>+VLOOKUP(PROVEEDORES[[#This Row],[PROVEEDOR]],TERCEROS_INFO[[PROVEEDOR]:[CORREO]],5,FALSE)</f>
        <v>libardopineda@tronex.com;girlesa.ruiz@servipilas.com;joriescobar64@gmail.com</v>
      </c>
      <c r="G1752" s="143">
        <v>44369</v>
      </c>
      <c r="H1752" s="38" t="s">
        <v>10</v>
      </c>
      <c r="I1752" s="30">
        <v>44307</v>
      </c>
      <c r="J1752" s="58" t="s">
        <v>607</v>
      </c>
      <c r="K1752" s="32">
        <v>894000</v>
      </c>
      <c r="L1752" s="32"/>
      <c r="M1752" s="33">
        <f>(PROVEEDORES[[#This Row],[SUBTOTAL]]-PROVEEDORES[[#This Row],[descuento antes de IVA]])*VLOOKUP(PROVEEDORES[[#This Row],[PROVEEDOR]],TERCEROS_INFO[#All],3,FALSE)</f>
        <v>169860</v>
      </c>
      <c r="N1752" s="34"/>
      <c r="O1752" s="33">
        <f>+PROVEEDORES[[#This Row],[Descuento sobre subtotal %]]*(PROVEEDORES[[#This Row],[SUBTOTAL]]-PROVEEDORES[[#This Row],[descuento antes de IVA]])</f>
        <v>0</v>
      </c>
      <c r="P17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2" s="33">
        <f>+(PROVEEDORES[[#This Row],[SUBTOTAL]]-PROVEEDORES[[#This Row],[descuento antes de IVA]])*PROVEEDORES[[#This Row],[Rete Fuente %]]</f>
        <v>0</v>
      </c>
      <c r="R1752" s="32">
        <f>+PROVEEDORES[[#This Row],[SUBTOTAL]]+PROVEEDORES[[#This Row],[IVA 19%]]-PROVEEDORES[[#This Row],[descuento antes de IVA]]-PROVEEDORES[[#This Row],[Descuento sobre subtotal $]]-PROVEEDORES[[#This Row],[Rete Fuente $]]</f>
        <v>1063860</v>
      </c>
      <c r="S1752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3" spans="1:19" ht="21.95" hidden="1" customHeight="1" x14ac:dyDescent="0.25">
      <c r="A1753" s="109" t="str">
        <f>+IF(PROVEEDORES[[#This Row],[FECHA DE PAGO]]=PROVEEDORES[[#This Row],[FECHA DE FACTURACIÓN]],"DE CONTADO","CRÉDITO")</f>
        <v>CRÉDITO</v>
      </c>
      <c r="B1753" s="70" t="str">
        <f>+IF((PROVEEDORES[[#This Row],[FECHA DE PAGO]]-PROVEEDORES[[#This Row],[FECHA DE FACTURACIÓN]])&gt;PROVEEDORES[[#This Row],[PLAZO Días]],"PAGO VENCIDO")</f>
        <v>PAGO VENCIDO</v>
      </c>
      <c r="C1753" s="27">
        <f>+VLOOKUP(PROVEEDORES[[#This Row],[PROVEEDOR]],TERCEROS_INFO[#All],2,FALSE)</f>
        <v>45</v>
      </c>
      <c r="D1753" s="37">
        <f>+SUMIFS(PROVEEDORES[Total],PROVEEDORES[PROVEEDOR],PROVEEDORES[[#This Row],[PROVEEDOR]],PROVEEDORES[FECHA DE PAGO],"")</f>
        <v>1416100</v>
      </c>
      <c r="E1753" s="37"/>
      <c r="F1753" s="108" t="str">
        <f>+VLOOKUP(PROVEEDORES[[#This Row],[PROVEEDOR]],TERCEROS_INFO[[PROVEEDOR]:[CORREO]],5,FALSE)</f>
        <v>libardopineda@tronex.com;girlesa.ruiz@servipilas.com;joriescobar64@gmail.com</v>
      </c>
      <c r="G1753" s="143">
        <v>44376</v>
      </c>
      <c r="H1753" s="38" t="s">
        <v>10</v>
      </c>
      <c r="I1753" s="30">
        <v>44320</v>
      </c>
      <c r="J1753" s="58" t="s">
        <v>665</v>
      </c>
      <c r="K1753" s="32">
        <v>2354000</v>
      </c>
      <c r="L1753" s="32"/>
      <c r="M1753" s="33">
        <f>(PROVEEDORES[[#This Row],[SUBTOTAL]]-PROVEEDORES[[#This Row],[descuento antes de IVA]])*VLOOKUP(PROVEEDORES[[#This Row],[PROVEEDOR]],TERCEROS_INFO[#All],3,FALSE)</f>
        <v>447260</v>
      </c>
      <c r="N1753" s="34"/>
      <c r="O1753" s="33">
        <f>+PROVEEDORES[[#This Row],[Descuento sobre subtotal %]]*(PROVEEDORES[[#This Row],[SUBTOTAL]]-PROVEEDORES[[#This Row],[descuento antes de IVA]])</f>
        <v>0</v>
      </c>
      <c r="P17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3" s="33">
        <f>+(PROVEEDORES[[#This Row],[SUBTOTAL]]-PROVEEDORES[[#This Row],[descuento antes de IVA]])*PROVEEDORES[[#This Row],[Rete Fuente %]]</f>
        <v>0</v>
      </c>
      <c r="R1753" s="32">
        <f>+PROVEEDORES[[#This Row],[SUBTOTAL]]+PROVEEDORES[[#This Row],[IVA 19%]]-PROVEEDORES[[#This Row],[descuento antes de IVA]]-PROVEEDORES[[#This Row],[Descuento sobre subtotal $]]-PROVEEDORES[[#This Row],[Rete Fuente $]]</f>
        <v>2801260</v>
      </c>
      <c r="S1753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4" spans="1:19" ht="21.95" hidden="1" customHeight="1" x14ac:dyDescent="0.25">
      <c r="A1754" s="109" t="str">
        <f>+IF(PROVEEDORES[[#This Row],[FECHA DE PAGO]]=PROVEEDORES[[#This Row],[FECHA DE FACTURACIÓN]],"DE CONTADO","CRÉDITO")</f>
        <v>CRÉDITO</v>
      </c>
      <c r="B1754" s="70" t="str">
        <f>+IF((PROVEEDORES[[#This Row],[FECHA DE PAGO]]-PROVEEDORES[[#This Row],[FECHA DE FACTURACIÓN]])&gt;PROVEEDORES[[#This Row],[PLAZO Días]],"PAGO VENCIDO")</f>
        <v>PAGO VENCIDO</v>
      </c>
      <c r="C1754" s="27">
        <f>+VLOOKUP(PROVEEDORES[[#This Row],[PROVEEDOR]],TERCEROS_INFO[#All],2,FALSE)</f>
        <v>45</v>
      </c>
      <c r="D1754" s="37">
        <f>+SUMIFS(PROVEEDORES[Total],PROVEEDORES[PROVEEDOR],PROVEEDORES[[#This Row],[PROVEEDOR]],PROVEEDORES[FECHA DE PAGO],"")</f>
        <v>1416100</v>
      </c>
      <c r="E1754" s="37"/>
      <c r="F1754" s="108" t="str">
        <f>+VLOOKUP(PROVEEDORES[[#This Row],[PROVEEDOR]],TERCEROS_INFO[[PROVEEDOR]:[CORREO]],5,FALSE)</f>
        <v>libardopineda@tronex.com;girlesa.ruiz@servipilas.com;joriescobar64@gmail.com</v>
      </c>
      <c r="G1754" s="143">
        <v>44389</v>
      </c>
      <c r="H1754" s="38" t="s">
        <v>10</v>
      </c>
      <c r="I1754" s="30">
        <v>44323</v>
      </c>
      <c r="J1754" s="58" t="s">
        <v>666</v>
      </c>
      <c r="K1754" s="32">
        <v>90000</v>
      </c>
      <c r="L1754" s="32"/>
      <c r="M1754" s="33">
        <f>(PROVEEDORES[[#This Row],[SUBTOTAL]]-PROVEEDORES[[#This Row],[descuento antes de IVA]])*VLOOKUP(PROVEEDORES[[#This Row],[PROVEEDOR]],TERCEROS_INFO[#All],3,FALSE)</f>
        <v>17100</v>
      </c>
      <c r="N1754" s="34"/>
      <c r="O1754" s="33">
        <f>+PROVEEDORES[[#This Row],[Descuento sobre subtotal %]]*(PROVEEDORES[[#This Row],[SUBTOTAL]]-PROVEEDORES[[#This Row],[descuento antes de IVA]])</f>
        <v>0</v>
      </c>
      <c r="P17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4" s="33">
        <f>+(PROVEEDORES[[#This Row],[SUBTOTAL]]-PROVEEDORES[[#This Row],[descuento antes de IVA]])*PROVEEDORES[[#This Row],[Rete Fuente %]]</f>
        <v>0</v>
      </c>
      <c r="R1754" s="32">
        <f>+PROVEEDORES[[#This Row],[SUBTOTAL]]+PROVEEDORES[[#This Row],[IVA 19%]]-PROVEEDORES[[#This Row],[descuento antes de IVA]]-PROVEEDORES[[#This Row],[Descuento sobre subtotal $]]-PROVEEDORES[[#This Row],[Rete Fuente $]]</f>
        <v>107100</v>
      </c>
      <c r="S1754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5" spans="1:19" ht="21.95" hidden="1" customHeight="1" x14ac:dyDescent="0.25">
      <c r="A1755" s="118" t="str">
        <f>+IF(PROVEEDORES[[#This Row],[FECHA DE PAGO]]=PROVEEDORES[[#This Row],[FECHA DE FACTURACIÓN]],"DE CONTADO","CRÉDITO")</f>
        <v>CRÉDITO</v>
      </c>
      <c r="B1755" s="70" t="str">
        <f>+IF((PROVEEDORES[[#This Row],[FECHA DE PAGO]]-PROVEEDORES[[#This Row],[FECHA DE FACTURACIÓN]])&gt;PROVEEDORES[[#This Row],[PLAZO Días]],"PAGO VENCIDO")</f>
        <v>PAGO VENCIDO</v>
      </c>
      <c r="C1755" s="27">
        <f>+VLOOKUP(PROVEEDORES[[#This Row],[PROVEEDOR]],TERCEROS_INFO[#All],2,FALSE)</f>
        <v>45</v>
      </c>
      <c r="D1755" s="37">
        <f>+SUMIFS(PROVEEDORES[Total],PROVEEDORES[PROVEEDOR],PROVEEDORES[[#This Row],[PROVEEDOR]],PROVEEDORES[FECHA DE PAGO],"")</f>
        <v>1416100</v>
      </c>
      <c r="E1755" s="37"/>
      <c r="F1755" s="108" t="str">
        <f>+VLOOKUP(PROVEEDORES[[#This Row],[PROVEEDOR]],TERCEROS_INFO[[PROVEEDOR]:[CORREO]],5,FALSE)</f>
        <v>libardopineda@tronex.com;girlesa.ruiz@servipilas.com;joriescobar64@gmail.com</v>
      </c>
      <c r="G1755" s="143">
        <v>44376</v>
      </c>
      <c r="H1755" s="38" t="s">
        <v>10</v>
      </c>
      <c r="I1755" s="30">
        <v>44328</v>
      </c>
      <c r="J1755" s="58" t="s">
        <v>684</v>
      </c>
      <c r="K1755" s="32">
        <v>-126000</v>
      </c>
      <c r="L1755" s="32"/>
      <c r="M1755" s="33">
        <f>(PROVEEDORES[[#This Row],[SUBTOTAL]]-PROVEEDORES[[#This Row],[descuento antes de IVA]])*VLOOKUP(PROVEEDORES[[#This Row],[PROVEEDOR]],TERCEROS_INFO[#All],3,FALSE)</f>
        <v>-23940</v>
      </c>
      <c r="N1755" s="34"/>
      <c r="O1755" s="33">
        <f>+PROVEEDORES[[#This Row],[Descuento sobre subtotal %]]*(PROVEEDORES[[#This Row],[SUBTOTAL]]-PROVEEDORES[[#This Row],[descuento antes de IVA]])</f>
        <v>0</v>
      </c>
      <c r="P17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5" s="33">
        <f>+(PROVEEDORES[[#This Row],[SUBTOTAL]]-PROVEEDORES[[#This Row],[descuento antes de IVA]])*PROVEEDORES[[#This Row],[Rete Fuente %]]</f>
        <v>0</v>
      </c>
      <c r="R1755" s="32">
        <f>+PROVEEDORES[[#This Row],[SUBTOTAL]]+PROVEEDORES[[#This Row],[IVA 19%]]-PROVEEDORES[[#This Row],[descuento antes de IVA]]-PROVEEDORES[[#This Row],[Descuento sobre subtotal $]]-PROVEEDORES[[#This Row],[Rete Fuente $]]</f>
        <v>-149940</v>
      </c>
      <c r="S1755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6" spans="1:19" ht="21.95" hidden="1" customHeight="1" x14ac:dyDescent="0.25">
      <c r="A1756" s="111" t="str">
        <f>+IF(PROVEEDORES[[#This Row],[FECHA DE PAGO]]=PROVEEDORES[[#This Row],[FECHA DE FACTURACIÓN]],"DE CONTADO","CRÉDITO")</f>
        <v>CRÉDITO</v>
      </c>
      <c r="B1756" s="70" t="str">
        <f>+IF((PROVEEDORES[[#This Row],[FECHA DE PAGO]]-PROVEEDORES[[#This Row],[FECHA DE FACTURACIÓN]])&gt;PROVEEDORES[[#This Row],[PLAZO Días]],"PAGO VENCIDO")</f>
        <v>PAGO VENCIDO</v>
      </c>
      <c r="C1756" s="27">
        <f>+VLOOKUP(PROVEEDORES[[#This Row],[PROVEEDOR]],TERCEROS_INFO[#All],2,FALSE)</f>
        <v>45</v>
      </c>
      <c r="D1756" s="37">
        <f>+SUMIFS(PROVEEDORES[Total],PROVEEDORES[PROVEEDOR],PROVEEDORES[[#This Row],[PROVEEDOR]],PROVEEDORES[FECHA DE PAGO],"")</f>
        <v>1416100</v>
      </c>
      <c r="E1756" s="37"/>
      <c r="F1756" s="108" t="str">
        <f>+VLOOKUP(PROVEEDORES[[#This Row],[PROVEEDOR]],TERCEROS_INFO[[PROVEEDOR]:[CORREO]],5,FALSE)</f>
        <v>libardopineda@tronex.com;girlesa.ruiz@servipilas.com;joriescobar64@gmail.com</v>
      </c>
      <c r="G1756" s="143">
        <v>44389</v>
      </c>
      <c r="H1756" s="38" t="s">
        <v>10</v>
      </c>
      <c r="I1756" s="30">
        <v>44328</v>
      </c>
      <c r="J1756" s="58" t="s">
        <v>678</v>
      </c>
      <c r="K1756" s="32">
        <v>698200</v>
      </c>
      <c r="L1756" s="32"/>
      <c r="M1756" s="33">
        <f>(PROVEEDORES[[#This Row],[SUBTOTAL]]-PROVEEDORES[[#This Row],[descuento antes de IVA]])*VLOOKUP(PROVEEDORES[[#This Row],[PROVEEDOR]],TERCEROS_INFO[#All],3,FALSE)</f>
        <v>132658</v>
      </c>
      <c r="N1756" s="34"/>
      <c r="O1756" s="33">
        <f>+PROVEEDORES[[#This Row],[Descuento sobre subtotal %]]*(PROVEEDORES[[#This Row],[SUBTOTAL]]-PROVEEDORES[[#This Row],[descuento antes de IVA]])</f>
        <v>0</v>
      </c>
      <c r="P17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6" s="33">
        <f>+(PROVEEDORES[[#This Row],[SUBTOTAL]]-PROVEEDORES[[#This Row],[descuento antes de IVA]])*PROVEEDORES[[#This Row],[Rete Fuente %]]</f>
        <v>0</v>
      </c>
      <c r="R1756" s="32">
        <f>+PROVEEDORES[[#This Row],[SUBTOTAL]]+PROVEEDORES[[#This Row],[IVA 19%]]-PROVEEDORES[[#This Row],[descuento antes de IVA]]-PROVEEDORES[[#This Row],[Descuento sobre subtotal $]]-PROVEEDORES[[#This Row],[Rete Fuente $]]</f>
        <v>830858</v>
      </c>
      <c r="S1756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7" spans="1:19" ht="21.95" hidden="1" customHeight="1" x14ac:dyDescent="0.25">
      <c r="A1757" s="119" t="str">
        <f>+IF(PROVEEDORES[[#This Row],[FECHA DE PAGO]]=PROVEEDORES[[#This Row],[FECHA DE FACTURACIÓN]],"DE CONTADO","CRÉDITO")</f>
        <v>CRÉDITO</v>
      </c>
      <c r="B1757" s="70" t="str">
        <f>+IF((PROVEEDORES[[#This Row],[FECHA DE PAGO]]-PROVEEDORES[[#This Row],[FECHA DE FACTURACIÓN]])&gt;PROVEEDORES[[#This Row],[PLAZO Días]],"PAGO VENCIDO")</f>
        <v>PAGO VENCIDO</v>
      </c>
      <c r="C1757" s="27">
        <f>+VLOOKUP(PROVEEDORES[[#This Row],[PROVEEDOR]],TERCEROS_INFO[#All],2,FALSE)</f>
        <v>45</v>
      </c>
      <c r="D1757" s="37">
        <f>+SUMIFS(PROVEEDORES[Total],PROVEEDORES[PROVEEDOR],PROVEEDORES[[#This Row],[PROVEEDOR]],PROVEEDORES[FECHA DE PAGO],"")</f>
        <v>1416100</v>
      </c>
      <c r="E1757" s="37"/>
      <c r="F1757" s="108" t="str">
        <f>+VLOOKUP(PROVEEDORES[[#This Row],[PROVEEDOR]],TERCEROS_INFO[[PROVEEDOR]:[CORREO]],5,FALSE)</f>
        <v>libardopineda@tronex.com;girlesa.ruiz@servipilas.com;joriescobar64@gmail.com</v>
      </c>
      <c r="G1757" s="143">
        <v>44411</v>
      </c>
      <c r="H1757" s="38" t="s">
        <v>10</v>
      </c>
      <c r="I1757" s="30">
        <v>44348</v>
      </c>
      <c r="J1757" s="58" t="s">
        <v>696</v>
      </c>
      <c r="K1757" s="123">
        <v>495000</v>
      </c>
      <c r="L1757" s="32"/>
      <c r="M1757" s="33">
        <f>(PROVEEDORES[[#This Row],[SUBTOTAL]]-PROVEEDORES[[#This Row],[descuento antes de IVA]])*VLOOKUP(PROVEEDORES[[#This Row],[PROVEEDOR]],TERCEROS_INFO[#All],3,FALSE)</f>
        <v>94050</v>
      </c>
      <c r="N1757" s="34"/>
      <c r="O1757" s="33">
        <f>+PROVEEDORES[[#This Row],[Descuento sobre subtotal %]]*(PROVEEDORES[[#This Row],[SUBTOTAL]]-PROVEEDORES[[#This Row],[descuento antes de IVA]])</f>
        <v>0</v>
      </c>
      <c r="P17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7" s="33">
        <f>+(PROVEEDORES[[#This Row],[SUBTOTAL]]-PROVEEDORES[[#This Row],[descuento antes de IVA]])*PROVEEDORES[[#This Row],[Rete Fuente %]]</f>
        <v>0</v>
      </c>
      <c r="R1757" s="32">
        <f>+PROVEEDORES[[#This Row],[SUBTOTAL]]+PROVEEDORES[[#This Row],[IVA 19%]]-PROVEEDORES[[#This Row],[descuento antes de IVA]]-PROVEEDORES[[#This Row],[Descuento sobre subtotal $]]-PROVEEDORES[[#This Row],[Rete Fuente $]]</f>
        <v>589050</v>
      </c>
      <c r="S1757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8" spans="1:19" ht="21.95" hidden="1" customHeight="1" x14ac:dyDescent="0.25">
      <c r="A1758" s="119" t="str">
        <f>+IF(PROVEEDORES[[#This Row],[FECHA DE PAGO]]=PROVEEDORES[[#This Row],[FECHA DE FACTURACIÓN]],"DE CONTADO","CRÉDITO")</f>
        <v>CRÉDITO</v>
      </c>
      <c r="B1758" s="70" t="str">
        <f>+IF((PROVEEDORES[[#This Row],[FECHA DE PAGO]]-PROVEEDORES[[#This Row],[FECHA DE FACTURACIÓN]])&gt;PROVEEDORES[[#This Row],[PLAZO Días]],"PAGO VENCIDO")</f>
        <v>PAGO VENCIDO</v>
      </c>
      <c r="C1758" s="27">
        <f>+VLOOKUP(PROVEEDORES[[#This Row],[PROVEEDOR]],TERCEROS_INFO[#All],2,FALSE)</f>
        <v>45</v>
      </c>
      <c r="D1758" s="37">
        <f>+SUMIFS(PROVEEDORES[Total],PROVEEDORES[PROVEEDOR],PROVEEDORES[[#This Row],[PROVEEDOR]],PROVEEDORES[FECHA DE PAGO],"")</f>
        <v>1416100</v>
      </c>
      <c r="E1758" s="37"/>
      <c r="F1758" s="108" t="str">
        <f>+VLOOKUP(PROVEEDORES[[#This Row],[PROVEEDOR]],TERCEROS_INFO[[PROVEEDOR]:[CORREO]],5,FALSE)</f>
        <v>libardopineda@tronex.com;girlesa.ruiz@servipilas.com;joriescobar64@gmail.com</v>
      </c>
      <c r="G1758" s="143">
        <v>44411</v>
      </c>
      <c r="H1758" s="38" t="s">
        <v>10</v>
      </c>
      <c r="I1758" s="30">
        <v>44348</v>
      </c>
      <c r="J1758" s="58" t="s">
        <v>695</v>
      </c>
      <c r="K1758" s="123">
        <v>2682000</v>
      </c>
      <c r="L1758" s="32"/>
      <c r="M1758" s="33">
        <f>(PROVEEDORES[[#This Row],[SUBTOTAL]]-PROVEEDORES[[#This Row],[descuento antes de IVA]])*VLOOKUP(PROVEEDORES[[#This Row],[PROVEEDOR]],TERCEROS_INFO[#All],3,FALSE)</f>
        <v>509580</v>
      </c>
      <c r="N1758" s="34"/>
      <c r="O1758" s="33">
        <f>+PROVEEDORES[[#This Row],[Descuento sobre subtotal %]]*(PROVEEDORES[[#This Row],[SUBTOTAL]]-PROVEEDORES[[#This Row],[descuento antes de IVA]])</f>
        <v>0</v>
      </c>
      <c r="P17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8" s="33">
        <f>+(PROVEEDORES[[#This Row],[SUBTOTAL]]-PROVEEDORES[[#This Row],[descuento antes de IVA]])*PROVEEDORES[[#This Row],[Rete Fuente %]]</f>
        <v>0</v>
      </c>
      <c r="R1758" s="32">
        <f>+PROVEEDORES[[#This Row],[SUBTOTAL]]+PROVEEDORES[[#This Row],[IVA 19%]]-PROVEEDORES[[#This Row],[descuento antes de IVA]]-PROVEEDORES[[#This Row],[Descuento sobre subtotal $]]-PROVEEDORES[[#This Row],[Rete Fuente $]]</f>
        <v>3191580</v>
      </c>
      <c r="S1758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59" spans="1:19" ht="21.95" hidden="1" customHeight="1" x14ac:dyDescent="0.25">
      <c r="A1759" s="119" t="str">
        <f>+IF(PROVEEDORES[[#This Row],[FECHA DE PAGO]]=PROVEEDORES[[#This Row],[FECHA DE FACTURACIÓN]],"DE CONTADO","CRÉDITO")</f>
        <v>CRÉDITO</v>
      </c>
      <c r="B1759" s="70" t="str">
        <f>+IF((PROVEEDORES[[#This Row],[FECHA DE PAGO]]-PROVEEDORES[[#This Row],[FECHA DE FACTURACIÓN]])&gt;PROVEEDORES[[#This Row],[PLAZO Días]],"PAGO VENCIDO")</f>
        <v>PAGO VENCIDO</v>
      </c>
      <c r="C1759" s="27">
        <f>+VLOOKUP(PROVEEDORES[[#This Row],[PROVEEDOR]],TERCEROS_INFO[#All],2,FALSE)</f>
        <v>45</v>
      </c>
      <c r="D1759" s="37">
        <f>+SUMIFS(PROVEEDORES[Total],PROVEEDORES[PROVEEDOR],PROVEEDORES[[#This Row],[PROVEEDOR]],PROVEEDORES[FECHA DE PAGO],"")</f>
        <v>1416100</v>
      </c>
      <c r="E1759" s="37"/>
      <c r="F1759" s="108" t="str">
        <f>+VLOOKUP(PROVEEDORES[[#This Row],[PROVEEDOR]],TERCEROS_INFO[[PROVEEDOR]:[CORREO]],5,FALSE)</f>
        <v>libardopineda@tronex.com;girlesa.ruiz@servipilas.com;joriescobar64@gmail.com</v>
      </c>
      <c r="G1759" s="143">
        <v>44411</v>
      </c>
      <c r="H1759" s="38" t="s">
        <v>10</v>
      </c>
      <c r="I1759" s="30">
        <v>44348</v>
      </c>
      <c r="J1759" s="58" t="s">
        <v>693</v>
      </c>
      <c r="K1759" s="123">
        <v>1381000</v>
      </c>
      <c r="L1759" s="32"/>
      <c r="M1759" s="33">
        <f>(PROVEEDORES[[#This Row],[SUBTOTAL]]-PROVEEDORES[[#This Row],[descuento antes de IVA]])*VLOOKUP(PROVEEDORES[[#This Row],[PROVEEDOR]],TERCEROS_INFO[#All],3,FALSE)</f>
        <v>262390</v>
      </c>
      <c r="N1759" s="34"/>
      <c r="O1759" s="33">
        <f>+PROVEEDORES[[#This Row],[Descuento sobre subtotal %]]*(PROVEEDORES[[#This Row],[SUBTOTAL]]-PROVEEDORES[[#This Row],[descuento antes de IVA]])</f>
        <v>0</v>
      </c>
      <c r="P17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59" s="33">
        <f>+(PROVEEDORES[[#This Row],[SUBTOTAL]]-PROVEEDORES[[#This Row],[descuento antes de IVA]])*PROVEEDORES[[#This Row],[Rete Fuente %]]</f>
        <v>0</v>
      </c>
      <c r="R1759" s="32">
        <f>+PROVEEDORES[[#This Row],[SUBTOTAL]]+PROVEEDORES[[#This Row],[IVA 19%]]-PROVEEDORES[[#This Row],[descuento antes de IVA]]-PROVEEDORES[[#This Row],[Descuento sobre subtotal $]]-PROVEEDORES[[#This Row],[Rete Fuente $]]</f>
        <v>1643390</v>
      </c>
      <c r="S1759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0" spans="1:19" ht="21.95" hidden="1" customHeight="1" x14ac:dyDescent="0.25">
      <c r="A1760" s="119" t="str">
        <f>+IF(PROVEEDORES[[#This Row],[FECHA DE PAGO]]=PROVEEDORES[[#This Row],[FECHA DE FACTURACIÓN]],"DE CONTADO","CRÉDITO")</f>
        <v>CRÉDITO</v>
      </c>
      <c r="B1760" s="70" t="str">
        <f>+IF((PROVEEDORES[[#This Row],[FECHA DE PAGO]]-PROVEEDORES[[#This Row],[FECHA DE FACTURACIÓN]])&gt;PROVEEDORES[[#This Row],[PLAZO Días]],"PAGO VENCIDO")</f>
        <v>PAGO VENCIDO</v>
      </c>
      <c r="C1760" s="27">
        <f>+VLOOKUP(PROVEEDORES[[#This Row],[PROVEEDOR]],TERCEROS_INFO[#All],2,FALSE)</f>
        <v>45</v>
      </c>
      <c r="D1760" s="37">
        <f>+SUMIFS(PROVEEDORES[Total],PROVEEDORES[PROVEEDOR],PROVEEDORES[[#This Row],[PROVEEDOR]],PROVEEDORES[FECHA DE PAGO],"")</f>
        <v>1416100</v>
      </c>
      <c r="E1760" s="37"/>
      <c r="F1760" s="108" t="str">
        <f>+VLOOKUP(PROVEEDORES[[#This Row],[PROVEEDOR]],TERCEROS_INFO[[PROVEEDOR]:[CORREO]],5,FALSE)</f>
        <v>libardopineda@tronex.com;girlesa.ruiz@servipilas.com;joriescobar64@gmail.com</v>
      </c>
      <c r="G1760" s="143">
        <v>44414</v>
      </c>
      <c r="H1760" s="38" t="s">
        <v>10</v>
      </c>
      <c r="I1760" s="30">
        <v>44350</v>
      </c>
      <c r="J1760" s="58" t="s">
        <v>694</v>
      </c>
      <c r="K1760" s="123">
        <v>1200000</v>
      </c>
      <c r="L1760" s="32"/>
      <c r="M1760" s="33">
        <f>(PROVEEDORES[[#This Row],[SUBTOTAL]]-PROVEEDORES[[#This Row],[descuento antes de IVA]])*VLOOKUP(PROVEEDORES[[#This Row],[PROVEEDOR]],TERCEROS_INFO[#All],3,FALSE)</f>
        <v>228000</v>
      </c>
      <c r="N1760" s="34"/>
      <c r="O1760" s="33">
        <f>+PROVEEDORES[[#This Row],[Descuento sobre subtotal %]]*(PROVEEDORES[[#This Row],[SUBTOTAL]]-PROVEEDORES[[#This Row],[descuento antes de IVA]])</f>
        <v>0</v>
      </c>
      <c r="P17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0" s="33">
        <f>+(PROVEEDORES[[#This Row],[SUBTOTAL]]-PROVEEDORES[[#This Row],[descuento antes de IVA]])*PROVEEDORES[[#This Row],[Rete Fuente %]]</f>
        <v>0</v>
      </c>
      <c r="R1760" s="32">
        <f>+PROVEEDORES[[#This Row],[SUBTOTAL]]+PROVEEDORES[[#This Row],[IVA 19%]]-PROVEEDORES[[#This Row],[descuento antes de IVA]]-PROVEEDORES[[#This Row],[Descuento sobre subtotal $]]-PROVEEDORES[[#This Row],[Rete Fuente $]]</f>
        <v>1428000</v>
      </c>
      <c r="S1760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1" spans="1:19" ht="21.95" hidden="1" customHeight="1" x14ac:dyDescent="0.25">
      <c r="A1761" s="124" t="str">
        <f>+IF(PROVEEDORES[[#This Row],[FECHA DE PAGO]]=PROVEEDORES[[#This Row],[FECHA DE FACTURACIÓN]],"DE CONTADO","CRÉDITO")</f>
        <v>CRÉDITO</v>
      </c>
      <c r="B1761" s="70" t="str">
        <f>+IF((PROVEEDORES[[#This Row],[FECHA DE PAGO]]-PROVEEDORES[[#This Row],[FECHA DE FACTURACIÓN]])&gt;PROVEEDORES[[#This Row],[PLAZO Días]],"PAGO VENCIDO")</f>
        <v>PAGO VENCIDO</v>
      </c>
      <c r="C1761" s="27">
        <f>+VLOOKUP(PROVEEDORES[[#This Row],[PROVEEDOR]],TERCEROS_INFO[#All],2,FALSE)</f>
        <v>45</v>
      </c>
      <c r="D1761" s="37">
        <f>+SUMIFS(PROVEEDORES[Total],PROVEEDORES[PROVEEDOR],PROVEEDORES[[#This Row],[PROVEEDOR]],PROVEEDORES[FECHA DE PAGO],"")</f>
        <v>1416100</v>
      </c>
      <c r="E1761" s="37"/>
      <c r="F1761" s="108" t="str">
        <f>+VLOOKUP(PROVEEDORES[[#This Row],[PROVEEDOR]],TERCEROS_INFO[[PROVEEDOR]:[CORREO]],5,FALSE)</f>
        <v>libardopineda@tronex.com;girlesa.ruiz@servipilas.com;joriescobar64@gmail.com</v>
      </c>
      <c r="G1761" s="143">
        <v>44418</v>
      </c>
      <c r="H1761" s="38" t="s">
        <v>10</v>
      </c>
      <c r="I1761" s="30">
        <v>44356</v>
      </c>
      <c r="J1761" s="58" t="s">
        <v>704</v>
      </c>
      <c r="K1761" s="32">
        <v>950500</v>
      </c>
      <c r="L1761" s="32"/>
      <c r="M1761" s="33">
        <f>(PROVEEDORES[[#This Row],[SUBTOTAL]]-PROVEEDORES[[#This Row],[descuento antes de IVA]])*VLOOKUP(PROVEEDORES[[#This Row],[PROVEEDOR]],TERCEROS_INFO[#All],3,FALSE)</f>
        <v>180595</v>
      </c>
      <c r="N1761" s="34"/>
      <c r="O1761" s="33">
        <f>+PROVEEDORES[[#This Row],[Descuento sobre subtotal %]]*(PROVEEDORES[[#This Row],[SUBTOTAL]]-PROVEEDORES[[#This Row],[descuento antes de IVA]])</f>
        <v>0</v>
      </c>
      <c r="P17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1" s="33">
        <f>+(PROVEEDORES[[#This Row],[SUBTOTAL]]-PROVEEDORES[[#This Row],[descuento antes de IVA]])*PROVEEDORES[[#This Row],[Rete Fuente %]]</f>
        <v>0</v>
      </c>
      <c r="R1761" s="32">
        <f>+PROVEEDORES[[#This Row],[SUBTOTAL]]+PROVEEDORES[[#This Row],[IVA 19%]]-PROVEEDORES[[#This Row],[descuento antes de IVA]]-PROVEEDORES[[#This Row],[Descuento sobre subtotal $]]-PROVEEDORES[[#This Row],[Rete Fuente $]]</f>
        <v>1131095</v>
      </c>
      <c r="S1761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2" spans="1:19" ht="21.95" hidden="1" customHeight="1" x14ac:dyDescent="0.25">
      <c r="A1762" s="35" t="str">
        <f>+IF(PROVEEDORES[[#This Row],[FECHA DE PAGO]]=PROVEEDORES[[#This Row],[FECHA DE FACTURACIÓN]],"DE CONTADO","CRÉDITO")</f>
        <v>CRÉDITO</v>
      </c>
      <c r="B1762" s="70" t="str">
        <f>+IF((PROVEEDORES[[#This Row],[FECHA DE PAGO]]-PROVEEDORES[[#This Row],[FECHA DE FACTURACIÓN]])&gt;PROVEEDORES[[#This Row],[PLAZO Días]],"PAGO VENCIDO")</f>
        <v>PAGO VENCIDO</v>
      </c>
      <c r="C1762" s="27">
        <f>+VLOOKUP(PROVEEDORES[[#This Row],[PROVEEDOR]],TERCEROS_INFO[#All],2,FALSE)</f>
        <v>45</v>
      </c>
      <c r="D1762" s="37">
        <f>+SUMIFS(PROVEEDORES[Total],PROVEEDORES[PROVEEDOR],PROVEEDORES[[#This Row],[PROVEEDOR]],PROVEEDORES[FECHA DE PAGO],"")</f>
        <v>1416100</v>
      </c>
      <c r="E1762" s="37"/>
      <c r="F1762" s="108" t="str">
        <f>+VLOOKUP(PROVEEDORES[[#This Row],[PROVEEDOR]],TERCEROS_INFO[[PROVEEDOR]:[CORREO]],5,FALSE)</f>
        <v>libardopineda@tronex.com;girlesa.ruiz@servipilas.com;joriescobar64@gmail.com</v>
      </c>
      <c r="G1762" s="143">
        <v>44414</v>
      </c>
      <c r="H1762" s="38" t="s">
        <v>10</v>
      </c>
      <c r="I1762" s="30">
        <v>44363</v>
      </c>
      <c r="J1762" s="58" t="s">
        <v>713</v>
      </c>
      <c r="K1762" s="32">
        <v>1013000</v>
      </c>
      <c r="L1762" s="32"/>
      <c r="M1762" s="33">
        <f>(PROVEEDORES[[#This Row],[SUBTOTAL]]-PROVEEDORES[[#This Row],[descuento antes de IVA]])*VLOOKUP(PROVEEDORES[[#This Row],[PROVEEDOR]],TERCEROS_INFO[#All],3,FALSE)</f>
        <v>192470</v>
      </c>
      <c r="N1762" s="34"/>
      <c r="O1762" s="33">
        <f>+PROVEEDORES[[#This Row],[Descuento sobre subtotal %]]*(PROVEEDORES[[#This Row],[SUBTOTAL]]-PROVEEDORES[[#This Row],[descuento antes de IVA]])</f>
        <v>0</v>
      </c>
      <c r="P17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2" s="33">
        <f>+(PROVEEDORES[[#This Row],[SUBTOTAL]]-PROVEEDORES[[#This Row],[descuento antes de IVA]])*PROVEEDORES[[#This Row],[Rete Fuente %]]</f>
        <v>0</v>
      </c>
      <c r="R1762" s="32">
        <f>+PROVEEDORES[[#This Row],[SUBTOTAL]]+PROVEEDORES[[#This Row],[IVA 19%]]-PROVEEDORES[[#This Row],[descuento antes de IVA]]-PROVEEDORES[[#This Row],[Descuento sobre subtotal $]]-PROVEEDORES[[#This Row],[Rete Fuente $]]</f>
        <v>1205470</v>
      </c>
      <c r="S1762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3" spans="1:19" ht="21.95" hidden="1" customHeight="1" x14ac:dyDescent="0.25">
      <c r="A1763" s="35" t="str">
        <f>+IF(PROVEEDORES[[#This Row],[FECHA DE PAGO]]=PROVEEDORES[[#This Row],[FECHA DE FACTURACIÓN]],"DE CONTADO","CRÉDITO")</f>
        <v>CRÉDITO</v>
      </c>
      <c r="B1763" s="70" t="str">
        <f>+IF((PROVEEDORES[[#This Row],[FECHA DE PAGO]]-PROVEEDORES[[#This Row],[FECHA DE FACTURACIÓN]])&gt;PROVEEDORES[[#This Row],[PLAZO Días]],"PAGO VENCIDO")</f>
        <v>PAGO VENCIDO</v>
      </c>
      <c r="C1763" s="27">
        <f>+VLOOKUP(PROVEEDORES[[#This Row],[PROVEEDOR]],TERCEROS_INFO[#All],2,FALSE)</f>
        <v>45</v>
      </c>
      <c r="D1763" s="37">
        <f>+SUMIFS(PROVEEDORES[Total],PROVEEDORES[PROVEEDOR],PROVEEDORES[[#This Row],[PROVEEDOR]],PROVEEDORES[FECHA DE PAGO],"")</f>
        <v>1416100</v>
      </c>
      <c r="E1763" s="37"/>
      <c r="F1763" s="108" t="str">
        <f>+VLOOKUP(PROVEEDORES[[#This Row],[PROVEEDOR]],TERCEROS_INFO[[PROVEEDOR]:[CORREO]],5,FALSE)</f>
        <v>libardopineda@tronex.com;girlesa.ruiz@servipilas.com;joriescobar64@gmail.com</v>
      </c>
      <c r="G1763" s="143">
        <v>44414</v>
      </c>
      <c r="H1763" s="38" t="s">
        <v>10</v>
      </c>
      <c r="I1763" s="30">
        <v>44363</v>
      </c>
      <c r="J1763" s="58" t="s">
        <v>711</v>
      </c>
      <c r="K1763" s="32">
        <v>162000</v>
      </c>
      <c r="L1763" s="32"/>
      <c r="M1763" s="33">
        <f>(PROVEEDORES[[#This Row],[SUBTOTAL]]-PROVEEDORES[[#This Row],[descuento antes de IVA]])*VLOOKUP(PROVEEDORES[[#This Row],[PROVEEDOR]],TERCEROS_INFO[#All],3,FALSE)</f>
        <v>30780</v>
      </c>
      <c r="N1763" s="34"/>
      <c r="O1763" s="33">
        <f>+PROVEEDORES[[#This Row],[Descuento sobre subtotal %]]*(PROVEEDORES[[#This Row],[SUBTOTAL]]-PROVEEDORES[[#This Row],[descuento antes de IVA]])</f>
        <v>0</v>
      </c>
      <c r="P17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3" s="33">
        <f>+(PROVEEDORES[[#This Row],[SUBTOTAL]]-PROVEEDORES[[#This Row],[descuento antes de IVA]])*PROVEEDORES[[#This Row],[Rete Fuente %]]</f>
        <v>0</v>
      </c>
      <c r="R1763" s="32">
        <f>+PROVEEDORES[[#This Row],[SUBTOTAL]]+PROVEEDORES[[#This Row],[IVA 19%]]-PROVEEDORES[[#This Row],[descuento antes de IVA]]-PROVEEDORES[[#This Row],[Descuento sobre subtotal $]]-PROVEEDORES[[#This Row],[Rete Fuente $]]</f>
        <v>192780</v>
      </c>
      <c r="S176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4" spans="1:19" ht="21.95" hidden="1" customHeight="1" x14ac:dyDescent="0.25">
      <c r="A1764" s="35" t="str">
        <f>+IF(PROVEEDORES[[#This Row],[FECHA DE PAGO]]=PROVEEDORES[[#This Row],[FECHA DE FACTURACIÓN]],"DE CONTADO","CRÉDITO")</f>
        <v>CRÉDITO</v>
      </c>
      <c r="B1764" s="70" t="str">
        <f>+IF((PROVEEDORES[[#This Row],[FECHA DE PAGO]]-PROVEEDORES[[#This Row],[FECHA DE FACTURACIÓN]])&gt;PROVEEDORES[[#This Row],[PLAZO Días]],"PAGO VENCIDO")</f>
        <v>PAGO VENCIDO</v>
      </c>
      <c r="C1764" s="27">
        <f>+VLOOKUP(PROVEEDORES[[#This Row],[PROVEEDOR]],TERCEROS_INFO[#All],2,FALSE)</f>
        <v>45</v>
      </c>
      <c r="D1764" s="37">
        <f>+SUMIFS(PROVEEDORES[Total],PROVEEDORES[PROVEEDOR],PROVEEDORES[[#This Row],[PROVEEDOR]],PROVEEDORES[FECHA DE PAGO],"")</f>
        <v>1416100</v>
      </c>
      <c r="E1764" s="37"/>
      <c r="F1764" s="108" t="str">
        <f>+VLOOKUP(PROVEEDORES[[#This Row],[PROVEEDOR]],TERCEROS_INFO[[PROVEEDOR]:[CORREO]],5,FALSE)</f>
        <v>libardopineda@tronex.com;girlesa.ruiz@servipilas.com;joriescobar64@gmail.com</v>
      </c>
      <c r="G1764" s="143">
        <v>44414</v>
      </c>
      <c r="H1764" s="38" t="s">
        <v>10</v>
      </c>
      <c r="I1764" s="30">
        <v>44363</v>
      </c>
      <c r="J1764" s="58" t="s">
        <v>712</v>
      </c>
      <c r="K1764" s="32">
        <v>2360000</v>
      </c>
      <c r="L1764" s="32"/>
      <c r="M1764" s="33">
        <f>(PROVEEDORES[[#This Row],[SUBTOTAL]]-PROVEEDORES[[#This Row],[descuento antes de IVA]])*VLOOKUP(PROVEEDORES[[#This Row],[PROVEEDOR]],TERCEROS_INFO[#All],3,FALSE)</f>
        <v>448400</v>
      </c>
      <c r="N1764" s="34"/>
      <c r="O1764" s="33">
        <f>+PROVEEDORES[[#This Row],[Descuento sobre subtotal %]]*(PROVEEDORES[[#This Row],[SUBTOTAL]]-PROVEEDORES[[#This Row],[descuento antes de IVA]])</f>
        <v>0</v>
      </c>
      <c r="P17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4" s="33">
        <f>+(PROVEEDORES[[#This Row],[SUBTOTAL]]-PROVEEDORES[[#This Row],[descuento antes de IVA]])*PROVEEDORES[[#This Row],[Rete Fuente %]]</f>
        <v>0</v>
      </c>
      <c r="R1764" s="32">
        <f>+PROVEEDORES[[#This Row],[SUBTOTAL]]+PROVEEDORES[[#This Row],[IVA 19%]]-PROVEEDORES[[#This Row],[descuento antes de IVA]]-PROVEEDORES[[#This Row],[Descuento sobre subtotal $]]-PROVEEDORES[[#This Row],[Rete Fuente $]]</f>
        <v>2808400</v>
      </c>
      <c r="S176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5" spans="1:19" ht="21.95" hidden="1" customHeight="1" x14ac:dyDescent="0.25">
      <c r="A1765" s="35" t="str">
        <f>+IF(PROVEEDORES[[#This Row],[FECHA DE PAGO]]=PROVEEDORES[[#This Row],[FECHA DE FACTURACIÓN]],"DE CONTADO","CRÉDITO")</f>
        <v>CRÉDITO</v>
      </c>
      <c r="B1765" s="70" t="str">
        <f>+IF((PROVEEDORES[[#This Row],[FECHA DE PAGO]]-PROVEEDORES[[#This Row],[FECHA DE FACTURACIÓN]])&gt;PROVEEDORES[[#This Row],[PLAZO Días]],"PAGO VENCIDO")</f>
        <v>PAGO VENCIDO</v>
      </c>
      <c r="C1765" s="27">
        <f>+VLOOKUP(PROVEEDORES[[#This Row],[PROVEEDOR]],TERCEROS_INFO[#All],2,FALSE)</f>
        <v>45</v>
      </c>
      <c r="D1765" s="37">
        <f>+SUMIFS(PROVEEDORES[Total],PROVEEDORES[PROVEEDOR],PROVEEDORES[[#This Row],[PROVEEDOR]],PROVEEDORES[FECHA DE PAGO],"")</f>
        <v>1416100</v>
      </c>
      <c r="E1765" s="37"/>
      <c r="F1765" s="108" t="str">
        <f>+VLOOKUP(PROVEEDORES[[#This Row],[PROVEEDOR]],TERCEROS_INFO[[PROVEEDOR]:[CORREO]],5,FALSE)</f>
        <v>libardopineda@tronex.com;girlesa.ruiz@servipilas.com;joriescobar64@gmail.com</v>
      </c>
      <c r="G1765" s="143">
        <v>44418</v>
      </c>
      <c r="H1765" s="38" t="s">
        <v>10</v>
      </c>
      <c r="I1765" s="30">
        <v>44363</v>
      </c>
      <c r="J1765" s="58" t="s">
        <v>714</v>
      </c>
      <c r="K1765" s="32">
        <v>1550000</v>
      </c>
      <c r="L1765" s="32"/>
      <c r="M1765" s="33">
        <f>(PROVEEDORES[[#This Row],[SUBTOTAL]]-PROVEEDORES[[#This Row],[descuento antes de IVA]])*VLOOKUP(PROVEEDORES[[#This Row],[PROVEEDOR]],TERCEROS_INFO[#All],3,FALSE)</f>
        <v>294500</v>
      </c>
      <c r="N1765" s="34"/>
      <c r="O1765" s="33">
        <f>+PROVEEDORES[[#This Row],[Descuento sobre subtotal %]]*(PROVEEDORES[[#This Row],[SUBTOTAL]]-PROVEEDORES[[#This Row],[descuento antes de IVA]])</f>
        <v>0</v>
      </c>
      <c r="P17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5" s="33">
        <f>+(PROVEEDORES[[#This Row],[SUBTOTAL]]-PROVEEDORES[[#This Row],[descuento antes de IVA]])*PROVEEDORES[[#This Row],[Rete Fuente %]]</f>
        <v>0</v>
      </c>
      <c r="R1765" s="32">
        <f>+PROVEEDORES[[#This Row],[SUBTOTAL]]+PROVEEDORES[[#This Row],[IVA 19%]]-PROVEEDORES[[#This Row],[descuento antes de IVA]]-PROVEEDORES[[#This Row],[Descuento sobre subtotal $]]-PROVEEDORES[[#This Row],[Rete Fuente $]]</f>
        <v>1844500</v>
      </c>
      <c r="S1765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6" spans="1:19" ht="21.95" hidden="1" customHeight="1" x14ac:dyDescent="0.25">
      <c r="A1766" s="127" t="str">
        <f>+IF(PROVEEDORES[[#This Row],[FECHA DE PAGO]]=PROVEEDORES[[#This Row],[FECHA DE FACTURACIÓN]],"DE CONTADO","CRÉDITO")</f>
        <v>CRÉDITO</v>
      </c>
      <c r="B1766" s="70" t="str">
        <f>+IF((PROVEEDORES[[#This Row],[FECHA DE PAGO]]-PROVEEDORES[[#This Row],[FECHA DE FACTURACIÓN]])&gt;PROVEEDORES[[#This Row],[PLAZO Días]],"PAGO VENCIDO")</f>
        <v>PAGO VENCIDO</v>
      </c>
      <c r="C1766" s="27">
        <f>+VLOOKUP(PROVEEDORES[[#This Row],[PROVEEDOR]],TERCEROS_INFO[#All],2,FALSE)</f>
        <v>45</v>
      </c>
      <c r="D1766" s="37">
        <f>+SUMIFS(PROVEEDORES[Total],PROVEEDORES[PROVEEDOR],PROVEEDORES[[#This Row],[PROVEEDOR]],PROVEEDORES[FECHA DE PAGO],"")</f>
        <v>1416100</v>
      </c>
      <c r="E1766" s="37"/>
      <c r="F1766" s="108" t="str">
        <f>+VLOOKUP(PROVEEDORES[[#This Row],[PROVEEDOR]],TERCEROS_INFO[[PROVEEDOR]:[CORREO]],5,FALSE)</f>
        <v>libardopineda@tronex.com;girlesa.ruiz@servipilas.com;joriescobar64@gmail.com</v>
      </c>
      <c r="G1766" s="143">
        <v>44418</v>
      </c>
      <c r="H1766" s="38" t="s">
        <v>10</v>
      </c>
      <c r="I1766" s="30">
        <v>44368</v>
      </c>
      <c r="J1766" s="58" t="s">
        <v>716</v>
      </c>
      <c r="K1766" s="32">
        <v>1440000</v>
      </c>
      <c r="L1766" s="32"/>
      <c r="M1766" s="33">
        <f>(PROVEEDORES[[#This Row],[SUBTOTAL]]-PROVEEDORES[[#This Row],[descuento antes de IVA]])*VLOOKUP(PROVEEDORES[[#This Row],[PROVEEDOR]],TERCEROS_INFO[#All],3,FALSE)</f>
        <v>273600</v>
      </c>
      <c r="N1766" s="34"/>
      <c r="O1766" s="33">
        <f>+PROVEEDORES[[#This Row],[Descuento sobre subtotal %]]*(PROVEEDORES[[#This Row],[SUBTOTAL]]-PROVEEDORES[[#This Row],[descuento antes de IVA]])</f>
        <v>0</v>
      </c>
      <c r="P17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6" s="33">
        <f>+(PROVEEDORES[[#This Row],[SUBTOTAL]]-PROVEEDORES[[#This Row],[descuento antes de IVA]])*PROVEEDORES[[#This Row],[Rete Fuente %]]</f>
        <v>0</v>
      </c>
      <c r="R1766" s="32">
        <f>+PROVEEDORES[[#This Row],[SUBTOTAL]]+PROVEEDORES[[#This Row],[IVA 19%]]-PROVEEDORES[[#This Row],[descuento antes de IVA]]-PROVEEDORES[[#This Row],[Descuento sobre subtotal $]]-PROVEEDORES[[#This Row],[Rete Fuente $]]</f>
        <v>1713600</v>
      </c>
      <c r="S1766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7" spans="1:19" ht="21.95" hidden="1" customHeight="1" x14ac:dyDescent="0.25">
      <c r="A1767" s="129" t="str">
        <f>+IF(PROVEEDORES[[#This Row],[FECHA DE PAGO]]=PROVEEDORES[[#This Row],[FECHA DE FACTURACIÓN]],"DE CONTADO","CRÉDITO")</f>
        <v>CRÉDITO</v>
      </c>
      <c r="B1767" s="70" t="str">
        <f>+IF((PROVEEDORES[[#This Row],[FECHA DE PAGO]]-PROVEEDORES[[#This Row],[FECHA DE FACTURACIÓN]])&gt;PROVEEDORES[[#This Row],[PLAZO Días]],"PAGO VENCIDO")</f>
        <v>PAGO VENCIDO</v>
      </c>
      <c r="C1767" s="27">
        <f>+VLOOKUP(PROVEEDORES[[#This Row],[PROVEEDOR]],TERCEROS_INFO[#All],2,FALSE)</f>
        <v>45</v>
      </c>
      <c r="D1767" s="37">
        <f>+SUMIFS(PROVEEDORES[Total],PROVEEDORES[PROVEEDOR],PROVEEDORES[[#This Row],[PROVEEDOR]],PROVEEDORES[FECHA DE PAGO],"")</f>
        <v>1416100</v>
      </c>
      <c r="E1767" s="37"/>
      <c r="F1767" s="108" t="str">
        <f>+VLOOKUP(PROVEEDORES[[#This Row],[PROVEEDOR]],TERCEROS_INFO[[PROVEEDOR]:[CORREO]],5,FALSE)</f>
        <v>libardopineda@tronex.com;girlesa.ruiz@servipilas.com;joriescobar64@gmail.com</v>
      </c>
      <c r="G1767" s="143">
        <v>44427</v>
      </c>
      <c r="H1767" s="38" t="s">
        <v>10</v>
      </c>
      <c r="I1767" s="30">
        <v>44370</v>
      </c>
      <c r="J1767" s="58" t="s">
        <v>728</v>
      </c>
      <c r="K1767" s="32">
        <v>442000</v>
      </c>
      <c r="L1767" s="32"/>
      <c r="M1767" s="33">
        <f>(PROVEEDORES[[#This Row],[SUBTOTAL]]-PROVEEDORES[[#This Row],[descuento antes de IVA]])*VLOOKUP(PROVEEDORES[[#This Row],[PROVEEDOR]],TERCEROS_INFO[#All],3,FALSE)</f>
        <v>83980</v>
      </c>
      <c r="N1767" s="34"/>
      <c r="O1767" s="33">
        <f>+PROVEEDORES[[#This Row],[Descuento sobre subtotal %]]*(PROVEEDORES[[#This Row],[SUBTOTAL]]-PROVEEDORES[[#This Row],[descuento antes de IVA]])</f>
        <v>0</v>
      </c>
      <c r="P17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7" s="33">
        <f>+(PROVEEDORES[[#This Row],[SUBTOTAL]]-PROVEEDORES[[#This Row],[descuento antes de IVA]])*PROVEEDORES[[#This Row],[Rete Fuente %]]</f>
        <v>0</v>
      </c>
      <c r="R1767" s="32">
        <f>+PROVEEDORES[[#This Row],[SUBTOTAL]]+PROVEEDORES[[#This Row],[IVA 19%]]-PROVEEDORES[[#This Row],[descuento antes de IVA]]-PROVEEDORES[[#This Row],[Descuento sobre subtotal $]]-PROVEEDORES[[#This Row],[Rete Fuente $]]</f>
        <v>525980</v>
      </c>
      <c r="S1767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8" spans="1:19" ht="21.95" hidden="1" customHeight="1" x14ac:dyDescent="0.25">
      <c r="A1768" s="127" t="str">
        <f>+IF(PROVEEDORES[[#This Row],[FECHA DE PAGO]]=PROVEEDORES[[#This Row],[FECHA DE FACTURACIÓN]],"DE CONTADO","CRÉDITO")</f>
        <v>CRÉDITO</v>
      </c>
      <c r="B1768" s="70" t="str">
        <f>+IF((PROVEEDORES[[#This Row],[FECHA DE PAGO]]-PROVEEDORES[[#This Row],[FECHA DE FACTURACIÓN]])&gt;PROVEEDORES[[#This Row],[PLAZO Días]],"PAGO VENCIDO")</f>
        <v>PAGO VENCIDO</v>
      </c>
      <c r="C1768" s="27">
        <f>+VLOOKUP(PROVEEDORES[[#This Row],[PROVEEDOR]],TERCEROS_INFO[#All],2,FALSE)</f>
        <v>45</v>
      </c>
      <c r="D1768" s="37">
        <f>+SUMIFS(PROVEEDORES[Total],PROVEEDORES[PROVEEDOR],PROVEEDORES[[#This Row],[PROVEEDOR]],PROVEEDORES[FECHA DE PAGO],"")</f>
        <v>1416100</v>
      </c>
      <c r="E1768" s="37"/>
      <c r="F1768" s="108" t="str">
        <f>+VLOOKUP(PROVEEDORES[[#This Row],[PROVEEDOR]],TERCEROS_INFO[[PROVEEDOR]:[CORREO]],5,FALSE)</f>
        <v>libardopineda@tronex.com;girlesa.ruiz@servipilas.com;joriescobar64@gmail.com</v>
      </c>
      <c r="G1768" s="143">
        <v>44427</v>
      </c>
      <c r="H1768" s="38" t="s">
        <v>10</v>
      </c>
      <c r="I1768" s="30">
        <v>44371</v>
      </c>
      <c r="J1768" s="58" t="s">
        <v>717</v>
      </c>
      <c r="K1768" s="32">
        <v>1980000</v>
      </c>
      <c r="L1768" s="32"/>
      <c r="M1768" s="33">
        <f>(PROVEEDORES[[#This Row],[SUBTOTAL]]-PROVEEDORES[[#This Row],[descuento antes de IVA]])*VLOOKUP(PROVEEDORES[[#This Row],[PROVEEDOR]],TERCEROS_INFO[#All],3,FALSE)</f>
        <v>376200</v>
      </c>
      <c r="N1768" s="34"/>
      <c r="O1768" s="33">
        <f>+PROVEEDORES[[#This Row],[Descuento sobre subtotal %]]*(PROVEEDORES[[#This Row],[SUBTOTAL]]-PROVEEDORES[[#This Row],[descuento antes de IVA]])</f>
        <v>0</v>
      </c>
      <c r="P176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8" s="33">
        <f>+(PROVEEDORES[[#This Row],[SUBTOTAL]]-PROVEEDORES[[#This Row],[descuento antes de IVA]])*PROVEEDORES[[#This Row],[Rete Fuente %]]</f>
        <v>0</v>
      </c>
      <c r="R1768" s="32">
        <f>+PROVEEDORES[[#This Row],[SUBTOTAL]]+PROVEEDORES[[#This Row],[IVA 19%]]-PROVEEDORES[[#This Row],[descuento antes de IVA]]-PROVEEDORES[[#This Row],[Descuento sobre subtotal $]]-PROVEEDORES[[#This Row],[Rete Fuente $]]</f>
        <v>2356200</v>
      </c>
      <c r="S1768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69" spans="1:19" ht="21.95" hidden="1" customHeight="1" x14ac:dyDescent="0.25">
      <c r="A1769" s="134" t="str">
        <f>+IF(PROVEEDORES[[#This Row],[FECHA DE PAGO]]=PROVEEDORES[[#This Row],[FECHA DE FACTURACIÓN]],"DE CONTADO","CRÉDITO")</f>
        <v>CRÉDITO</v>
      </c>
      <c r="B1769" s="70" t="str">
        <f>+IF((PROVEEDORES[[#This Row],[FECHA DE PAGO]]-PROVEEDORES[[#This Row],[FECHA DE FACTURACIÓN]])&gt;PROVEEDORES[[#This Row],[PLAZO Días]],"PAGO VENCIDO")</f>
        <v>PAGO VENCIDO</v>
      </c>
      <c r="C1769" s="27">
        <f>+VLOOKUP(PROVEEDORES[[#This Row],[PROVEEDOR]],TERCEROS_INFO[#All],2,FALSE)</f>
        <v>45</v>
      </c>
      <c r="D1769" s="37">
        <f>+SUMIFS(PROVEEDORES[Total],PROVEEDORES[PROVEEDOR],PROVEEDORES[[#This Row],[PROVEEDOR]],PROVEEDORES[FECHA DE PAGO],"")</f>
        <v>1416100</v>
      </c>
      <c r="E1769" s="37"/>
      <c r="F1769" s="108" t="str">
        <f>+VLOOKUP(PROVEEDORES[[#This Row],[PROVEEDOR]],TERCEROS_INFO[[PROVEEDOR]:[CORREO]],5,FALSE)</f>
        <v>libardopineda@tronex.com;girlesa.ruiz@servipilas.com;joriescobar64@gmail.com</v>
      </c>
      <c r="G1769" s="143">
        <v>44442</v>
      </c>
      <c r="H1769" s="38" t="s">
        <v>10</v>
      </c>
      <c r="I1769" s="30">
        <v>44389</v>
      </c>
      <c r="J1769" s="58" t="s">
        <v>755</v>
      </c>
      <c r="K1769" s="32">
        <v>798000</v>
      </c>
      <c r="L1769" s="32"/>
      <c r="M1769" s="33">
        <f>(PROVEEDORES[[#This Row],[SUBTOTAL]]-PROVEEDORES[[#This Row],[descuento antes de IVA]])*VLOOKUP(PROVEEDORES[[#This Row],[PROVEEDOR]],TERCEROS_INFO[#All],3,FALSE)</f>
        <v>151620</v>
      </c>
      <c r="N1769" s="34"/>
      <c r="O1769" s="33">
        <f>+PROVEEDORES[[#This Row],[Descuento sobre subtotal %]]*(PROVEEDORES[[#This Row],[SUBTOTAL]]-PROVEEDORES[[#This Row],[descuento antes de IVA]])</f>
        <v>0</v>
      </c>
      <c r="P176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69" s="33">
        <f>+(PROVEEDORES[[#This Row],[SUBTOTAL]]-PROVEEDORES[[#This Row],[descuento antes de IVA]])*PROVEEDORES[[#This Row],[Rete Fuente %]]</f>
        <v>0</v>
      </c>
      <c r="R1769" s="32">
        <f>+PROVEEDORES[[#This Row],[SUBTOTAL]]+PROVEEDORES[[#This Row],[IVA 19%]]-PROVEEDORES[[#This Row],[descuento antes de IVA]]-PROVEEDORES[[#This Row],[Descuento sobre subtotal $]]-PROVEEDORES[[#This Row],[Rete Fuente $]]</f>
        <v>949620</v>
      </c>
      <c r="S1769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70" spans="1:19" ht="21.95" hidden="1" customHeight="1" x14ac:dyDescent="0.25">
      <c r="A1770" s="144" t="str">
        <f>+IF(PROVEEDORES[[#This Row],[FECHA DE PAGO]]=PROVEEDORES[[#This Row],[FECHA DE FACTURACIÓN]],"DE CONTADO","CRÉDITO")</f>
        <v>CRÉDITO</v>
      </c>
      <c r="B1770" s="70" t="str">
        <f>+IF((PROVEEDORES[[#This Row],[FECHA DE PAGO]]-PROVEEDORES[[#This Row],[FECHA DE FACTURACIÓN]])&gt;PROVEEDORES[[#This Row],[PLAZO Días]],"PAGO VENCIDO")</f>
        <v>PAGO VENCIDO</v>
      </c>
      <c r="C1770" s="27">
        <f>+VLOOKUP(PROVEEDORES[[#This Row],[PROVEEDOR]],TERCEROS_INFO[#All],2,FALSE)</f>
        <v>45</v>
      </c>
      <c r="D1770" s="37">
        <f>+SUMIFS(PROVEEDORES[Total],PROVEEDORES[PROVEEDOR],PROVEEDORES[[#This Row],[PROVEEDOR]],PROVEEDORES[FECHA DE PAGO],"")</f>
        <v>1416100</v>
      </c>
      <c r="E1770" s="37"/>
      <c r="F1770" s="108" t="str">
        <f>+VLOOKUP(PROVEEDORES[[#This Row],[PROVEEDOR]],TERCEROS_INFO[[PROVEEDOR]:[CORREO]],5,FALSE)</f>
        <v>libardopineda@tronex.com;girlesa.ruiz@servipilas.com;joriescobar64@gmail.com</v>
      </c>
      <c r="G1770" s="143">
        <v>44510</v>
      </c>
      <c r="H1770" s="38" t="s">
        <v>10</v>
      </c>
      <c r="I1770" s="30">
        <v>44438</v>
      </c>
      <c r="J1770" s="58" t="s">
        <v>833</v>
      </c>
      <c r="K1770" s="32">
        <v>400000</v>
      </c>
      <c r="L1770" s="32"/>
      <c r="M1770" s="33">
        <f>(PROVEEDORES[[#This Row],[SUBTOTAL]]-PROVEEDORES[[#This Row],[descuento antes de IVA]])*VLOOKUP(PROVEEDORES[[#This Row],[PROVEEDOR]],TERCEROS_INFO[#All],3,FALSE)</f>
        <v>76000</v>
      </c>
      <c r="N1770" s="34"/>
      <c r="O1770" s="33">
        <f>+PROVEEDORES[[#This Row],[Descuento sobre subtotal %]]*(PROVEEDORES[[#This Row],[SUBTOTAL]]-PROVEEDORES[[#This Row],[descuento antes de IVA]])</f>
        <v>0</v>
      </c>
      <c r="P177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0" s="33">
        <f>+(PROVEEDORES[[#This Row],[SUBTOTAL]]-PROVEEDORES[[#This Row],[descuento antes de IVA]])*PROVEEDORES[[#This Row],[Rete Fuente %]]</f>
        <v>0</v>
      </c>
      <c r="R1770" s="32">
        <f>+PROVEEDORES[[#This Row],[SUBTOTAL]]+PROVEEDORES[[#This Row],[IVA 19%]]-PROVEEDORES[[#This Row],[descuento antes de IVA]]-PROVEEDORES[[#This Row],[Descuento sobre subtotal $]]-PROVEEDORES[[#This Row],[Rete Fuente $]]</f>
        <v>476000</v>
      </c>
      <c r="S1770" s="14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71" spans="1:19" ht="21.95" hidden="1" customHeight="1" x14ac:dyDescent="0.25">
      <c r="A1771" s="148" t="str">
        <f>+IF(PROVEEDORES[[#This Row],[FECHA DE PAGO]]=PROVEEDORES[[#This Row],[FECHA DE FACTURACIÓN]],"DE CONTADO","CRÉDITO")</f>
        <v>CRÉDITO</v>
      </c>
      <c r="B1771" s="70" t="str">
        <f>+IF((PROVEEDORES[[#This Row],[FECHA DE PAGO]]-PROVEEDORES[[#This Row],[FECHA DE FACTURACIÓN]])&gt;PROVEEDORES[[#This Row],[PLAZO Días]],"PAGO VENCIDO")</f>
        <v>PAGO VENCIDO</v>
      </c>
      <c r="C1771" s="27">
        <f>+VLOOKUP(PROVEEDORES[[#This Row],[PROVEEDOR]],TERCEROS_INFO[#All],2,FALSE)</f>
        <v>45</v>
      </c>
      <c r="D1771" s="37">
        <f>+SUMIFS(PROVEEDORES[Total],PROVEEDORES[PROVEEDOR],PROVEEDORES[[#This Row],[PROVEEDOR]],PROVEEDORES[FECHA DE PAGO],"")</f>
        <v>1416100</v>
      </c>
      <c r="E1771" s="37"/>
      <c r="F1771" s="108" t="str">
        <f>+VLOOKUP(PROVEEDORES[[#This Row],[PROVEEDOR]],TERCEROS_INFO[[PROVEEDOR]:[CORREO]],5,FALSE)</f>
        <v>libardopineda@tronex.com;girlesa.ruiz@servipilas.com;joriescobar64@gmail.com</v>
      </c>
      <c r="G1771" s="143">
        <v>44510</v>
      </c>
      <c r="H1771" s="38" t="s">
        <v>10</v>
      </c>
      <c r="I1771" s="30">
        <v>44448</v>
      </c>
      <c r="J1771" s="58" t="s">
        <v>857</v>
      </c>
      <c r="K1771" s="32">
        <v>725000</v>
      </c>
      <c r="L1771" s="32"/>
      <c r="M1771" s="33">
        <f>(PROVEEDORES[[#This Row],[SUBTOTAL]]-PROVEEDORES[[#This Row],[descuento antes de IVA]])*VLOOKUP(PROVEEDORES[[#This Row],[PROVEEDOR]],TERCEROS_INFO[#All],3,FALSE)</f>
        <v>137750</v>
      </c>
      <c r="N1771" s="34"/>
      <c r="O1771" s="33">
        <f>+PROVEEDORES[[#This Row],[Descuento sobre subtotal %]]*(PROVEEDORES[[#This Row],[SUBTOTAL]]-PROVEEDORES[[#This Row],[descuento antes de IVA]])</f>
        <v>0</v>
      </c>
      <c r="P177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1" s="33">
        <f>+(PROVEEDORES[[#This Row],[SUBTOTAL]]-PROVEEDORES[[#This Row],[descuento antes de IVA]])*PROVEEDORES[[#This Row],[Rete Fuente %]]</f>
        <v>0</v>
      </c>
      <c r="R1771" s="32">
        <f>+PROVEEDORES[[#This Row],[SUBTOTAL]]+PROVEEDORES[[#This Row],[IVA 19%]]-PROVEEDORES[[#This Row],[descuento antes de IVA]]-PROVEEDORES[[#This Row],[Descuento sobre subtotal $]]-PROVEEDORES[[#This Row],[Rete Fuente $]]</f>
        <v>862750</v>
      </c>
      <c r="S1771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72" spans="1:19" ht="21.95" hidden="1" customHeight="1" x14ac:dyDescent="0.25">
      <c r="A1772" s="157" t="str">
        <f>+IF(PROVEEDORES[[#This Row],[FECHA DE PAGO]]=PROVEEDORES[[#This Row],[FECHA DE FACTURACIÓN]],"DE CONTADO","CRÉDITO")</f>
        <v>CRÉDITO</v>
      </c>
      <c r="B1772" s="70" t="str">
        <f>+IF((PROVEEDORES[[#This Row],[FECHA DE PAGO]]-PROVEEDORES[[#This Row],[FECHA DE FACTURACIÓN]])&gt;PROVEEDORES[[#This Row],[PLAZO Días]],"PAGO VENCIDO")</f>
        <v>PAGO VENCIDO</v>
      </c>
      <c r="C1772" s="27">
        <f>+VLOOKUP(PROVEEDORES[[#This Row],[PROVEEDOR]],TERCEROS_INFO[#All],2,FALSE)</f>
        <v>45</v>
      </c>
      <c r="D1772" s="37">
        <f>+SUMIFS(PROVEEDORES[Total],PROVEEDORES[PROVEEDOR],PROVEEDORES[[#This Row],[PROVEEDOR]],PROVEEDORES[FECHA DE PAGO],"")</f>
        <v>1416100</v>
      </c>
      <c r="E1772" s="37"/>
      <c r="F1772" s="108" t="str">
        <f>+VLOOKUP(PROVEEDORES[[#This Row],[PROVEEDOR]],TERCEROS_INFO[[PROVEEDOR]:[CORREO]],5,FALSE)</f>
        <v>libardopineda@tronex.com;girlesa.ruiz@servipilas.com;joriescobar64@gmail.com</v>
      </c>
      <c r="G1772" s="143">
        <v>44537</v>
      </c>
      <c r="H1772" s="38" t="s">
        <v>10</v>
      </c>
      <c r="I1772" s="30">
        <v>44488</v>
      </c>
      <c r="J1772" s="58" t="s">
        <v>897</v>
      </c>
      <c r="K1772" s="32">
        <v>408000</v>
      </c>
      <c r="L1772" s="32"/>
      <c r="M1772" s="33">
        <f>(PROVEEDORES[[#This Row],[SUBTOTAL]]-PROVEEDORES[[#This Row],[descuento antes de IVA]])*VLOOKUP(PROVEEDORES[[#This Row],[PROVEEDOR]],TERCEROS_INFO[#All],3,FALSE)</f>
        <v>77520</v>
      </c>
      <c r="N1772" s="34"/>
      <c r="O1772" s="33">
        <f>+PROVEEDORES[[#This Row],[Descuento sobre subtotal %]]*(PROVEEDORES[[#This Row],[SUBTOTAL]]-PROVEEDORES[[#This Row],[descuento antes de IVA]])</f>
        <v>0</v>
      </c>
      <c r="P177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2" s="33">
        <f>+(PROVEEDORES[[#This Row],[SUBTOTAL]]-PROVEEDORES[[#This Row],[descuento antes de IVA]])*PROVEEDORES[[#This Row],[Rete Fuente %]]</f>
        <v>0</v>
      </c>
      <c r="R1772" s="32">
        <f>+PROVEEDORES[[#This Row],[SUBTOTAL]]+PROVEEDORES[[#This Row],[IVA 19%]]-PROVEEDORES[[#This Row],[descuento antes de IVA]]-PROVEEDORES[[#This Row],[Descuento sobre subtotal $]]-PROVEEDORES[[#This Row],[Rete Fuente $]]</f>
        <v>485520</v>
      </c>
      <c r="S1772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73" spans="1:19" ht="21.95" hidden="1" customHeight="1" x14ac:dyDescent="0.25">
      <c r="A1773" s="35" t="str">
        <f>+IF(PROVEEDORES[[#This Row],[FECHA DE PAGO]]=PROVEEDORES[[#This Row],[FECHA DE FACTURACIÓN]],"DE CONTADO","CRÉDITO")</f>
        <v>CRÉDITO</v>
      </c>
      <c r="B1773" s="70" t="str">
        <f>+IF((PROVEEDORES[[#This Row],[FECHA DE PAGO]]-PROVEEDORES[[#This Row],[FECHA DE FACTURACIÓN]])&gt;PROVEEDORES[[#This Row],[PLAZO Días]],"PAGO VENCIDO")</f>
        <v>PAGO VENCIDO</v>
      </c>
      <c r="C1773" s="27">
        <f>+VLOOKUP(PROVEEDORES[[#This Row],[PROVEEDOR]],TERCEROS_INFO[#All],2,FALSE)</f>
        <v>45</v>
      </c>
      <c r="D1773" s="37">
        <f>+SUMIFS(PROVEEDORES[Total],PROVEEDORES[PROVEEDOR],PROVEEDORES[[#This Row],[PROVEEDOR]],PROVEEDORES[FECHA DE PAGO],"")</f>
        <v>1416100</v>
      </c>
      <c r="E1773" s="37"/>
      <c r="F1773" s="108" t="str">
        <f>+VLOOKUP(PROVEEDORES[[#This Row],[PROVEEDOR]],TERCEROS_INFO[[PROVEEDOR]:[CORREO]],5,FALSE)</f>
        <v>libardopineda@tronex.com;girlesa.ruiz@servipilas.com;joriescobar64@gmail.com</v>
      </c>
      <c r="G1773" s="143">
        <v>44552</v>
      </c>
      <c r="H1773" s="38" t="s">
        <v>10</v>
      </c>
      <c r="I1773" s="30">
        <v>44503</v>
      </c>
      <c r="J1773" s="58" t="s">
        <v>944</v>
      </c>
      <c r="K1773" s="32">
        <v>8899600</v>
      </c>
      <c r="L1773" s="32"/>
      <c r="M1773" s="33">
        <f>(PROVEEDORES[[#This Row],[SUBTOTAL]]-PROVEEDORES[[#This Row],[descuento antes de IVA]])*VLOOKUP(PROVEEDORES[[#This Row],[PROVEEDOR]],TERCEROS_INFO[#All],3,FALSE)</f>
        <v>1690924</v>
      </c>
      <c r="N1773" s="34"/>
      <c r="O1773" s="33">
        <f>+PROVEEDORES[[#This Row],[Descuento sobre subtotal %]]*(PROVEEDORES[[#This Row],[SUBTOTAL]]-PROVEEDORES[[#This Row],[descuento antes de IVA]])</f>
        <v>0</v>
      </c>
      <c r="P177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3" s="33">
        <f>+(PROVEEDORES[[#This Row],[SUBTOTAL]]-PROVEEDORES[[#This Row],[descuento antes de IVA]])*PROVEEDORES[[#This Row],[Rete Fuente %]]</f>
        <v>0</v>
      </c>
      <c r="R1773" s="32">
        <f>+PROVEEDORES[[#This Row],[SUBTOTAL]]+PROVEEDORES[[#This Row],[IVA 19%]]-PROVEEDORES[[#This Row],[descuento antes de IVA]]-PROVEEDORES[[#This Row],[Descuento sobre subtotal $]]-PROVEEDORES[[#This Row],[Rete Fuente $]]</f>
        <v>10590524</v>
      </c>
      <c r="S177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74" spans="1:19" ht="21.95" hidden="1" customHeight="1" x14ac:dyDescent="0.25">
      <c r="A1774" s="35" t="str">
        <f>+IF(PROVEEDORES[[#This Row],[FECHA DE PAGO]]=PROVEEDORES[[#This Row],[FECHA DE FACTURACIÓN]],"DE CONTADO","CRÉDITO")</f>
        <v>CRÉDITO</v>
      </c>
      <c r="B1774" s="70" t="str">
        <f>+IF((PROVEEDORES[[#This Row],[FECHA DE PAGO]]-PROVEEDORES[[#This Row],[FECHA DE FACTURACIÓN]])&gt;PROVEEDORES[[#This Row],[PLAZO Días]],"PAGO VENCIDO")</f>
        <v>PAGO VENCIDO</v>
      </c>
      <c r="C1774" s="27">
        <f>+VLOOKUP(PROVEEDORES[[#This Row],[PROVEEDOR]],TERCEROS_INFO[#All],2,FALSE)</f>
        <v>45</v>
      </c>
      <c r="D1774" s="37">
        <f>+SUMIFS(PROVEEDORES[Total],PROVEEDORES[PROVEEDOR],PROVEEDORES[[#This Row],[PROVEEDOR]],PROVEEDORES[FECHA DE PAGO],"")</f>
        <v>1416100</v>
      </c>
      <c r="E1774" s="37"/>
      <c r="F1774" s="108" t="str">
        <f>+VLOOKUP(PROVEEDORES[[#This Row],[PROVEEDOR]],TERCEROS_INFO[[PROVEEDOR]:[CORREO]],5,FALSE)</f>
        <v>libardopineda@tronex.com;girlesa.ruiz@servipilas.com;joriescobar64@gmail.com</v>
      </c>
      <c r="G1774" s="143">
        <v>44552</v>
      </c>
      <c r="H1774" s="38" t="s">
        <v>10</v>
      </c>
      <c r="I1774" s="30">
        <v>44503</v>
      </c>
      <c r="J1774" s="58" t="s">
        <v>945</v>
      </c>
      <c r="K1774" s="32">
        <v>-7200000</v>
      </c>
      <c r="L1774" s="32"/>
      <c r="M1774" s="33">
        <f>(PROVEEDORES[[#This Row],[SUBTOTAL]]-PROVEEDORES[[#This Row],[descuento antes de IVA]])*VLOOKUP(PROVEEDORES[[#This Row],[PROVEEDOR]],TERCEROS_INFO[#All],3,FALSE)</f>
        <v>-1368000</v>
      </c>
      <c r="N1774" s="34"/>
      <c r="O1774" s="33">
        <f>+PROVEEDORES[[#This Row],[Descuento sobre subtotal %]]*(PROVEEDORES[[#This Row],[SUBTOTAL]]-PROVEEDORES[[#This Row],[descuento antes de IVA]])</f>
        <v>0</v>
      </c>
      <c r="P177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4" s="33">
        <f>+(PROVEEDORES[[#This Row],[SUBTOTAL]]-PROVEEDORES[[#This Row],[descuento antes de IVA]])*PROVEEDORES[[#This Row],[Rete Fuente %]]</f>
        <v>0</v>
      </c>
      <c r="R1774" s="32">
        <f>+PROVEEDORES[[#This Row],[SUBTOTAL]]+PROVEEDORES[[#This Row],[IVA 19%]]-PROVEEDORES[[#This Row],[descuento antes de IVA]]-PROVEEDORES[[#This Row],[Descuento sobre subtotal $]]-PROVEEDORES[[#This Row],[Rete Fuente $]]</f>
        <v>-8568000</v>
      </c>
      <c r="S177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75" spans="1:19" ht="21.95" hidden="1" customHeight="1" x14ac:dyDescent="0.25">
      <c r="A1775" s="165" t="str">
        <f>+IF(PROVEEDORES[[#This Row],[FECHA DE PAGO]]=PROVEEDORES[[#This Row],[FECHA DE FACTURACIÓN]],"DE CONTADO","CRÉDITO")</f>
        <v>CRÉDITO</v>
      </c>
      <c r="B1775" s="70" t="b">
        <f>+IF((PROVEEDORES[[#This Row],[FECHA DE PAGO]]-PROVEEDORES[[#This Row],[FECHA DE FACTURACIÓN]])&gt;PROVEEDORES[[#This Row],[PLAZO Días]],"PAGO VENCIDO")</f>
        <v>0</v>
      </c>
      <c r="C1775" s="27">
        <f>+VLOOKUP(PROVEEDORES[[#This Row],[PROVEEDOR]],TERCEROS_INFO[#All],2,FALSE)</f>
        <v>45</v>
      </c>
      <c r="D1775" s="37">
        <f>+SUMIFS(PROVEEDORES[Total],PROVEEDORES[PROVEEDOR],PROVEEDORES[[#This Row],[PROVEEDOR]],PROVEEDORES[FECHA DE PAGO],"")</f>
        <v>1416100</v>
      </c>
      <c r="E1775" s="37"/>
      <c r="F1775" s="108" t="str">
        <f>+VLOOKUP(PROVEEDORES[[#This Row],[PROVEEDOR]],TERCEROS_INFO[[PROVEEDOR]:[CORREO]],5,FALSE)</f>
        <v>libardopineda@tronex.com;girlesa.ruiz@servipilas.com;joriescobar64@gmail.com</v>
      </c>
      <c r="G1775" s="143">
        <v>44558</v>
      </c>
      <c r="H1775" s="38" t="s">
        <v>10</v>
      </c>
      <c r="I1775" s="30">
        <v>44516</v>
      </c>
      <c r="J1775" s="58" t="s">
        <v>960</v>
      </c>
      <c r="K1775" s="32">
        <v>740000</v>
      </c>
      <c r="L1775" s="32"/>
      <c r="M1775" s="33">
        <f>(PROVEEDORES[[#This Row],[SUBTOTAL]]-PROVEEDORES[[#This Row],[descuento antes de IVA]])*VLOOKUP(PROVEEDORES[[#This Row],[PROVEEDOR]],TERCEROS_INFO[#All],3,FALSE)</f>
        <v>140600</v>
      </c>
      <c r="N1775" s="34"/>
      <c r="O1775" s="33">
        <f>+PROVEEDORES[[#This Row],[Descuento sobre subtotal %]]*(PROVEEDORES[[#This Row],[SUBTOTAL]]-PROVEEDORES[[#This Row],[descuento antes de IVA]])</f>
        <v>0</v>
      </c>
      <c r="P177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5" s="33">
        <f>+(PROVEEDORES[[#This Row],[SUBTOTAL]]-PROVEEDORES[[#This Row],[descuento antes de IVA]])*PROVEEDORES[[#This Row],[Rete Fuente %]]</f>
        <v>0</v>
      </c>
      <c r="R1775" s="32">
        <f>+PROVEEDORES[[#This Row],[SUBTOTAL]]+PROVEEDORES[[#This Row],[IVA 19%]]-PROVEEDORES[[#This Row],[descuento antes de IVA]]-PROVEEDORES[[#This Row],[Descuento sobre subtotal $]]-PROVEEDORES[[#This Row],[Rete Fuente $]]</f>
        <v>880600</v>
      </c>
      <c r="S1775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76" spans="1:19" ht="21.95" hidden="1" customHeight="1" x14ac:dyDescent="0.25">
      <c r="A1776" s="35" t="str">
        <f>+IF(PROVEEDORES[[#This Row],[FECHA DE PAGO]]=PROVEEDORES[[#This Row],[FECHA DE FACTURACIÓN]],"DE CONTADO","CRÉDITO")</f>
        <v>CRÉDITO</v>
      </c>
      <c r="B1776" s="70" t="b">
        <f>+IF((PROVEEDORES[[#This Row],[FECHA DE PAGO]]-PROVEEDORES[[#This Row],[FECHA DE FACTURACIÓN]])&gt;PROVEEDORES[[#This Row],[PLAZO Días]],"PAGO VENCIDO")</f>
        <v>0</v>
      </c>
      <c r="C1776" s="27">
        <f>+VLOOKUP(PROVEEDORES[[#This Row],[PROVEEDOR]],TERCEROS_INFO[#All],2,FALSE)</f>
        <v>45</v>
      </c>
      <c r="D1776" s="37">
        <f>+SUMIFS(PROVEEDORES[Total],PROVEEDORES[PROVEEDOR],PROVEEDORES[[#This Row],[PROVEEDOR]],PROVEEDORES[FECHA DE PAGO],"")</f>
        <v>1416100</v>
      </c>
      <c r="E1776" s="37"/>
      <c r="F1776" s="108" t="str">
        <f>+VLOOKUP(PROVEEDORES[[#This Row],[PROVEEDOR]],TERCEROS_INFO[[PROVEEDOR]:[CORREO]],5,FALSE)</f>
        <v>libardopineda@tronex.com;girlesa.ruiz@servipilas.com;joriescobar64@gmail.com</v>
      </c>
      <c r="H1776" s="38" t="s">
        <v>10</v>
      </c>
      <c r="I1776" s="30">
        <v>44532</v>
      </c>
      <c r="J1776" s="58" t="s">
        <v>996</v>
      </c>
      <c r="K1776" s="32">
        <v>420000</v>
      </c>
      <c r="L1776" s="32"/>
      <c r="M1776" s="33">
        <f>(PROVEEDORES[[#This Row],[SUBTOTAL]]-PROVEEDORES[[#This Row],[descuento antes de IVA]])*VLOOKUP(PROVEEDORES[[#This Row],[PROVEEDOR]],TERCEROS_INFO[#All],3,FALSE)</f>
        <v>79800</v>
      </c>
      <c r="N1776" s="34"/>
      <c r="O1776" s="33">
        <f>+PROVEEDORES[[#This Row],[Descuento sobre subtotal %]]*(PROVEEDORES[[#This Row],[SUBTOTAL]]-PROVEEDORES[[#This Row],[descuento antes de IVA]])</f>
        <v>0</v>
      </c>
      <c r="P177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6" s="33">
        <f>+(PROVEEDORES[[#This Row],[SUBTOTAL]]-PROVEEDORES[[#This Row],[descuento antes de IVA]])*PROVEEDORES[[#This Row],[Rete Fuente %]]</f>
        <v>0</v>
      </c>
      <c r="R1776" s="32">
        <f>+PROVEEDORES[[#This Row],[SUBTOTAL]]+PROVEEDORES[[#This Row],[IVA 19%]]-PROVEEDORES[[#This Row],[descuento antes de IVA]]-PROVEEDORES[[#This Row],[Descuento sobre subtotal $]]-PROVEEDORES[[#This Row],[Rete Fuente $]]</f>
        <v>499800</v>
      </c>
      <c r="S1776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777" spans="1:19" ht="21.95" hidden="1" customHeight="1" x14ac:dyDescent="0.25">
      <c r="A1777" s="35" t="str">
        <f>+IF(PROVEEDORES[[#This Row],[FECHA DE PAGO]]=PROVEEDORES[[#This Row],[FECHA DE FACTURACIÓN]],"DE CONTADO","CRÉDITO")</f>
        <v>CRÉDITO</v>
      </c>
      <c r="B1777" s="70" t="b">
        <f>+IF((PROVEEDORES[[#This Row],[FECHA DE PAGO]]-PROVEEDORES[[#This Row],[FECHA DE FACTURACIÓN]])&gt;PROVEEDORES[[#This Row],[PLAZO Días]],"PAGO VENCIDO")</f>
        <v>0</v>
      </c>
      <c r="C1777" s="27">
        <f>+VLOOKUP(PROVEEDORES[[#This Row],[PROVEEDOR]],TERCEROS_INFO[#All],2,FALSE)</f>
        <v>45</v>
      </c>
      <c r="D1777" s="37">
        <f>+SUMIFS(PROVEEDORES[Total],PROVEEDORES[PROVEEDOR],PROVEEDORES[[#This Row],[PROVEEDOR]],PROVEEDORES[FECHA DE PAGO],"")</f>
        <v>1416100</v>
      </c>
      <c r="E1777" s="37"/>
      <c r="F1777" s="108" t="str">
        <f>+VLOOKUP(PROVEEDORES[[#This Row],[PROVEEDOR]],TERCEROS_INFO[[PROVEEDOR]:[CORREO]],5,FALSE)</f>
        <v>libardopineda@tronex.com;girlesa.ruiz@servipilas.com;joriescobar64@gmail.com</v>
      </c>
      <c r="H1777" s="38" t="s">
        <v>10</v>
      </c>
      <c r="I1777" s="30">
        <v>44540</v>
      </c>
      <c r="J1777" s="58" t="s">
        <v>1010</v>
      </c>
      <c r="K1777" s="32">
        <v>770000</v>
      </c>
      <c r="L1777" s="32"/>
      <c r="M1777" s="33">
        <f>(PROVEEDORES[[#This Row],[SUBTOTAL]]-PROVEEDORES[[#This Row],[descuento antes de IVA]])*VLOOKUP(PROVEEDORES[[#This Row],[PROVEEDOR]],TERCEROS_INFO[#All],3,FALSE)</f>
        <v>146300</v>
      </c>
      <c r="N1777" s="34"/>
      <c r="O1777" s="33">
        <f>+PROVEEDORES[[#This Row],[Descuento sobre subtotal %]]*(PROVEEDORES[[#This Row],[SUBTOTAL]]-PROVEEDORES[[#This Row],[descuento antes de IVA]])</f>
        <v>0</v>
      </c>
      <c r="P177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7" s="33">
        <f>+(PROVEEDORES[[#This Row],[SUBTOTAL]]-PROVEEDORES[[#This Row],[descuento antes de IVA]])*PROVEEDORES[[#This Row],[Rete Fuente %]]</f>
        <v>0</v>
      </c>
      <c r="R1777" s="32">
        <f>+PROVEEDORES[[#This Row],[SUBTOTAL]]+PROVEEDORES[[#This Row],[IVA 19%]]-PROVEEDORES[[#This Row],[descuento antes de IVA]]-PROVEEDORES[[#This Row],[Descuento sobre subtotal $]]-PROVEEDORES[[#This Row],[Rete Fuente $]]</f>
        <v>916300</v>
      </c>
      <c r="S1777" s="3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778" spans="1:19" ht="21.95" hidden="1" customHeight="1" x14ac:dyDescent="0.25">
      <c r="A1778" s="39" t="str">
        <f>+IF(PROVEEDORES[[#This Row],[FECHA DE PAGO]]=PROVEEDORES[[#This Row],[FECHA DE FACTURACIÓN]],"DE CONTADO","CRÉDITO")</f>
        <v>CRÉDITO</v>
      </c>
      <c r="B1778" s="67" t="str">
        <f>+IF((PROVEEDORES[[#This Row],[FECHA DE PAGO]]-PROVEEDORES[[#This Row],[FECHA DE FACTURACIÓN]])&gt;PROVEEDORES[[#This Row],[PLAZO Días]],"PAGO VENCIDO")</f>
        <v>PAGO VENCIDO</v>
      </c>
      <c r="C1778" s="27">
        <f>+VLOOKUP(PROVEEDORES[[#This Row],[PROVEEDOR]],TERCEROS_INFO[#All],2,FALSE)</f>
        <v>30</v>
      </c>
      <c r="D1778" s="37">
        <f>+SUMIFS(PROVEEDORES[Total],PROVEEDORES[PROVEEDOR],PROVEEDORES[[#This Row],[PROVEEDOR]],PROVEEDORES[FECHA DE PAGO],"")</f>
        <v>0</v>
      </c>
      <c r="E1778" s="37"/>
      <c r="F1778" s="108" t="str">
        <f>+VLOOKUP(PROVEEDORES[[#This Row],[PROVEEDOR]],TERCEROS_INFO[[PROVEEDOR]:[CORREO]],5,FALSE)</f>
        <v>Tuspilas.co@gmail.com;girlesa.ruiz@servipilas.com;joriescobar64@gmail.com</v>
      </c>
      <c r="G1778" s="143">
        <v>43908</v>
      </c>
      <c r="H1778" s="38" t="s">
        <v>46</v>
      </c>
      <c r="I1778" s="30">
        <v>43873</v>
      </c>
      <c r="J1778" s="58">
        <v>6810</v>
      </c>
      <c r="K1778" s="32">
        <v>546218.48739495804</v>
      </c>
      <c r="L1778" s="32"/>
      <c r="M1778" s="33">
        <f>(PROVEEDORES[[#This Row],[SUBTOTAL]]-PROVEEDORES[[#This Row],[descuento antes de IVA]])*VLOOKUP(PROVEEDORES[[#This Row],[PROVEEDOR]],TERCEROS_INFO[#All],3,FALSE)</f>
        <v>103781.51260504202</v>
      </c>
      <c r="N1778" s="34"/>
      <c r="O1778" s="33">
        <f>+PROVEEDORES[[#This Row],[Descuento sobre subtotal %]]*(PROVEEDORES[[#This Row],[SUBTOTAL]]-PROVEEDORES[[#This Row],[descuento antes de IVA]])</f>
        <v>0</v>
      </c>
      <c r="P177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8" s="33">
        <f>+(PROVEEDORES[[#This Row],[SUBTOTAL]]-PROVEEDORES[[#This Row],[descuento antes de IVA]])*PROVEEDORES[[#This Row],[Rete Fuente %]]</f>
        <v>0</v>
      </c>
      <c r="R1778" s="32">
        <f>+PROVEEDORES[[#This Row],[SUBTOTAL]]+PROVEEDORES[[#This Row],[IVA 19%]]-PROVEEDORES[[#This Row],[descuento antes de IVA]]-PROVEEDORES[[#This Row],[Descuento sobre subtotal $]]-PROVEEDORES[[#This Row],[Rete Fuente $]]</f>
        <v>650000</v>
      </c>
      <c r="S177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79" spans="1:19" ht="21.95" hidden="1" customHeight="1" x14ac:dyDescent="0.25">
      <c r="A1779" s="39" t="str">
        <f>+IF(PROVEEDORES[[#This Row],[FECHA DE PAGO]]=PROVEEDORES[[#This Row],[FECHA DE FACTURACIÓN]],"DE CONTADO","CRÉDITO")</f>
        <v>DE CONTADO</v>
      </c>
      <c r="B1779" s="67" t="b">
        <f>+IF((PROVEEDORES[[#This Row],[FECHA DE PAGO]]-PROVEEDORES[[#This Row],[FECHA DE FACTURACIÓN]])&gt;PROVEEDORES[[#This Row],[PLAZO Días]],"PAGO VENCIDO")</f>
        <v>0</v>
      </c>
      <c r="C1779" s="27">
        <f>+VLOOKUP(PROVEEDORES[[#This Row],[PROVEEDOR]],TERCEROS_INFO[#All],2,FALSE)</f>
        <v>30</v>
      </c>
      <c r="D1779" s="37">
        <f>+SUMIFS(PROVEEDORES[Total],PROVEEDORES[PROVEEDOR],PROVEEDORES[[#This Row],[PROVEEDOR]],PROVEEDORES[FECHA DE PAGO],"")</f>
        <v>0</v>
      </c>
      <c r="E1779" s="37"/>
      <c r="F1779" s="108" t="str">
        <f>+VLOOKUP(PROVEEDORES[[#This Row],[PROVEEDOR]],TERCEROS_INFO[[PROVEEDOR]:[CORREO]],5,FALSE)</f>
        <v>Tuspilas.co@gmail.com;girlesa.ruiz@servipilas.com;joriescobar64@gmail.com</v>
      </c>
      <c r="G1779" s="143">
        <v>43879</v>
      </c>
      <c r="H1779" s="38" t="s">
        <v>46</v>
      </c>
      <c r="I1779" s="30">
        <v>43879</v>
      </c>
      <c r="J1779" s="58">
        <v>6847</v>
      </c>
      <c r="K1779" s="32">
        <v>141176.4705882353</v>
      </c>
      <c r="L1779" s="32"/>
      <c r="M1779" s="33">
        <f>(PROVEEDORES[[#This Row],[SUBTOTAL]]-PROVEEDORES[[#This Row],[descuento antes de IVA]])*VLOOKUP(PROVEEDORES[[#This Row],[PROVEEDOR]],TERCEROS_INFO[#All],3,FALSE)</f>
        <v>26823.529411764706</v>
      </c>
      <c r="N1779" s="34"/>
      <c r="O1779" s="33">
        <f>+PROVEEDORES[[#This Row],[Descuento sobre subtotal %]]*(PROVEEDORES[[#This Row],[SUBTOTAL]]-PROVEEDORES[[#This Row],[descuento antes de IVA]])</f>
        <v>0</v>
      </c>
      <c r="P177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79" s="33">
        <f>+(PROVEEDORES[[#This Row],[SUBTOTAL]]-PROVEEDORES[[#This Row],[descuento antes de IVA]])*PROVEEDORES[[#This Row],[Rete Fuente %]]</f>
        <v>0</v>
      </c>
      <c r="R1779" s="32">
        <f>+PROVEEDORES[[#This Row],[SUBTOTAL]]+PROVEEDORES[[#This Row],[IVA 19%]]-PROVEEDORES[[#This Row],[descuento antes de IVA]]-PROVEEDORES[[#This Row],[Descuento sobre subtotal $]]-PROVEEDORES[[#This Row],[Rete Fuente $]]</f>
        <v>168000</v>
      </c>
      <c r="S177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0" spans="1:19" ht="21.95" hidden="1" customHeight="1" x14ac:dyDescent="0.25">
      <c r="A1780" s="39" t="str">
        <f>+IF(PROVEEDORES[[#This Row],[FECHA DE PAGO]]=PROVEEDORES[[#This Row],[FECHA DE FACTURACIÓN]],"DE CONTADO","CRÉDITO")</f>
        <v>DE CONTADO</v>
      </c>
      <c r="B1780" s="67" t="b">
        <f>+IF((PROVEEDORES[[#This Row],[FECHA DE PAGO]]-PROVEEDORES[[#This Row],[FECHA DE FACTURACIÓN]])&gt;PROVEEDORES[[#This Row],[PLAZO Días]],"PAGO VENCIDO")</f>
        <v>0</v>
      </c>
      <c r="C1780" s="27">
        <f>+VLOOKUP(PROVEEDORES[[#This Row],[PROVEEDOR]],TERCEROS_INFO[#All],2,FALSE)</f>
        <v>30</v>
      </c>
      <c r="D1780" s="37">
        <f>+SUMIFS(PROVEEDORES[Total],PROVEEDORES[PROVEEDOR],PROVEEDORES[[#This Row],[PROVEEDOR]],PROVEEDORES[FECHA DE PAGO],"")</f>
        <v>0</v>
      </c>
      <c r="E1780" s="37"/>
      <c r="F1780" s="108" t="str">
        <f>+VLOOKUP(PROVEEDORES[[#This Row],[PROVEEDOR]],TERCEROS_INFO[[PROVEEDOR]:[CORREO]],5,FALSE)</f>
        <v>Tuspilas.co@gmail.com;girlesa.ruiz@servipilas.com;joriescobar64@gmail.com</v>
      </c>
      <c r="G1780" s="143">
        <v>43880</v>
      </c>
      <c r="H1780" s="38" t="s">
        <v>46</v>
      </c>
      <c r="I1780" s="30">
        <v>43880</v>
      </c>
      <c r="J1780" s="58">
        <v>6850</v>
      </c>
      <c r="K1780" s="32">
        <v>98319.327731092446</v>
      </c>
      <c r="L1780" s="32"/>
      <c r="M1780" s="33">
        <f>(PROVEEDORES[[#This Row],[SUBTOTAL]]-PROVEEDORES[[#This Row],[descuento antes de IVA]])*VLOOKUP(PROVEEDORES[[#This Row],[PROVEEDOR]],TERCEROS_INFO[#All],3,FALSE)</f>
        <v>18680.672268907565</v>
      </c>
      <c r="N1780" s="34"/>
      <c r="O1780" s="33">
        <f>+PROVEEDORES[[#This Row],[Descuento sobre subtotal %]]*(PROVEEDORES[[#This Row],[SUBTOTAL]]-PROVEEDORES[[#This Row],[descuento antes de IVA]])</f>
        <v>0</v>
      </c>
      <c r="P178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0" s="33">
        <f>+(PROVEEDORES[[#This Row],[SUBTOTAL]]-PROVEEDORES[[#This Row],[descuento antes de IVA]])*PROVEEDORES[[#This Row],[Rete Fuente %]]</f>
        <v>0</v>
      </c>
      <c r="R1780" s="32">
        <f>+PROVEEDORES[[#This Row],[SUBTOTAL]]+PROVEEDORES[[#This Row],[IVA 19%]]-PROVEEDORES[[#This Row],[descuento antes de IVA]]-PROVEEDORES[[#This Row],[Descuento sobre subtotal $]]-PROVEEDORES[[#This Row],[Rete Fuente $]]</f>
        <v>117000.00000000001</v>
      </c>
      <c r="S178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1" spans="1:19" ht="21.95" hidden="1" customHeight="1" x14ac:dyDescent="0.25">
      <c r="A1781" s="39" t="str">
        <f>+IF(PROVEEDORES[[#This Row],[FECHA DE PAGO]]=PROVEEDORES[[#This Row],[FECHA DE FACTURACIÓN]],"DE CONTADO","CRÉDITO")</f>
        <v>CRÉDITO</v>
      </c>
      <c r="B1781" s="67" t="str">
        <f>+IF((PROVEEDORES[[#This Row],[FECHA DE PAGO]]-PROVEEDORES[[#This Row],[FECHA DE FACTURACIÓN]])&gt;PROVEEDORES[[#This Row],[PLAZO Días]],"PAGO VENCIDO")</f>
        <v>PAGO VENCIDO</v>
      </c>
      <c r="C1781" s="27">
        <f>+VLOOKUP(PROVEEDORES[[#This Row],[PROVEEDOR]],TERCEROS_INFO[#All],2,FALSE)</f>
        <v>30</v>
      </c>
      <c r="D1781" s="37">
        <f>+SUMIFS(PROVEEDORES[Total],PROVEEDORES[PROVEEDOR],PROVEEDORES[[#This Row],[PROVEEDOR]],PROVEEDORES[FECHA DE PAGO],"")</f>
        <v>0</v>
      </c>
      <c r="E1781" s="37"/>
      <c r="F1781" s="108" t="str">
        <f>+VLOOKUP(PROVEEDORES[[#This Row],[PROVEEDOR]],TERCEROS_INFO[[PROVEEDOR]:[CORREO]],5,FALSE)</f>
        <v>Tuspilas.co@gmail.com;girlesa.ruiz@servipilas.com;joriescobar64@gmail.com</v>
      </c>
      <c r="G1781" s="143">
        <v>44097</v>
      </c>
      <c r="H1781" s="38" t="s">
        <v>46</v>
      </c>
      <c r="I1781" s="30">
        <v>44018</v>
      </c>
      <c r="J1781" s="58" t="s">
        <v>97</v>
      </c>
      <c r="K1781" s="32">
        <v>174411.59663865546</v>
      </c>
      <c r="L1781" s="32"/>
      <c r="M1781" s="33">
        <f>(PROVEEDORES[[#This Row],[SUBTOTAL]]-PROVEEDORES[[#This Row],[descuento antes de IVA]])*VLOOKUP(PROVEEDORES[[#This Row],[PROVEEDOR]],TERCEROS_INFO[#All],3,FALSE)</f>
        <v>33138.203361344538</v>
      </c>
      <c r="N1781" s="34"/>
      <c r="O1781" s="33">
        <f>+PROVEEDORES[[#This Row],[Descuento sobre subtotal %]]*(PROVEEDORES[[#This Row],[SUBTOTAL]]-PROVEEDORES[[#This Row],[descuento antes de IVA]])</f>
        <v>0</v>
      </c>
      <c r="P178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1" s="33">
        <f>+(PROVEEDORES[[#This Row],[SUBTOTAL]]-PROVEEDORES[[#This Row],[descuento antes de IVA]])*PROVEEDORES[[#This Row],[Rete Fuente %]]</f>
        <v>0</v>
      </c>
      <c r="R1781" s="32">
        <f>+PROVEEDORES[[#This Row],[SUBTOTAL]]+PROVEEDORES[[#This Row],[IVA 19%]]-PROVEEDORES[[#This Row],[descuento antes de IVA]]-PROVEEDORES[[#This Row],[Descuento sobre subtotal $]]-PROVEEDORES[[#This Row],[Rete Fuente $]]</f>
        <v>207549.8</v>
      </c>
      <c r="S178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2" spans="1:19" ht="21.95" hidden="1" customHeight="1" x14ac:dyDescent="0.25">
      <c r="A1782" s="39" t="str">
        <f>+IF(PROVEEDORES[[#This Row],[FECHA DE PAGO]]=PROVEEDORES[[#This Row],[FECHA DE FACTURACIÓN]],"DE CONTADO","CRÉDITO")</f>
        <v>DE CONTADO</v>
      </c>
      <c r="B1782" s="67" t="b">
        <f>+IF((PROVEEDORES[[#This Row],[FECHA DE PAGO]]-PROVEEDORES[[#This Row],[FECHA DE FACTURACIÓN]])&gt;PROVEEDORES[[#This Row],[PLAZO Días]],"PAGO VENCIDO")</f>
        <v>0</v>
      </c>
      <c r="C1782" s="27">
        <f>+VLOOKUP(PROVEEDORES[[#This Row],[PROVEEDOR]],TERCEROS_INFO[#All],2,FALSE)</f>
        <v>30</v>
      </c>
      <c r="D1782" s="37">
        <f>+SUMIFS(PROVEEDORES[Total],PROVEEDORES[PROVEEDOR],PROVEEDORES[[#This Row],[PROVEEDOR]],PROVEEDORES[FECHA DE PAGO],"")</f>
        <v>0</v>
      </c>
      <c r="E1782" s="37"/>
      <c r="F1782" s="108" t="str">
        <f>+VLOOKUP(PROVEEDORES[[#This Row],[PROVEEDOR]],TERCEROS_INFO[[PROVEEDOR]:[CORREO]],5,FALSE)</f>
        <v>Tuspilas.co@gmail.com;girlesa.ruiz@servipilas.com;joriescobar64@gmail.com</v>
      </c>
      <c r="G1782" s="143">
        <v>44146</v>
      </c>
      <c r="H1782" s="38" t="s">
        <v>46</v>
      </c>
      <c r="I1782" s="30">
        <v>44146</v>
      </c>
      <c r="J1782" s="58" t="s">
        <v>180</v>
      </c>
      <c r="K1782" s="32">
        <v>100842</v>
      </c>
      <c r="L1782" s="32"/>
      <c r="M1782" s="33">
        <f>(PROVEEDORES[[#This Row],[SUBTOTAL]]-PROVEEDORES[[#This Row],[descuento antes de IVA]])*VLOOKUP(PROVEEDORES[[#This Row],[PROVEEDOR]],TERCEROS_INFO[#All],3,FALSE)</f>
        <v>19159.98</v>
      </c>
      <c r="N1782" s="34"/>
      <c r="O1782" s="33">
        <f>+PROVEEDORES[[#This Row],[Descuento sobre subtotal %]]*(PROVEEDORES[[#This Row],[SUBTOTAL]]-PROVEEDORES[[#This Row],[descuento antes de IVA]])</f>
        <v>0</v>
      </c>
      <c r="P178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2" s="33">
        <f>+(PROVEEDORES[[#This Row],[SUBTOTAL]]-PROVEEDORES[[#This Row],[descuento antes de IVA]])*PROVEEDORES[[#This Row],[Rete Fuente %]]</f>
        <v>0</v>
      </c>
      <c r="R1782" s="32">
        <f>+PROVEEDORES[[#This Row],[SUBTOTAL]]+PROVEEDORES[[#This Row],[IVA 19%]]-PROVEEDORES[[#This Row],[descuento antes de IVA]]-PROVEEDORES[[#This Row],[Descuento sobre subtotal $]]-PROVEEDORES[[#This Row],[Rete Fuente $]]</f>
        <v>120001.98</v>
      </c>
      <c r="S178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3" spans="1:19" ht="21.95" hidden="1" customHeight="1" x14ac:dyDescent="0.25">
      <c r="A1783" s="109" t="str">
        <f>+IF(PROVEEDORES[[#This Row],[FECHA DE PAGO]]=PROVEEDORES[[#This Row],[FECHA DE FACTURACIÓN]],"DE CONTADO","CRÉDITO")</f>
        <v>DE CONTADO</v>
      </c>
      <c r="B1783" s="70" t="b">
        <f>+IF((PROVEEDORES[[#This Row],[FECHA DE PAGO]]-PROVEEDORES[[#This Row],[FECHA DE FACTURACIÓN]])&gt;PROVEEDORES[[#This Row],[PLAZO Días]],"PAGO VENCIDO")</f>
        <v>0</v>
      </c>
      <c r="C1783" s="27">
        <f>+VLOOKUP(PROVEEDORES[[#This Row],[PROVEEDOR]],TERCEROS_INFO[#All],2,FALSE)</f>
        <v>30</v>
      </c>
      <c r="D1783" s="37">
        <f>+SUMIFS(PROVEEDORES[Total],PROVEEDORES[PROVEEDOR],PROVEEDORES[[#This Row],[PROVEEDOR]],PROVEEDORES[FECHA DE PAGO],"")</f>
        <v>0</v>
      </c>
      <c r="E1783" s="37"/>
      <c r="F1783" s="108" t="str">
        <f>+VLOOKUP(PROVEEDORES[[#This Row],[PROVEEDOR]],TERCEROS_INFO[[PROVEEDOR]:[CORREO]],5,FALSE)</f>
        <v>Tuspilas.co@gmail.com;girlesa.ruiz@servipilas.com;joriescobar64@gmail.com</v>
      </c>
      <c r="G1783" s="143">
        <v>44321</v>
      </c>
      <c r="H1783" s="38" t="s">
        <v>46</v>
      </c>
      <c r="I1783" s="30">
        <v>44321</v>
      </c>
      <c r="J1783" s="58" t="s">
        <v>667</v>
      </c>
      <c r="K1783" s="32">
        <v>60504</v>
      </c>
      <c r="L1783" s="32"/>
      <c r="M1783" s="33">
        <f>(PROVEEDORES[[#This Row],[SUBTOTAL]]-PROVEEDORES[[#This Row],[descuento antes de IVA]])*VLOOKUP(PROVEEDORES[[#This Row],[PROVEEDOR]],TERCEROS_INFO[#All],3,FALSE)</f>
        <v>11495.76</v>
      </c>
      <c r="N1783" s="34"/>
      <c r="O1783" s="33">
        <f>+PROVEEDORES[[#This Row],[Descuento sobre subtotal %]]*(PROVEEDORES[[#This Row],[SUBTOTAL]]-PROVEEDORES[[#This Row],[descuento antes de IVA]])</f>
        <v>0</v>
      </c>
      <c r="P178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3" s="33">
        <f>+(PROVEEDORES[[#This Row],[SUBTOTAL]]-PROVEEDORES[[#This Row],[descuento antes de IVA]])*PROVEEDORES[[#This Row],[Rete Fuente %]]</f>
        <v>0</v>
      </c>
      <c r="R1783" s="32">
        <f>+PROVEEDORES[[#This Row],[SUBTOTAL]]+PROVEEDORES[[#This Row],[IVA 19%]]-PROVEEDORES[[#This Row],[descuento antes de IVA]]-PROVEEDORES[[#This Row],[Descuento sobre subtotal $]]-PROVEEDORES[[#This Row],[Rete Fuente $]]</f>
        <v>71999.759999999995</v>
      </c>
      <c r="S1783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4" spans="1:19" ht="21.95" hidden="1" customHeight="1" x14ac:dyDescent="0.25">
      <c r="A1784" s="35" t="str">
        <f>+IF(PROVEEDORES[[#This Row],[FECHA DE PAGO]]=PROVEEDORES[[#This Row],[FECHA DE FACTURACIÓN]],"DE CONTADO","CRÉDITO")</f>
        <v>DE CONTADO</v>
      </c>
      <c r="B1784" s="70" t="b">
        <f>+IF((PROVEEDORES[[#This Row],[FECHA DE PAGO]]-PROVEEDORES[[#This Row],[FECHA DE FACTURACIÓN]])&gt;PROVEEDORES[[#This Row],[PLAZO Días]],"PAGO VENCIDO")</f>
        <v>0</v>
      </c>
      <c r="C1784" s="27">
        <f>+VLOOKUP(PROVEEDORES[[#This Row],[PROVEEDOR]],TERCEROS_INFO[#All],2,FALSE)</f>
        <v>30</v>
      </c>
      <c r="D1784" s="37">
        <f>+SUMIFS(PROVEEDORES[Total],PROVEEDORES[PROVEEDOR],PROVEEDORES[[#This Row],[PROVEEDOR]],PROVEEDORES[FECHA DE PAGO],"")</f>
        <v>0</v>
      </c>
      <c r="E1784" s="37"/>
      <c r="F1784" s="108" t="str">
        <f>+VLOOKUP(PROVEEDORES[[#This Row],[PROVEEDOR]],TERCEROS_INFO[[PROVEEDOR]:[CORREO]],5,FALSE)</f>
        <v>Tuspilas.co@gmail.com;girlesa.ruiz@servipilas.com;joriescobar64@gmail.com</v>
      </c>
      <c r="G1784" s="143">
        <v>44336</v>
      </c>
      <c r="H1784" s="38" t="s">
        <v>46</v>
      </c>
      <c r="I1784" s="30">
        <v>44336</v>
      </c>
      <c r="J1784" s="58" t="s">
        <v>689</v>
      </c>
      <c r="K1784" s="32">
        <v>294454</v>
      </c>
      <c r="L1784" s="32"/>
      <c r="M1784" s="33">
        <f>(PROVEEDORES[[#This Row],[SUBTOTAL]]-PROVEEDORES[[#This Row],[descuento antes de IVA]])*VLOOKUP(PROVEEDORES[[#This Row],[PROVEEDOR]],TERCEROS_INFO[#All],3,FALSE)</f>
        <v>55946.26</v>
      </c>
      <c r="N1784" s="34"/>
      <c r="O1784" s="33">
        <f>+PROVEEDORES[[#This Row],[Descuento sobre subtotal %]]*(PROVEEDORES[[#This Row],[SUBTOTAL]]-PROVEEDORES[[#This Row],[descuento antes de IVA]])</f>
        <v>0</v>
      </c>
      <c r="P178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4" s="33">
        <f>+(PROVEEDORES[[#This Row],[SUBTOTAL]]-PROVEEDORES[[#This Row],[descuento antes de IVA]])*PROVEEDORES[[#This Row],[Rete Fuente %]]</f>
        <v>0</v>
      </c>
      <c r="R1784" s="32">
        <f>+PROVEEDORES[[#This Row],[SUBTOTAL]]+PROVEEDORES[[#This Row],[IVA 19%]]-PROVEEDORES[[#This Row],[descuento antes de IVA]]-PROVEEDORES[[#This Row],[Descuento sobre subtotal $]]-PROVEEDORES[[#This Row],[Rete Fuente $]]</f>
        <v>350400.26</v>
      </c>
      <c r="S178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5" spans="1:19" ht="21.95" hidden="1" customHeight="1" x14ac:dyDescent="0.25">
      <c r="A1785" s="157" t="str">
        <f>+IF(PROVEEDORES[[#This Row],[FECHA DE PAGO]]=PROVEEDORES[[#This Row],[FECHA DE FACTURACIÓN]],"DE CONTADO","CRÉDITO")</f>
        <v>CRÉDITO</v>
      </c>
      <c r="B1785" s="70" t="str">
        <f>+IF((PROVEEDORES[[#This Row],[FECHA DE PAGO]]-PROVEEDORES[[#This Row],[FECHA DE FACTURACIÓN]])&gt;PROVEEDORES[[#This Row],[PLAZO Días]],"PAGO VENCIDO")</f>
        <v>PAGO VENCIDO</v>
      </c>
      <c r="C1785" s="27">
        <f>+VLOOKUP(PROVEEDORES[[#This Row],[PROVEEDOR]],TERCEROS_INFO[#All],2,FALSE)</f>
        <v>30</v>
      </c>
      <c r="D1785" s="37">
        <f>+SUMIFS(PROVEEDORES[Total],PROVEEDORES[PROVEEDOR],PROVEEDORES[[#This Row],[PROVEEDOR]],PROVEEDORES[FECHA DE PAGO],"")</f>
        <v>0</v>
      </c>
      <c r="E1785" s="37"/>
      <c r="F1785" s="108" t="str">
        <f>+VLOOKUP(PROVEEDORES[[#This Row],[PROVEEDOR]],TERCEROS_INFO[[PROVEEDOR]:[CORREO]],5,FALSE)</f>
        <v>Tuspilas.co@gmail.com;girlesa.ruiz@servipilas.com;joriescobar64@gmail.com</v>
      </c>
      <c r="G1785" s="30">
        <v>44524</v>
      </c>
      <c r="H1785" s="38" t="s">
        <v>46</v>
      </c>
      <c r="I1785" s="30">
        <v>44489</v>
      </c>
      <c r="J1785" s="58" t="s">
        <v>901</v>
      </c>
      <c r="K1785" s="32">
        <v>475143.2</v>
      </c>
      <c r="L1785" s="32"/>
      <c r="M1785" s="33">
        <f>(PROVEEDORES[[#This Row],[SUBTOTAL]]-PROVEEDORES[[#This Row],[descuento antes de IVA]])*VLOOKUP(PROVEEDORES[[#This Row],[PROVEEDOR]],TERCEROS_INFO[#All],3,FALSE)</f>
        <v>90277.207999999999</v>
      </c>
      <c r="N1785" s="34"/>
      <c r="O1785" s="33">
        <f>+PROVEEDORES[[#This Row],[Descuento sobre subtotal %]]*(PROVEEDORES[[#This Row],[SUBTOTAL]]-PROVEEDORES[[#This Row],[descuento antes de IVA]])</f>
        <v>0</v>
      </c>
      <c r="P178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5" s="33">
        <f>+(PROVEEDORES[[#This Row],[SUBTOTAL]]-PROVEEDORES[[#This Row],[descuento antes de IVA]])*PROVEEDORES[[#This Row],[Rete Fuente %]]</f>
        <v>0</v>
      </c>
      <c r="R1785" s="32">
        <f>+PROVEEDORES[[#This Row],[SUBTOTAL]]+PROVEEDORES[[#This Row],[IVA 19%]]-PROVEEDORES[[#This Row],[descuento antes de IVA]]-PROVEEDORES[[#This Row],[Descuento sobre subtotal $]]-PROVEEDORES[[#This Row],[Rete Fuente $]]</f>
        <v>565420.40800000005</v>
      </c>
      <c r="S1785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6" spans="1:19" ht="21.95" hidden="1" customHeight="1" x14ac:dyDescent="0.25">
      <c r="A1786" s="157" t="str">
        <f>+IF(PROVEEDORES[[#This Row],[FECHA DE PAGO]]=PROVEEDORES[[#This Row],[FECHA DE FACTURACIÓN]],"DE CONTADO","CRÉDITO")</f>
        <v>CRÉDITO</v>
      </c>
      <c r="B1786" s="70" t="str">
        <f>+IF((PROVEEDORES[[#This Row],[FECHA DE PAGO]]-PROVEEDORES[[#This Row],[FECHA DE FACTURACIÓN]])&gt;PROVEEDORES[[#This Row],[PLAZO Días]],"PAGO VENCIDO")</f>
        <v>PAGO VENCIDO</v>
      </c>
      <c r="C1786" s="27">
        <f>+VLOOKUP(PROVEEDORES[[#This Row],[PROVEEDOR]],TERCEROS_INFO[#All],2,FALSE)</f>
        <v>30</v>
      </c>
      <c r="D1786" s="37">
        <f>+SUMIFS(PROVEEDORES[Total],PROVEEDORES[PROVEEDOR],PROVEEDORES[[#This Row],[PROVEEDOR]],PROVEEDORES[FECHA DE PAGO],"")</f>
        <v>0</v>
      </c>
      <c r="E1786" s="37"/>
      <c r="F1786" s="108" t="str">
        <f>+VLOOKUP(PROVEEDORES[[#This Row],[PROVEEDOR]],TERCEROS_INFO[[PROVEEDOR]:[CORREO]],5,FALSE)</f>
        <v>Tuspilas.co@gmail.com;girlesa.ruiz@servipilas.com;joriescobar64@gmail.com</v>
      </c>
      <c r="G1786" s="30">
        <v>44524</v>
      </c>
      <c r="H1786" s="38" t="s">
        <v>46</v>
      </c>
      <c r="I1786" s="30">
        <v>44489</v>
      </c>
      <c r="J1786" s="58" t="s">
        <v>902</v>
      </c>
      <c r="K1786" s="32">
        <v>137143.20000000001</v>
      </c>
      <c r="L1786" s="32"/>
      <c r="M1786" s="33">
        <f>(PROVEEDORES[[#This Row],[SUBTOTAL]]-PROVEEDORES[[#This Row],[descuento antes de IVA]])*VLOOKUP(PROVEEDORES[[#This Row],[PROVEEDOR]],TERCEROS_INFO[#All],3,FALSE)</f>
        <v>26057.208000000002</v>
      </c>
      <c r="N1786" s="34"/>
      <c r="O1786" s="33">
        <f>+PROVEEDORES[[#This Row],[Descuento sobre subtotal %]]*(PROVEEDORES[[#This Row],[SUBTOTAL]]-PROVEEDORES[[#This Row],[descuento antes de IVA]])</f>
        <v>0</v>
      </c>
      <c r="P178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6" s="33">
        <f>+(PROVEEDORES[[#This Row],[SUBTOTAL]]-PROVEEDORES[[#This Row],[descuento antes de IVA]])*PROVEEDORES[[#This Row],[Rete Fuente %]]</f>
        <v>0</v>
      </c>
      <c r="R1786" s="32">
        <f>+PROVEEDORES[[#This Row],[SUBTOTAL]]+PROVEEDORES[[#This Row],[IVA 19%]]-PROVEEDORES[[#This Row],[descuento antes de IVA]]-PROVEEDORES[[#This Row],[Descuento sobre subtotal $]]-PROVEEDORES[[#This Row],[Rete Fuente $]]</f>
        <v>163200.40800000002</v>
      </c>
      <c r="S1786" s="15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7" spans="1:19" ht="21.95" hidden="1" customHeight="1" x14ac:dyDescent="0.25">
      <c r="A1787" s="35" t="str">
        <f>+IF(PROVEEDORES[[#This Row],[FECHA DE PAGO]]=PROVEEDORES[[#This Row],[FECHA DE FACTURACIÓN]],"DE CONTADO","CRÉDITO")</f>
        <v>CRÉDITO</v>
      </c>
      <c r="B1787" s="70" t="b">
        <f>+IF((PROVEEDORES[[#This Row],[FECHA DE PAGO]]-PROVEEDORES[[#This Row],[FECHA DE FACTURACIÓN]])&gt;PROVEEDORES[[#This Row],[PLAZO Días]],"PAGO VENCIDO")</f>
        <v>0</v>
      </c>
      <c r="C1787" s="27">
        <f>+VLOOKUP(PROVEEDORES[[#This Row],[PROVEEDOR]],TERCEROS_INFO[#All],2,FALSE)</f>
        <v>30</v>
      </c>
      <c r="D1787" s="37">
        <f>+SUMIFS(PROVEEDORES[Total],PROVEEDORES[PROVEEDOR],PROVEEDORES[[#This Row],[PROVEEDOR]],PROVEEDORES[FECHA DE PAGO],"")</f>
        <v>0</v>
      </c>
      <c r="E1787" s="37"/>
      <c r="F1787" s="108" t="str">
        <f>+VLOOKUP(PROVEEDORES[[#This Row],[PROVEEDOR]],TERCEROS_INFO[[PROVEEDOR]:[CORREO]],5,FALSE)</f>
        <v>Tuspilas.co@gmail.com;girlesa.ruiz@servipilas.com;joriescobar64@gmail.com</v>
      </c>
      <c r="G1787" s="143">
        <v>44550</v>
      </c>
      <c r="H1787" s="38" t="s">
        <v>46</v>
      </c>
      <c r="I1787" s="30">
        <v>44533</v>
      </c>
      <c r="J1787" s="58" t="s">
        <v>1003</v>
      </c>
      <c r="K1787" s="32">
        <v>297278.40000000002</v>
      </c>
      <c r="L1787" s="32"/>
      <c r="M1787" s="33">
        <f>(PROVEEDORES[[#This Row],[SUBTOTAL]]-PROVEEDORES[[#This Row],[descuento antes de IVA]])*VLOOKUP(PROVEEDORES[[#This Row],[PROVEEDOR]],TERCEROS_INFO[#All],3,FALSE)</f>
        <v>56482.896000000008</v>
      </c>
      <c r="N1787" s="34"/>
      <c r="O1787" s="33">
        <f>+PROVEEDORES[[#This Row],[Descuento sobre subtotal %]]*(PROVEEDORES[[#This Row],[SUBTOTAL]]-PROVEEDORES[[#This Row],[descuento antes de IVA]])</f>
        <v>0</v>
      </c>
      <c r="P178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7" s="33">
        <f>+(PROVEEDORES[[#This Row],[SUBTOTAL]]-PROVEEDORES[[#This Row],[descuento antes de IVA]])*PROVEEDORES[[#This Row],[Rete Fuente %]]</f>
        <v>0</v>
      </c>
      <c r="R1787" s="32">
        <f>+PROVEEDORES[[#This Row],[SUBTOTAL]]+PROVEEDORES[[#This Row],[IVA 19%]]-PROVEEDORES[[#This Row],[descuento antes de IVA]]-PROVEEDORES[[#This Row],[Descuento sobre subtotal $]]-PROVEEDORES[[#This Row],[Rete Fuente $]]</f>
        <v>353761.29600000003</v>
      </c>
      <c r="S1787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8" spans="1:19" ht="21.95" hidden="1" customHeight="1" x14ac:dyDescent="0.25">
      <c r="A1788" s="39" t="str">
        <f>+IF(PROVEEDORES[[#This Row],[FECHA DE PAGO]]=PROVEEDORES[[#This Row],[FECHA DE FACTURACIÓN]],"DE CONTADO","CRÉDITO")</f>
        <v>CRÉDITO</v>
      </c>
      <c r="B1788" s="67" t="str">
        <f>+IF((PROVEEDORES[[#This Row],[FECHA DE PAGO]]-PROVEEDORES[[#This Row],[FECHA DE FACTURACIÓN]])&gt;PROVEEDORES[[#This Row],[PLAZO Días]],"PAGO VENCIDO")</f>
        <v>PAGO VENCIDO</v>
      </c>
      <c r="C1788" s="27">
        <f>+VLOOKUP(PROVEEDORES[[#This Row],[PROVEEDOR]],TERCEROS_INFO[#All],2,FALSE)</f>
        <v>30</v>
      </c>
      <c r="D1788" s="37">
        <f>+SUMIFS(PROVEEDORES[Total],PROVEEDORES[PROVEEDOR],PROVEEDORES[[#This Row],[PROVEEDOR]],PROVEEDORES[FECHA DE PAGO],"")</f>
        <v>0</v>
      </c>
      <c r="E1788" s="37"/>
      <c r="F1788" s="108" t="str">
        <f>+VLOOKUP(PROVEEDORES[[#This Row],[PROVEEDOR]],TERCEROS_INFO[[PROVEEDOR]:[CORREO]],5,FALSE)</f>
        <v>cxc11@unitecusa.com.co;jefecartera@unitecusa.com.co;girlesa.ruiz@servipilas.com;joriescobar64@gmail.com</v>
      </c>
      <c r="G1788" s="143">
        <v>43899</v>
      </c>
      <c r="H1788" s="38" t="s">
        <v>14</v>
      </c>
      <c r="I1788" s="30">
        <v>43851</v>
      </c>
      <c r="J1788" s="58">
        <v>11925</v>
      </c>
      <c r="K1788" s="32">
        <v>1004083.1932773109</v>
      </c>
      <c r="L1788" s="32"/>
      <c r="M1788" s="33">
        <f>(PROVEEDORES[[#This Row],[SUBTOTAL]]-PROVEEDORES[[#This Row],[descuento antes de IVA]])*VLOOKUP(PROVEEDORES[[#This Row],[PROVEEDOR]],TERCEROS_INFO[#All],3,FALSE)</f>
        <v>190775.80672268907</v>
      </c>
      <c r="N1788" s="34"/>
      <c r="O1788" s="33">
        <f>+PROVEEDORES[[#This Row],[Descuento sobre subtotal %]]*(PROVEEDORES[[#This Row],[SUBTOTAL]]-PROVEEDORES[[#This Row],[descuento antes de IVA]])</f>
        <v>0</v>
      </c>
      <c r="P178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788" s="33">
        <f>+(PROVEEDORES[[#This Row],[SUBTOTAL]]-PROVEEDORES[[#This Row],[descuento antes de IVA]])*PROVEEDORES[[#This Row],[Rete Fuente %]]</f>
        <v>25102.079831932773</v>
      </c>
      <c r="R1788" s="32">
        <f>+PROVEEDORES[[#This Row],[SUBTOTAL]]+PROVEEDORES[[#This Row],[IVA 19%]]-PROVEEDORES[[#This Row],[descuento antes de IVA]]-PROVEEDORES[[#This Row],[Descuento sobre subtotal $]]-PROVEEDORES[[#This Row],[Rete Fuente $]]</f>
        <v>1169756.9201680673</v>
      </c>
      <c r="S178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89" spans="1:19" ht="21.95" hidden="1" customHeight="1" x14ac:dyDescent="0.25">
      <c r="A1789" s="39" t="str">
        <f>+IF(PROVEEDORES[[#This Row],[FECHA DE PAGO]]=PROVEEDORES[[#This Row],[FECHA DE FACTURACIÓN]],"DE CONTADO","CRÉDITO")</f>
        <v>CRÉDITO</v>
      </c>
      <c r="B1789" s="67" t="str">
        <f>+IF((PROVEEDORES[[#This Row],[FECHA DE PAGO]]-PROVEEDORES[[#This Row],[FECHA DE FACTURACIÓN]])&gt;PROVEEDORES[[#This Row],[PLAZO Días]],"PAGO VENCIDO")</f>
        <v>PAGO VENCIDO</v>
      </c>
      <c r="C1789" s="27">
        <f>+VLOOKUP(PROVEEDORES[[#This Row],[PROVEEDOR]],TERCEROS_INFO[#All],2,FALSE)</f>
        <v>30</v>
      </c>
      <c r="D1789" s="37">
        <f>+SUMIFS(PROVEEDORES[Total],PROVEEDORES[PROVEEDOR],PROVEEDORES[[#This Row],[PROVEEDOR]],PROVEEDORES[FECHA DE PAGO],"")</f>
        <v>0</v>
      </c>
      <c r="E1789" s="37"/>
      <c r="F1789" s="108" t="str">
        <f>+VLOOKUP(PROVEEDORES[[#This Row],[PROVEEDOR]],TERCEROS_INFO[[PROVEEDOR]:[CORREO]],5,FALSE)</f>
        <v>cxc11@unitecusa.com.co;jefecartera@unitecusa.com.co;girlesa.ruiz@servipilas.com;joriescobar64@gmail.com</v>
      </c>
      <c r="G1789" s="143">
        <v>43901</v>
      </c>
      <c r="H1789" s="38" t="s">
        <v>14</v>
      </c>
      <c r="I1789" s="30">
        <v>43867</v>
      </c>
      <c r="J1789" s="58">
        <v>12560</v>
      </c>
      <c r="K1789" s="32">
        <v>380585.71428571432</v>
      </c>
      <c r="L1789" s="32"/>
      <c r="M1789" s="33">
        <f>(PROVEEDORES[[#This Row],[SUBTOTAL]]-PROVEEDORES[[#This Row],[descuento antes de IVA]])*VLOOKUP(PROVEEDORES[[#This Row],[PROVEEDOR]],TERCEROS_INFO[#All],3,FALSE)</f>
        <v>72311.285714285725</v>
      </c>
      <c r="N1789" s="34"/>
      <c r="O1789" s="33">
        <f>+PROVEEDORES[[#This Row],[Descuento sobre subtotal %]]*(PROVEEDORES[[#This Row],[SUBTOTAL]]-PROVEEDORES[[#This Row],[descuento antes de IVA]])</f>
        <v>0</v>
      </c>
      <c r="P178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89" s="33">
        <f>+(PROVEEDORES[[#This Row],[SUBTOTAL]]-PROVEEDORES[[#This Row],[descuento antes de IVA]])*PROVEEDORES[[#This Row],[Rete Fuente %]]</f>
        <v>0</v>
      </c>
      <c r="R1789" s="32">
        <f>+PROVEEDORES[[#This Row],[SUBTOTAL]]+PROVEEDORES[[#This Row],[IVA 19%]]-PROVEEDORES[[#This Row],[descuento antes de IVA]]-PROVEEDORES[[#This Row],[Descuento sobre subtotal $]]-PROVEEDORES[[#This Row],[Rete Fuente $]]</f>
        <v>452897.00000000006</v>
      </c>
      <c r="S178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0" spans="1:19" ht="21.95" hidden="1" customHeight="1" x14ac:dyDescent="0.25">
      <c r="A1790" s="39" t="str">
        <f>+IF(PROVEEDORES[[#This Row],[FECHA DE PAGO]]=PROVEEDORES[[#This Row],[FECHA DE FACTURACIÓN]],"DE CONTADO","CRÉDITO")</f>
        <v>CRÉDITO</v>
      </c>
      <c r="B1790" s="67" t="b">
        <f>+IF((PROVEEDORES[[#This Row],[FECHA DE PAGO]]-PROVEEDORES[[#This Row],[FECHA DE FACTURACIÓN]])&gt;PROVEEDORES[[#This Row],[PLAZO Días]],"PAGO VENCIDO")</f>
        <v>0</v>
      </c>
      <c r="C1790" s="27">
        <f>+VLOOKUP(PROVEEDORES[[#This Row],[PROVEEDOR]],TERCEROS_INFO[#All],2,FALSE)</f>
        <v>30</v>
      </c>
      <c r="D1790" s="37">
        <f>+SUMIFS(PROVEEDORES[Total],PROVEEDORES[PROVEEDOR],PROVEEDORES[[#This Row],[PROVEEDOR]],PROVEEDORES[FECHA DE PAGO],"")</f>
        <v>0</v>
      </c>
      <c r="E1790" s="37"/>
      <c r="F1790" s="108" t="str">
        <f>+VLOOKUP(PROVEEDORES[[#This Row],[PROVEEDOR]],TERCEROS_INFO[[PROVEEDOR]:[CORREO]],5,FALSE)</f>
        <v>cxc11@unitecusa.com.co;jefecartera@unitecusa.com.co;girlesa.ruiz@servipilas.com;joriescobar64@gmail.com</v>
      </c>
      <c r="G1790" s="143">
        <v>43999</v>
      </c>
      <c r="H1790" s="38" t="s">
        <v>14</v>
      </c>
      <c r="I1790" s="30">
        <v>43979</v>
      </c>
      <c r="J1790" s="58">
        <v>14738</v>
      </c>
      <c r="K1790" s="32">
        <v>564720.16806722688</v>
      </c>
      <c r="L1790" s="32"/>
      <c r="M1790" s="33">
        <f>(PROVEEDORES[[#This Row],[SUBTOTAL]]-PROVEEDORES[[#This Row],[descuento antes de IVA]])*VLOOKUP(PROVEEDORES[[#This Row],[PROVEEDOR]],TERCEROS_INFO[#All],3,FALSE)</f>
        <v>107296.83193277312</v>
      </c>
      <c r="N1790" s="34"/>
      <c r="O1790" s="33">
        <f>+PROVEEDORES[[#This Row],[Descuento sobre subtotal %]]*(PROVEEDORES[[#This Row],[SUBTOTAL]]-PROVEEDORES[[#This Row],[descuento antes de IVA]])</f>
        <v>0</v>
      </c>
      <c r="P179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0" s="33">
        <f>+(PROVEEDORES[[#This Row],[SUBTOTAL]]-PROVEEDORES[[#This Row],[descuento antes de IVA]])*PROVEEDORES[[#This Row],[Rete Fuente %]]</f>
        <v>0</v>
      </c>
      <c r="R1790" s="32">
        <f>+PROVEEDORES[[#This Row],[SUBTOTAL]]+PROVEEDORES[[#This Row],[IVA 19%]]-PROVEEDORES[[#This Row],[descuento antes de IVA]]-PROVEEDORES[[#This Row],[Descuento sobre subtotal $]]-PROVEEDORES[[#This Row],[Rete Fuente $]]</f>
        <v>672017</v>
      </c>
      <c r="S179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1" spans="1:19" ht="21.95" hidden="1" customHeight="1" x14ac:dyDescent="0.25">
      <c r="A1791" s="39" t="str">
        <f>+IF(PROVEEDORES[[#This Row],[FECHA DE PAGO]]=PROVEEDORES[[#This Row],[FECHA DE FACTURACIÓN]],"DE CONTADO","CRÉDITO")</f>
        <v>CRÉDITO</v>
      </c>
      <c r="B1791" s="67" t="b">
        <f>+IF((PROVEEDORES[[#This Row],[FECHA DE PAGO]]-PROVEEDORES[[#This Row],[FECHA DE FACTURACIÓN]])&gt;PROVEEDORES[[#This Row],[PLAZO Días]],"PAGO VENCIDO")</f>
        <v>0</v>
      </c>
      <c r="C1791" s="27">
        <f>+VLOOKUP(PROVEEDORES[[#This Row],[PROVEEDOR]],TERCEROS_INFO[#All],2,FALSE)</f>
        <v>30</v>
      </c>
      <c r="D1791" s="37">
        <f>+SUMIFS(PROVEEDORES[Total],PROVEEDORES[PROVEEDOR],PROVEEDORES[[#This Row],[PROVEEDOR]],PROVEEDORES[FECHA DE PAGO],"")</f>
        <v>0</v>
      </c>
      <c r="E1791" s="37"/>
      <c r="F1791" s="108" t="str">
        <f>+VLOOKUP(PROVEEDORES[[#This Row],[PROVEEDOR]],TERCEROS_INFO[[PROVEEDOR]:[CORREO]],5,FALSE)</f>
        <v>cxc11@unitecusa.com.co;jefecartera@unitecusa.com.co;girlesa.ruiz@servipilas.com;joriescobar64@gmail.com</v>
      </c>
      <c r="G1791" s="143">
        <v>44078</v>
      </c>
      <c r="H1791" s="38" t="s">
        <v>14</v>
      </c>
      <c r="I1791" s="30">
        <v>44056</v>
      </c>
      <c r="J1791" s="58">
        <v>17513</v>
      </c>
      <c r="K1791" s="32">
        <v>331642.85714285716</v>
      </c>
      <c r="L1791" s="32"/>
      <c r="M1791" s="33">
        <f>(PROVEEDORES[[#This Row],[SUBTOTAL]]-PROVEEDORES[[#This Row],[descuento antes de IVA]])*VLOOKUP(PROVEEDORES[[#This Row],[PROVEEDOR]],TERCEROS_INFO[#All],3,FALSE)</f>
        <v>63012.142857142862</v>
      </c>
      <c r="N1791" s="34"/>
      <c r="O1791" s="33">
        <f>+PROVEEDORES[[#This Row],[Descuento sobre subtotal %]]*(PROVEEDORES[[#This Row],[SUBTOTAL]]-PROVEEDORES[[#This Row],[descuento antes de IVA]])</f>
        <v>0</v>
      </c>
      <c r="P179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1" s="33">
        <f>+(PROVEEDORES[[#This Row],[SUBTOTAL]]-PROVEEDORES[[#This Row],[descuento antes de IVA]])*PROVEEDORES[[#This Row],[Rete Fuente %]]</f>
        <v>0</v>
      </c>
      <c r="R1791" s="32">
        <f>+PROVEEDORES[[#This Row],[SUBTOTAL]]+PROVEEDORES[[#This Row],[IVA 19%]]-PROVEEDORES[[#This Row],[descuento antes de IVA]]-PROVEEDORES[[#This Row],[Descuento sobre subtotal $]]-PROVEEDORES[[#This Row],[Rete Fuente $]]</f>
        <v>394655</v>
      </c>
      <c r="S179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2" spans="1:19" ht="21.95" hidden="1" customHeight="1" x14ac:dyDescent="0.25">
      <c r="A1792" s="39" t="str">
        <f>+IF(PROVEEDORES[[#This Row],[FECHA DE PAGO]]=PROVEEDORES[[#This Row],[FECHA DE FACTURACIÓN]],"DE CONTADO","CRÉDITO")</f>
        <v>CRÉDITO</v>
      </c>
      <c r="B1792" s="67" t="b">
        <f>+IF((PROVEEDORES[[#This Row],[FECHA DE PAGO]]-PROVEEDORES[[#This Row],[FECHA DE FACTURACIÓN]])&gt;PROVEEDORES[[#This Row],[PLAZO Días]],"PAGO VENCIDO")</f>
        <v>0</v>
      </c>
      <c r="C1792" s="27">
        <f>+VLOOKUP(PROVEEDORES[[#This Row],[PROVEEDOR]],TERCEROS_INFO[#All],2,FALSE)</f>
        <v>30</v>
      </c>
      <c r="D1792" s="37">
        <f>+SUMIFS(PROVEEDORES[Total],PROVEEDORES[PROVEEDOR],PROVEEDORES[[#This Row],[PROVEEDOR]],PROVEEDORES[FECHA DE PAGO],"")</f>
        <v>0</v>
      </c>
      <c r="E1792" s="37"/>
      <c r="F1792" s="108" t="str">
        <f>+VLOOKUP(PROVEEDORES[[#This Row],[PROVEEDOR]],TERCEROS_INFO[[PROVEEDOR]:[CORREO]],5,FALSE)</f>
        <v>cxc11@unitecusa.com.co;jefecartera@unitecusa.com.co;girlesa.ruiz@servipilas.com;joriescobar64@gmail.com</v>
      </c>
      <c r="G1792" s="143">
        <v>44118</v>
      </c>
      <c r="H1792" s="38" t="s">
        <v>14</v>
      </c>
      <c r="I1792" s="30">
        <v>44094</v>
      </c>
      <c r="J1792" s="58">
        <v>18958</v>
      </c>
      <c r="K1792" s="32">
        <v>227394.95798319328</v>
      </c>
      <c r="L1792" s="32"/>
      <c r="M1792" s="33">
        <f>(PROVEEDORES[[#This Row],[SUBTOTAL]]-PROVEEDORES[[#This Row],[descuento antes de IVA]])*VLOOKUP(PROVEEDORES[[#This Row],[PROVEEDOR]],TERCEROS_INFO[#All],3,FALSE)</f>
        <v>43205.042016806721</v>
      </c>
      <c r="N1792" s="34"/>
      <c r="O1792" s="33">
        <f>+PROVEEDORES[[#This Row],[Descuento sobre subtotal %]]*(PROVEEDORES[[#This Row],[SUBTOTAL]]-PROVEEDORES[[#This Row],[descuento antes de IVA]])</f>
        <v>0</v>
      </c>
      <c r="P179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2" s="33">
        <f>+(PROVEEDORES[[#This Row],[SUBTOTAL]]-PROVEEDORES[[#This Row],[descuento antes de IVA]])*PROVEEDORES[[#This Row],[Rete Fuente %]]</f>
        <v>0</v>
      </c>
      <c r="R1792" s="32">
        <f>+PROVEEDORES[[#This Row],[SUBTOTAL]]+PROVEEDORES[[#This Row],[IVA 19%]]-PROVEEDORES[[#This Row],[descuento antes de IVA]]-PROVEEDORES[[#This Row],[Descuento sobre subtotal $]]-PROVEEDORES[[#This Row],[Rete Fuente $]]</f>
        <v>270600</v>
      </c>
      <c r="S179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3" spans="1:19" ht="21.95" hidden="1" customHeight="1" x14ac:dyDescent="0.25">
      <c r="A1793" s="39" t="str">
        <f>+IF(PROVEEDORES[[#This Row],[FECHA DE PAGO]]=PROVEEDORES[[#This Row],[FECHA DE FACTURACIÓN]],"DE CONTADO","CRÉDITO")</f>
        <v>CRÉDITO</v>
      </c>
      <c r="B1793" s="67" t="str">
        <f>+IF((PROVEEDORES[[#This Row],[FECHA DE PAGO]]-PROVEEDORES[[#This Row],[FECHA DE FACTURACIÓN]])&gt;PROVEEDORES[[#This Row],[PLAZO Días]],"PAGO VENCIDO")</f>
        <v>PAGO VENCIDO</v>
      </c>
      <c r="C1793" s="27">
        <f>+VLOOKUP(PROVEEDORES[[#This Row],[PROVEEDOR]],TERCEROS_INFO[#All],2,FALSE)</f>
        <v>30</v>
      </c>
      <c r="D1793" s="37">
        <f>+SUMIFS(PROVEEDORES[Total],PROVEEDORES[PROVEEDOR],PROVEEDORES[[#This Row],[PROVEEDOR]],PROVEEDORES[FECHA DE PAGO],"")</f>
        <v>0</v>
      </c>
      <c r="E1793" s="37"/>
      <c r="F1793" s="108" t="str">
        <f>+VLOOKUP(PROVEEDORES[[#This Row],[PROVEEDOR]],TERCEROS_INFO[[PROVEEDOR]:[CORREO]],5,FALSE)</f>
        <v>cxc11@unitecusa.com.co;jefecartera@unitecusa.com.co;girlesa.ruiz@servipilas.com;joriescobar64@gmail.com</v>
      </c>
      <c r="G1793" s="143">
        <v>44158</v>
      </c>
      <c r="H1793" s="38" t="s">
        <v>14</v>
      </c>
      <c r="I1793" s="30">
        <v>44117</v>
      </c>
      <c r="J1793" s="58">
        <v>20326</v>
      </c>
      <c r="K1793" s="32">
        <v>537050.42016806721</v>
      </c>
      <c r="L1793" s="32"/>
      <c r="M1793" s="33">
        <f>(PROVEEDORES[[#This Row],[SUBTOTAL]]-PROVEEDORES[[#This Row],[descuento antes de IVA]])*VLOOKUP(PROVEEDORES[[#This Row],[PROVEEDOR]],TERCEROS_INFO[#All],3,FALSE)</f>
        <v>102039.57983193277</v>
      </c>
      <c r="N1793" s="34"/>
      <c r="O1793" s="33">
        <f>+PROVEEDORES[[#This Row],[Descuento sobre subtotal %]]*(PROVEEDORES[[#This Row],[SUBTOTAL]]-PROVEEDORES[[#This Row],[descuento antes de IVA]])</f>
        <v>0</v>
      </c>
      <c r="P179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3" s="33">
        <f>+(PROVEEDORES[[#This Row],[SUBTOTAL]]-PROVEEDORES[[#This Row],[descuento antes de IVA]])*PROVEEDORES[[#This Row],[Rete Fuente %]]</f>
        <v>0</v>
      </c>
      <c r="R1793" s="32">
        <f>+PROVEEDORES[[#This Row],[SUBTOTAL]]+PROVEEDORES[[#This Row],[IVA 19%]]-PROVEEDORES[[#This Row],[descuento antes de IVA]]-PROVEEDORES[[#This Row],[Descuento sobre subtotal $]]-PROVEEDORES[[#This Row],[Rete Fuente $]]</f>
        <v>639090</v>
      </c>
      <c r="S179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4" spans="1:19" ht="21.95" hidden="1" customHeight="1" x14ac:dyDescent="0.25">
      <c r="A1794" s="39" t="str">
        <f>+IF(PROVEEDORES[[#This Row],[FECHA DE PAGO]]=PROVEEDORES[[#This Row],[FECHA DE FACTURACIÓN]],"DE CONTADO","CRÉDITO")</f>
        <v>CRÉDITO</v>
      </c>
      <c r="B1794" s="67" t="str">
        <f>+IF((PROVEEDORES[[#This Row],[FECHA DE PAGO]]-PROVEEDORES[[#This Row],[FECHA DE FACTURACIÓN]])&gt;PROVEEDORES[[#This Row],[PLAZO Días]],"PAGO VENCIDO")</f>
        <v>PAGO VENCIDO</v>
      </c>
      <c r="C1794" s="27">
        <f>+VLOOKUP(PROVEEDORES[[#This Row],[PROVEEDOR]],TERCEROS_INFO[#All],2,FALSE)</f>
        <v>30</v>
      </c>
      <c r="D1794" s="37">
        <f>+SUMIFS(PROVEEDORES[Total],PROVEEDORES[PROVEEDOR],PROVEEDORES[[#This Row],[PROVEEDOR]],PROVEEDORES[FECHA DE PAGO],"")</f>
        <v>0</v>
      </c>
      <c r="E1794" s="37"/>
      <c r="F1794" s="108" t="str">
        <f>+VLOOKUP(PROVEEDORES[[#This Row],[PROVEEDOR]],TERCEROS_INFO[[PROVEEDOR]:[CORREO]],5,FALSE)</f>
        <v>cxc11@unitecusa.com.co;jefecartera@unitecusa.com.co;girlesa.ruiz@servipilas.com;joriescobar64@gmail.com</v>
      </c>
      <c r="G1794" s="143">
        <v>44180</v>
      </c>
      <c r="H1794" s="38" t="s">
        <v>14</v>
      </c>
      <c r="I1794" s="30">
        <v>44141</v>
      </c>
      <c r="J1794" s="58">
        <v>26</v>
      </c>
      <c r="K1794" s="32">
        <v>555254.62184873957</v>
      </c>
      <c r="L1794" s="32"/>
      <c r="M1794" s="33">
        <f>(PROVEEDORES[[#This Row],[SUBTOTAL]]-PROVEEDORES[[#This Row],[descuento antes de IVA]])*VLOOKUP(PROVEEDORES[[#This Row],[PROVEEDOR]],TERCEROS_INFO[#All],3,FALSE)</f>
        <v>105498.37815126052</v>
      </c>
      <c r="N1794" s="34"/>
      <c r="O1794" s="33">
        <f>+PROVEEDORES[[#This Row],[Descuento sobre subtotal %]]*(PROVEEDORES[[#This Row],[SUBTOTAL]]-PROVEEDORES[[#This Row],[descuento antes de IVA]])</f>
        <v>0</v>
      </c>
      <c r="P179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4" s="33">
        <f>+(PROVEEDORES[[#This Row],[SUBTOTAL]]-PROVEEDORES[[#This Row],[descuento antes de IVA]])*PROVEEDORES[[#This Row],[Rete Fuente %]]</f>
        <v>0</v>
      </c>
      <c r="R1794" s="32">
        <f>+PROVEEDORES[[#This Row],[SUBTOTAL]]+PROVEEDORES[[#This Row],[IVA 19%]]-PROVEEDORES[[#This Row],[descuento antes de IVA]]-PROVEEDORES[[#This Row],[Descuento sobre subtotal $]]-PROVEEDORES[[#This Row],[Rete Fuente $]]</f>
        <v>660753.00000000012</v>
      </c>
      <c r="S179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5" spans="1:19" ht="21.95" hidden="1" customHeight="1" x14ac:dyDescent="0.25">
      <c r="A1795" s="39" t="str">
        <f>+IF(PROVEEDORES[[#This Row],[FECHA DE PAGO]]=PROVEEDORES[[#This Row],[FECHA DE FACTURACIÓN]],"DE CONTADO","CRÉDITO")</f>
        <v>CRÉDITO</v>
      </c>
      <c r="B1795" s="67" t="b">
        <f>+IF((PROVEEDORES[[#This Row],[FECHA DE PAGO]]-PROVEEDORES[[#This Row],[FECHA DE FACTURACIÓN]])&gt;PROVEEDORES[[#This Row],[PLAZO Días]],"PAGO VENCIDO")</f>
        <v>0</v>
      </c>
      <c r="C1795" s="27">
        <f>+VLOOKUP(PROVEEDORES[[#This Row],[PROVEEDOR]],TERCEROS_INFO[#All],2,FALSE)</f>
        <v>30</v>
      </c>
      <c r="D1795" s="37">
        <f>+SUMIFS(PROVEEDORES[Total],PROVEEDORES[PROVEEDOR],PROVEEDORES[[#This Row],[PROVEEDOR]],PROVEEDORES[FECHA DE PAGO],"")</f>
        <v>0</v>
      </c>
      <c r="E1795" s="37"/>
      <c r="F1795" s="108" t="str">
        <f>+VLOOKUP(PROVEEDORES[[#This Row],[PROVEEDOR]],TERCEROS_INFO[[PROVEEDOR]:[CORREO]],5,FALSE)</f>
        <v>cxc11@unitecusa.com.co;jefecartera@unitecusa.com.co;girlesa.ruiz@servipilas.com;joriescobar64@gmail.com</v>
      </c>
      <c r="G1795" s="143">
        <v>43848</v>
      </c>
      <c r="H1795" s="38" t="s">
        <v>14</v>
      </c>
      <c r="I1795" s="30">
        <v>44181</v>
      </c>
      <c r="J1795" s="58" t="s">
        <v>207</v>
      </c>
      <c r="K1795" s="32">
        <v>681317.64705882361</v>
      </c>
      <c r="L1795" s="32"/>
      <c r="M1795" s="33">
        <f>(PROVEEDORES[[#This Row],[SUBTOTAL]]-PROVEEDORES[[#This Row],[descuento antes de IVA]])*VLOOKUP(PROVEEDORES[[#This Row],[PROVEEDOR]],TERCEROS_INFO[#All],3,FALSE)</f>
        <v>129450.35294117649</v>
      </c>
      <c r="N1795" s="34"/>
      <c r="O1795" s="33">
        <f>+PROVEEDORES[[#This Row],[Descuento sobre subtotal %]]*(PROVEEDORES[[#This Row],[SUBTOTAL]]-PROVEEDORES[[#This Row],[descuento antes de IVA]])</f>
        <v>0</v>
      </c>
      <c r="P179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5" s="33">
        <f>+(PROVEEDORES[[#This Row],[SUBTOTAL]]-PROVEEDORES[[#This Row],[descuento antes de IVA]])*PROVEEDORES[[#This Row],[Rete Fuente %]]</f>
        <v>0</v>
      </c>
      <c r="R1795" s="32">
        <f>+PROVEEDORES[[#This Row],[SUBTOTAL]]+PROVEEDORES[[#This Row],[IVA 19%]]-PROVEEDORES[[#This Row],[descuento antes de IVA]]-PROVEEDORES[[#This Row],[Descuento sobre subtotal $]]-PROVEEDORES[[#This Row],[Rete Fuente $]]</f>
        <v>810768.00000000012</v>
      </c>
      <c r="S179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6" spans="1:19" ht="21.95" hidden="1" customHeight="1" x14ac:dyDescent="0.25">
      <c r="A1796" s="88" t="str">
        <f>+IF(PROVEEDORES[[#This Row],[FECHA DE PAGO]]=PROVEEDORES[[#This Row],[FECHA DE FACTURACIÓN]],"DE CONTADO","CRÉDITO")</f>
        <v>CRÉDITO</v>
      </c>
      <c r="B1796" s="70" t="str">
        <f>+IF((PROVEEDORES[[#This Row],[FECHA DE PAGO]]-PROVEEDORES[[#This Row],[FECHA DE FACTURACIÓN]])&gt;PROVEEDORES[[#This Row],[PLAZO Días]],"PAGO VENCIDO")</f>
        <v>PAGO VENCIDO</v>
      </c>
      <c r="C1796" s="27">
        <f>+VLOOKUP(PROVEEDORES[[#This Row],[PROVEEDOR]],TERCEROS_INFO[#All],2,FALSE)</f>
        <v>30</v>
      </c>
      <c r="D1796" s="37">
        <f>+SUMIFS(PROVEEDORES[Total],PROVEEDORES[PROVEEDOR],PROVEEDORES[[#This Row],[PROVEEDOR]],PROVEEDORES[FECHA DE PAGO],"")</f>
        <v>0</v>
      </c>
      <c r="E1796" s="37" t="s">
        <v>529</v>
      </c>
      <c r="F1796" s="108" t="str">
        <f>+VLOOKUP(PROVEEDORES[[#This Row],[PROVEEDOR]],TERCEROS_INFO[[PROVEEDOR]:[CORREO]],5,FALSE)</f>
        <v>cxc11@unitecusa.com.co;jefecartera@unitecusa.com.co;girlesa.ruiz@servipilas.com;joriescobar64@gmail.com</v>
      </c>
      <c r="G1796" s="143">
        <v>44271</v>
      </c>
      <c r="H1796" s="38" t="s">
        <v>14</v>
      </c>
      <c r="I1796" s="30">
        <v>44237</v>
      </c>
      <c r="J1796" s="58" t="s">
        <v>528</v>
      </c>
      <c r="K1796" s="32">
        <v>174202</v>
      </c>
      <c r="L1796" s="32"/>
      <c r="M1796" s="33">
        <f>(PROVEEDORES[[#This Row],[SUBTOTAL]]-PROVEEDORES[[#This Row],[descuento antes de IVA]])*VLOOKUP(PROVEEDORES[[#This Row],[PROVEEDOR]],TERCEROS_INFO[#All],3,FALSE)</f>
        <v>33098.379999999997</v>
      </c>
      <c r="N1796" s="34"/>
      <c r="O1796" s="33">
        <f>+PROVEEDORES[[#This Row],[Descuento sobre subtotal %]]*(PROVEEDORES[[#This Row],[SUBTOTAL]]-PROVEEDORES[[#This Row],[descuento antes de IVA]])</f>
        <v>0</v>
      </c>
      <c r="P179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6" s="33">
        <f>+(PROVEEDORES[[#This Row],[SUBTOTAL]]-PROVEEDORES[[#This Row],[descuento antes de IVA]])*PROVEEDORES[[#This Row],[Rete Fuente %]]</f>
        <v>0</v>
      </c>
      <c r="R1796" s="32">
        <f>+PROVEEDORES[[#This Row],[SUBTOTAL]]+PROVEEDORES[[#This Row],[IVA 19%]]-PROVEEDORES[[#This Row],[descuento antes de IVA]]-PROVEEDORES[[#This Row],[Descuento sobre subtotal $]]-PROVEEDORES[[#This Row],[Rete Fuente $]]</f>
        <v>207300.38</v>
      </c>
      <c r="S179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7" spans="1:19" ht="21.95" hidden="1" customHeight="1" x14ac:dyDescent="0.25">
      <c r="A1797" s="39" t="str">
        <f>+IF(PROVEEDORES[[#This Row],[FECHA DE PAGO]]=PROVEEDORES[[#This Row],[FECHA DE FACTURACIÓN]],"DE CONTADO","CRÉDITO")</f>
        <v>CRÉDITO</v>
      </c>
      <c r="B1797" s="67" t="b">
        <f>+IF((PROVEEDORES[[#This Row],[FECHA DE PAGO]]-PROVEEDORES[[#This Row],[FECHA DE FACTURACIÓN]])&gt;PROVEEDORES[[#This Row],[PLAZO Días]],"PAGO VENCIDO")</f>
        <v>0</v>
      </c>
      <c r="C1797" s="27">
        <f>+VLOOKUP(PROVEEDORES[[#This Row],[PROVEEDOR]],TERCEROS_INFO[#All],2,FALSE)</f>
        <v>30</v>
      </c>
      <c r="D1797" s="37">
        <f>+SUMIFS(PROVEEDORES[Total],PROVEEDORES[PROVEEDOR],PROVEEDORES[[#This Row],[PROVEEDOR]],PROVEEDORES[FECHA DE PAGO],"")</f>
        <v>0</v>
      </c>
      <c r="E1797" s="37"/>
      <c r="F1797" s="108" t="str">
        <f>+VLOOKUP(PROVEEDORES[[#This Row],[PROVEEDOR]],TERCEROS_INFO[[PROVEEDOR]:[CORREO]],5,FALSE)</f>
        <v>cxc11@unitecusa.com.co;jefecartera@unitecusa.com.co;girlesa.ruiz@servipilas.com;joriescobar64@gmail.com</v>
      </c>
      <c r="G1797" s="143">
        <v>44264</v>
      </c>
      <c r="H1797" s="38" t="s">
        <v>14</v>
      </c>
      <c r="I1797" s="30">
        <v>44254</v>
      </c>
      <c r="J1797" s="58">
        <v>4881</v>
      </c>
      <c r="K1797" s="32">
        <v>377984</v>
      </c>
      <c r="L1797" s="32"/>
      <c r="M1797" s="33">
        <f>(PROVEEDORES[[#This Row],[SUBTOTAL]]-PROVEEDORES[[#This Row],[descuento antes de IVA]])*VLOOKUP(PROVEEDORES[[#This Row],[PROVEEDOR]],TERCEROS_INFO[#All],3,FALSE)</f>
        <v>71816.960000000006</v>
      </c>
      <c r="N1797" s="34"/>
      <c r="O1797" s="33">
        <f>+PROVEEDORES[[#This Row],[Descuento sobre subtotal %]]*(PROVEEDORES[[#This Row],[SUBTOTAL]]-PROVEEDORES[[#This Row],[descuento antes de IVA]])</f>
        <v>0</v>
      </c>
      <c r="P179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7" s="33">
        <f>+(PROVEEDORES[[#This Row],[SUBTOTAL]]-PROVEEDORES[[#This Row],[descuento antes de IVA]])*PROVEEDORES[[#This Row],[Rete Fuente %]]</f>
        <v>0</v>
      </c>
      <c r="R1797" s="32">
        <f>+PROVEEDORES[[#This Row],[SUBTOTAL]]+PROVEEDORES[[#This Row],[IVA 19%]]-PROVEEDORES[[#This Row],[descuento antes de IVA]]-PROVEEDORES[[#This Row],[Descuento sobre subtotal $]]-PROVEEDORES[[#This Row],[Rete Fuente $]]</f>
        <v>449800.96000000002</v>
      </c>
      <c r="S179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8" spans="1:19" ht="21.95" hidden="1" customHeight="1" x14ac:dyDescent="0.25">
      <c r="A1798" s="103" t="str">
        <f>+IF(PROVEEDORES[[#This Row],[FECHA DE PAGO]]=PROVEEDORES[[#This Row],[FECHA DE FACTURACIÓN]],"DE CONTADO","CRÉDITO")</f>
        <v>CRÉDITO</v>
      </c>
      <c r="B1798" s="70" t="str">
        <f>+IF((PROVEEDORES[[#This Row],[FECHA DE PAGO]]-PROVEEDORES[[#This Row],[FECHA DE FACTURACIÓN]])&gt;PROVEEDORES[[#This Row],[PLAZO Días]],"PAGO VENCIDO")</f>
        <v>PAGO VENCIDO</v>
      </c>
      <c r="C1798" s="27">
        <f>+VLOOKUP(PROVEEDORES[[#This Row],[PROVEEDOR]],TERCEROS_INFO[#All],2,FALSE)</f>
        <v>30</v>
      </c>
      <c r="D1798" s="37">
        <f>+SUMIFS(PROVEEDORES[Total],PROVEEDORES[PROVEEDOR],PROVEEDORES[[#This Row],[PROVEEDOR]],PROVEEDORES[FECHA DE PAGO],"")</f>
        <v>0</v>
      </c>
      <c r="E1798" s="37"/>
      <c r="F1798" s="108" t="str">
        <f>+VLOOKUP(PROVEEDORES[[#This Row],[PROVEEDOR]],TERCEROS_INFO[[PROVEEDOR]:[CORREO]],5,FALSE)</f>
        <v>cxc11@unitecusa.com.co;jefecartera@unitecusa.com.co;girlesa.ruiz@servipilas.com;joriescobar64@gmail.com</v>
      </c>
      <c r="G1798" s="143">
        <v>44344</v>
      </c>
      <c r="H1798" s="38" t="s">
        <v>14</v>
      </c>
      <c r="I1798" s="30">
        <v>44308</v>
      </c>
      <c r="J1798" s="58" t="s">
        <v>610</v>
      </c>
      <c r="K1798" s="32">
        <v>202496</v>
      </c>
      <c r="L1798" s="32"/>
      <c r="M1798" s="33">
        <f>(PROVEEDORES[[#This Row],[SUBTOTAL]]-PROVEEDORES[[#This Row],[descuento antes de IVA]])*VLOOKUP(PROVEEDORES[[#This Row],[PROVEEDOR]],TERCEROS_INFO[#All],3,FALSE)</f>
        <v>38474.239999999998</v>
      </c>
      <c r="N1798" s="34"/>
      <c r="O1798" s="33">
        <f>+PROVEEDORES[[#This Row],[Descuento sobre subtotal %]]*(PROVEEDORES[[#This Row],[SUBTOTAL]]-PROVEEDORES[[#This Row],[descuento antes de IVA]])</f>
        <v>0</v>
      </c>
      <c r="P179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8" s="33">
        <f>+(PROVEEDORES[[#This Row],[SUBTOTAL]]-PROVEEDORES[[#This Row],[descuento antes de IVA]])*PROVEEDORES[[#This Row],[Rete Fuente %]]</f>
        <v>0</v>
      </c>
      <c r="R1798" s="32">
        <f>+PROVEEDORES[[#This Row],[SUBTOTAL]]+PROVEEDORES[[#This Row],[IVA 19%]]-PROVEEDORES[[#This Row],[descuento antes de IVA]]-PROVEEDORES[[#This Row],[Descuento sobre subtotal $]]-PROVEEDORES[[#This Row],[Rete Fuente $]]</f>
        <v>240970.23999999999</v>
      </c>
      <c r="S1798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799" spans="1:19" ht="21.95" hidden="1" customHeight="1" x14ac:dyDescent="0.25">
      <c r="A1799" s="35" t="str">
        <f>+IF(PROVEEDORES[[#This Row],[FECHA DE PAGO]]=PROVEEDORES[[#This Row],[FECHA DE FACTURACIÓN]],"DE CONTADO","CRÉDITO")</f>
        <v>CRÉDITO</v>
      </c>
      <c r="B1799" s="70" t="b">
        <f>+IF((PROVEEDORES[[#This Row],[FECHA DE PAGO]]-PROVEEDORES[[#This Row],[FECHA DE FACTURACIÓN]])&gt;PROVEEDORES[[#This Row],[PLAZO Días]],"PAGO VENCIDO")</f>
        <v>0</v>
      </c>
      <c r="C1799" s="27">
        <f>+VLOOKUP(PROVEEDORES[[#This Row],[PROVEEDOR]],TERCEROS_INFO[#All],2,FALSE)</f>
        <v>30</v>
      </c>
      <c r="D1799" s="37">
        <f>+SUMIFS(PROVEEDORES[Total],PROVEEDORES[PROVEEDOR],PROVEEDORES[[#This Row],[PROVEEDOR]],PROVEEDORES[FECHA DE PAGO],"")</f>
        <v>0</v>
      </c>
      <c r="E1799" s="37"/>
      <c r="F1799" s="108" t="str">
        <f>+VLOOKUP(PROVEEDORES[[#This Row],[PROVEEDOR]],TERCEROS_INFO[[PROVEEDOR]:[CORREO]],5,FALSE)</f>
        <v>cxc11@unitecusa.com.co;jefecartera@unitecusa.com.co;girlesa.ruiz@servipilas.com;joriescobar64@gmail.com</v>
      </c>
      <c r="G1799" s="143">
        <v>44389</v>
      </c>
      <c r="H1799" s="38" t="s">
        <v>14</v>
      </c>
      <c r="I1799" s="30">
        <v>44363</v>
      </c>
      <c r="J1799" s="58">
        <v>14498</v>
      </c>
      <c r="K1799" s="32">
        <v>154542</v>
      </c>
      <c r="L1799" s="32"/>
      <c r="M1799" s="33">
        <f>(PROVEEDORES[[#This Row],[SUBTOTAL]]-PROVEEDORES[[#This Row],[descuento antes de IVA]])*VLOOKUP(PROVEEDORES[[#This Row],[PROVEEDOR]],TERCEROS_INFO[#All],3,FALSE)</f>
        <v>29362.98</v>
      </c>
      <c r="N1799" s="34"/>
      <c r="O1799" s="33">
        <f>+PROVEEDORES[[#This Row],[Descuento sobre subtotal %]]*(PROVEEDORES[[#This Row],[SUBTOTAL]]-PROVEEDORES[[#This Row],[descuento antes de IVA]])</f>
        <v>0</v>
      </c>
      <c r="P179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799" s="33">
        <f>+(PROVEEDORES[[#This Row],[SUBTOTAL]]-PROVEEDORES[[#This Row],[descuento antes de IVA]])*PROVEEDORES[[#This Row],[Rete Fuente %]]</f>
        <v>0</v>
      </c>
      <c r="R1799" s="32">
        <f>+PROVEEDORES[[#This Row],[SUBTOTAL]]+PROVEEDORES[[#This Row],[IVA 19%]]-PROVEEDORES[[#This Row],[descuento antes de IVA]]-PROVEEDORES[[#This Row],[Descuento sobre subtotal $]]-PROVEEDORES[[#This Row],[Rete Fuente $]]</f>
        <v>183904.98</v>
      </c>
      <c r="S179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0" spans="1:19" ht="21.95" hidden="1" customHeight="1" x14ac:dyDescent="0.25">
      <c r="A1800" s="127" t="str">
        <f>+IF(PROVEEDORES[[#This Row],[FECHA DE PAGO]]=PROVEEDORES[[#This Row],[FECHA DE FACTURACIÓN]],"DE CONTADO","CRÉDITO")</f>
        <v>CRÉDITO</v>
      </c>
      <c r="B1800" s="70" t="b">
        <f>+IF((PROVEEDORES[[#This Row],[FECHA DE PAGO]]-PROVEEDORES[[#This Row],[FECHA DE FACTURACIÓN]])&gt;PROVEEDORES[[#This Row],[PLAZO Días]],"PAGO VENCIDO")</f>
        <v>0</v>
      </c>
      <c r="C1800" s="27">
        <f>+VLOOKUP(PROVEEDORES[[#This Row],[PROVEEDOR]],TERCEROS_INFO[#All],2,FALSE)</f>
        <v>30</v>
      </c>
      <c r="D1800" s="37">
        <f>+SUMIFS(PROVEEDORES[Total],PROVEEDORES[PROVEEDOR],PROVEEDORES[[#This Row],[PROVEEDOR]],PROVEEDORES[FECHA DE PAGO],"")</f>
        <v>0</v>
      </c>
      <c r="E1800" s="37"/>
      <c r="F1800" s="108" t="str">
        <f>+VLOOKUP(PROVEEDORES[[#This Row],[PROVEEDOR]],TERCEROS_INFO[[PROVEEDOR]:[CORREO]],5,FALSE)</f>
        <v>cxc11@unitecusa.com.co;jefecartera@unitecusa.com.co;girlesa.ruiz@servipilas.com;joriescobar64@gmail.com</v>
      </c>
      <c r="G1800" s="143">
        <v>44389</v>
      </c>
      <c r="H1800" s="38" t="s">
        <v>14</v>
      </c>
      <c r="I1800" s="30">
        <v>44370</v>
      </c>
      <c r="J1800" s="58" t="s">
        <v>715</v>
      </c>
      <c r="K1800" s="32">
        <v>1237353</v>
      </c>
      <c r="L1800" s="32"/>
      <c r="M1800" s="33">
        <f>(PROVEEDORES[[#This Row],[SUBTOTAL]]-PROVEEDORES[[#This Row],[descuento antes de IVA]])*VLOOKUP(PROVEEDORES[[#This Row],[PROVEEDOR]],TERCEROS_INFO[#All],3,FALSE)</f>
        <v>235097.07</v>
      </c>
      <c r="N1800" s="34"/>
      <c r="O1800" s="33">
        <f>+PROVEEDORES[[#This Row],[Descuento sobre subtotal %]]*(PROVEEDORES[[#This Row],[SUBTOTAL]]-PROVEEDORES[[#This Row],[descuento antes de IVA]])</f>
        <v>0</v>
      </c>
      <c r="P180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00" s="33">
        <f>+(PROVEEDORES[[#This Row],[SUBTOTAL]]-PROVEEDORES[[#This Row],[descuento antes de IVA]])*PROVEEDORES[[#This Row],[Rete Fuente %]]</f>
        <v>30933.825000000001</v>
      </c>
      <c r="R1800" s="32">
        <f>+PROVEEDORES[[#This Row],[SUBTOTAL]]+PROVEEDORES[[#This Row],[IVA 19%]]-PROVEEDORES[[#This Row],[descuento antes de IVA]]-PROVEEDORES[[#This Row],[Descuento sobre subtotal $]]-PROVEEDORES[[#This Row],[Rete Fuente $]]</f>
        <v>1441516.2450000001</v>
      </c>
      <c r="S1800" s="12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1" spans="1:19" ht="21.95" hidden="1" customHeight="1" x14ac:dyDescent="0.25">
      <c r="A1801" s="134" t="str">
        <f>+IF(PROVEEDORES[[#This Row],[FECHA DE PAGO]]=PROVEEDORES[[#This Row],[FECHA DE FACTURACIÓN]],"DE CONTADO","CRÉDITO")</f>
        <v>CRÉDITO</v>
      </c>
      <c r="B1801" s="70" t="str">
        <f>+IF((PROVEEDORES[[#This Row],[FECHA DE PAGO]]-PROVEEDORES[[#This Row],[FECHA DE FACTURACIÓN]])&gt;PROVEEDORES[[#This Row],[PLAZO Días]],"PAGO VENCIDO")</f>
        <v>PAGO VENCIDO</v>
      </c>
      <c r="C1801" s="27">
        <f>+VLOOKUP(PROVEEDORES[[#This Row],[PROVEEDOR]],TERCEROS_INFO[#All],2,FALSE)</f>
        <v>30</v>
      </c>
      <c r="D1801" s="37">
        <f>+SUMIFS(PROVEEDORES[Total],PROVEEDORES[PROVEEDOR],PROVEEDORES[[#This Row],[PROVEEDOR]],PROVEEDORES[FECHA DE PAGO],"")</f>
        <v>0</v>
      </c>
      <c r="E1801" s="37"/>
      <c r="F1801" s="108" t="str">
        <f>+VLOOKUP(PROVEEDORES[[#This Row],[PROVEEDOR]],TERCEROS_INFO[[PROVEEDOR]:[CORREO]],5,FALSE)</f>
        <v>cxc11@unitecusa.com.co;jefecartera@unitecusa.com.co;girlesa.ruiz@servipilas.com;joriescobar64@gmail.com</v>
      </c>
      <c r="G1801" s="143">
        <v>44426</v>
      </c>
      <c r="H1801" s="38" t="s">
        <v>14</v>
      </c>
      <c r="I1801" s="30">
        <v>44392</v>
      </c>
      <c r="J1801" s="58" t="s">
        <v>756</v>
      </c>
      <c r="K1801" s="32">
        <v>142856</v>
      </c>
      <c r="L1801" s="32"/>
      <c r="M1801" s="33">
        <f>(PROVEEDORES[[#This Row],[SUBTOTAL]]-PROVEEDORES[[#This Row],[descuento antes de IVA]])*VLOOKUP(PROVEEDORES[[#This Row],[PROVEEDOR]],TERCEROS_INFO[#All],3,FALSE)</f>
        <v>27142.639999999999</v>
      </c>
      <c r="N1801" s="34"/>
      <c r="O1801" s="33">
        <f>+PROVEEDORES[[#This Row],[Descuento sobre subtotal %]]*(PROVEEDORES[[#This Row],[SUBTOTAL]]-PROVEEDORES[[#This Row],[descuento antes de IVA]])</f>
        <v>0</v>
      </c>
      <c r="P180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01" s="33">
        <f>+(PROVEEDORES[[#This Row],[SUBTOTAL]]-PROVEEDORES[[#This Row],[descuento antes de IVA]])*PROVEEDORES[[#This Row],[Rete Fuente %]]</f>
        <v>0</v>
      </c>
      <c r="R1801" s="32">
        <f>+PROVEEDORES[[#This Row],[SUBTOTAL]]+PROVEEDORES[[#This Row],[IVA 19%]]-PROVEEDORES[[#This Row],[descuento antes de IVA]]-PROVEEDORES[[#This Row],[Descuento sobre subtotal $]]-PROVEEDORES[[#This Row],[Rete Fuente $]]</f>
        <v>169998.64</v>
      </c>
      <c r="S1801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2" spans="1:19" ht="21.95" hidden="1" customHeight="1" x14ac:dyDescent="0.25">
      <c r="A1802" s="142" t="str">
        <f>+IF(PROVEEDORES[[#This Row],[FECHA DE PAGO]]=PROVEEDORES[[#This Row],[FECHA DE FACTURACIÓN]],"DE CONTADO","CRÉDITO")</f>
        <v>CRÉDITO</v>
      </c>
      <c r="B1802" s="70" t="str">
        <f>+IF((PROVEEDORES[[#This Row],[FECHA DE PAGO]]-PROVEEDORES[[#This Row],[FECHA DE FACTURACIÓN]])&gt;PROVEEDORES[[#This Row],[PLAZO Días]],"PAGO VENCIDO")</f>
        <v>PAGO VENCIDO</v>
      </c>
      <c r="C1802" s="27">
        <f>+VLOOKUP(PROVEEDORES[[#This Row],[PROVEEDOR]],TERCEROS_INFO[#All],2,FALSE)</f>
        <v>30</v>
      </c>
      <c r="D1802" s="37">
        <f>+SUMIFS(PROVEEDORES[Total],PROVEEDORES[PROVEEDOR],PROVEEDORES[[#This Row],[PROVEEDOR]],PROVEEDORES[FECHA DE PAGO],"")</f>
        <v>0</v>
      </c>
      <c r="E1802" s="37"/>
      <c r="F1802" s="108" t="str">
        <f>+VLOOKUP(PROVEEDORES[[#This Row],[PROVEEDOR]],TERCEROS_INFO[[PROVEEDOR]:[CORREO]],5,FALSE)</f>
        <v>cxc11@unitecusa.com.co;jefecartera@unitecusa.com.co;girlesa.ruiz@servipilas.com;joriescobar64@gmail.com</v>
      </c>
      <c r="G1802" s="143">
        <v>44461</v>
      </c>
      <c r="H1802" s="38" t="s">
        <v>14</v>
      </c>
      <c r="I1802" s="30">
        <v>44425</v>
      </c>
      <c r="J1802" s="58" t="s">
        <v>819</v>
      </c>
      <c r="K1802" s="32">
        <v>398992</v>
      </c>
      <c r="L1802" s="32"/>
      <c r="M1802" s="33">
        <f>(PROVEEDORES[[#This Row],[SUBTOTAL]]-PROVEEDORES[[#This Row],[descuento antes de IVA]])*VLOOKUP(PROVEEDORES[[#This Row],[PROVEEDOR]],TERCEROS_INFO[#All],3,FALSE)</f>
        <v>75808.479999999996</v>
      </c>
      <c r="N1802" s="34"/>
      <c r="O1802" s="33">
        <f>+PROVEEDORES[[#This Row],[Descuento sobre subtotal %]]*(PROVEEDORES[[#This Row],[SUBTOTAL]]-PROVEEDORES[[#This Row],[descuento antes de IVA]])</f>
        <v>0</v>
      </c>
      <c r="P180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02" s="33">
        <f>+(PROVEEDORES[[#This Row],[SUBTOTAL]]-PROVEEDORES[[#This Row],[descuento antes de IVA]])*PROVEEDORES[[#This Row],[Rete Fuente %]]</f>
        <v>0</v>
      </c>
      <c r="R1802" s="32">
        <f>+PROVEEDORES[[#This Row],[SUBTOTAL]]+PROVEEDORES[[#This Row],[IVA 19%]]-PROVEEDORES[[#This Row],[descuento antes de IVA]]-PROVEEDORES[[#This Row],[Descuento sobre subtotal $]]-PROVEEDORES[[#This Row],[Rete Fuente $]]</f>
        <v>474800.48</v>
      </c>
      <c r="S1802" s="14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3" spans="1:19" ht="21.95" hidden="1" customHeight="1" x14ac:dyDescent="0.25">
      <c r="A1803" s="165" t="str">
        <f>+IF(PROVEEDORES[[#This Row],[FECHA DE PAGO]]=PROVEEDORES[[#This Row],[FECHA DE FACTURACIÓN]],"DE CONTADO","CRÉDITO")</f>
        <v>CRÉDITO</v>
      </c>
      <c r="B1803" s="70" t="b">
        <f>+IF((PROVEEDORES[[#This Row],[FECHA DE PAGO]]-PROVEEDORES[[#This Row],[FECHA DE FACTURACIÓN]])&gt;PROVEEDORES[[#This Row],[PLAZO Días]],"PAGO VENCIDO")</f>
        <v>0</v>
      </c>
      <c r="C1803" s="27">
        <f>+VLOOKUP(PROVEEDORES[[#This Row],[PROVEEDOR]],TERCEROS_INFO[#All],2,FALSE)</f>
        <v>30</v>
      </c>
      <c r="D1803" s="37">
        <f>+SUMIFS(PROVEEDORES[Total],PROVEEDORES[PROVEEDOR],PROVEEDORES[[#This Row],[PROVEEDOR]],PROVEEDORES[FECHA DE PAGO],"")</f>
        <v>0</v>
      </c>
      <c r="E1803" s="37"/>
      <c r="F1803" s="108" t="str">
        <f>+VLOOKUP(PROVEEDORES[[#This Row],[PROVEEDOR]],TERCEROS_INFO[[PROVEEDOR]:[CORREO]],5,FALSE)</f>
        <v>cxc11@unitecusa.com.co;jefecartera@unitecusa.com.co;girlesa.ruiz@servipilas.com;joriescobar64@gmail.com</v>
      </c>
      <c r="G1803" s="143">
        <v>44533</v>
      </c>
      <c r="H1803" s="38" t="s">
        <v>14</v>
      </c>
      <c r="I1803" s="30">
        <v>44516</v>
      </c>
      <c r="J1803" s="58" t="s">
        <v>959</v>
      </c>
      <c r="K1803" s="32">
        <v>160672</v>
      </c>
      <c r="L1803" s="32"/>
      <c r="M1803" s="33">
        <f>(PROVEEDORES[[#This Row],[SUBTOTAL]]-PROVEEDORES[[#This Row],[descuento antes de IVA]])*VLOOKUP(PROVEEDORES[[#This Row],[PROVEEDOR]],TERCEROS_INFO[#All],3,FALSE)</f>
        <v>30527.68</v>
      </c>
      <c r="N1803" s="34"/>
      <c r="O1803" s="33">
        <f>+PROVEEDORES[[#This Row],[Descuento sobre subtotal %]]*(PROVEEDORES[[#This Row],[SUBTOTAL]]-PROVEEDORES[[#This Row],[descuento antes de IVA]])</f>
        <v>0</v>
      </c>
      <c r="P180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03" s="33">
        <f>+(PROVEEDORES[[#This Row],[SUBTOTAL]]-PROVEEDORES[[#This Row],[descuento antes de IVA]])*PROVEEDORES[[#This Row],[Rete Fuente %]]</f>
        <v>0</v>
      </c>
      <c r="R1803" s="32">
        <f>+PROVEEDORES[[#This Row],[SUBTOTAL]]+PROVEEDORES[[#This Row],[IVA 19%]]-PROVEEDORES[[#This Row],[descuento antes de IVA]]-PROVEEDORES[[#This Row],[Descuento sobre subtotal $]]-PROVEEDORES[[#This Row],[Rete Fuente $]]</f>
        <v>191199.68</v>
      </c>
      <c r="S1803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4" spans="1:19" ht="21.95" hidden="1" customHeight="1" x14ac:dyDescent="0.25">
      <c r="A1804" s="39" t="str">
        <f>+IF(PROVEEDORES[[#This Row],[FECHA DE PAGO]]=PROVEEDORES[[#This Row],[FECHA DE FACTURACIÓN]],"DE CONTADO","CRÉDITO")</f>
        <v>CRÉDITO</v>
      </c>
      <c r="B1804" s="67" t="b">
        <f>+IF((PROVEEDORES[[#This Row],[FECHA DE PAGO]]-PROVEEDORES[[#This Row],[FECHA DE FACTURACIÓN]])&gt;PROVEEDORES[[#This Row],[PLAZO Días]],"PAGO VENCIDO")</f>
        <v>0</v>
      </c>
      <c r="C1804" s="27">
        <f>+VLOOKUP(PROVEEDORES[[#This Row],[PROVEEDOR]],TERCEROS_INFO[#All],2,FALSE)</f>
        <v>30</v>
      </c>
      <c r="D1804" s="37">
        <f>+SUMIFS(PROVEEDORES[Total],PROVEEDORES[PROVEEDOR],PROVEEDORES[[#This Row],[PROVEEDOR]],PROVEEDORES[FECHA DE PAGO],"")</f>
        <v>0</v>
      </c>
      <c r="E1804" s="37"/>
      <c r="F1804" s="108" t="str">
        <f>+VLOOKUP(PROVEEDORES[[#This Row],[PROVEEDOR]],TERCEROS_INFO[[PROVEEDOR]:[CORREO]],5,FALSE)</f>
        <v/>
      </c>
      <c r="G1804" s="143">
        <v>44095</v>
      </c>
      <c r="H1804" s="38" t="s">
        <v>144</v>
      </c>
      <c r="I1804" s="30">
        <v>44079</v>
      </c>
      <c r="J1804" s="58"/>
      <c r="K1804" s="32">
        <v>50420.168067226892</v>
      </c>
      <c r="L1804" s="32"/>
      <c r="M1804" s="33">
        <f>(PROVEEDORES[[#This Row],[SUBTOTAL]]-PROVEEDORES[[#This Row],[descuento antes de IVA]])*VLOOKUP(PROVEEDORES[[#This Row],[PROVEEDOR]],TERCEROS_INFO[#All],3,FALSE)</f>
        <v>9579.8319327731097</v>
      </c>
      <c r="N1804" s="34"/>
      <c r="O1804" s="33">
        <f>+PROVEEDORES[[#This Row],[Descuento sobre subtotal %]]*(PROVEEDORES[[#This Row],[SUBTOTAL]]-PROVEEDORES[[#This Row],[descuento antes de IVA]])</f>
        <v>0</v>
      </c>
      <c r="P180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04" s="33">
        <f>+(PROVEEDORES[[#This Row],[SUBTOTAL]]-PROVEEDORES[[#This Row],[descuento antes de IVA]])*PROVEEDORES[[#This Row],[Rete Fuente %]]</f>
        <v>0</v>
      </c>
      <c r="R1804" s="32">
        <f>+PROVEEDORES[[#This Row],[SUBTOTAL]]+PROVEEDORES[[#This Row],[IVA 19%]]-PROVEEDORES[[#This Row],[descuento antes de IVA]]-PROVEEDORES[[#This Row],[Descuento sobre subtotal $]]-PROVEEDORES[[#This Row],[Rete Fuente $]]</f>
        <v>60000</v>
      </c>
      <c r="S180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5" spans="1:19" ht="21.95" hidden="1" customHeight="1" x14ac:dyDescent="0.25">
      <c r="A1805" s="39" t="str">
        <f>+IF(PROVEEDORES[[#This Row],[FECHA DE PAGO]]=PROVEEDORES[[#This Row],[FECHA DE FACTURACIÓN]],"DE CONTADO","CRÉDITO")</f>
        <v>CRÉDITO</v>
      </c>
      <c r="B1805" s="67" t="str">
        <f>+IF((PROVEEDORES[[#This Row],[FECHA DE PAGO]]-PROVEEDORES[[#This Row],[FECHA DE FACTURACIÓN]])&gt;PROVEEDORES[[#This Row],[PLAZO Días]],"PAGO VENCIDO")</f>
        <v>PAGO VENCIDO</v>
      </c>
      <c r="C1805" s="27">
        <f>+VLOOKUP(PROVEEDORES[[#This Row],[PROVEEDOR]],TERCEROS_INFO[#All],2,FALSE)</f>
        <v>30</v>
      </c>
      <c r="D1805" s="37">
        <f>+SUMIFS(PROVEEDORES[Total],PROVEEDORES[PROVEEDOR],PROVEEDORES[[#This Row],[PROVEEDOR]],PROVEEDORES[FECHA DE PAGO],"")</f>
        <v>0</v>
      </c>
      <c r="E1805" s="37"/>
      <c r="F1805" s="108" t="str">
        <f>+VLOOKUP(PROVEEDORES[[#This Row],[PROVEEDOR]],TERCEROS_INFO[[PROVEEDOR]:[CORREO]],5,FALSE)</f>
        <v>apresupuesto@widexcolombia.com;girlesa.ruiz@servipilas.com;joriescobar64@gmail.com</v>
      </c>
      <c r="G1805" s="143">
        <v>43892</v>
      </c>
      <c r="H1805" s="38" t="s">
        <v>11</v>
      </c>
      <c r="I1805" s="30">
        <v>43839</v>
      </c>
      <c r="J1805" s="58">
        <v>4025</v>
      </c>
      <c r="K1805" s="32">
        <v>92436.97478991597</v>
      </c>
      <c r="L1805" s="32"/>
      <c r="M1805" s="33">
        <f>(PROVEEDORES[[#This Row],[SUBTOTAL]]-PROVEEDORES[[#This Row],[descuento antes de IVA]])*VLOOKUP(PROVEEDORES[[#This Row],[PROVEEDOR]],TERCEROS_INFO[#All],3,FALSE)</f>
        <v>17563.025210084033</v>
      </c>
      <c r="N1805" s="34"/>
      <c r="O1805" s="33">
        <f>+PROVEEDORES[[#This Row],[Descuento sobre subtotal %]]*(PROVEEDORES[[#This Row],[SUBTOTAL]]-PROVEEDORES[[#This Row],[descuento antes de IVA]])</f>
        <v>0</v>
      </c>
      <c r="P180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05" s="33">
        <f>+(PROVEEDORES[[#This Row],[SUBTOTAL]]-PROVEEDORES[[#This Row],[descuento antes de IVA]])*PROVEEDORES[[#This Row],[Rete Fuente %]]</f>
        <v>0</v>
      </c>
      <c r="R1805" s="32">
        <f>+PROVEEDORES[[#This Row],[SUBTOTAL]]+PROVEEDORES[[#This Row],[IVA 19%]]-PROVEEDORES[[#This Row],[descuento antes de IVA]]-PROVEEDORES[[#This Row],[Descuento sobre subtotal $]]-PROVEEDORES[[#This Row],[Rete Fuente $]]</f>
        <v>110000</v>
      </c>
      <c r="S180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6" spans="1:19" ht="21.95" hidden="1" customHeight="1" x14ac:dyDescent="0.25">
      <c r="A1806" s="39" t="str">
        <f>+IF(PROVEEDORES[[#This Row],[FECHA DE PAGO]]=PROVEEDORES[[#This Row],[FECHA DE FACTURACIÓN]],"DE CONTADO","CRÉDITO")</f>
        <v>CRÉDITO</v>
      </c>
      <c r="B1806" s="67" t="str">
        <f>+IF((PROVEEDORES[[#This Row],[FECHA DE PAGO]]-PROVEEDORES[[#This Row],[FECHA DE FACTURACIÓN]])&gt;PROVEEDORES[[#This Row],[PLAZO Días]],"PAGO VENCIDO")</f>
        <v>PAGO VENCIDO</v>
      </c>
      <c r="C1806" s="27">
        <f>+VLOOKUP(PROVEEDORES[[#This Row],[PROVEEDOR]],TERCEROS_INFO[#All],2,FALSE)</f>
        <v>30</v>
      </c>
      <c r="D1806" s="37">
        <f>+SUMIFS(PROVEEDORES[Total],PROVEEDORES[PROVEEDOR],PROVEEDORES[[#This Row],[PROVEEDOR]],PROVEEDORES[FECHA DE PAGO],"")</f>
        <v>0</v>
      </c>
      <c r="E1806" s="37"/>
      <c r="F1806" s="108" t="str">
        <f>+VLOOKUP(PROVEEDORES[[#This Row],[PROVEEDOR]],TERCEROS_INFO[[PROVEEDOR]:[CORREO]],5,FALSE)</f>
        <v>apresupuesto@widexcolombia.com;girlesa.ruiz@servipilas.com;joriescobar64@gmail.com</v>
      </c>
      <c r="G1806" s="143">
        <v>43892</v>
      </c>
      <c r="H1806" s="38" t="s">
        <v>11</v>
      </c>
      <c r="I1806" s="30">
        <v>43846</v>
      </c>
      <c r="J1806" s="58">
        <v>4110</v>
      </c>
      <c r="K1806" s="32">
        <v>3960000</v>
      </c>
      <c r="L1806" s="32"/>
      <c r="M1806" s="33">
        <f>(PROVEEDORES[[#This Row],[SUBTOTAL]]-PROVEEDORES[[#This Row],[descuento antes de IVA]])*VLOOKUP(PROVEEDORES[[#This Row],[PROVEEDOR]],TERCEROS_INFO[#All],3,FALSE)</f>
        <v>752400</v>
      </c>
      <c r="N1806" s="34"/>
      <c r="O1806" s="33">
        <f>+PROVEEDORES[[#This Row],[Descuento sobre subtotal %]]*(PROVEEDORES[[#This Row],[SUBTOTAL]]-PROVEEDORES[[#This Row],[descuento antes de IVA]])</f>
        <v>0</v>
      </c>
      <c r="P180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06" s="33">
        <f>+(PROVEEDORES[[#This Row],[SUBTOTAL]]-PROVEEDORES[[#This Row],[descuento antes de IVA]])*PROVEEDORES[[#This Row],[Rete Fuente %]]</f>
        <v>99000</v>
      </c>
      <c r="R1806" s="32">
        <f>+PROVEEDORES[[#This Row],[SUBTOTAL]]+PROVEEDORES[[#This Row],[IVA 19%]]-PROVEEDORES[[#This Row],[descuento antes de IVA]]-PROVEEDORES[[#This Row],[Descuento sobre subtotal $]]-PROVEEDORES[[#This Row],[Rete Fuente $]]</f>
        <v>4613400</v>
      </c>
      <c r="S180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7" spans="1:19" ht="21.95" hidden="1" customHeight="1" x14ac:dyDescent="0.25">
      <c r="A1807" s="39" t="str">
        <f>+IF(PROVEEDORES[[#This Row],[FECHA DE PAGO]]=PROVEEDORES[[#This Row],[FECHA DE FACTURACIÓN]],"DE CONTADO","CRÉDITO")</f>
        <v>CRÉDITO</v>
      </c>
      <c r="B1807" s="67" t="str">
        <f>+IF((PROVEEDORES[[#This Row],[FECHA DE PAGO]]-PROVEEDORES[[#This Row],[FECHA DE FACTURACIÓN]])&gt;PROVEEDORES[[#This Row],[PLAZO Días]],"PAGO VENCIDO")</f>
        <v>PAGO VENCIDO</v>
      </c>
      <c r="C1807" s="27">
        <f>+VLOOKUP(PROVEEDORES[[#This Row],[PROVEEDOR]],TERCEROS_INFO[#All],2,FALSE)</f>
        <v>30</v>
      </c>
      <c r="D1807" s="37">
        <f>+SUMIFS(PROVEEDORES[Total],PROVEEDORES[PROVEEDOR],PROVEEDORES[[#This Row],[PROVEEDOR]],PROVEEDORES[FECHA DE PAGO],"")</f>
        <v>0</v>
      </c>
      <c r="E1807" s="37"/>
      <c r="F1807" s="108" t="str">
        <f>+VLOOKUP(PROVEEDORES[[#This Row],[PROVEEDOR]],TERCEROS_INFO[[PROVEEDOR]:[CORREO]],5,FALSE)</f>
        <v>apresupuesto@widexcolombia.com;girlesa.ruiz@servipilas.com;joriescobar64@gmail.com</v>
      </c>
      <c r="G1807" s="143">
        <v>43901</v>
      </c>
      <c r="H1807" s="38" t="s">
        <v>11</v>
      </c>
      <c r="I1807" s="30">
        <v>43859</v>
      </c>
      <c r="J1807" s="58">
        <v>4192</v>
      </c>
      <c r="K1807" s="32">
        <v>2310000</v>
      </c>
      <c r="L1807" s="32"/>
      <c r="M1807" s="33">
        <f>(PROVEEDORES[[#This Row],[SUBTOTAL]]-PROVEEDORES[[#This Row],[descuento antes de IVA]])*VLOOKUP(PROVEEDORES[[#This Row],[PROVEEDOR]],TERCEROS_INFO[#All],3,FALSE)</f>
        <v>438900</v>
      </c>
      <c r="N1807" s="34"/>
      <c r="O1807" s="33">
        <f>+PROVEEDORES[[#This Row],[Descuento sobre subtotal %]]*(PROVEEDORES[[#This Row],[SUBTOTAL]]-PROVEEDORES[[#This Row],[descuento antes de IVA]])</f>
        <v>0</v>
      </c>
      <c r="P180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07" s="33">
        <f>+(PROVEEDORES[[#This Row],[SUBTOTAL]]-PROVEEDORES[[#This Row],[descuento antes de IVA]])*PROVEEDORES[[#This Row],[Rete Fuente %]]</f>
        <v>57750</v>
      </c>
      <c r="R1807" s="32">
        <f>+PROVEEDORES[[#This Row],[SUBTOTAL]]+PROVEEDORES[[#This Row],[IVA 19%]]-PROVEEDORES[[#This Row],[descuento antes de IVA]]-PROVEEDORES[[#This Row],[Descuento sobre subtotal $]]-PROVEEDORES[[#This Row],[Rete Fuente $]]</f>
        <v>2691150</v>
      </c>
      <c r="S180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8" spans="1:19" ht="21.95" hidden="1" customHeight="1" x14ac:dyDescent="0.25">
      <c r="A1808" s="39" t="str">
        <f>+IF(PROVEEDORES[[#This Row],[FECHA DE PAGO]]=PROVEEDORES[[#This Row],[FECHA DE FACTURACIÓN]],"DE CONTADO","CRÉDITO")</f>
        <v>CRÉDITO</v>
      </c>
      <c r="B1808" s="67" t="b">
        <f>+IF((PROVEEDORES[[#This Row],[FECHA DE PAGO]]-PROVEEDORES[[#This Row],[FECHA DE FACTURACIÓN]])&gt;PROVEEDORES[[#This Row],[PLAZO Días]],"PAGO VENCIDO")</f>
        <v>0</v>
      </c>
      <c r="C1808" s="27">
        <f>+VLOOKUP(PROVEEDORES[[#This Row],[PROVEEDOR]],TERCEROS_INFO[#All],2,FALSE)</f>
        <v>30</v>
      </c>
      <c r="D1808" s="37">
        <f>+SUMIFS(PROVEEDORES[Total],PROVEEDORES[PROVEEDOR],PROVEEDORES[[#This Row],[PROVEEDOR]],PROVEEDORES[FECHA DE PAGO],"")</f>
        <v>0</v>
      </c>
      <c r="E1808" s="37" t="s">
        <v>375</v>
      </c>
      <c r="F1808" s="108" t="str">
        <f>+VLOOKUP(PROVEEDORES[[#This Row],[PROVEEDOR]],TERCEROS_INFO[[PROVEEDOR]:[CORREO]],5,FALSE)</f>
        <v>apresupuesto@widexcolombia.com;girlesa.ruiz@servipilas.com;joriescobar64@gmail.com</v>
      </c>
      <c r="G1808" s="143">
        <v>43901</v>
      </c>
      <c r="H1808" s="38" t="s">
        <v>11</v>
      </c>
      <c r="I1808" s="30">
        <v>43892</v>
      </c>
      <c r="J1808" s="58" t="s">
        <v>1028</v>
      </c>
      <c r="K1808" s="32">
        <v>-17563.025210084033</v>
      </c>
      <c r="L1808" s="32"/>
      <c r="M1808" s="33">
        <f>(PROVEEDORES[[#This Row],[SUBTOTAL]]-PROVEEDORES[[#This Row],[descuento antes de IVA]])*VLOOKUP(PROVEEDORES[[#This Row],[PROVEEDOR]],TERCEROS_INFO[#All],3,FALSE)</f>
        <v>-3336.9747899159665</v>
      </c>
      <c r="N1808" s="34"/>
      <c r="O1808" s="33">
        <f>+PROVEEDORES[[#This Row],[Descuento sobre subtotal %]]*(PROVEEDORES[[#This Row],[SUBTOTAL]]-PROVEEDORES[[#This Row],[descuento antes de IVA]])</f>
        <v>0</v>
      </c>
      <c r="P180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08" s="33">
        <f>+(PROVEEDORES[[#This Row],[SUBTOTAL]]-PROVEEDORES[[#This Row],[descuento antes de IVA]])*PROVEEDORES[[#This Row],[Rete Fuente %]]</f>
        <v>0</v>
      </c>
      <c r="R1808" s="32">
        <f>+PROVEEDORES[[#This Row],[SUBTOTAL]]+PROVEEDORES[[#This Row],[IVA 19%]]-PROVEEDORES[[#This Row],[descuento antes de IVA]]-PROVEEDORES[[#This Row],[Descuento sobre subtotal $]]-PROVEEDORES[[#This Row],[Rete Fuente $]]</f>
        <v>-20900</v>
      </c>
      <c r="S180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09" spans="1:19" ht="21.95" hidden="1" customHeight="1" x14ac:dyDescent="0.25">
      <c r="A1809" s="39" t="str">
        <f>+IF(PROVEEDORES[[#This Row],[FECHA DE PAGO]]=PROVEEDORES[[#This Row],[FECHA DE FACTURACIÓN]],"DE CONTADO","CRÉDITO")</f>
        <v>CRÉDITO</v>
      </c>
      <c r="B1809" s="67" t="b">
        <f>+IF((PROVEEDORES[[#This Row],[FECHA DE PAGO]]-PROVEEDORES[[#This Row],[FECHA DE FACTURACIÓN]])&gt;PROVEEDORES[[#This Row],[PLAZO Días]],"PAGO VENCIDO")</f>
        <v>0</v>
      </c>
      <c r="C1809" s="27">
        <f>+VLOOKUP(PROVEEDORES[[#This Row],[PROVEEDOR]],TERCEROS_INFO[#All],2,FALSE)</f>
        <v>30</v>
      </c>
      <c r="D1809" s="37">
        <f>+SUMIFS(PROVEEDORES[Total],PROVEEDORES[PROVEEDOR],PROVEEDORES[[#This Row],[PROVEEDOR]],PROVEEDORES[FECHA DE PAGO],"")</f>
        <v>0</v>
      </c>
      <c r="E1809" s="37"/>
      <c r="F1809" s="108" t="str">
        <f>+VLOOKUP(PROVEEDORES[[#This Row],[PROVEEDOR]],TERCEROS_INFO[[PROVEEDOR]:[CORREO]],5,FALSE)</f>
        <v>apresupuesto@widexcolombia.com;girlesa.ruiz@servipilas.com;joriescobar64@gmail.com</v>
      </c>
      <c r="G1809" s="143">
        <v>43920</v>
      </c>
      <c r="H1809" s="38" t="s">
        <v>11</v>
      </c>
      <c r="I1809" s="30">
        <v>43893</v>
      </c>
      <c r="J1809" s="58">
        <v>4477</v>
      </c>
      <c r="K1809" s="32">
        <v>2164873.9495798321</v>
      </c>
      <c r="L1809" s="32"/>
      <c r="M1809" s="33">
        <f>(PROVEEDORES[[#This Row],[SUBTOTAL]]-PROVEEDORES[[#This Row],[descuento antes de IVA]])*VLOOKUP(PROVEEDORES[[#This Row],[PROVEEDOR]],TERCEROS_INFO[#All],3,FALSE)</f>
        <v>411326.05042016809</v>
      </c>
      <c r="N1809" s="34"/>
      <c r="O1809" s="33">
        <f>+PROVEEDORES[[#This Row],[Descuento sobre subtotal %]]*(PROVEEDORES[[#This Row],[SUBTOTAL]]-PROVEEDORES[[#This Row],[descuento antes de IVA]])</f>
        <v>0</v>
      </c>
      <c r="P180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09" s="33">
        <f>+(PROVEEDORES[[#This Row],[SUBTOTAL]]-PROVEEDORES[[#This Row],[descuento antes de IVA]])*PROVEEDORES[[#This Row],[Rete Fuente %]]</f>
        <v>54121.848739495807</v>
      </c>
      <c r="R1809" s="32">
        <f>+PROVEEDORES[[#This Row],[SUBTOTAL]]+PROVEEDORES[[#This Row],[IVA 19%]]-PROVEEDORES[[#This Row],[descuento antes de IVA]]-PROVEEDORES[[#This Row],[Descuento sobre subtotal $]]-PROVEEDORES[[#This Row],[Rete Fuente $]]</f>
        <v>2522078.151260504</v>
      </c>
      <c r="S180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0" spans="1:19" ht="21.95" hidden="1" customHeight="1" x14ac:dyDescent="0.25">
      <c r="A1810" s="39" t="str">
        <f>+IF(PROVEEDORES[[#This Row],[FECHA DE PAGO]]=PROVEEDORES[[#This Row],[FECHA DE FACTURACIÓN]],"DE CONTADO","CRÉDITO")</f>
        <v>CRÉDITO</v>
      </c>
      <c r="B1810" s="67" t="str">
        <f>+IF((PROVEEDORES[[#This Row],[FECHA DE PAGO]]-PROVEEDORES[[#This Row],[FECHA DE FACTURACIÓN]])&gt;PROVEEDORES[[#This Row],[PLAZO Días]],"PAGO VENCIDO")</f>
        <v>PAGO VENCIDO</v>
      </c>
      <c r="C1810" s="27">
        <f>+VLOOKUP(PROVEEDORES[[#This Row],[PROVEEDOR]],TERCEROS_INFO[#All],2,FALSE)</f>
        <v>30</v>
      </c>
      <c r="D1810" s="37">
        <f>+SUMIFS(PROVEEDORES[Total],PROVEEDORES[PROVEEDOR],PROVEEDORES[[#This Row],[PROVEEDOR]],PROVEEDORES[FECHA DE PAGO],"")</f>
        <v>0</v>
      </c>
      <c r="E1810" s="37" t="s">
        <v>376</v>
      </c>
      <c r="F1810" s="108" t="str">
        <f>+VLOOKUP(PROVEEDORES[[#This Row],[PROVEEDOR]],TERCEROS_INFO[[PROVEEDOR]:[CORREO]],5,FALSE)</f>
        <v>apresupuesto@widexcolombia.com;girlesa.ruiz@servipilas.com;joriescobar64@gmail.com</v>
      </c>
      <c r="G1810" s="143">
        <v>44118</v>
      </c>
      <c r="H1810" s="38" t="s">
        <v>11</v>
      </c>
      <c r="I1810" s="30">
        <v>43901</v>
      </c>
      <c r="J1810" s="58">
        <v>4792</v>
      </c>
      <c r="K1810" s="32">
        <v>320294.11764705885</v>
      </c>
      <c r="L1810" s="32"/>
      <c r="M1810" s="33">
        <f>(PROVEEDORES[[#This Row],[SUBTOTAL]]-PROVEEDORES[[#This Row],[descuento antes de IVA]])*VLOOKUP(PROVEEDORES[[#This Row],[PROVEEDOR]],TERCEROS_INFO[#All],3,FALSE)</f>
        <v>60855.882352941182</v>
      </c>
      <c r="N1810" s="34"/>
      <c r="O1810" s="33">
        <f>+PROVEEDORES[[#This Row],[Descuento sobre subtotal %]]*(PROVEEDORES[[#This Row],[SUBTOTAL]]-PROVEEDORES[[#This Row],[descuento antes de IVA]])</f>
        <v>0</v>
      </c>
      <c r="P181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10" s="33">
        <f>+(PROVEEDORES[[#This Row],[SUBTOTAL]]-PROVEEDORES[[#This Row],[descuento antes de IVA]])*PROVEEDORES[[#This Row],[Rete Fuente %]]</f>
        <v>0</v>
      </c>
      <c r="R1810" s="32">
        <f>+PROVEEDORES[[#This Row],[SUBTOTAL]]+PROVEEDORES[[#This Row],[IVA 19%]]-PROVEEDORES[[#This Row],[descuento antes de IVA]]-PROVEEDORES[[#This Row],[Descuento sobre subtotal $]]-PROVEEDORES[[#This Row],[Rete Fuente $]]</f>
        <v>381150.00000000006</v>
      </c>
      <c r="S181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1" spans="1:19" ht="21.95" hidden="1" customHeight="1" x14ac:dyDescent="0.25">
      <c r="A1811" s="39" t="str">
        <f>+IF(PROVEEDORES[[#This Row],[FECHA DE PAGO]]=PROVEEDORES[[#This Row],[FECHA DE FACTURACIÓN]],"DE CONTADO","CRÉDITO")</f>
        <v>CRÉDITO</v>
      </c>
      <c r="B1811" s="67" t="b">
        <f>+IF((PROVEEDORES[[#This Row],[FECHA DE PAGO]]-PROVEEDORES[[#This Row],[FECHA DE FACTURACIÓN]])&gt;PROVEEDORES[[#This Row],[PLAZO Días]],"PAGO VENCIDO")</f>
        <v>0</v>
      </c>
      <c r="C1811" s="27">
        <f>+VLOOKUP(PROVEEDORES[[#This Row],[PROVEEDOR]],TERCEROS_INFO[#All],2,FALSE)</f>
        <v>30</v>
      </c>
      <c r="D1811" s="37">
        <f>+SUMIFS(PROVEEDORES[Total],PROVEEDORES[PROVEEDOR],PROVEEDORES[[#This Row],[PROVEEDOR]],PROVEEDORES[FECHA DE PAGO],"")</f>
        <v>0</v>
      </c>
      <c r="E1811" s="37"/>
      <c r="F1811" s="108" t="str">
        <f>+VLOOKUP(PROVEEDORES[[#This Row],[PROVEEDOR]],TERCEROS_INFO[[PROVEEDOR]:[CORREO]],5,FALSE)</f>
        <v>apresupuesto@widexcolombia.com;girlesa.ruiz@servipilas.com;joriescobar64@gmail.com</v>
      </c>
      <c r="G1811" s="143">
        <v>43944</v>
      </c>
      <c r="H1811" s="38" t="s">
        <v>11</v>
      </c>
      <c r="I1811" s="30">
        <v>43920</v>
      </c>
      <c r="J1811" s="58">
        <v>4725</v>
      </c>
      <c r="K1811" s="32">
        <v>5940000</v>
      </c>
      <c r="L1811" s="32"/>
      <c r="M1811" s="33">
        <f>(PROVEEDORES[[#This Row],[SUBTOTAL]]-PROVEEDORES[[#This Row],[descuento antes de IVA]])*VLOOKUP(PROVEEDORES[[#This Row],[PROVEEDOR]],TERCEROS_INFO[#All],3,FALSE)</f>
        <v>1128600</v>
      </c>
      <c r="N1811" s="34"/>
      <c r="O1811" s="33">
        <f>+PROVEEDORES[[#This Row],[Descuento sobre subtotal %]]*(PROVEEDORES[[#This Row],[SUBTOTAL]]-PROVEEDORES[[#This Row],[descuento antes de IVA]])</f>
        <v>0</v>
      </c>
      <c r="P181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11" s="33">
        <f>+(PROVEEDORES[[#This Row],[SUBTOTAL]]-PROVEEDORES[[#This Row],[descuento antes de IVA]])*PROVEEDORES[[#This Row],[Rete Fuente %]]</f>
        <v>148500</v>
      </c>
      <c r="R1811" s="32">
        <f>+PROVEEDORES[[#This Row],[SUBTOTAL]]+PROVEEDORES[[#This Row],[IVA 19%]]-PROVEEDORES[[#This Row],[descuento antes de IVA]]-PROVEEDORES[[#This Row],[Descuento sobre subtotal $]]-PROVEEDORES[[#This Row],[Rete Fuente $]]</f>
        <v>6920100</v>
      </c>
      <c r="S181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2" spans="1:19" ht="21.95" hidden="1" customHeight="1" x14ac:dyDescent="0.25">
      <c r="A1812" s="39" t="str">
        <f>+IF(PROVEEDORES[[#This Row],[FECHA DE PAGO]]=PROVEEDORES[[#This Row],[FECHA DE FACTURACIÓN]],"DE CONTADO","CRÉDITO")</f>
        <v>CRÉDITO</v>
      </c>
      <c r="B1812" s="67" t="b">
        <f>+IF((PROVEEDORES[[#This Row],[FECHA DE PAGO]]-PROVEEDORES[[#This Row],[FECHA DE FACTURACIÓN]])&gt;PROVEEDORES[[#This Row],[PLAZO Días]],"PAGO VENCIDO")</f>
        <v>0</v>
      </c>
      <c r="C1812" s="27">
        <f>+VLOOKUP(PROVEEDORES[[#This Row],[PROVEEDOR]],TERCEROS_INFO[#All],2,FALSE)</f>
        <v>30</v>
      </c>
      <c r="D1812" s="37">
        <f>+SUMIFS(PROVEEDORES[Total],PROVEEDORES[PROVEEDOR],PROVEEDORES[[#This Row],[PROVEEDOR]],PROVEEDORES[FECHA DE PAGO],"")</f>
        <v>0</v>
      </c>
      <c r="E1812" s="37"/>
      <c r="F1812" s="108" t="str">
        <f>+VLOOKUP(PROVEEDORES[[#This Row],[PROVEEDOR]],TERCEROS_INFO[[PROVEEDOR]:[CORREO]],5,FALSE)</f>
        <v>apresupuesto@widexcolombia.com;girlesa.ruiz@servipilas.com;joriescobar64@gmail.com</v>
      </c>
      <c r="G1812" s="143">
        <v>43973</v>
      </c>
      <c r="H1812" s="38" t="s">
        <v>11</v>
      </c>
      <c r="I1812" s="30">
        <v>43946</v>
      </c>
      <c r="J1812" s="58">
        <v>4733</v>
      </c>
      <c r="K1812" s="32">
        <v>2310000</v>
      </c>
      <c r="L1812" s="32"/>
      <c r="M1812" s="33">
        <f>(PROVEEDORES[[#This Row],[SUBTOTAL]]-PROVEEDORES[[#This Row],[descuento antes de IVA]])*VLOOKUP(PROVEEDORES[[#This Row],[PROVEEDOR]],TERCEROS_INFO[#All],3,FALSE)</f>
        <v>438900</v>
      </c>
      <c r="N1812" s="34"/>
      <c r="O1812" s="33">
        <f>+PROVEEDORES[[#This Row],[Descuento sobre subtotal %]]*(PROVEEDORES[[#This Row],[SUBTOTAL]]-PROVEEDORES[[#This Row],[descuento antes de IVA]])</f>
        <v>0</v>
      </c>
      <c r="P181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12" s="33">
        <f>+(PROVEEDORES[[#This Row],[SUBTOTAL]]-PROVEEDORES[[#This Row],[descuento antes de IVA]])*PROVEEDORES[[#This Row],[Rete Fuente %]]</f>
        <v>57750</v>
      </c>
      <c r="R1812" s="32">
        <f>+PROVEEDORES[[#This Row],[SUBTOTAL]]+PROVEEDORES[[#This Row],[IVA 19%]]-PROVEEDORES[[#This Row],[descuento antes de IVA]]-PROVEEDORES[[#This Row],[Descuento sobre subtotal $]]-PROVEEDORES[[#This Row],[Rete Fuente $]]</f>
        <v>2691150</v>
      </c>
      <c r="S181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3" spans="1:19" ht="21.95" hidden="1" customHeight="1" x14ac:dyDescent="0.25">
      <c r="A1813" s="39" t="str">
        <f>+IF(PROVEEDORES[[#This Row],[FECHA DE PAGO]]=PROVEEDORES[[#This Row],[FECHA DE FACTURACIÓN]],"DE CONTADO","CRÉDITO")</f>
        <v>CRÉDITO</v>
      </c>
      <c r="B1813" s="67" t="b">
        <f>+IF((PROVEEDORES[[#This Row],[FECHA DE PAGO]]-PROVEEDORES[[#This Row],[FECHA DE FACTURACIÓN]])&gt;PROVEEDORES[[#This Row],[PLAZO Días]],"PAGO VENCIDO")</f>
        <v>0</v>
      </c>
      <c r="C1813" s="27">
        <f>+VLOOKUP(PROVEEDORES[[#This Row],[PROVEEDOR]],TERCEROS_INFO[#All],2,FALSE)</f>
        <v>30</v>
      </c>
      <c r="D1813" s="37">
        <f>+SUMIFS(PROVEEDORES[Total],PROVEEDORES[PROVEEDOR],PROVEEDORES[[#This Row],[PROVEEDOR]],PROVEEDORES[FECHA DE PAGO],"")</f>
        <v>0</v>
      </c>
      <c r="E1813" s="37" t="s">
        <v>335</v>
      </c>
      <c r="F1813" s="108" t="str">
        <f>+VLOOKUP(PROVEEDORES[[#This Row],[PROVEEDOR]],TERCEROS_INFO[[PROVEEDOR]:[CORREO]],5,FALSE)</f>
        <v>apresupuesto@widexcolombia.com;girlesa.ruiz@servipilas.com;joriescobar64@gmail.com</v>
      </c>
      <c r="G1813" s="143">
        <v>43986</v>
      </c>
      <c r="H1813" s="38" t="s">
        <v>11</v>
      </c>
      <c r="I1813" s="30">
        <v>43957</v>
      </c>
      <c r="J1813" s="58">
        <v>4772</v>
      </c>
      <c r="K1813" s="32">
        <v>2295126.0504201683</v>
      </c>
      <c r="L1813" s="32"/>
      <c r="M1813" s="33">
        <f>(PROVEEDORES[[#This Row],[SUBTOTAL]]-PROVEEDORES[[#This Row],[descuento antes de IVA]])*VLOOKUP(PROVEEDORES[[#This Row],[PROVEEDOR]],TERCEROS_INFO[#All],3,FALSE)</f>
        <v>436073.94957983197</v>
      </c>
      <c r="N1813" s="34"/>
      <c r="O1813" s="33">
        <f>+PROVEEDORES[[#This Row],[Descuento sobre subtotal %]]*(PROVEEDORES[[#This Row],[SUBTOTAL]]-PROVEEDORES[[#This Row],[descuento antes de IVA]])</f>
        <v>0</v>
      </c>
      <c r="P181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13" s="33">
        <f>+(PROVEEDORES[[#This Row],[SUBTOTAL]]-PROVEEDORES[[#This Row],[descuento antes de IVA]])*PROVEEDORES[[#This Row],[Rete Fuente %]]</f>
        <v>57378.151260504208</v>
      </c>
      <c r="R1813" s="32">
        <f>+PROVEEDORES[[#This Row],[SUBTOTAL]]+PROVEEDORES[[#This Row],[IVA 19%]]-PROVEEDORES[[#This Row],[descuento antes de IVA]]-PROVEEDORES[[#This Row],[Descuento sobre subtotal $]]-PROVEEDORES[[#This Row],[Rete Fuente $]]</f>
        <v>2673821.8487394964</v>
      </c>
      <c r="S181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4" spans="1:19" ht="21.95" hidden="1" customHeight="1" x14ac:dyDescent="0.25">
      <c r="A1814" s="39" t="str">
        <f>+IF(PROVEEDORES[[#This Row],[FECHA DE PAGO]]=PROVEEDORES[[#This Row],[FECHA DE FACTURACIÓN]],"DE CONTADO","CRÉDITO")</f>
        <v>CRÉDITO</v>
      </c>
      <c r="B1814" s="68" t="b">
        <f>+IF((PROVEEDORES[[#This Row],[FECHA DE PAGO]]-PROVEEDORES[[#This Row],[FECHA DE FACTURACIÓN]])&gt;PROVEEDORES[[#This Row],[PLAZO Días]],"PAGO VENCIDO")</f>
        <v>0</v>
      </c>
      <c r="C1814" s="27">
        <f>+VLOOKUP(PROVEEDORES[[#This Row],[PROVEEDOR]],TERCEROS_INFO[#All],2,FALSE)</f>
        <v>30</v>
      </c>
      <c r="D1814" s="37">
        <f>+SUMIFS(PROVEEDORES[Total],PROVEEDORES[PROVEEDOR],PROVEEDORES[[#This Row],[PROVEEDOR]],PROVEEDORES[FECHA DE PAGO],"")</f>
        <v>0</v>
      </c>
      <c r="E1814" s="37" t="s">
        <v>377</v>
      </c>
      <c r="F1814" s="108" t="str">
        <f>+VLOOKUP(PROVEEDORES[[#This Row],[PROVEEDOR]],TERCEROS_INFO[[PROVEEDOR]:[CORREO]],5,FALSE)</f>
        <v>apresupuesto@widexcolombia.com;girlesa.ruiz@servipilas.com;joriescobar64@gmail.com</v>
      </c>
      <c r="G1814" s="143">
        <v>43986</v>
      </c>
      <c r="H1814" s="38" t="s">
        <v>11</v>
      </c>
      <c r="I1814" s="30">
        <v>43973</v>
      </c>
      <c r="J1814" s="58"/>
      <c r="K1814" s="32">
        <v>-48529.411764705881</v>
      </c>
      <c r="L1814" s="32"/>
      <c r="M1814" s="33">
        <f>(PROVEEDORES[[#This Row],[SUBTOTAL]]-PROVEEDORES[[#This Row],[descuento antes de IVA]])*VLOOKUP(PROVEEDORES[[#This Row],[PROVEEDOR]],TERCEROS_INFO[#All],3,FALSE)</f>
        <v>-9220.5882352941171</v>
      </c>
      <c r="N1814" s="34"/>
      <c r="O1814" s="33">
        <f>+PROVEEDORES[[#This Row],[Descuento sobre subtotal %]]*(PROVEEDORES[[#This Row],[SUBTOTAL]]-PROVEEDORES[[#This Row],[descuento antes de IVA]])</f>
        <v>0</v>
      </c>
      <c r="P181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14" s="33">
        <f>+(PROVEEDORES[[#This Row],[SUBTOTAL]]-PROVEEDORES[[#This Row],[descuento antes de IVA]])*PROVEEDORES[[#This Row],[Rete Fuente %]]</f>
        <v>0</v>
      </c>
      <c r="R1814" s="32">
        <f>+PROVEEDORES[[#This Row],[SUBTOTAL]]+PROVEEDORES[[#This Row],[IVA 19%]]-PROVEEDORES[[#This Row],[descuento antes de IVA]]-PROVEEDORES[[#This Row],[Descuento sobre subtotal $]]-PROVEEDORES[[#This Row],[Rete Fuente $]]</f>
        <v>-57750</v>
      </c>
      <c r="S181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5" spans="1:19" ht="21.95" hidden="1" customHeight="1" x14ac:dyDescent="0.25">
      <c r="A1815" s="39" t="str">
        <f>+IF(PROVEEDORES[[#This Row],[FECHA DE PAGO]]=PROVEEDORES[[#This Row],[FECHA DE FACTURACIÓN]],"DE CONTADO","CRÉDITO")</f>
        <v>CRÉDITO</v>
      </c>
      <c r="B1815" s="68" t="b">
        <f>+IF((PROVEEDORES[[#This Row],[FECHA DE PAGO]]-PROVEEDORES[[#This Row],[FECHA DE FACTURACIÓN]])&gt;PROVEEDORES[[#This Row],[PLAZO Días]],"PAGO VENCIDO")</f>
        <v>0</v>
      </c>
      <c r="C1815" s="27">
        <f>+VLOOKUP(PROVEEDORES[[#This Row],[PROVEEDOR]],TERCEROS_INFO[#All],2,FALSE)</f>
        <v>30</v>
      </c>
      <c r="D1815" s="37">
        <f>+SUMIFS(PROVEEDORES[Total],PROVEEDORES[PROVEEDOR],PROVEEDORES[[#This Row],[PROVEEDOR]],PROVEEDORES[FECHA DE PAGO],"")</f>
        <v>0</v>
      </c>
      <c r="E1815" s="37"/>
      <c r="F1815" s="108" t="str">
        <f>+VLOOKUP(PROVEEDORES[[#This Row],[PROVEEDOR]],TERCEROS_INFO[[PROVEEDOR]:[CORREO]],5,FALSE)</f>
        <v>apresupuesto@widexcolombia.com;girlesa.ruiz@servipilas.com;joriescobar64@gmail.com</v>
      </c>
      <c r="G1815" s="143">
        <v>44034</v>
      </c>
      <c r="H1815" s="38" t="s">
        <v>11</v>
      </c>
      <c r="I1815" s="30">
        <v>44005</v>
      </c>
      <c r="J1815" s="58" t="s">
        <v>85</v>
      </c>
      <c r="K1815" s="32">
        <v>3960000</v>
      </c>
      <c r="L1815" s="32"/>
      <c r="M1815" s="33">
        <f>(PROVEEDORES[[#This Row],[SUBTOTAL]]-PROVEEDORES[[#This Row],[descuento antes de IVA]])*VLOOKUP(PROVEEDORES[[#This Row],[PROVEEDOR]],TERCEROS_INFO[#All],3,FALSE)</f>
        <v>752400</v>
      </c>
      <c r="N1815" s="34"/>
      <c r="O1815" s="33">
        <f>+PROVEEDORES[[#This Row],[Descuento sobre subtotal %]]*(PROVEEDORES[[#This Row],[SUBTOTAL]]-PROVEEDORES[[#This Row],[descuento antes de IVA]])</f>
        <v>0</v>
      </c>
      <c r="P181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15" s="33">
        <f>+(PROVEEDORES[[#This Row],[SUBTOTAL]]-PROVEEDORES[[#This Row],[descuento antes de IVA]])*PROVEEDORES[[#This Row],[Rete Fuente %]]</f>
        <v>99000</v>
      </c>
      <c r="R1815" s="32">
        <f>+PROVEEDORES[[#This Row],[SUBTOTAL]]+PROVEEDORES[[#This Row],[IVA 19%]]-PROVEEDORES[[#This Row],[descuento antes de IVA]]-PROVEEDORES[[#This Row],[Descuento sobre subtotal $]]-PROVEEDORES[[#This Row],[Rete Fuente $]]</f>
        <v>4613400</v>
      </c>
      <c r="S181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6" spans="1:19" ht="21.95" hidden="1" customHeight="1" x14ac:dyDescent="0.25">
      <c r="A1816" s="39" t="str">
        <f>+IF(PROVEEDORES[[#This Row],[FECHA DE PAGO]]=PROVEEDORES[[#This Row],[FECHA DE FACTURACIÓN]],"DE CONTADO","CRÉDITO")</f>
        <v>CRÉDITO</v>
      </c>
      <c r="B1816" s="68" t="str">
        <f>+IF((PROVEEDORES[[#This Row],[FECHA DE PAGO]]-PROVEEDORES[[#This Row],[FECHA DE FACTURACIÓN]])&gt;PROVEEDORES[[#This Row],[PLAZO Días]],"PAGO VENCIDO")</f>
        <v>PAGO VENCIDO</v>
      </c>
      <c r="C1816" s="27">
        <f>+VLOOKUP(PROVEEDORES[[#This Row],[PROVEEDOR]],TERCEROS_INFO[#All],2,FALSE)</f>
        <v>30</v>
      </c>
      <c r="D1816" s="37">
        <f>+SUMIFS(PROVEEDORES[Total],PROVEEDORES[PROVEEDOR],PROVEEDORES[[#This Row],[PROVEEDOR]],PROVEEDORES[FECHA DE PAGO],"")</f>
        <v>0</v>
      </c>
      <c r="E1816" s="37"/>
      <c r="F1816" s="108" t="str">
        <f>+VLOOKUP(PROVEEDORES[[#This Row],[PROVEEDOR]],TERCEROS_INFO[[PROVEEDOR]:[CORREO]],5,FALSE)</f>
        <v>apresupuesto@widexcolombia.com;girlesa.ruiz@servipilas.com;joriescobar64@gmail.com</v>
      </c>
      <c r="G1816" s="143">
        <v>44068</v>
      </c>
      <c r="H1816" s="38" t="s">
        <v>11</v>
      </c>
      <c r="I1816" s="30">
        <v>44022</v>
      </c>
      <c r="J1816" s="58" t="s">
        <v>96</v>
      </c>
      <c r="K1816" s="32">
        <v>2640000</v>
      </c>
      <c r="L1816" s="32"/>
      <c r="M1816" s="33">
        <f>(PROVEEDORES[[#This Row],[SUBTOTAL]]-PROVEEDORES[[#This Row],[descuento antes de IVA]])*VLOOKUP(PROVEEDORES[[#This Row],[PROVEEDOR]],TERCEROS_INFO[#All],3,FALSE)</f>
        <v>501600</v>
      </c>
      <c r="N1816" s="34"/>
      <c r="O1816" s="33">
        <f>+PROVEEDORES[[#This Row],[Descuento sobre subtotal %]]*(PROVEEDORES[[#This Row],[SUBTOTAL]]-PROVEEDORES[[#This Row],[descuento antes de IVA]])</f>
        <v>0</v>
      </c>
      <c r="P181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16" s="33">
        <f>+(PROVEEDORES[[#This Row],[SUBTOTAL]]-PROVEEDORES[[#This Row],[descuento antes de IVA]])*PROVEEDORES[[#This Row],[Rete Fuente %]]</f>
        <v>66000</v>
      </c>
      <c r="R1816" s="32">
        <f>+PROVEEDORES[[#This Row],[SUBTOTAL]]+PROVEEDORES[[#This Row],[IVA 19%]]-PROVEEDORES[[#This Row],[descuento antes de IVA]]-PROVEEDORES[[#This Row],[Descuento sobre subtotal $]]-PROVEEDORES[[#This Row],[Rete Fuente $]]</f>
        <v>3075600</v>
      </c>
      <c r="S181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7" spans="1:19" ht="21.95" hidden="1" customHeight="1" x14ac:dyDescent="0.25">
      <c r="A1817" s="39" t="str">
        <f>+IF(PROVEEDORES[[#This Row],[FECHA DE PAGO]]=PROVEEDORES[[#This Row],[FECHA DE FACTURACIÓN]],"DE CONTADO","CRÉDITO")</f>
        <v>CRÉDITO</v>
      </c>
      <c r="B1817" s="68" t="str">
        <f>+IF((PROVEEDORES[[#This Row],[FECHA DE PAGO]]-PROVEEDORES[[#This Row],[FECHA DE FACTURACIÓN]])&gt;PROVEEDORES[[#This Row],[PLAZO Días]],"PAGO VENCIDO")</f>
        <v>PAGO VENCIDO</v>
      </c>
      <c r="C1817" s="27">
        <f>+VLOOKUP(PROVEEDORES[[#This Row],[PROVEEDOR]],TERCEROS_INFO[#All],2,FALSE)</f>
        <v>30</v>
      </c>
      <c r="D1817" s="37">
        <f>+SUMIFS(PROVEEDORES[Total],PROVEEDORES[PROVEEDOR],PROVEEDORES[[#This Row],[PROVEEDOR]],PROVEEDORES[FECHA DE PAGO],"")</f>
        <v>0</v>
      </c>
      <c r="E1817" s="37"/>
      <c r="F1817" s="108" t="str">
        <f>+VLOOKUP(PROVEEDORES[[#This Row],[PROVEEDOR]],TERCEROS_INFO[[PROVEEDOR]:[CORREO]],5,FALSE)</f>
        <v>apresupuesto@widexcolombia.com;girlesa.ruiz@servipilas.com;joriescobar64@gmail.com</v>
      </c>
      <c r="G1817" s="143">
        <v>44078</v>
      </c>
      <c r="H1817" s="38" t="s">
        <v>11</v>
      </c>
      <c r="I1817" s="30">
        <v>44035</v>
      </c>
      <c r="J1817" s="58" t="s">
        <v>104</v>
      </c>
      <c r="K1817" s="32">
        <v>1109243.6974789917</v>
      </c>
      <c r="L1817" s="32"/>
      <c r="M1817" s="33">
        <f>(PROVEEDORES[[#This Row],[SUBTOTAL]]-PROVEEDORES[[#This Row],[descuento antes de IVA]])*VLOOKUP(PROVEEDORES[[#This Row],[PROVEEDOR]],TERCEROS_INFO[#All],3,FALSE)</f>
        <v>210756.30252100842</v>
      </c>
      <c r="N1817" s="34"/>
      <c r="O1817" s="33">
        <f>+PROVEEDORES[[#This Row],[Descuento sobre subtotal %]]*(PROVEEDORES[[#This Row],[SUBTOTAL]]-PROVEEDORES[[#This Row],[descuento antes de IVA]])</f>
        <v>0</v>
      </c>
      <c r="P181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17" s="33">
        <f>+(PROVEEDORES[[#This Row],[SUBTOTAL]]-PROVEEDORES[[#This Row],[descuento antes de IVA]])*PROVEEDORES[[#This Row],[Rete Fuente %]]</f>
        <v>27731.092436974795</v>
      </c>
      <c r="R1817" s="32">
        <f>+PROVEEDORES[[#This Row],[SUBTOTAL]]+PROVEEDORES[[#This Row],[IVA 19%]]-PROVEEDORES[[#This Row],[descuento antes de IVA]]-PROVEEDORES[[#This Row],[Descuento sobre subtotal $]]-PROVEEDORES[[#This Row],[Rete Fuente $]]</f>
        <v>1292268.9075630251</v>
      </c>
      <c r="S181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8" spans="1:19" ht="21.95" hidden="1" customHeight="1" x14ac:dyDescent="0.25">
      <c r="A1818" s="39" t="str">
        <f>+IF(PROVEEDORES[[#This Row],[FECHA DE PAGO]]=PROVEEDORES[[#This Row],[FECHA DE FACTURACIÓN]],"DE CONTADO","CRÉDITO")</f>
        <v>CRÉDITO</v>
      </c>
      <c r="B1818" s="68" t="str">
        <f>+IF((PROVEEDORES[[#This Row],[FECHA DE PAGO]]-PROVEEDORES[[#This Row],[FECHA DE FACTURACIÓN]])&gt;PROVEEDORES[[#This Row],[PLAZO Días]],"PAGO VENCIDO")</f>
        <v>PAGO VENCIDO</v>
      </c>
      <c r="C1818" s="27">
        <f>+VLOOKUP(PROVEEDORES[[#This Row],[PROVEEDOR]],TERCEROS_INFO[#All],2,FALSE)</f>
        <v>30</v>
      </c>
      <c r="D1818" s="37">
        <f>+SUMIFS(PROVEEDORES[Total],PROVEEDORES[PROVEEDOR],PROVEEDORES[[#This Row],[PROVEEDOR]],PROVEEDORES[FECHA DE PAGO],"")</f>
        <v>0</v>
      </c>
      <c r="E1818" s="37"/>
      <c r="F1818" s="108" t="str">
        <f>+VLOOKUP(PROVEEDORES[[#This Row],[PROVEEDOR]],TERCEROS_INFO[[PROVEEDOR]:[CORREO]],5,FALSE)</f>
        <v>apresupuesto@widexcolombia.com;girlesa.ruiz@servipilas.com;joriescobar64@gmail.com</v>
      </c>
      <c r="G1818" s="143">
        <v>44095</v>
      </c>
      <c r="H1818" s="38" t="s">
        <v>11</v>
      </c>
      <c r="I1818" s="30">
        <v>44062</v>
      </c>
      <c r="J1818" s="58" t="s">
        <v>127</v>
      </c>
      <c r="K1818" s="32">
        <v>1320000</v>
      </c>
      <c r="L1818" s="32"/>
      <c r="M1818" s="33">
        <f>(PROVEEDORES[[#This Row],[SUBTOTAL]]-PROVEEDORES[[#This Row],[descuento antes de IVA]])*VLOOKUP(PROVEEDORES[[#This Row],[PROVEEDOR]],TERCEROS_INFO[#All],3,FALSE)</f>
        <v>250800</v>
      </c>
      <c r="N1818" s="34"/>
      <c r="O1818" s="33">
        <f>+PROVEEDORES[[#This Row],[Descuento sobre subtotal %]]*(PROVEEDORES[[#This Row],[SUBTOTAL]]-PROVEEDORES[[#This Row],[descuento antes de IVA]])</f>
        <v>0</v>
      </c>
      <c r="P181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18" s="33">
        <f>+(PROVEEDORES[[#This Row],[SUBTOTAL]]-PROVEEDORES[[#This Row],[descuento antes de IVA]])*PROVEEDORES[[#This Row],[Rete Fuente %]]</f>
        <v>33000</v>
      </c>
      <c r="R1818" s="32">
        <f>+PROVEEDORES[[#This Row],[SUBTOTAL]]+PROVEEDORES[[#This Row],[IVA 19%]]-PROVEEDORES[[#This Row],[descuento antes de IVA]]-PROVEEDORES[[#This Row],[Descuento sobre subtotal $]]-PROVEEDORES[[#This Row],[Rete Fuente $]]</f>
        <v>1537800</v>
      </c>
      <c r="S181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19" spans="1:19" ht="21.95" hidden="1" customHeight="1" x14ac:dyDescent="0.25">
      <c r="A1819" s="39" t="str">
        <f>+IF(PROVEEDORES[[#This Row],[FECHA DE PAGO]]=PROVEEDORES[[#This Row],[FECHA DE FACTURACIÓN]],"DE CONTADO","CRÉDITO")</f>
        <v>CRÉDITO</v>
      </c>
      <c r="B1819" s="68" t="str">
        <f>+IF((PROVEEDORES[[#This Row],[FECHA DE PAGO]]-PROVEEDORES[[#This Row],[FECHA DE FACTURACIÓN]])&gt;PROVEEDORES[[#This Row],[PLAZO Días]],"PAGO VENCIDO")</f>
        <v>PAGO VENCIDO</v>
      </c>
      <c r="C1819" s="27">
        <f>+VLOOKUP(PROVEEDORES[[#This Row],[PROVEEDOR]],TERCEROS_INFO[#All],2,FALSE)</f>
        <v>30</v>
      </c>
      <c r="D1819" s="37">
        <f>+SUMIFS(PROVEEDORES[Total],PROVEEDORES[PROVEEDOR],PROVEEDORES[[#This Row],[PROVEEDOR]],PROVEEDORES[FECHA DE PAGO],"")</f>
        <v>0</v>
      </c>
      <c r="E1819" s="37"/>
      <c r="F1819" s="108" t="str">
        <f>+VLOOKUP(PROVEEDORES[[#This Row],[PROVEEDOR]],TERCEROS_INFO[[PROVEEDOR]:[CORREO]],5,FALSE)</f>
        <v>apresupuesto@widexcolombia.com;girlesa.ruiz@servipilas.com;joriescobar64@gmail.com</v>
      </c>
      <c r="G1819" s="143">
        <v>44118</v>
      </c>
      <c r="H1819" s="38" t="s">
        <v>11</v>
      </c>
      <c r="I1819" s="30">
        <v>44082</v>
      </c>
      <c r="J1819" s="58" t="s">
        <v>137</v>
      </c>
      <c r="K1819" s="32">
        <v>2640000</v>
      </c>
      <c r="L1819" s="32"/>
      <c r="M1819" s="33">
        <f>(PROVEEDORES[[#This Row],[SUBTOTAL]]-PROVEEDORES[[#This Row],[descuento antes de IVA]])*VLOOKUP(PROVEEDORES[[#This Row],[PROVEEDOR]],TERCEROS_INFO[#All],3,FALSE)</f>
        <v>501600</v>
      </c>
      <c r="N1819" s="34"/>
      <c r="O1819" s="33">
        <f>+PROVEEDORES[[#This Row],[Descuento sobre subtotal %]]*(PROVEEDORES[[#This Row],[SUBTOTAL]]-PROVEEDORES[[#This Row],[descuento antes de IVA]])</f>
        <v>0</v>
      </c>
      <c r="P181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19" s="33">
        <f>+(PROVEEDORES[[#This Row],[SUBTOTAL]]-PROVEEDORES[[#This Row],[descuento antes de IVA]])*PROVEEDORES[[#This Row],[Rete Fuente %]]</f>
        <v>66000</v>
      </c>
      <c r="R1819" s="32">
        <f>+PROVEEDORES[[#This Row],[SUBTOTAL]]+PROVEEDORES[[#This Row],[IVA 19%]]-PROVEEDORES[[#This Row],[descuento antes de IVA]]-PROVEEDORES[[#This Row],[Descuento sobre subtotal $]]-PROVEEDORES[[#This Row],[Rete Fuente $]]</f>
        <v>3075600</v>
      </c>
      <c r="S181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0" spans="1:19" ht="21.95" hidden="1" customHeight="1" x14ac:dyDescent="0.25">
      <c r="A1820" s="39" t="str">
        <f>+IF(PROVEEDORES[[#This Row],[FECHA DE PAGO]]=PROVEEDORES[[#This Row],[FECHA DE FACTURACIÓN]],"DE CONTADO","CRÉDITO")</f>
        <v>CRÉDITO</v>
      </c>
      <c r="B1820" s="68" t="b">
        <f>+IF((PROVEEDORES[[#This Row],[FECHA DE PAGO]]-PROVEEDORES[[#This Row],[FECHA DE FACTURACIÓN]])&gt;PROVEEDORES[[#This Row],[PLAZO Días]],"PAGO VENCIDO")</f>
        <v>0</v>
      </c>
      <c r="C1820" s="27">
        <f>+VLOOKUP(PROVEEDORES[[#This Row],[PROVEEDOR]],TERCEROS_INFO[#All],2,FALSE)</f>
        <v>30</v>
      </c>
      <c r="D1820" s="37">
        <f>+SUMIFS(PROVEEDORES[Total],PROVEEDORES[PROVEEDOR],PROVEEDORES[[#This Row],[PROVEEDOR]],PROVEEDORES[FECHA DE PAGO],"")</f>
        <v>0</v>
      </c>
      <c r="E1820" s="37"/>
      <c r="F1820" s="108" t="str">
        <f>+VLOOKUP(PROVEEDORES[[#This Row],[PROVEEDOR]],TERCEROS_INFO[[PROVEEDOR]:[CORREO]],5,FALSE)</f>
        <v>apresupuesto@widexcolombia.com;girlesa.ruiz@servipilas.com;joriescobar64@gmail.com</v>
      </c>
      <c r="G1820" s="143">
        <v>44118</v>
      </c>
      <c r="H1820" s="38" t="s">
        <v>11</v>
      </c>
      <c r="I1820" s="30">
        <v>44088</v>
      </c>
      <c r="J1820" s="58" t="s">
        <v>142</v>
      </c>
      <c r="K1820" s="32">
        <v>1320000</v>
      </c>
      <c r="L1820" s="32"/>
      <c r="M1820" s="33">
        <f>(PROVEEDORES[[#This Row],[SUBTOTAL]]-PROVEEDORES[[#This Row],[descuento antes de IVA]])*VLOOKUP(PROVEEDORES[[#This Row],[PROVEEDOR]],TERCEROS_INFO[#All],3,FALSE)</f>
        <v>250800</v>
      </c>
      <c r="N1820" s="34"/>
      <c r="O1820" s="33">
        <f>+PROVEEDORES[[#This Row],[Descuento sobre subtotal %]]*(PROVEEDORES[[#This Row],[SUBTOTAL]]-PROVEEDORES[[#This Row],[descuento antes de IVA]])</f>
        <v>0</v>
      </c>
      <c r="P182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20" s="33">
        <f>+(PROVEEDORES[[#This Row],[SUBTOTAL]]-PROVEEDORES[[#This Row],[descuento antes de IVA]])*PROVEEDORES[[#This Row],[Rete Fuente %]]</f>
        <v>33000</v>
      </c>
      <c r="R1820" s="32">
        <f>+PROVEEDORES[[#This Row],[SUBTOTAL]]+PROVEEDORES[[#This Row],[IVA 19%]]-PROVEEDORES[[#This Row],[descuento antes de IVA]]-PROVEEDORES[[#This Row],[Descuento sobre subtotal $]]-PROVEEDORES[[#This Row],[Rete Fuente $]]</f>
        <v>1537800</v>
      </c>
      <c r="S182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1" spans="1:19" ht="21.95" hidden="1" customHeight="1" x14ac:dyDescent="0.25">
      <c r="A1821" s="39" t="str">
        <f>+IF(PROVEEDORES[[#This Row],[FECHA DE PAGO]]=PROVEEDORES[[#This Row],[FECHA DE FACTURACIÓN]],"DE CONTADO","CRÉDITO")</f>
        <v>CRÉDITO</v>
      </c>
      <c r="B1821" s="68" t="str">
        <f>+IF((PROVEEDORES[[#This Row],[FECHA DE PAGO]]-PROVEEDORES[[#This Row],[FECHA DE FACTURACIÓN]])&gt;PROVEEDORES[[#This Row],[PLAZO Días]],"PAGO VENCIDO")</f>
        <v>PAGO VENCIDO</v>
      </c>
      <c r="C1821" s="27">
        <f>+VLOOKUP(PROVEEDORES[[#This Row],[PROVEEDOR]],TERCEROS_INFO[#All],2,FALSE)</f>
        <v>30</v>
      </c>
      <c r="D1821" s="37">
        <f>+SUMIFS(PROVEEDORES[Total],PROVEEDORES[PROVEEDOR],PROVEEDORES[[#This Row],[PROVEEDOR]],PROVEEDORES[FECHA DE PAGO],"")</f>
        <v>0</v>
      </c>
      <c r="E1821" s="37"/>
      <c r="F1821" s="108" t="str">
        <f>+VLOOKUP(PROVEEDORES[[#This Row],[PROVEEDOR]],TERCEROS_INFO[[PROVEEDOR]:[CORREO]],5,FALSE)</f>
        <v>apresupuesto@widexcolombia.com;girlesa.ruiz@servipilas.com;joriescobar64@gmail.com</v>
      </c>
      <c r="G1821" s="143">
        <v>44161</v>
      </c>
      <c r="H1821" s="38" t="s">
        <v>11</v>
      </c>
      <c r="I1821" s="30">
        <v>44110</v>
      </c>
      <c r="J1821" s="58" t="s">
        <v>157</v>
      </c>
      <c r="K1821" s="32">
        <v>4086050.4201680673</v>
      </c>
      <c r="L1821" s="32"/>
      <c r="M1821" s="33">
        <f>(PROVEEDORES[[#This Row],[SUBTOTAL]]-PROVEEDORES[[#This Row],[descuento antes de IVA]])*VLOOKUP(PROVEEDORES[[#This Row],[PROVEEDOR]],TERCEROS_INFO[#All],3,FALSE)</f>
        <v>776349.57983193279</v>
      </c>
      <c r="N1821" s="34"/>
      <c r="O1821" s="33">
        <f>+PROVEEDORES[[#This Row],[Descuento sobre subtotal %]]*(PROVEEDORES[[#This Row],[SUBTOTAL]]-PROVEEDORES[[#This Row],[descuento antes de IVA]])</f>
        <v>0</v>
      </c>
      <c r="P182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21" s="33">
        <f>+(PROVEEDORES[[#This Row],[SUBTOTAL]]-PROVEEDORES[[#This Row],[descuento antes de IVA]])*PROVEEDORES[[#This Row],[Rete Fuente %]]</f>
        <v>102151.26050420169</v>
      </c>
      <c r="R1821" s="32">
        <f>+PROVEEDORES[[#This Row],[SUBTOTAL]]+PROVEEDORES[[#This Row],[IVA 19%]]-PROVEEDORES[[#This Row],[descuento antes de IVA]]-PROVEEDORES[[#This Row],[Descuento sobre subtotal $]]-PROVEEDORES[[#This Row],[Rete Fuente $]]</f>
        <v>4760248.739495798</v>
      </c>
      <c r="S182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2" spans="1:19" ht="21.95" hidden="1" customHeight="1" x14ac:dyDescent="0.25">
      <c r="A1822" s="39" t="str">
        <f>+IF(PROVEEDORES[[#This Row],[FECHA DE PAGO]]=PROVEEDORES[[#This Row],[FECHA DE FACTURACIÓN]],"DE CONTADO","CRÉDITO")</f>
        <v>CRÉDITO</v>
      </c>
      <c r="B1822" s="68" t="str">
        <f>+IF((PROVEEDORES[[#This Row],[FECHA DE PAGO]]-PROVEEDORES[[#This Row],[FECHA DE FACTURACIÓN]])&gt;PROVEEDORES[[#This Row],[PLAZO Días]],"PAGO VENCIDO")</f>
        <v>PAGO VENCIDO</v>
      </c>
      <c r="C1822" s="27">
        <f>+VLOOKUP(PROVEEDORES[[#This Row],[PROVEEDOR]],TERCEROS_INFO[#All],2,FALSE)</f>
        <v>30</v>
      </c>
      <c r="D1822" s="37">
        <f>+SUMIFS(PROVEEDORES[Total],PROVEEDORES[PROVEEDOR],PROVEEDORES[[#This Row],[PROVEEDOR]],PROVEEDORES[FECHA DE PAGO],"")</f>
        <v>0</v>
      </c>
      <c r="E1822" s="37"/>
      <c r="F1822" s="108" t="str">
        <f>+VLOOKUP(PROVEEDORES[[#This Row],[PROVEEDOR]],TERCEROS_INFO[[PROVEEDOR]:[CORREO]],5,FALSE)</f>
        <v>apresupuesto@widexcolombia.com;girlesa.ruiz@servipilas.com;joriescobar64@gmail.com</v>
      </c>
      <c r="G1822" s="143">
        <v>44187</v>
      </c>
      <c r="H1822" s="38" t="s">
        <v>11</v>
      </c>
      <c r="I1822" s="30">
        <v>44140</v>
      </c>
      <c r="J1822" s="58" t="s">
        <v>175</v>
      </c>
      <c r="K1822" s="32">
        <v>2640000</v>
      </c>
      <c r="L1822" s="32"/>
      <c r="M1822" s="33">
        <f>(PROVEEDORES[[#This Row],[SUBTOTAL]]-PROVEEDORES[[#This Row],[descuento antes de IVA]])*VLOOKUP(PROVEEDORES[[#This Row],[PROVEEDOR]],TERCEROS_INFO[#All],3,FALSE)</f>
        <v>501600</v>
      </c>
      <c r="N1822" s="34"/>
      <c r="O1822" s="33">
        <f>+PROVEEDORES[[#This Row],[Descuento sobre subtotal %]]*(PROVEEDORES[[#This Row],[SUBTOTAL]]-PROVEEDORES[[#This Row],[descuento antes de IVA]])</f>
        <v>0</v>
      </c>
      <c r="P182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22" s="33">
        <f>+(PROVEEDORES[[#This Row],[SUBTOTAL]]-PROVEEDORES[[#This Row],[descuento antes de IVA]])*PROVEEDORES[[#This Row],[Rete Fuente %]]</f>
        <v>66000</v>
      </c>
      <c r="R1822" s="32">
        <f>+PROVEEDORES[[#This Row],[SUBTOTAL]]+PROVEEDORES[[#This Row],[IVA 19%]]-PROVEEDORES[[#This Row],[descuento antes de IVA]]-PROVEEDORES[[#This Row],[Descuento sobre subtotal $]]-PROVEEDORES[[#This Row],[Rete Fuente $]]</f>
        <v>3075600</v>
      </c>
      <c r="S182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3" spans="1:19" ht="21.95" hidden="1" customHeight="1" x14ac:dyDescent="0.25">
      <c r="A1823" s="39" t="str">
        <f>+IF(PROVEEDORES[[#This Row],[FECHA DE PAGO]]=PROVEEDORES[[#This Row],[FECHA DE FACTURACIÓN]],"DE CONTADO","CRÉDITO")</f>
        <v>CRÉDITO</v>
      </c>
      <c r="B1823" s="68" t="str">
        <f>+IF((PROVEEDORES[[#This Row],[FECHA DE PAGO]]-PROVEEDORES[[#This Row],[FECHA DE FACTURACIÓN]])&gt;PROVEEDORES[[#This Row],[PLAZO Días]],"PAGO VENCIDO")</f>
        <v>PAGO VENCIDO</v>
      </c>
      <c r="C1823" s="27">
        <f>+VLOOKUP(PROVEEDORES[[#This Row],[PROVEEDOR]],TERCEROS_INFO[#All],2,FALSE)</f>
        <v>30</v>
      </c>
      <c r="D1823" s="37">
        <f>+SUMIFS(PROVEEDORES[Total],PROVEEDORES[PROVEEDOR],PROVEEDORES[[#This Row],[PROVEEDOR]],PROVEEDORES[FECHA DE PAGO],"")</f>
        <v>0</v>
      </c>
      <c r="E1823" s="37"/>
      <c r="F1823" s="108" t="str">
        <f>+VLOOKUP(PROVEEDORES[[#This Row],[PROVEEDOR]],TERCEROS_INFO[[PROVEEDOR]:[CORREO]],5,FALSE)</f>
        <v>apresupuesto@widexcolombia.com;girlesa.ruiz@servipilas.com;joriescobar64@gmail.com</v>
      </c>
      <c r="G1823" s="143">
        <v>44195</v>
      </c>
      <c r="H1823" s="38" t="s">
        <v>11</v>
      </c>
      <c r="I1823" s="30">
        <v>44154</v>
      </c>
      <c r="J1823" s="58" t="s">
        <v>186</v>
      </c>
      <c r="K1823" s="32">
        <v>300000</v>
      </c>
      <c r="L1823" s="32"/>
      <c r="M1823" s="33">
        <f>(PROVEEDORES[[#This Row],[SUBTOTAL]]-PROVEEDORES[[#This Row],[descuento antes de IVA]])*VLOOKUP(PROVEEDORES[[#This Row],[PROVEEDOR]],TERCEROS_INFO[#All],3,FALSE)</f>
        <v>57000</v>
      </c>
      <c r="N1823" s="34"/>
      <c r="O1823" s="33">
        <f>+PROVEEDORES[[#This Row],[Descuento sobre subtotal %]]*(PROVEEDORES[[#This Row],[SUBTOTAL]]-PROVEEDORES[[#This Row],[descuento antes de IVA]])</f>
        <v>0</v>
      </c>
      <c r="P182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23" s="33">
        <f>+(PROVEEDORES[[#This Row],[SUBTOTAL]]-PROVEEDORES[[#This Row],[descuento antes de IVA]])*PROVEEDORES[[#This Row],[Rete Fuente %]]</f>
        <v>0</v>
      </c>
      <c r="R1823" s="32">
        <f>+PROVEEDORES[[#This Row],[SUBTOTAL]]+PROVEEDORES[[#This Row],[IVA 19%]]-PROVEEDORES[[#This Row],[descuento antes de IVA]]-PROVEEDORES[[#This Row],[Descuento sobre subtotal $]]-PROVEEDORES[[#This Row],[Rete Fuente $]]</f>
        <v>357000</v>
      </c>
      <c r="S182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4" spans="1:19" ht="21.95" hidden="1" customHeight="1" x14ac:dyDescent="0.25">
      <c r="A1824" s="39" t="str">
        <f>+IF(PROVEEDORES[[#This Row],[FECHA DE PAGO]]=PROVEEDORES[[#This Row],[FECHA DE FACTURACIÓN]],"DE CONTADO","CRÉDITO")</f>
        <v>CRÉDITO</v>
      </c>
      <c r="B1824" s="68" t="str">
        <f>+IF((PROVEEDORES[[#This Row],[FECHA DE PAGO]]-PROVEEDORES[[#This Row],[FECHA DE FACTURACIÓN]])&gt;PROVEEDORES[[#This Row],[PLAZO Días]],"PAGO VENCIDO")</f>
        <v>PAGO VENCIDO</v>
      </c>
      <c r="C1824" s="27">
        <f>+VLOOKUP(PROVEEDORES[[#This Row],[PROVEEDOR]],TERCEROS_INFO[#All],2,FALSE)</f>
        <v>30</v>
      </c>
      <c r="D1824" s="37">
        <f>+SUMIFS(PROVEEDORES[Total],PROVEEDORES[PROVEEDOR],PROVEEDORES[[#This Row],[PROVEEDOR]],PROVEEDORES[FECHA DE PAGO],"")</f>
        <v>0</v>
      </c>
      <c r="E1824" s="37"/>
      <c r="F1824" s="108" t="str">
        <f>+VLOOKUP(PROVEEDORES[[#This Row],[PROVEEDOR]],TERCEROS_INFO[[PROVEEDOR]:[CORREO]],5,FALSE)</f>
        <v>apresupuesto@widexcolombia.com;girlesa.ruiz@servipilas.com;joriescobar64@gmail.com</v>
      </c>
      <c r="G1824" s="143">
        <v>44195</v>
      </c>
      <c r="H1824" s="38" t="s">
        <v>11</v>
      </c>
      <c r="I1824" s="30">
        <v>44155</v>
      </c>
      <c r="J1824" s="58" t="s">
        <v>188</v>
      </c>
      <c r="K1824" s="32">
        <v>3300000</v>
      </c>
      <c r="L1824" s="32"/>
      <c r="M1824" s="33">
        <f>(PROVEEDORES[[#This Row],[SUBTOTAL]]-PROVEEDORES[[#This Row],[descuento antes de IVA]])*VLOOKUP(PROVEEDORES[[#This Row],[PROVEEDOR]],TERCEROS_INFO[#All],3,FALSE)</f>
        <v>627000</v>
      </c>
      <c r="N1824" s="34"/>
      <c r="O1824" s="33">
        <f>+PROVEEDORES[[#This Row],[Descuento sobre subtotal %]]*(PROVEEDORES[[#This Row],[SUBTOTAL]]-PROVEEDORES[[#This Row],[descuento antes de IVA]])</f>
        <v>0</v>
      </c>
      <c r="P182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24" s="33">
        <f>+(PROVEEDORES[[#This Row],[SUBTOTAL]]-PROVEEDORES[[#This Row],[descuento antes de IVA]])*PROVEEDORES[[#This Row],[Rete Fuente %]]</f>
        <v>82500</v>
      </c>
      <c r="R1824" s="32">
        <f>+PROVEEDORES[[#This Row],[SUBTOTAL]]+PROVEEDORES[[#This Row],[IVA 19%]]-PROVEEDORES[[#This Row],[descuento antes de IVA]]-PROVEEDORES[[#This Row],[Descuento sobre subtotal $]]-PROVEEDORES[[#This Row],[Rete Fuente $]]</f>
        <v>3844500</v>
      </c>
      <c r="S182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5" spans="1:19" ht="21.95" hidden="1" customHeight="1" x14ac:dyDescent="0.25">
      <c r="A1825" s="39" t="str">
        <f>+IF(PROVEEDORES[[#This Row],[FECHA DE PAGO]]=PROVEEDORES[[#This Row],[FECHA DE FACTURACIÓN]],"DE CONTADO","CRÉDITO")</f>
        <v>CRÉDITO</v>
      </c>
      <c r="B1825" s="67" t="str">
        <f>+IF((PROVEEDORES[[#This Row],[FECHA DE PAGO]]-PROVEEDORES[[#This Row],[FECHA DE FACTURACIÓN]])&gt;PROVEEDORES[[#This Row],[PLAZO Días]],"PAGO VENCIDO")</f>
        <v>PAGO VENCIDO</v>
      </c>
      <c r="C1825" s="27">
        <f>+VLOOKUP(PROVEEDORES[[#This Row],[PROVEEDOR]],TERCEROS_INFO[#All],2,FALSE)</f>
        <v>30</v>
      </c>
      <c r="D1825" s="37">
        <f>+SUMIFS(PROVEEDORES[Total],PROVEEDORES[PROVEEDOR],PROVEEDORES[[#This Row],[PROVEEDOR]],PROVEEDORES[FECHA DE PAGO],"")</f>
        <v>0</v>
      </c>
      <c r="E1825" s="37"/>
      <c r="F1825" s="108" t="str">
        <f>+VLOOKUP(PROVEEDORES[[#This Row],[PROVEEDOR]],TERCEROS_INFO[[PROVEEDOR]:[CORREO]],5,FALSE)</f>
        <v>apresupuesto@widexcolombia.com;girlesa.ruiz@servipilas.com;joriescobar64@gmail.com</v>
      </c>
      <c r="G1825" s="143">
        <v>44239</v>
      </c>
      <c r="H1825" s="38" t="s">
        <v>11</v>
      </c>
      <c r="I1825" s="30">
        <v>44179</v>
      </c>
      <c r="J1825" s="58" t="s">
        <v>202</v>
      </c>
      <c r="K1825" s="32">
        <v>1980000</v>
      </c>
      <c r="L1825" s="32"/>
      <c r="M1825" s="33">
        <f>(PROVEEDORES[[#This Row],[SUBTOTAL]]-PROVEEDORES[[#This Row],[descuento antes de IVA]])*VLOOKUP(PROVEEDORES[[#This Row],[PROVEEDOR]],TERCEROS_INFO[#All],3,FALSE)</f>
        <v>376200</v>
      </c>
      <c r="N1825" s="34"/>
      <c r="O1825" s="33">
        <f>+PROVEEDORES[[#This Row],[Descuento sobre subtotal %]]*(PROVEEDORES[[#This Row],[SUBTOTAL]]-PROVEEDORES[[#This Row],[descuento antes de IVA]])</f>
        <v>0</v>
      </c>
      <c r="P182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25" s="33">
        <f>+(PROVEEDORES[[#This Row],[SUBTOTAL]]-PROVEEDORES[[#This Row],[descuento antes de IVA]])*PROVEEDORES[[#This Row],[Rete Fuente %]]</f>
        <v>49500</v>
      </c>
      <c r="R1825" s="32">
        <f>+PROVEEDORES[[#This Row],[SUBTOTAL]]+PROVEEDORES[[#This Row],[IVA 19%]]-PROVEEDORES[[#This Row],[descuento antes de IVA]]-PROVEEDORES[[#This Row],[Descuento sobre subtotal $]]-PROVEEDORES[[#This Row],[Rete Fuente $]]</f>
        <v>2306700</v>
      </c>
      <c r="S182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6" spans="1:19" ht="21.95" hidden="1" customHeight="1" x14ac:dyDescent="0.25">
      <c r="A1826" s="39" t="str">
        <f>+IF(PROVEEDORES[[#This Row],[FECHA DE PAGO]]=PROVEEDORES[[#This Row],[FECHA DE FACTURACIÓN]],"DE CONTADO","CRÉDITO")</f>
        <v>CRÉDITO</v>
      </c>
      <c r="B1826" s="68" t="str">
        <f>+IF((PROVEEDORES[[#This Row],[FECHA DE PAGO]]-PROVEEDORES[[#This Row],[FECHA DE FACTURACIÓN]])&gt;PROVEEDORES[[#This Row],[PLAZO Días]],"PAGO VENCIDO")</f>
        <v>PAGO VENCIDO</v>
      </c>
      <c r="C1826" s="27">
        <f>+VLOOKUP(PROVEEDORES[[#This Row],[PROVEEDOR]],TERCEROS_INFO[#All],2,FALSE)</f>
        <v>30</v>
      </c>
      <c r="D1826" s="37">
        <f>+SUMIFS(PROVEEDORES[Total],PROVEEDORES[PROVEEDOR],PROVEEDORES[[#This Row],[PROVEEDOR]],PROVEEDORES[FECHA DE PAGO],"")</f>
        <v>0</v>
      </c>
      <c r="E1826" s="37"/>
      <c r="F1826" s="108" t="str">
        <f>+VLOOKUP(PROVEEDORES[[#This Row],[PROVEEDOR]],TERCEROS_INFO[[PROVEEDOR]:[CORREO]],5,FALSE)</f>
        <v>apresupuesto@widexcolombia.com;girlesa.ruiz@servipilas.com;joriescobar64@gmail.com</v>
      </c>
      <c r="G1826" s="143">
        <v>44214</v>
      </c>
      <c r="H1826" s="38" t="s">
        <v>11</v>
      </c>
      <c r="I1826" s="30">
        <v>44182</v>
      </c>
      <c r="J1826" s="58" t="s">
        <v>206</v>
      </c>
      <c r="K1826" s="32">
        <v>1980000</v>
      </c>
      <c r="L1826" s="32"/>
      <c r="M1826" s="33">
        <f>(PROVEEDORES[[#This Row],[SUBTOTAL]]-PROVEEDORES[[#This Row],[descuento antes de IVA]])*VLOOKUP(PROVEEDORES[[#This Row],[PROVEEDOR]],TERCEROS_INFO[#All],3,FALSE)</f>
        <v>376200</v>
      </c>
      <c r="N1826" s="34"/>
      <c r="O1826" s="33">
        <f>+PROVEEDORES[[#This Row],[Descuento sobre subtotal %]]*(PROVEEDORES[[#This Row],[SUBTOTAL]]-PROVEEDORES[[#This Row],[descuento antes de IVA]])</f>
        <v>0</v>
      </c>
      <c r="P182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26" s="33">
        <f>+(PROVEEDORES[[#This Row],[SUBTOTAL]]-PROVEEDORES[[#This Row],[descuento antes de IVA]])*PROVEEDORES[[#This Row],[Rete Fuente %]]</f>
        <v>49500</v>
      </c>
      <c r="R1826" s="32">
        <f>+PROVEEDORES[[#This Row],[SUBTOTAL]]+PROVEEDORES[[#This Row],[IVA 19%]]-PROVEEDORES[[#This Row],[descuento antes de IVA]]-PROVEEDORES[[#This Row],[Descuento sobre subtotal $]]-PROVEEDORES[[#This Row],[Rete Fuente $]]</f>
        <v>2306700</v>
      </c>
      <c r="S182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7" spans="1:19" ht="21.95" hidden="1" customHeight="1" x14ac:dyDescent="0.25">
      <c r="A1827" s="39" t="str">
        <f>+IF(PROVEEDORES[[#This Row],[FECHA DE PAGO]]=PROVEEDORES[[#This Row],[FECHA DE FACTURACIÓN]],"DE CONTADO","CRÉDITO")</f>
        <v>CRÉDITO</v>
      </c>
      <c r="B1827" s="68" t="str">
        <f>+IF((PROVEEDORES[[#This Row],[FECHA DE PAGO]]-PROVEEDORES[[#This Row],[FECHA DE FACTURACIÓN]])&gt;PROVEEDORES[[#This Row],[PLAZO Días]],"PAGO VENCIDO")</f>
        <v>PAGO VENCIDO</v>
      </c>
      <c r="C1827" s="27">
        <f>+VLOOKUP(PROVEEDORES[[#This Row],[PROVEEDOR]],TERCEROS_INFO[#All],2,FALSE)</f>
        <v>30</v>
      </c>
      <c r="D1827" s="37">
        <f>+SUMIFS(PROVEEDORES[Total],PROVEEDORES[PROVEEDOR],PROVEEDORES[[#This Row],[PROVEEDOR]],PROVEEDORES[FECHA DE PAGO],"")</f>
        <v>0</v>
      </c>
      <c r="E1827" s="37"/>
      <c r="F1827" s="108" t="str">
        <f>+VLOOKUP(PROVEEDORES[[#This Row],[PROVEEDOR]],TERCEROS_INFO[[PROVEEDOR]:[CORREO]],5,FALSE)</f>
        <v>apresupuesto@widexcolombia.com;girlesa.ruiz@servipilas.com;joriescobar64@gmail.com</v>
      </c>
      <c r="G1827" s="143">
        <v>44257</v>
      </c>
      <c r="H1827" s="38" t="s">
        <v>11</v>
      </c>
      <c r="I1827" s="30">
        <v>44209</v>
      </c>
      <c r="J1827" s="58" t="s">
        <v>222</v>
      </c>
      <c r="K1827" s="32">
        <v>3300000</v>
      </c>
      <c r="L1827" s="32"/>
      <c r="M1827" s="33">
        <f>(PROVEEDORES[[#This Row],[SUBTOTAL]]-PROVEEDORES[[#This Row],[descuento antes de IVA]])*VLOOKUP(PROVEEDORES[[#This Row],[PROVEEDOR]],TERCEROS_INFO[#All],3,FALSE)</f>
        <v>627000</v>
      </c>
      <c r="N1827" s="34"/>
      <c r="O1827" s="33">
        <f>+PROVEEDORES[[#This Row],[Descuento sobre subtotal %]]*(PROVEEDORES[[#This Row],[SUBTOTAL]]-PROVEEDORES[[#This Row],[descuento antes de IVA]])</f>
        <v>0</v>
      </c>
      <c r="P182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27" s="33">
        <f>+(PROVEEDORES[[#This Row],[SUBTOTAL]]-PROVEEDORES[[#This Row],[descuento antes de IVA]])*PROVEEDORES[[#This Row],[Rete Fuente %]]</f>
        <v>82500</v>
      </c>
      <c r="R1827" s="32">
        <f>+PROVEEDORES[[#This Row],[SUBTOTAL]]+PROVEEDORES[[#This Row],[IVA 19%]]-PROVEEDORES[[#This Row],[descuento antes de IVA]]-PROVEEDORES[[#This Row],[Descuento sobre subtotal $]]-PROVEEDORES[[#This Row],[Rete Fuente $]]</f>
        <v>3844500</v>
      </c>
      <c r="S182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8" spans="1:19" ht="21.95" hidden="1" customHeight="1" x14ac:dyDescent="0.25">
      <c r="A1828" s="66" t="str">
        <f>+IF(PROVEEDORES[[#This Row],[FECHA DE PAGO]]=PROVEEDORES[[#This Row],[FECHA DE FACTURACIÓN]],"DE CONTADO","CRÉDITO")</f>
        <v>CRÉDITO</v>
      </c>
      <c r="B1828" s="68" t="str">
        <f>+IF((PROVEEDORES[[#This Row],[FECHA DE PAGO]]-PROVEEDORES[[#This Row],[FECHA DE FACTURACIÓN]])&gt;PROVEEDORES[[#This Row],[PLAZO Días]],"PAGO VENCIDO")</f>
        <v>PAGO VENCIDO</v>
      </c>
      <c r="C1828" s="27">
        <f>+VLOOKUP(PROVEEDORES[[#This Row],[PROVEEDOR]],TERCEROS_INFO[#All],2,FALSE)</f>
        <v>30</v>
      </c>
      <c r="D1828" s="37">
        <f>+SUMIFS(PROVEEDORES[Total],PROVEEDORES[PROVEEDOR],PROVEEDORES[[#This Row],[PROVEEDOR]],PROVEEDORES[FECHA DE PAGO],"")</f>
        <v>0</v>
      </c>
      <c r="E1828" s="37"/>
      <c r="F1828" s="108" t="str">
        <f>+VLOOKUP(PROVEEDORES[[#This Row],[PROVEEDOR]],TERCEROS_INFO[[PROVEEDOR]:[CORREO]],5,FALSE)</f>
        <v>apresupuesto@widexcolombia.com;girlesa.ruiz@servipilas.com;joriescobar64@gmail.com</v>
      </c>
      <c r="G1828" s="143">
        <v>44279</v>
      </c>
      <c r="H1828" s="38" t="s">
        <v>11</v>
      </c>
      <c r="I1828" s="30">
        <v>44235</v>
      </c>
      <c r="J1828" s="58" t="s">
        <v>438</v>
      </c>
      <c r="K1828" s="32">
        <v>5532101</v>
      </c>
      <c r="L1828" s="32"/>
      <c r="M1828" s="33">
        <f>(PROVEEDORES[[#This Row],[SUBTOTAL]]-PROVEEDORES[[#This Row],[descuento antes de IVA]])*VLOOKUP(PROVEEDORES[[#This Row],[PROVEEDOR]],TERCEROS_INFO[#All],3,FALSE)</f>
        <v>1051099.19</v>
      </c>
      <c r="N1828" s="34"/>
      <c r="O1828" s="33">
        <f>+PROVEEDORES[[#This Row],[Descuento sobre subtotal %]]*(PROVEEDORES[[#This Row],[SUBTOTAL]]-PROVEEDORES[[#This Row],[descuento antes de IVA]])</f>
        <v>0</v>
      </c>
      <c r="P182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28" s="33">
        <f>+(PROVEEDORES[[#This Row],[SUBTOTAL]]-PROVEEDORES[[#This Row],[descuento antes de IVA]])*PROVEEDORES[[#This Row],[Rete Fuente %]]</f>
        <v>138302.52499999999</v>
      </c>
      <c r="R1828" s="32">
        <f>+PROVEEDORES[[#This Row],[SUBTOTAL]]+PROVEEDORES[[#This Row],[IVA 19%]]-PROVEEDORES[[#This Row],[descuento antes de IVA]]-PROVEEDORES[[#This Row],[Descuento sobre subtotal $]]-PROVEEDORES[[#This Row],[Rete Fuente $]]</f>
        <v>6444897.6649999991</v>
      </c>
      <c r="S1828" s="6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29" spans="1:19" ht="21.95" hidden="1" customHeight="1" x14ac:dyDescent="0.25">
      <c r="A1829" s="88" t="str">
        <f>+IF(PROVEEDORES[[#This Row],[FECHA DE PAGO]]=PROVEEDORES[[#This Row],[FECHA DE FACTURACIÓN]],"DE CONTADO","CRÉDITO")</f>
        <v>CRÉDITO</v>
      </c>
      <c r="B1829" s="70" t="str">
        <f>+IF((PROVEEDORES[[#This Row],[FECHA DE PAGO]]-PROVEEDORES[[#This Row],[FECHA DE FACTURACIÓN]])&gt;PROVEEDORES[[#This Row],[PLAZO Días]],"PAGO VENCIDO")</f>
        <v>PAGO VENCIDO</v>
      </c>
      <c r="C1829" s="27">
        <f>+VLOOKUP(PROVEEDORES[[#This Row],[PROVEEDOR]],TERCEROS_INFO[#All],2,FALSE)</f>
        <v>30</v>
      </c>
      <c r="D1829" s="37">
        <f>+SUMIFS(PROVEEDORES[Total],PROVEEDORES[PROVEEDOR],PROVEEDORES[[#This Row],[PROVEEDOR]],PROVEEDORES[FECHA DE PAGO],"")</f>
        <v>0</v>
      </c>
      <c r="E1829" s="37"/>
      <c r="F1829" s="108" t="str">
        <f>+VLOOKUP(PROVEEDORES[[#This Row],[PROVEEDOR]],TERCEROS_INFO[[PROVEEDOR]:[CORREO]],5,FALSE)</f>
        <v>apresupuesto@widexcolombia.com;girlesa.ruiz@servipilas.com;joriescobar64@gmail.com</v>
      </c>
      <c r="G1829" s="143">
        <v>44319</v>
      </c>
      <c r="H1829" s="38" t="s">
        <v>11</v>
      </c>
      <c r="I1829" s="30">
        <v>44263</v>
      </c>
      <c r="J1829" s="58" t="s">
        <v>525</v>
      </c>
      <c r="K1829" s="32">
        <v>1980000</v>
      </c>
      <c r="L1829" s="32"/>
      <c r="M1829" s="33">
        <f>(PROVEEDORES[[#This Row],[SUBTOTAL]]-PROVEEDORES[[#This Row],[descuento antes de IVA]])*VLOOKUP(PROVEEDORES[[#This Row],[PROVEEDOR]],TERCEROS_INFO[#All],3,FALSE)</f>
        <v>376200</v>
      </c>
      <c r="N1829" s="34"/>
      <c r="O1829" s="33">
        <f>+PROVEEDORES[[#This Row],[Descuento sobre subtotal %]]*(PROVEEDORES[[#This Row],[SUBTOTAL]]-PROVEEDORES[[#This Row],[descuento antes de IVA]])</f>
        <v>0</v>
      </c>
      <c r="P182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29" s="33">
        <f>+(PROVEEDORES[[#This Row],[SUBTOTAL]]-PROVEEDORES[[#This Row],[descuento antes de IVA]])*PROVEEDORES[[#This Row],[Rete Fuente %]]</f>
        <v>49500</v>
      </c>
      <c r="R1829" s="32">
        <f>+PROVEEDORES[[#This Row],[SUBTOTAL]]+PROVEEDORES[[#This Row],[IVA 19%]]-PROVEEDORES[[#This Row],[descuento antes de IVA]]-PROVEEDORES[[#This Row],[Descuento sobre subtotal $]]-PROVEEDORES[[#This Row],[Rete Fuente $]]</f>
        <v>2306700</v>
      </c>
      <c r="S1829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0" spans="1:19" ht="21.95" hidden="1" customHeight="1" x14ac:dyDescent="0.25">
      <c r="A1830" s="88" t="str">
        <f>+IF(PROVEEDORES[[#This Row],[FECHA DE PAGO]]=PROVEEDORES[[#This Row],[FECHA DE FACTURACIÓN]],"DE CONTADO","CRÉDITO")</f>
        <v>CRÉDITO</v>
      </c>
      <c r="B1830" s="70" t="str">
        <f>+IF((PROVEEDORES[[#This Row],[FECHA DE PAGO]]-PROVEEDORES[[#This Row],[FECHA DE FACTURACIÓN]])&gt;PROVEEDORES[[#This Row],[PLAZO Días]],"PAGO VENCIDO")</f>
        <v>PAGO VENCIDO</v>
      </c>
      <c r="C1830" s="27">
        <f>+VLOOKUP(PROVEEDORES[[#This Row],[PROVEEDOR]],TERCEROS_INFO[#All],2,FALSE)</f>
        <v>30</v>
      </c>
      <c r="D1830" s="37">
        <f>+SUMIFS(PROVEEDORES[Total],PROVEEDORES[PROVEEDOR],PROVEEDORES[[#This Row],[PROVEEDOR]],PROVEEDORES[FECHA DE PAGO],"")</f>
        <v>0</v>
      </c>
      <c r="E1830" s="37"/>
      <c r="F1830" s="108" t="str">
        <f>+VLOOKUP(PROVEEDORES[[#This Row],[PROVEEDOR]],TERCEROS_INFO[[PROVEEDOR]:[CORREO]],5,FALSE)</f>
        <v>apresupuesto@widexcolombia.com;girlesa.ruiz@servipilas.com;joriescobar64@gmail.com</v>
      </c>
      <c r="G1830" s="143">
        <v>44319</v>
      </c>
      <c r="H1830" s="38" t="s">
        <v>11</v>
      </c>
      <c r="I1830" s="30">
        <v>44273</v>
      </c>
      <c r="J1830" s="58" t="s">
        <v>537</v>
      </c>
      <c r="K1830" s="32">
        <v>1980000</v>
      </c>
      <c r="L1830" s="32"/>
      <c r="M1830" s="33">
        <f>(PROVEEDORES[[#This Row],[SUBTOTAL]]-PROVEEDORES[[#This Row],[descuento antes de IVA]])*VLOOKUP(PROVEEDORES[[#This Row],[PROVEEDOR]],TERCEROS_INFO[#All],3,FALSE)</f>
        <v>376200</v>
      </c>
      <c r="N1830" s="34"/>
      <c r="O1830" s="33">
        <f>+PROVEEDORES[[#This Row],[Descuento sobre subtotal %]]*(PROVEEDORES[[#This Row],[SUBTOTAL]]-PROVEEDORES[[#This Row],[descuento antes de IVA]])</f>
        <v>0</v>
      </c>
      <c r="P183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30" s="33">
        <f>+(PROVEEDORES[[#This Row],[SUBTOTAL]]-PROVEEDORES[[#This Row],[descuento antes de IVA]])*PROVEEDORES[[#This Row],[Rete Fuente %]]</f>
        <v>49500</v>
      </c>
      <c r="R1830" s="32">
        <f>+PROVEEDORES[[#This Row],[SUBTOTAL]]+PROVEEDORES[[#This Row],[IVA 19%]]-PROVEEDORES[[#This Row],[descuento antes de IVA]]-PROVEEDORES[[#This Row],[Descuento sobre subtotal $]]-PROVEEDORES[[#This Row],[Rete Fuente $]]</f>
        <v>2306700</v>
      </c>
      <c r="S1830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1" spans="1:19" ht="21.95" hidden="1" customHeight="1" x14ac:dyDescent="0.25">
      <c r="A1831" s="102" t="str">
        <f>+IF(PROVEEDORES[[#This Row],[FECHA DE PAGO]]=PROVEEDORES[[#This Row],[FECHA DE FACTURACIÓN]],"DE CONTADO","CRÉDITO")</f>
        <v>CRÉDITO</v>
      </c>
      <c r="B1831" s="70" t="str">
        <f>+IF((PROVEEDORES[[#This Row],[FECHA DE PAGO]]-PROVEEDORES[[#This Row],[FECHA DE FACTURACIÓN]])&gt;PROVEEDORES[[#This Row],[PLAZO Días]],"PAGO VENCIDO")</f>
        <v>PAGO VENCIDO</v>
      </c>
      <c r="C1831" s="27">
        <f>+VLOOKUP(PROVEEDORES[[#This Row],[PROVEEDOR]],TERCEROS_INFO[#All],2,FALSE)</f>
        <v>30</v>
      </c>
      <c r="D1831" s="37">
        <f>+SUMIFS(PROVEEDORES[Total],PROVEEDORES[PROVEEDOR],PROVEEDORES[[#This Row],[PROVEEDOR]],PROVEEDORES[FECHA DE PAGO],"")</f>
        <v>0</v>
      </c>
      <c r="E1831" s="37"/>
      <c r="F1831" s="108" t="str">
        <f>+VLOOKUP(PROVEEDORES[[#This Row],[PROVEEDOR]],TERCEROS_INFO[[PROVEEDOR]:[CORREO]],5,FALSE)</f>
        <v>apresupuesto@widexcolombia.com;girlesa.ruiz@servipilas.com;joriescobar64@gmail.com</v>
      </c>
      <c r="G1831" s="143">
        <v>44348</v>
      </c>
      <c r="H1831" s="38" t="s">
        <v>11</v>
      </c>
      <c r="I1831" s="30">
        <v>44292</v>
      </c>
      <c r="J1831" s="58" t="s">
        <v>603</v>
      </c>
      <c r="K1831" s="32">
        <v>912101</v>
      </c>
      <c r="L1831" s="32"/>
      <c r="M1831" s="33">
        <f>(PROVEEDORES[[#This Row],[SUBTOTAL]]-PROVEEDORES[[#This Row],[descuento antes de IVA]])*VLOOKUP(PROVEEDORES[[#This Row],[PROVEEDOR]],TERCEROS_INFO[#All],3,FALSE)</f>
        <v>173299.19</v>
      </c>
      <c r="N1831" s="34"/>
      <c r="O1831" s="33">
        <f>+PROVEEDORES[[#This Row],[Descuento sobre subtotal %]]*(PROVEEDORES[[#This Row],[SUBTOTAL]]-PROVEEDORES[[#This Row],[descuento antes de IVA]])</f>
        <v>0</v>
      </c>
      <c r="P183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31" s="33">
        <f>+(PROVEEDORES[[#This Row],[SUBTOTAL]]-PROVEEDORES[[#This Row],[descuento antes de IVA]])*PROVEEDORES[[#This Row],[Rete Fuente %]]</f>
        <v>0</v>
      </c>
      <c r="R1831" s="32">
        <f>+PROVEEDORES[[#This Row],[SUBTOTAL]]+PROVEEDORES[[#This Row],[IVA 19%]]-PROVEEDORES[[#This Row],[descuento antes de IVA]]-PROVEEDORES[[#This Row],[Descuento sobre subtotal $]]-PROVEEDORES[[#This Row],[Rete Fuente $]]</f>
        <v>1085400.19</v>
      </c>
      <c r="S1831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2" spans="1:19" ht="21.95" hidden="1" customHeight="1" x14ac:dyDescent="0.25">
      <c r="A1832" s="109" t="str">
        <f>+IF(PROVEEDORES[[#This Row],[FECHA DE PAGO]]=PROVEEDORES[[#This Row],[FECHA DE FACTURACIÓN]],"DE CONTADO","CRÉDITO")</f>
        <v>CRÉDITO</v>
      </c>
      <c r="B1832" s="70" t="str">
        <f>+IF((PROVEEDORES[[#This Row],[FECHA DE PAGO]]-PROVEEDORES[[#This Row],[FECHA DE FACTURACIÓN]])&gt;PROVEEDORES[[#This Row],[PLAZO Días]],"PAGO VENCIDO")</f>
        <v>PAGO VENCIDO</v>
      </c>
      <c r="C1832" s="27">
        <f>+VLOOKUP(PROVEEDORES[[#This Row],[PROVEEDOR]],TERCEROS_INFO[#All],2,FALSE)</f>
        <v>30</v>
      </c>
      <c r="D1832" s="37">
        <f>+SUMIFS(PROVEEDORES[Total],PROVEEDORES[PROVEEDOR],PROVEEDORES[[#This Row],[PROVEEDOR]],PROVEEDORES[FECHA DE PAGO],"")</f>
        <v>0</v>
      </c>
      <c r="E1832" s="37"/>
      <c r="F1832" s="108" t="str">
        <f>+VLOOKUP(PROVEEDORES[[#This Row],[PROVEEDOR]],TERCEROS_INFO[[PROVEEDOR]:[CORREO]],5,FALSE)</f>
        <v>apresupuesto@widexcolombia.com;girlesa.ruiz@servipilas.com;joriescobar64@gmail.com</v>
      </c>
      <c r="G1832" s="143">
        <v>44363</v>
      </c>
      <c r="H1832" s="38" t="s">
        <v>11</v>
      </c>
      <c r="I1832" s="30">
        <v>44321</v>
      </c>
      <c r="J1832" s="58" t="s">
        <v>668</v>
      </c>
      <c r="K1832" s="32">
        <v>1650000</v>
      </c>
      <c r="L1832" s="32"/>
      <c r="M1832" s="33">
        <f>(PROVEEDORES[[#This Row],[SUBTOTAL]]-PROVEEDORES[[#This Row],[descuento antes de IVA]])*VLOOKUP(PROVEEDORES[[#This Row],[PROVEEDOR]],TERCEROS_INFO[#All],3,FALSE)</f>
        <v>313500</v>
      </c>
      <c r="N1832" s="34"/>
      <c r="O1832" s="33">
        <f>+PROVEEDORES[[#This Row],[Descuento sobre subtotal %]]*(PROVEEDORES[[#This Row],[SUBTOTAL]]-PROVEEDORES[[#This Row],[descuento antes de IVA]])</f>
        <v>0</v>
      </c>
      <c r="P183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32" s="33">
        <f>+(PROVEEDORES[[#This Row],[SUBTOTAL]]-PROVEEDORES[[#This Row],[descuento antes de IVA]])*PROVEEDORES[[#This Row],[Rete Fuente %]]</f>
        <v>41250</v>
      </c>
      <c r="R1832" s="32">
        <f>+PROVEEDORES[[#This Row],[SUBTOTAL]]+PROVEEDORES[[#This Row],[IVA 19%]]-PROVEEDORES[[#This Row],[descuento antes de IVA]]-PROVEEDORES[[#This Row],[Descuento sobre subtotal $]]-PROVEEDORES[[#This Row],[Rete Fuente $]]</f>
        <v>1922250</v>
      </c>
      <c r="S1832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3" spans="1:19" ht="21.95" hidden="1" customHeight="1" x14ac:dyDescent="0.25">
      <c r="A1833" s="35" t="str">
        <f>+IF(PROVEEDORES[[#This Row],[FECHA DE PAGO]]=PROVEEDORES[[#This Row],[FECHA DE FACTURACIÓN]],"DE CONTADO","CRÉDITO")</f>
        <v>CRÉDITO</v>
      </c>
      <c r="B1833" s="70" t="str">
        <f>+IF((PROVEEDORES[[#This Row],[FECHA DE PAGO]]-PROVEEDORES[[#This Row],[FECHA DE FACTURACIÓN]])&gt;PROVEEDORES[[#This Row],[PLAZO Días]],"PAGO VENCIDO")</f>
        <v>PAGO VENCIDO</v>
      </c>
      <c r="C1833" s="27">
        <f>+VLOOKUP(PROVEEDORES[[#This Row],[PROVEEDOR]],TERCEROS_INFO[#All],2,FALSE)</f>
        <v>30</v>
      </c>
      <c r="D1833" s="37">
        <f>+SUMIFS(PROVEEDORES[Total],PROVEEDORES[PROVEEDOR],PROVEEDORES[[#This Row],[PROVEEDOR]],PROVEEDORES[FECHA DE PAGO],"")</f>
        <v>0</v>
      </c>
      <c r="E1833" s="37"/>
      <c r="F1833" s="108" t="str">
        <f>+VLOOKUP(PROVEEDORES[[#This Row],[PROVEEDOR]],TERCEROS_INFO[[PROVEEDOR]:[CORREO]],5,FALSE)</f>
        <v>apresupuesto@widexcolombia.com;girlesa.ruiz@servipilas.com;joriescobar64@gmail.com</v>
      </c>
      <c r="G1833" s="143">
        <v>44385</v>
      </c>
      <c r="H1833" s="38" t="s">
        <v>11</v>
      </c>
      <c r="I1833" s="30">
        <v>44336</v>
      </c>
      <c r="J1833" s="58" t="s">
        <v>688</v>
      </c>
      <c r="K1833" s="32">
        <v>2640000</v>
      </c>
      <c r="L1833" s="32"/>
      <c r="M1833" s="33">
        <f>(PROVEEDORES[[#This Row],[SUBTOTAL]]-PROVEEDORES[[#This Row],[descuento antes de IVA]])*VLOOKUP(PROVEEDORES[[#This Row],[PROVEEDOR]],TERCEROS_INFO[#All],3,FALSE)</f>
        <v>501600</v>
      </c>
      <c r="N1833" s="34"/>
      <c r="O1833" s="33">
        <f>+PROVEEDORES[[#This Row],[Descuento sobre subtotal %]]*(PROVEEDORES[[#This Row],[SUBTOTAL]]-PROVEEDORES[[#This Row],[descuento antes de IVA]])</f>
        <v>0</v>
      </c>
      <c r="P183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33" s="33">
        <f>+(PROVEEDORES[[#This Row],[SUBTOTAL]]-PROVEEDORES[[#This Row],[descuento antes de IVA]])*PROVEEDORES[[#This Row],[Rete Fuente %]]</f>
        <v>66000</v>
      </c>
      <c r="R1833" s="32">
        <f>+PROVEEDORES[[#This Row],[SUBTOTAL]]+PROVEEDORES[[#This Row],[IVA 19%]]-PROVEEDORES[[#This Row],[descuento antes de IVA]]-PROVEEDORES[[#This Row],[Descuento sobre subtotal $]]-PROVEEDORES[[#This Row],[Rete Fuente $]]</f>
        <v>3075600</v>
      </c>
      <c r="S1833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4" spans="1:19" ht="21.95" hidden="1" customHeight="1" x14ac:dyDescent="0.25">
      <c r="A1834" s="119" t="str">
        <f>+IF(PROVEEDORES[[#This Row],[FECHA DE PAGO]]=PROVEEDORES[[#This Row],[FECHA DE FACTURACIÓN]],"DE CONTADO","CRÉDITO")</f>
        <v>CRÉDITO</v>
      </c>
      <c r="B1834" s="70" t="str">
        <f>+IF((PROVEEDORES[[#This Row],[FECHA DE PAGO]]-PROVEEDORES[[#This Row],[FECHA DE FACTURACIÓN]])&gt;PROVEEDORES[[#This Row],[PLAZO Días]],"PAGO VENCIDO")</f>
        <v>PAGO VENCIDO</v>
      </c>
      <c r="C1834" s="27">
        <f>+VLOOKUP(PROVEEDORES[[#This Row],[PROVEEDOR]],TERCEROS_INFO[#All],2,FALSE)</f>
        <v>30</v>
      </c>
      <c r="D1834" s="37">
        <f>+SUMIFS(PROVEEDORES[Total],PROVEEDORES[PROVEEDOR],PROVEEDORES[[#This Row],[PROVEEDOR]],PROVEEDORES[FECHA DE PAGO],"")</f>
        <v>0</v>
      </c>
      <c r="E1834" s="37"/>
      <c r="F1834" s="108" t="str">
        <f>+VLOOKUP(PROVEEDORES[[#This Row],[PROVEEDOR]],TERCEROS_INFO[[PROVEEDOR]:[CORREO]],5,FALSE)</f>
        <v>apresupuesto@widexcolombia.com;girlesa.ruiz@servipilas.com;joriescobar64@gmail.com</v>
      </c>
      <c r="G1834" s="143">
        <v>44385</v>
      </c>
      <c r="H1834" s="38" t="s">
        <v>11</v>
      </c>
      <c r="I1834" s="30">
        <v>44348</v>
      </c>
      <c r="J1834" s="58" t="s">
        <v>692</v>
      </c>
      <c r="K1834" s="32">
        <v>2106050</v>
      </c>
      <c r="L1834" s="32"/>
      <c r="M1834" s="33">
        <f>(PROVEEDORES[[#This Row],[SUBTOTAL]]-PROVEEDORES[[#This Row],[descuento antes de IVA]])*VLOOKUP(PROVEEDORES[[#This Row],[PROVEEDOR]],TERCEROS_INFO[#All],3,FALSE)</f>
        <v>400149.5</v>
      </c>
      <c r="N1834" s="34"/>
      <c r="O1834" s="33">
        <f>+PROVEEDORES[[#This Row],[Descuento sobre subtotal %]]*(PROVEEDORES[[#This Row],[SUBTOTAL]]-PROVEEDORES[[#This Row],[descuento antes de IVA]])</f>
        <v>0</v>
      </c>
      <c r="P183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34" s="33">
        <f>+(PROVEEDORES[[#This Row],[SUBTOTAL]]-PROVEEDORES[[#This Row],[descuento antes de IVA]])*PROVEEDORES[[#This Row],[Rete Fuente %]]</f>
        <v>52651.25</v>
      </c>
      <c r="R1834" s="32">
        <f>+PROVEEDORES[[#This Row],[SUBTOTAL]]+PROVEEDORES[[#This Row],[IVA 19%]]-PROVEEDORES[[#This Row],[descuento antes de IVA]]-PROVEEDORES[[#This Row],[Descuento sobre subtotal $]]-PROVEEDORES[[#This Row],[Rete Fuente $]]</f>
        <v>2453548.25</v>
      </c>
      <c r="S1834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5" spans="1:19" ht="21.95" hidden="1" customHeight="1" x14ac:dyDescent="0.25">
      <c r="A1835" s="124" t="str">
        <f>+IF(PROVEEDORES[[#This Row],[FECHA DE PAGO]]=PROVEEDORES[[#This Row],[FECHA DE FACTURACIÓN]],"DE CONTADO","CRÉDITO")</f>
        <v>CRÉDITO</v>
      </c>
      <c r="B1835" s="70" t="str">
        <f>+IF((PROVEEDORES[[#This Row],[FECHA DE PAGO]]-PROVEEDORES[[#This Row],[FECHA DE FACTURACIÓN]])&gt;PROVEEDORES[[#This Row],[PLAZO Días]],"PAGO VENCIDO")</f>
        <v>PAGO VENCIDO</v>
      </c>
      <c r="C1835" s="27">
        <f>+VLOOKUP(PROVEEDORES[[#This Row],[PROVEEDOR]],TERCEROS_INFO[#All],2,FALSE)</f>
        <v>30</v>
      </c>
      <c r="D1835" s="37">
        <f>+SUMIFS(PROVEEDORES[Total],PROVEEDORES[PROVEEDOR],PROVEEDORES[[#This Row],[PROVEEDOR]],PROVEEDORES[FECHA DE PAGO],"")</f>
        <v>0</v>
      </c>
      <c r="E1835" s="37"/>
      <c r="F1835" s="108" t="str">
        <f>+VLOOKUP(PROVEEDORES[[#This Row],[PROVEEDOR]],TERCEROS_INFO[[PROVEEDOR]:[CORREO]],5,FALSE)</f>
        <v>apresupuesto@widexcolombia.com;girlesa.ruiz@servipilas.com;joriescobar64@gmail.com</v>
      </c>
      <c r="G1835" s="143">
        <v>44403</v>
      </c>
      <c r="H1835" s="38" t="s">
        <v>11</v>
      </c>
      <c r="I1835" s="30">
        <v>44355</v>
      </c>
      <c r="J1835" s="58" t="s">
        <v>703</v>
      </c>
      <c r="K1835" s="32">
        <v>126050</v>
      </c>
      <c r="L1835" s="32"/>
      <c r="M1835" s="33">
        <f>(PROVEEDORES[[#This Row],[SUBTOTAL]]-PROVEEDORES[[#This Row],[descuento antes de IVA]])*VLOOKUP(PROVEEDORES[[#This Row],[PROVEEDOR]],TERCEROS_INFO[#All],3,FALSE)</f>
        <v>23949.5</v>
      </c>
      <c r="N1835" s="34"/>
      <c r="O1835" s="33">
        <f>+PROVEEDORES[[#This Row],[Descuento sobre subtotal %]]*(PROVEEDORES[[#This Row],[SUBTOTAL]]-PROVEEDORES[[#This Row],[descuento antes de IVA]])</f>
        <v>0</v>
      </c>
      <c r="P183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35" s="33">
        <f>+(PROVEEDORES[[#This Row],[SUBTOTAL]]-PROVEEDORES[[#This Row],[descuento antes de IVA]])*PROVEEDORES[[#This Row],[Rete Fuente %]]</f>
        <v>0</v>
      </c>
      <c r="R1835" s="32">
        <f>+PROVEEDORES[[#This Row],[SUBTOTAL]]+PROVEEDORES[[#This Row],[IVA 19%]]-PROVEEDORES[[#This Row],[descuento antes de IVA]]-PROVEEDORES[[#This Row],[Descuento sobre subtotal $]]-PROVEEDORES[[#This Row],[Rete Fuente $]]</f>
        <v>149999.5</v>
      </c>
      <c r="S1835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6" spans="1:19" ht="21.95" hidden="1" customHeight="1" x14ac:dyDescent="0.25">
      <c r="A1836" s="35" t="str">
        <f>+IF(PROVEEDORES[[#This Row],[FECHA DE PAGO]]=PROVEEDORES[[#This Row],[FECHA DE FACTURACIÓN]],"DE CONTADO","CRÉDITO")</f>
        <v>CRÉDITO</v>
      </c>
      <c r="B1836" s="70" t="str">
        <f>+IF((PROVEEDORES[[#This Row],[FECHA DE PAGO]]-PROVEEDORES[[#This Row],[FECHA DE FACTURACIÓN]])&gt;PROVEEDORES[[#This Row],[PLAZO Días]],"PAGO VENCIDO")</f>
        <v>PAGO VENCIDO</v>
      </c>
      <c r="C1836" s="27">
        <f>+VLOOKUP(PROVEEDORES[[#This Row],[PROVEEDOR]],TERCEROS_INFO[#All],2,FALSE)</f>
        <v>30</v>
      </c>
      <c r="D1836" s="37">
        <f>+SUMIFS(PROVEEDORES[Total],PROVEEDORES[PROVEEDOR],PROVEEDORES[[#This Row],[PROVEEDOR]],PROVEEDORES[FECHA DE PAGO],"")</f>
        <v>0</v>
      </c>
      <c r="E1836" s="37"/>
      <c r="F1836" s="108" t="str">
        <f>+VLOOKUP(PROVEEDORES[[#This Row],[PROVEEDOR]],TERCEROS_INFO[[PROVEEDOR]:[CORREO]],5,FALSE)</f>
        <v>apresupuesto@widexcolombia.com;girlesa.ruiz@servipilas.com;joriescobar64@gmail.com</v>
      </c>
      <c r="G1836" s="143">
        <v>44396</v>
      </c>
      <c r="H1836" s="38" t="s">
        <v>11</v>
      </c>
      <c r="I1836" s="30">
        <v>44362</v>
      </c>
      <c r="J1836" s="58">
        <v>2476</v>
      </c>
      <c r="K1836" s="32">
        <v>5280000</v>
      </c>
      <c r="L1836" s="32"/>
      <c r="M1836" s="33">
        <f>(PROVEEDORES[[#This Row],[SUBTOTAL]]-PROVEEDORES[[#This Row],[descuento antes de IVA]])*VLOOKUP(PROVEEDORES[[#This Row],[PROVEEDOR]],TERCEROS_INFO[#All],3,FALSE)</f>
        <v>1003200</v>
      </c>
      <c r="N1836" s="34"/>
      <c r="O1836" s="33">
        <f>+PROVEEDORES[[#This Row],[Descuento sobre subtotal %]]*(PROVEEDORES[[#This Row],[SUBTOTAL]]-PROVEEDORES[[#This Row],[descuento antes de IVA]])</f>
        <v>0</v>
      </c>
      <c r="P183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36" s="33">
        <f>+(PROVEEDORES[[#This Row],[SUBTOTAL]]-PROVEEDORES[[#This Row],[descuento antes de IVA]])*PROVEEDORES[[#This Row],[Rete Fuente %]]</f>
        <v>132000</v>
      </c>
      <c r="R1836" s="32">
        <f>+PROVEEDORES[[#This Row],[SUBTOTAL]]+PROVEEDORES[[#This Row],[IVA 19%]]-PROVEEDORES[[#This Row],[descuento antes de IVA]]-PROVEEDORES[[#This Row],[Descuento sobre subtotal $]]-PROVEEDORES[[#This Row],[Rete Fuente $]]</f>
        <v>6151200</v>
      </c>
      <c r="S1836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7" spans="1:19" ht="21.95" hidden="1" customHeight="1" x14ac:dyDescent="0.25">
      <c r="A1837" s="129" t="str">
        <f>+IF(PROVEEDORES[[#This Row],[FECHA DE PAGO]]=PROVEEDORES[[#This Row],[FECHA DE FACTURACIÓN]],"DE CONTADO","CRÉDITO")</f>
        <v>CRÉDITO</v>
      </c>
      <c r="B1837" s="70" t="str">
        <f>+IF((PROVEEDORES[[#This Row],[FECHA DE PAGO]]-PROVEEDORES[[#This Row],[FECHA DE FACTURACIÓN]])&gt;PROVEEDORES[[#This Row],[PLAZO Días]],"PAGO VENCIDO")</f>
        <v>PAGO VENCIDO</v>
      </c>
      <c r="C1837" s="27">
        <f>+VLOOKUP(PROVEEDORES[[#This Row],[PROVEEDOR]],TERCEROS_INFO[#All],2,FALSE)</f>
        <v>30</v>
      </c>
      <c r="D1837" s="37">
        <f>+SUMIFS(PROVEEDORES[Total],PROVEEDORES[PROVEEDOR],PROVEEDORES[[#This Row],[PROVEEDOR]],PROVEEDORES[FECHA DE PAGO],"")</f>
        <v>0</v>
      </c>
      <c r="E1837" s="37"/>
      <c r="F1837" s="108" t="str">
        <f>+VLOOKUP(PROVEEDORES[[#This Row],[PROVEEDOR]],TERCEROS_INFO[[PROVEEDOR]:[CORREO]],5,FALSE)</f>
        <v>apresupuesto@widexcolombia.com;girlesa.ruiz@servipilas.com;joriescobar64@gmail.com</v>
      </c>
      <c r="G1837" s="143">
        <v>44426</v>
      </c>
      <c r="H1837" s="38" t="s">
        <v>11</v>
      </c>
      <c r="I1837" s="30">
        <v>44385</v>
      </c>
      <c r="J1837" s="58" t="s">
        <v>746</v>
      </c>
      <c r="K1837" s="32">
        <v>1320000</v>
      </c>
      <c r="L1837" s="32"/>
      <c r="M1837" s="33">
        <f>(PROVEEDORES[[#This Row],[SUBTOTAL]]-PROVEEDORES[[#This Row],[descuento antes de IVA]])*VLOOKUP(PROVEEDORES[[#This Row],[PROVEEDOR]],TERCEROS_INFO[#All],3,FALSE)</f>
        <v>250800</v>
      </c>
      <c r="N1837" s="34"/>
      <c r="O1837" s="33">
        <f>+PROVEEDORES[[#This Row],[Descuento sobre subtotal %]]*(PROVEEDORES[[#This Row],[SUBTOTAL]]-PROVEEDORES[[#This Row],[descuento antes de IVA]])</f>
        <v>0</v>
      </c>
      <c r="P183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37" s="33">
        <f>+(PROVEEDORES[[#This Row],[SUBTOTAL]]-PROVEEDORES[[#This Row],[descuento antes de IVA]])*PROVEEDORES[[#This Row],[Rete Fuente %]]</f>
        <v>33000</v>
      </c>
      <c r="R1837" s="32">
        <f>+PROVEEDORES[[#This Row],[SUBTOTAL]]+PROVEEDORES[[#This Row],[IVA 19%]]-PROVEEDORES[[#This Row],[descuento antes de IVA]]-PROVEEDORES[[#This Row],[Descuento sobre subtotal $]]-PROVEEDORES[[#This Row],[Rete Fuente $]]</f>
        <v>1537800</v>
      </c>
      <c r="S1837" s="12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8" spans="1:19" ht="21.95" hidden="1" customHeight="1" x14ac:dyDescent="0.25">
      <c r="A1838" s="134" t="str">
        <f>+IF(PROVEEDORES[[#This Row],[FECHA DE PAGO]]=PROVEEDORES[[#This Row],[FECHA DE FACTURACIÓN]],"DE CONTADO","CRÉDITO")</f>
        <v>CRÉDITO</v>
      </c>
      <c r="B1838" s="70" t="str">
        <f>+IF((PROVEEDORES[[#This Row],[FECHA DE PAGO]]-PROVEEDORES[[#This Row],[FECHA DE FACTURACIÓN]])&gt;PROVEEDORES[[#This Row],[PLAZO Días]],"PAGO VENCIDO")</f>
        <v>PAGO VENCIDO</v>
      </c>
      <c r="C1838" s="27">
        <f>+VLOOKUP(PROVEEDORES[[#This Row],[PROVEEDOR]],TERCEROS_INFO[#All],2,FALSE)</f>
        <v>30</v>
      </c>
      <c r="D1838" s="37">
        <f>+SUMIFS(PROVEEDORES[Total],PROVEEDORES[PROVEEDOR],PROVEEDORES[[#This Row],[PROVEEDOR]],PROVEEDORES[FECHA DE PAGO],"")</f>
        <v>0</v>
      </c>
      <c r="E1838" s="37"/>
      <c r="F1838" s="108" t="str">
        <f>+VLOOKUP(PROVEEDORES[[#This Row],[PROVEEDOR]],TERCEROS_INFO[[PROVEEDOR]:[CORREO]],5,FALSE)</f>
        <v>apresupuesto@widexcolombia.com;girlesa.ruiz@servipilas.com;joriescobar64@gmail.com</v>
      </c>
      <c r="G1838" s="143">
        <v>44442</v>
      </c>
      <c r="H1838" s="38" t="s">
        <v>11</v>
      </c>
      <c r="I1838" s="30">
        <v>44404</v>
      </c>
      <c r="J1838" s="58" t="s">
        <v>763</v>
      </c>
      <c r="K1838" s="32">
        <v>2640000</v>
      </c>
      <c r="L1838" s="32"/>
      <c r="M1838" s="33">
        <f>(PROVEEDORES[[#This Row],[SUBTOTAL]]-PROVEEDORES[[#This Row],[descuento antes de IVA]])*VLOOKUP(PROVEEDORES[[#This Row],[PROVEEDOR]],TERCEROS_INFO[#All],3,FALSE)</f>
        <v>501600</v>
      </c>
      <c r="N1838" s="34"/>
      <c r="O1838" s="33">
        <f>+PROVEEDORES[[#This Row],[Descuento sobre subtotal %]]*(PROVEEDORES[[#This Row],[SUBTOTAL]]-PROVEEDORES[[#This Row],[descuento antes de IVA]])</f>
        <v>0</v>
      </c>
      <c r="P183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38" s="33">
        <f>+(PROVEEDORES[[#This Row],[SUBTOTAL]]-PROVEEDORES[[#This Row],[descuento antes de IVA]])*PROVEEDORES[[#This Row],[Rete Fuente %]]</f>
        <v>66000</v>
      </c>
      <c r="R1838" s="32">
        <f>+PROVEEDORES[[#This Row],[SUBTOTAL]]+PROVEEDORES[[#This Row],[IVA 19%]]-PROVEEDORES[[#This Row],[descuento antes de IVA]]-PROVEEDORES[[#This Row],[Descuento sobre subtotal $]]-PROVEEDORES[[#This Row],[Rete Fuente $]]</f>
        <v>3075600</v>
      </c>
      <c r="S1838" s="1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39" spans="1:19" ht="21.95" hidden="1" customHeight="1" x14ac:dyDescent="0.25">
      <c r="A1839" s="35" t="str">
        <f>+IF(PROVEEDORES[[#This Row],[FECHA DE PAGO]]=PROVEEDORES[[#This Row],[FECHA DE FACTURACIÓN]],"DE CONTADO","CRÉDITO")</f>
        <v>CRÉDITO</v>
      </c>
      <c r="B1839" s="70" t="str">
        <f>+IF((PROVEEDORES[[#This Row],[FECHA DE PAGO]]-PROVEEDORES[[#This Row],[FECHA DE FACTURACIÓN]])&gt;PROVEEDORES[[#This Row],[PLAZO Días]],"PAGO VENCIDO")</f>
        <v>PAGO VENCIDO</v>
      </c>
      <c r="C1839" s="27">
        <f>+VLOOKUP(PROVEEDORES[[#This Row],[PROVEEDOR]],TERCEROS_INFO[#All],2,FALSE)</f>
        <v>30</v>
      </c>
      <c r="D1839" s="37">
        <f>+SUMIFS(PROVEEDORES[Total],PROVEEDORES[PROVEEDOR],PROVEEDORES[[#This Row],[PROVEEDOR]],PROVEEDORES[FECHA DE PAGO],"")</f>
        <v>0</v>
      </c>
      <c r="E1839" s="37"/>
      <c r="F1839" s="108" t="str">
        <f>+VLOOKUP(PROVEEDORES[[#This Row],[PROVEEDOR]],TERCEROS_INFO[[PROVEEDOR]:[CORREO]],5,FALSE)</f>
        <v>apresupuesto@widexcolombia.com;girlesa.ruiz@servipilas.com;joriescobar64@gmail.com</v>
      </c>
      <c r="G1839" s="143">
        <v>44476</v>
      </c>
      <c r="H1839" s="38" t="s">
        <v>11</v>
      </c>
      <c r="I1839" s="30">
        <v>44426</v>
      </c>
      <c r="J1839" s="58" t="s">
        <v>807</v>
      </c>
      <c r="K1839" s="32">
        <v>4023025</v>
      </c>
      <c r="L1839" s="32"/>
      <c r="M1839" s="33">
        <f>(PROVEEDORES[[#This Row],[SUBTOTAL]]-PROVEEDORES[[#This Row],[descuento antes de IVA]])*VLOOKUP(PROVEEDORES[[#This Row],[PROVEEDOR]],TERCEROS_INFO[#All],3,FALSE)</f>
        <v>764374.75</v>
      </c>
      <c r="N1839" s="34"/>
      <c r="O1839" s="33">
        <f>+PROVEEDORES[[#This Row],[Descuento sobre subtotal %]]*(PROVEEDORES[[#This Row],[SUBTOTAL]]-PROVEEDORES[[#This Row],[descuento antes de IVA]])</f>
        <v>0</v>
      </c>
      <c r="P183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39" s="33">
        <f>+(PROVEEDORES[[#This Row],[SUBTOTAL]]-PROVEEDORES[[#This Row],[descuento antes de IVA]])*PROVEEDORES[[#This Row],[Rete Fuente %]]</f>
        <v>100575.625</v>
      </c>
      <c r="R1839" s="32">
        <f>+PROVEEDORES[[#This Row],[SUBTOTAL]]+PROVEEDORES[[#This Row],[IVA 19%]]-PROVEEDORES[[#This Row],[descuento antes de IVA]]-PROVEEDORES[[#This Row],[Descuento sobre subtotal $]]-PROVEEDORES[[#This Row],[Rete Fuente $]]</f>
        <v>4686824.125</v>
      </c>
      <c r="S1839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0" spans="1:19" ht="21.95" hidden="1" customHeight="1" x14ac:dyDescent="0.25">
      <c r="A1840" s="35" t="str">
        <f>+IF(PROVEEDORES[[#This Row],[FECHA DE PAGO]]=PROVEEDORES[[#This Row],[FECHA DE FACTURACIÓN]],"DE CONTADO","CRÉDITO")</f>
        <v>CRÉDITO</v>
      </c>
      <c r="B1840" s="70" t="str">
        <f>+IF((PROVEEDORES[[#This Row],[FECHA DE PAGO]]-PROVEEDORES[[#This Row],[FECHA DE FACTURACIÓN]])&gt;PROVEEDORES[[#This Row],[PLAZO Días]],"PAGO VENCIDO")</f>
        <v>PAGO VENCIDO</v>
      </c>
      <c r="C1840" s="27">
        <f>+VLOOKUP(PROVEEDORES[[#This Row],[PROVEEDOR]],TERCEROS_INFO[#All],2,FALSE)</f>
        <v>30</v>
      </c>
      <c r="D1840" s="37">
        <f>+SUMIFS(PROVEEDORES[Total],PROVEEDORES[PROVEEDOR],PROVEEDORES[[#This Row],[PROVEEDOR]],PROVEEDORES[FECHA DE PAGO],"")</f>
        <v>0</v>
      </c>
      <c r="E1840" s="37"/>
      <c r="F1840" s="108" t="str">
        <f>+VLOOKUP(PROVEEDORES[[#This Row],[PROVEEDOR]],TERCEROS_INFO[[PROVEEDOR]:[CORREO]],5,FALSE)</f>
        <v>apresupuesto@widexcolombia.com;girlesa.ruiz@servipilas.com;joriescobar64@gmail.com</v>
      </c>
      <c r="G1840" s="143">
        <v>44503</v>
      </c>
      <c r="H1840" s="38" t="s">
        <v>11</v>
      </c>
      <c r="I1840" s="30">
        <v>44454</v>
      </c>
      <c r="J1840" s="58" t="s">
        <v>865</v>
      </c>
      <c r="K1840" s="32">
        <v>1980000</v>
      </c>
      <c r="L1840" s="32"/>
      <c r="M1840" s="33">
        <f>(PROVEEDORES[[#This Row],[SUBTOTAL]]-PROVEEDORES[[#This Row],[descuento antes de IVA]])*VLOOKUP(PROVEEDORES[[#This Row],[PROVEEDOR]],TERCEROS_INFO[#All],3,FALSE)</f>
        <v>376200</v>
      </c>
      <c r="N1840" s="34"/>
      <c r="O1840" s="33">
        <f>+PROVEEDORES[[#This Row],[Descuento sobre subtotal %]]*(PROVEEDORES[[#This Row],[SUBTOTAL]]-PROVEEDORES[[#This Row],[descuento antes de IVA]])</f>
        <v>0</v>
      </c>
      <c r="P184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40" s="33">
        <f>+(PROVEEDORES[[#This Row],[SUBTOTAL]]-PROVEEDORES[[#This Row],[descuento antes de IVA]])*PROVEEDORES[[#This Row],[Rete Fuente %]]</f>
        <v>49500</v>
      </c>
      <c r="R1840" s="32">
        <f>+PROVEEDORES[[#This Row],[SUBTOTAL]]+PROVEEDORES[[#This Row],[IVA 19%]]-PROVEEDORES[[#This Row],[descuento antes de IVA]]-PROVEEDORES[[#This Row],[Descuento sobre subtotal $]]-PROVEEDORES[[#This Row],[Rete Fuente $]]</f>
        <v>2306700</v>
      </c>
      <c r="S1840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1" spans="1:19" ht="21.95" hidden="1" customHeight="1" x14ac:dyDescent="0.25">
      <c r="A1841" s="155" t="str">
        <f>+IF(PROVEEDORES[[#This Row],[FECHA DE PAGO]]=PROVEEDORES[[#This Row],[FECHA DE FACTURACIÓN]],"DE CONTADO","CRÉDITO")</f>
        <v>CRÉDITO</v>
      </c>
      <c r="B1841" s="70" t="str">
        <f>+IF((PROVEEDORES[[#This Row],[FECHA DE PAGO]]-PROVEEDORES[[#This Row],[FECHA DE FACTURACIÓN]])&gt;PROVEEDORES[[#This Row],[PLAZO Días]],"PAGO VENCIDO")</f>
        <v>PAGO VENCIDO</v>
      </c>
      <c r="C1841" s="27">
        <f>+VLOOKUP(PROVEEDORES[[#This Row],[PROVEEDOR]],TERCEROS_INFO[#All],2,FALSE)</f>
        <v>30</v>
      </c>
      <c r="D1841" s="37">
        <f>+SUMIFS(PROVEEDORES[Total],PROVEEDORES[PROVEEDOR],PROVEEDORES[[#This Row],[PROVEEDOR]],PROVEEDORES[FECHA DE PAGO],"")</f>
        <v>0</v>
      </c>
      <c r="E1841" s="37"/>
      <c r="F1841" s="108" t="str">
        <f>+VLOOKUP(PROVEEDORES[[#This Row],[PROVEEDOR]],TERCEROS_INFO[[PROVEEDOR]:[CORREO]],5,FALSE)</f>
        <v>apresupuesto@widexcolombia.com;girlesa.ruiz@servipilas.com;joriescobar64@gmail.com</v>
      </c>
      <c r="G1841" s="143">
        <v>44517</v>
      </c>
      <c r="H1841" s="38" t="s">
        <v>11</v>
      </c>
      <c r="I1841" s="30">
        <v>44477</v>
      </c>
      <c r="J1841" s="58" t="s">
        <v>884</v>
      </c>
      <c r="K1841" s="32">
        <v>3300000</v>
      </c>
      <c r="L1841" s="32"/>
      <c r="M1841" s="33">
        <f>(PROVEEDORES[[#This Row],[SUBTOTAL]]-PROVEEDORES[[#This Row],[descuento antes de IVA]])*VLOOKUP(PROVEEDORES[[#This Row],[PROVEEDOR]],TERCEROS_INFO[#All],3,FALSE)</f>
        <v>627000</v>
      </c>
      <c r="N1841" s="34"/>
      <c r="O1841" s="33">
        <f>+PROVEEDORES[[#This Row],[Descuento sobre subtotal %]]*(PROVEEDORES[[#This Row],[SUBTOTAL]]-PROVEEDORES[[#This Row],[descuento antes de IVA]])</f>
        <v>0</v>
      </c>
      <c r="P184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41" s="33">
        <f>+(PROVEEDORES[[#This Row],[SUBTOTAL]]-PROVEEDORES[[#This Row],[descuento antes de IVA]])*PROVEEDORES[[#This Row],[Rete Fuente %]]</f>
        <v>82500</v>
      </c>
      <c r="R1841" s="32">
        <f>+PROVEEDORES[[#This Row],[SUBTOTAL]]+PROVEEDORES[[#This Row],[IVA 19%]]-PROVEEDORES[[#This Row],[descuento antes de IVA]]-PROVEEDORES[[#This Row],[Descuento sobre subtotal $]]-PROVEEDORES[[#This Row],[Rete Fuente $]]</f>
        <v>3844500</v>
      </c>
      <c r="S1841" s="1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2" spans="1:19" ht="21.95" hidden="1" customHeight="1" x14ac:dyDescent="0.25">
      <c r="A1842" s="162" t="str">
        <f>+IF(PROVEEDORES[[#This Row],[FECHA DE PAGO]]=PROVEEDORES[[#This Row],[FECHA DE FACTURACIÓN]],"DE CONTADO","CRÉDITO")</f>
        <v>CRÉDITO</v>
      </c>
      <c r="B1842" s="70" t="str">
        <f>+IF((PROVEEDORES[[#This Row],[FECHA DE PAGO]]-PROVEEDORES[[#This Row],[FECHA DE FACTURACIÓN]])&gt;PROVEEDORES[[#This Row],[PLAZO Días]],"PAGO VENCIDO")</f>
        <v>PAGO VENCIDO</v>
      </c>
      <c r="C1842" s="27">
        <f>+VLOOKUP(PROVEEDORES[[#This Row],[PROVEEDOR]],TERCEROS_INFO[#All],2,FALSE)</f>
        <v>30</v>
      </c>
      <c r="D1842" s="37">
        <f>+SUMIFS(PROVEEDORES[Total],PROVEEDORES[PROVEEDOR],PROVEEDORES[[#This Row],[PROVEEDOR]],PROVEEDORES[FECHA DE PAGO],"")</f>
        <v>0</v>
      </c>
      <c r="E1842" s="37"/>
      <c r="F1842" s="108" t="str">
        <f>+VLOOKUP(PROVEEDORES[[#This Row],[PROVEEDOR]],TERCEROS_INFO[[PROVEEDOR]:[CORREO]],5,FALSE)</f>
        <v>apresupuesto@widexcolombia.com;girlesa.ruiz@servipilas.com;joriescobar64@gmail.com</v>
      </c>
      <c r="G1842" s="143">
        <v>44545</v>
      </c>
      <c r="H1842" s="38" t="s">
        <v>11</v>
      </c>
      <c r="I1842" s="30">
        <v>44503</v>
      </c>
      <c r="J1842" s="58" t="s">
        <v>935</v>
      </c>
      <c r="K1842" s="32">
        <v>4086050</v>
      </c>
      <c r="L1842" s="32"/>
      <c r="M1842" s="33">
        <f>(PROVEEDORES[[#This Row],[SUBTOTAL]]-PROVEEDORES[[#This Row],[descuento antes de IVA]])*VLOOKUP(PROVEEDORES[[#This Row],[PROVEEDOR]],TERCEROS_INFO[#All],3,FALSE)</f>
        <v>776349.5</v>
      </c>
      <c r="N1842" s="34"/>
      <c r="O1842" s="33">
        <f>+PROVEEDORES[[#This Row],[Descuento sobre subtotal %]]*(PROVEEDORES[[#This Row],[SUBTOTAL]]-PROVEEDORES[[#This Row],[descuento antes de IVA]])</f>
        <v>0</v>
      </c>
      <c r="P184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42" s="33">
        <f>+(PROVEEDORES[[#This Row],[SUBTOTAL]]-PROVEEDORES[[#This Row],[descuento antes de IVA]])*PROVEEDORES[[#This Row],[Rete Fuente %]]</f>
        <v>102151.25</v>
      </c>
      <c r="R1842" s="32">
        <f>+PROVEEDORES[[#This Row],[SUBTOTAL]]+PROVEEDORES[[#This Row],[IVA 19%]]-PROVEEDORES[[#This Row],[descuento antes de IVA]]-PROVEEDORES[[#This Row],[Descuento sobre subtotal $]]-PROVEEDORES[[#This Row],[Rete Fuente $]]</f>
        <v>4760248.25</v>
      </c>
      <c r="S1842" s="16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3" spans="1:19" ht="21.95" hidden="1" customHeight="1" x14ac:dyDescent="0.25">
      <c r="A1843" s="167" t="str">
        <f>+IF(PROVEEDORES[[#This Row],[FECHA DE PAGO]]=PROVEEDORES[[#This Row],[FECHA DE FACTURACIÓN]],"DE CONTADO","CRÉDITO")</f>
        <v>CRÉDITO</v>
      </c>
      <c r="B1843" s="70" t="str">
        <f>+IF((PROVEEDORES[[#This Row],[FECHA DE PAGO]]-PROVEEDORES[[#This Row],[FECHA DE FACTURACIÓN]])&gt;PROVEEDORES[[#This Row],[PLAZO Días]],"PAGO VENCIDO")</f>
        <v>PAGO VENCIDO</v>
      </c>
      <c r="C1843" s="27">
        <f>+VLOOKUP(PROVEEDORES[[#This Row],[PROVEEDOR]],TERCEROS_INFO[#All],2,FALSE)</f>
        <v>30</v>
      </c>
      <c r="D1843" s="37">
        <f>+SUMIFS(PROVEEDORES[Total],PROVEEDORES[PROVEEDOR],PROVEEDORES[[#This Row],[PROVEEDOR]],PROVEEDORES[FECHA DE PAGO],"")</f>
        <v>0</v>
      </c>
      <c r="E1843" s="37"/>
      <c r="F1843" s="108" t="str">
        <f>+VLOOKUP(PROVEEDORES[[#This Row],[PROVEEDOR]],TERCEROS_INFO[[PROVEEDOR]:[CORREO]],5,FALSE)</f>
        <v>apresupuesto@widexcolombia.com;girlesa.ruiz@servipilas.com;joriescobar64@gmail.com</v>
      </c>
      <c r="G1843" s="143">
        <v>44558</v>
      </c>
      <c r="H1843" s="38" t="s">
        <v>11</v>
      </c>
      <c r="I1843" s="30">
        <v>44526</v>
      </c>
      <c r="J1843" s="58" t="s">
        <v>983</v>
      </c>
      <c r="K1843" s="32">
        <v>2700504</v>
      </c>
      <c r="L1843" s="32"/>
      <c r="M1843" s="33">
        <f>(PROVEEDORES[[#This Row],[SUBTOTAL]]-PROVEEDORES[[#This Row],[descuento antes de IVA]])*VLOOKUP(PROVEEDORES[[#This Row],[PROVEEDOR]],TERCEROS_INFO[#All],3,FALSE)</f>
        <v>513095.76</v>
      </c>
      <c r="N1843" s="34"/>
      <c r="O1843" s="33">
        <f>+PROVEEDORES[[#This Row],[Descuento sobre subtotal %]]*(PROVEEDORES[[#This Row],[SUBTOTAL]]-PROVEEDORES[[#This Row],[descuento antes de IVA]])</f>
        <v>0</v>
      </c>
      <c r="P184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43" s="33">
        <f>+(PROVEEDORES[[#This Row],[SUBTOTAL]]-PROVEEDORES[[#This Row],[descuento antes de IVA]])*PROVEEDORES[[#This Row],[Rete Fuente %]]</f>
        <v>67512.600000000006</v>
      </c>
      <c r="R1843" s="32">
        <f>+PROVEEDORES[[#This Row],[SUBTOTAL]]+PROVEEDORES[[#This Row],[IVA 19%]]-PROVEEDORES[[#This Row],[descuento antes de IVA]]-PROVEEDORES[[#This Row],[Descuento sobre subtotal $]]-PROVEEDORES[[#This Row],[Rete Fuente $]]</f>
        <v>3146087.1599999997</v>
      </c>
      <c r="S1843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4" spans="1:19" ht="21.95" hidden="1" customHeight="1" x14ac:dyDescent="0.25">
      <c r="A1844" s="35" t="str">
        <f>+IF(PROVEEDORES[[#This Row],[FECHA DE PAGO]]=PROVEEDORES[[#This Row],[FECHA DE FACTURACIÓN]],"DE CONTADO","CRÉDITO")</f>
        <v>CRÉDITO</v>
      </c>
      <c r="B1844" s="70" t="b">
        <f>+IF((PROVEEDORES[[#This Row],[FECHA DE PAGO]]-PROVEEDORES[[#This Row],[FECHA DE FACTURACIÓN]])&gt;PROVEEDORES[[#This Row],[PLAZO Días]],"PAGO VENCIDO")</f>
        <v>0</v>
      </c>
      <c r="C1844" s="27">
        <f>+VLOOKUP(PROVEEDORES[[#This Row],[PROVEEDOR]],TERCEROS_INFO[#All],2,FALSE)</f>
        <v>30</v>
      </c>
      <c r="D1844" s="37">
        <f>+SUMIFS(PROVEEDORES[Total],PROVEEDORES[PROVEEDOR],PROVEEDORES[[#This Row],[PROVEEDOR]],PROVEEDORES[FECHA DE PAGO],"")</f>
        <v>0</v>
      </c>
      <c r="E1844" s="37"/>
      <c r="F1844" s="108" t="str">
        <f>+VLOOKUP(PROVEEDORES[[#This Row],[PROVEEDOR]],TERCEROS_INFO[[PROVEEDOR]:[CORREO]],5,FALSE)</f>
        <v>apresupuesto@widexcolombia.com;girlesa.ruiz@servipilas.com;joriescobar64@gmail.com</v>
      </c>
      <c r="G1844" s="143">
        <v>44558</v>
      </c>
      <c r="H1844" s="38" t="s">
        <v>11</v>
      </c>
      <c r="I1844" s="30">
        <v>44533</v>
      </c>
      <c r="J1844" s="58" t="s">
        <v>1002</v>
      </c>
      <c r="K1844" s="32">
        <v>4995000</v>
      </c>
      <c r="L1844" s="32"/>
      <c r="M1844" s="33">
        <f>(PROVEEDORES[[#This Row],[SUBTOTAL]]-PROVEEDORES[[#This Row],[descuento antes de IVA]])*VLOOKUP(PROVEEDORES[[#This Row],[PROVEEDOR]],TERCEROS_INFO[#All],3,FALSE)</f>
        <v>949050</v>
      </c>
      <c r="N1844" s="34"/>
      <c r="O1844" s="33">
        <f>+PROVEEDORES[[#This Row],[Descuento sobre subtotal %]]*(PROVEEDORES[[#This Row],[SUBTOTAL]]-PROVEEDORES[[#This Row],[descuento antes de IVA]])</f>
        <v>0</v>
      </c>
      <c r="P184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44" s="33">
        <f>+(PROVEEDORES[[#This Row],[SUBTOTAL]]-PROVEEDORES[[#This Row],[descuento antes de IVA]])*PROVEEDORES[[#This Row],[Rete Fuente %]]</f>
        <v>124875</v>
      </c>
      <c r="R1844" s="32">
        <f>+PROVEEDORES[[#This Row],[SUBTOTAL]]+PROVEEDORES[[#This Row],[IVA 19%]]-PROVEEDORES[[#This Row],[descuento antes de IVA]]-PROVEEDORES[[#This Row],[Descuento sobre subtotal $]]-PROVEEDORES[[#This Row],[Rete Fuente $]]</f>
        <v>5819175</v>
      </c>
      <c r="S1844" s="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5" spans="1:19" ht="21.95" hidden="1" customHeight="1" x14ac:dyDescent="0.25">
      <c r="A1845" s="39" t="str">
        <f>+IF(PROVEEDORES[[#This Row],[FECHA DE PAGO]]=PROVEEDORES[[#This Row],[FECHA DE FACTURACIÓN]],"DE CONTADO","CRÉDITO")</f>
        <v>CRÉDITO</v>
      </c>
      <c r="B1845" s="68" t="str">
        <f>+IF((PROVEEDORES[[#This Row],[FECHA DE PAGO]]-PROVEEDORES[[#This Row],[FECHA DE FACTURACIÓN]])&gt;PROVEEDORES[[#This Row],[PLAZO Días]],"PAGO VENCIDO")</f>
        <v>PAGO VENCIDO</v>
      </c>
      <c r="C1845" s="27">
        <f>+VLOOKUP(PROVEEDORES[[#This Row],[PROVEEDOR]],TERCEROS_INFO[#All],2,FALSE)</f>
        <v>30</v>
      </c>
      <c r="D1845" s="37">
        <f>+SUMIFS(PROVEEDORES[Total],PROVEEDORES[PROVEEDOR],PROVEEDORES[[#This Row],[PROVEEDOR]],PROVEEDORES[FECHA DE PAGO],"")</f>
        <v>0</v>
      </c>
      <c r="E1845" s="37"/>
      <c r="F1845" s="108" t="str">
        <f>+VLOOKUP(PROVEEDORES[[#This Row],[PROVEEDOR]],TERCEROS_INFO[[PROVEEDOR]:[CORREO]],5,FALSE)</f>
        <v>yermingg@hotmail.com;girlesa.ruiz@servipilas.com;joriescobar64@gmail.com</v>
      </c>
      <c r="G1845" s="143">
        <v>43994</v>
      </c>
      <c r="H1845" s="38" t="s">
        <v>499</v>
      </c>
      <c r="I1845" s="30">
        <v>43865</v>
      </c>
      <c r="J1845" s="58">
        <v>2609</v>
      </c>
      <c r="K1845" s="32">
        <v>559665.54621848743</v>
      </c>
      <c r="L1845" s="32"/>
      <c r="M1845" s="33">
        <f>(PROVEEDORES[[#This Row],[SUBTOTAL]]-PROVEEDORES[[#This Row],[descuento antes de IVA]])*VLOOKUP(PROVEEDORES[[#This Row],[PROVEEDOR]],TERCEROS_INFO[#All],3,FALSE)</f>
        <v>106336.45378151261</v>
      </c>
      <c r="N1845" s="34"/>
      <c r="O1845" s="33">
        <f>+PROVEEDORES[[#This Row],[Descuento sobre subtotal %]]*(PROVEEDORES[[#This Row],[SUBTOTAL]]-PROVEEDORES[[#This Row],[descuento antes de IVA]])</f>
        <v>0</v>
      </c>
      <c r="P184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45" s="33">
        <f>+(PROVEEDORES[[#This Row],[SUBTOTAL]]-PROVEEDORES[[#This Row],[descuento antes de IVA]])*PROVEEDORES[[#This Row],[Rete Fuente %]]</f>
        <v>0</v>
      </c>
      <c r="R1845" s="32">
        <f>+PROVEEDORES[[#This Row],[SUBTOTAL]]+PROVEEDORES[[#This Row],[IVA 19%]]-PROVEEDORES[[#This Row],[descuento antes de IVA]]-PROVEEDORES[[#This Row],[Descuento sobre subtotal $]]-PROVEEDORES[[#This Row],[Rete Fuente $]]</f>
        <v>666002</v>
      </c>
      <c r="S184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6" spans="1:19" ht="21.95" hidden="1" customHeight="1" x14ac:dyDescent="0.25">
      <c r="A1846" s="39" t="str">
        <f>+IF(PROVEEDORES[[#This Row],[FECHA DE PAGO]]=PROVEEDORES[[#This Row],[FECHA DE FACTURACIÓN]],"DE CONTADO","CRÉDITO")</f>
        <v>CRÉDITO</v>
      </c>
      <c r="B1846" s="68" t="str">
        <f>+IF((PROVEEDORES[[#This Row],[FECHA DE PAGO]]-PROVEEDORES[[#This Row],[FECHA DE FACTURACIÓN]])&gt;PROVEEDORES[[#This Row],[PLAZO Días]],"PAGO VENCIDO")</f>
        <v>PAGO VENCIDO</v>
      </c>
      <c r="C1846" s="27">
        <f>+VLOOKUP(PROVEEDORES[[#This Row],[PROVEEDOR]],TERCEROS_INFO[#All],2,FALSE)</f>
        <v>30</v>
      </c>
      <c r="D1846" s="37">
        <f>+SUMIFS(PROVEEDORES[Total],PROVEEDORES[PROVEEDOR],PROVEEDORES[[#This Row],[PROVEEDOR]],PROVEEDORES[FECHA DE PAGO],"")</f>
        <v>0</v>
      </c>
      <c r="E1846" s="37"/>
      <c r="F1846" s="108" t="str">
        <f>+VLOOKUP(PROVEEDORES[[#This Row],[PROVEEDOR]],TERCEROS_INFO[[PROVEEDOR]:[CORREO]],5,FALSE)</f>
        <v>yermingg@hotmail.com;girlesa.ruiz@servipilas.com;joriescobar64@gmail.com</v>
      </c>
      <c r="G1846" s="143">
        <v>44104</v>
      </c>
      <c r="H1846" s="38" t="s">
        <v>499</v>
      </c>
      <c r="I1846" s="30">
        <v>43901</v>
      </c>
      <c r="J1846" s="58">
        <v>2636</v>
      </c>
      <c r="K1846" s="32">
        <v>839136.13445378153</v>
      </c>
      <c r="L1846" s="32"/>
      <c r="M1846" s="33">
        <f>(PROVEEDORES[[#This Row],[SUBTOTAL]]-PROVEEDORES[[#This Row],[descuento antes de IVA]])*VLOOKUP(PROVEEDORES[[#This Row],[PROVEEDOR]],TERCEROS_INFO[#All],3,FALSE)</f>
        <v>159435.8655462185</v>
      </c>
      <c r="N1846" s="34"/>
      <c r="O1846" s="33">
        <f>+PROVEEDORES[[#This Row],[Descuento sobre subtotal %]]*(PROVEEDORES[[#This Row],[SUBTOTAL]]-PROVEEDORES[[#This Row],[descuento antes de IVA]])</f>
        <v>0</v>
      </c>
      <c r="P184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46" s="33">
        <f>+(PROVEEDORES[[#This Row],[SUBTOTAL]]-PROVEEDORES[[#This Row],[descuento antes de IVA]])*PROVEEDORES[[#This Row],[Rete Fuente %]]</f>
        <v>0</v>
      </c>
      <c r="R1846" s="32">
        <f>+PROVEEDORES[[#This Row],[SUBTOTAL]]+PROVEEDORES[[#This Row],[IVA 19%]]-PROVEEDORES[[#This Row],[descuento antes de IVA]]-PROVEEDORES[[#This Row],[Descuento sobre subtotal $]]-PROVEEDORES[[#This Row],[Rete Fuente $]]</f>
        <v>998572</v>
      </c>
      <c r="S184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7" spans="1:19" ht="21.95" hidden="1" customHeight="1" x14ac:dyDescent="0.25">
      <c r="A1847" s="39" t="str">
        <f>+IF(PROVEEDORES[[#This Row],[FECHA DE PAGO]]=PROVEEDORES[[#This Row],[FECHA DE FACTURACIÓN]],"DE CONTADO","CRÉDITO")</f>
        <v>DE CONTADO</v>
      </c>
      <c r="B1847" s="68" t="b">
        <f>+IF((PROVEEDORES[[#This Row],[FECHA DE PAGO]]-PROVEEDORES[[#This Row],[FECHA DE FACTURACIÓN]])&gt;PROVEEDORES[[#This Row],[PLAZO Días]],"PAGO VENCIDO")</f>
        <v>0</v>
      </c>
      <c r="C1847" s="27">
        <f>+VLOOKUP(PROVEEDORES[[#This Row],[PROVEEDOR]],TERCEROS_INFO[#All],2,FALSE)</f>
        <v>30</v>
      </c>
      <c r="D1847" s="37">
        <f>+SUMIFS(PROVEEDORES[Total],PROVEEDORES[PROVEEDOR],PROVEEDORES[[#This Row],[PROVEEDOR]],PROVEEDORES[FECHA DE PAGO],"")</f>
        <v>0</v>
      </c>
      <c r="E1847" s="37"/>
      <c r="F1847" s="108" t="str">
        <f>+VLOOKUP(PROVEEDORES[[#This Row],[PROVEEDOR]],TERCEROS_INFO[[PROVEEDOR]:[CORREO]],5,FALSE)</f>
        <v>yermingg@hotmail.com;girlesa.ruiz@servipilas.com;joriescobar64@gmail.com</v>
      </c>
      <c r="G1847" s="143">
        <v>43992</v>
      </c>
      <c r="H1847" s="38" t="s">
        <v>499</v>
      </c>
      <c r="I1847" s="30">
        <v>43992</v>
      </c>
      <c r="J1847" s="58">
        <v>2688</v>
      </c>
      <c r="K1847" s="32">
        <v>255042.85714285716</v>
      </c>
      <c r="L1847" s="32"/>
      <c r="M1847" s="33">
        <f>(PROVEEDORES[[#This Row],[SUBTOTAL]]-PROVEEDORES[[#This Row],[descuento antes de IVA]])*VLOOKUP(PROVEEDORES[[#This Row],[PROVEEDOR]],TERCEROS_INFO[#All],3,FALSE)</f>
        <v>48458.142857142862</v>
      </c>
      <c r="N1847" s="34"/>
      <c r="O1847" s="33">
        <f>+PROVEEDORES[[#This Row],[Descuento sobre subtotal %]]*(PROVEEDORES[[#This Row],[SUBTOTAL]]-PROVEEDORES[[#This Row],[descuento antes de IVA]])</f>
        <v>0</v>
      </c>
      <c r="P184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47" s="33">
        <f>+(PROVEEDORES[[#This Row],[SUBTOTAL]]-PROVEEDORES[[#This Row],[descuento antes de IVA]])*PROVEEDORES[[#This Row],[Rete Fuente %]]</f>
        <v>0</v>
      </c>
      <c r="R1847" s="32">
        <f>+PROVEEDORES[[#This Row],[SUBTOTAL]]+PROVEEDORES[[#This Row],[IVA 19%]]-PROVEEDORES[[#This Row],[descuento antes de IVA]]-PROVEEDORES[[#This Row],[Descuento sobre subtotal $]]-PROVEEDORES[[#This Row],[Rete Fuente $]]</f>
        <v>303501</v>
      </c>
      <c r="S184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8" spans="1:19" ht="21.95" hidden="1" customHeight="1" x14ac:dyDescent="0.25">
      <c r="A1848" s="39" t="str">
        <f>+IF(PROVEEDORES[[#This Row],[FECHA DE PAGO]]=PROVEEDORES[[#This Row],[FECHA DE FACTURACIÓN]],"DE CONTADO","CRÉDITO")</f>
        <v>CRÉDITO</v>
      </c>
      <c r="B1848" s="68" t="str">
        <f>+IF((PROVEEDORES[[#This Row],[FECHA DE PAGO]]-PROVEEDORES[[#This Row],[FECHA DE FACTURACIÓN]])&gt;PROVEEDORES[[#This Row],[PLAZO Días]],"PAGO VENCIDO")</f>
        <v>PAGO VENCIDO</v>
      </c>
      <c r="C1848" s="27">
        <f>+VLOOKUP(PROVEEDORES[[#This Row],[PROVEEDOR]],TERCEROS_INFO[#All],2,FALSE)</f>
        <v>30</v>
      </c>
      <c r="D1848" s="37">
        <f>+SUMIFS(PROVEEDORES[Total],PROVEEDORES[PROVEEDOR],PROVEEDORES[[#This Row],[PROVEEDOR]],PROVEEDORES[FECHA DE PAGO],"")</f>
        <v>0</v>
      </c>
      <c r="E1848" s="37"/>
      <c r="F1848" s="108" t="str">
        <f>+VLOOKUP(PROVEEDORES[[#This Row],[PROVEEDOR]],TERCEROS_INFO[[PROVEEDOR]:[CORREO]],5,FALSE)</f>
        <v>yermingg@hotmail.com;girlesa.ruiz@servipilas.com;joriescobar64@gmail.com</v>
      </c>
      <c r="G1848" s="143">
        <v>44068</v>
      </c>
      <c r="H1848" s="38" t="s">
        <v>499</v>
      </c>
      <c r="I1848" s="30">
        <v>43998</v>
      </c>
      <c r="J1848" s="58">
        <v>2697</v>
      </c>
      <c r="K1848" s="32">
        <v>201678.15126050421</v>
      </c>
      <c r="L1848" s="32"/>
      <c r="M1848" s="33">
        <f>(PROVEEDORES[[#This Row],[SUBTOTAL]]-PROVEEDORES[[#This Row],[descuento antes de IVA]])*VLOOKUP(PROVEEDORES[[#This Row],[PROVEEDOR]],TERCEROS_INFO[#All],3,FALSE)</f>
        <v>38318.848739495799</v>
      </c>
      <c r="N1848" s="34"/>
      <c r="O1848" s="33">
        <f>+PROVEEDORES[[#This Row],[Descuento sobre subtotal %]]*(PROVEEDORES[[#This Row],[SUBTOTAL]]-PROVEEDORES[[#This Row],[descuento antes de IVA]])</f>
        <v>0</v>
      </c>
      <c r="P184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48" s="33">
        <f>+(PROVEEDORES[[#This Row],[SUBTOTAL]]-PROVEEDORES[[#This Row],[descuento antes de IVA]])*PROVEEDORES[[#This Row],[Rete Fuente %]]</f>
        <v>0</v>
      </c>
      <c r="R1848" s="32">
        <f>+PROVEEDORES[[#This Row],[SUBTOTAL]]+PROVEEDORES[[#This Row],[IVA 19%]]-PROVEEDORES[[#This Row],[descuento antes de IVA]]-PROVEEDORES[[#This Row],[Descuento sobre subtotal $]]-PROVEEDORES[[#This Row],[Rete Fuente $]]</f>
        <v>239997</v>
      </c>
      <c r="S184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49" spans="1:19" ht="21.95" hidden="1" customHeight="1" x14ac:dyDescent="0.25">
      <c r="A1849" s="39" t="str">
        <f>+IF(PROVEEDORES[[#This Row],[FECHA DE PAGO]]=PROVEEDORES[[#This Row],[FECHA DE FACTURACIÓN]],"DE CONTADO","CRÉDITO")</f>
        <v>CRÉDITO</v>
      </c>
      <c r="B1849" s="68" t="str">
        <f>+IF((PROVEEDORES[[#This Row],[FECHA DE PAGO]]-PROVEEDORES[[#This Row],[FECHA DE FACTURACIÓN]])&gt;PROVEEDORES[[#This Row],[PLAZO Días]],"PAGO VENCIDO")</f>
        <v>PAGO VENCIDO</v>
      </c>
      <c r="C1849" s="27">
        <f>+VLOOKUP(PROVEEDORES[[#This Row],[PROVEEDOR]],TERCEROS_INFO[#All],2,FALSE)</f>
        <v>30</v>
      </c>
      <c r="D1849" s="37">
        <f>+SUMIFS(PROVEEDORES[Total],PROVEEDORES[PROVEEDOR],PROVEEDORES[[#This Row],[PROVEEDOR]],PROVEEDORES[FECHA DE PAGO],"")</f>
        <v>0</v>
      </c>
      <c r="E1849" s="37"/>
      <c r="F1849" s="108" t="str">
        <f>+VLOOKUP(PROVEEDORES[[#This Row],[PROVEEDOR]],TERCEROS_INFO[[PROVEEDOR]:[CORREO]],5,FALSE)</f>
        <v>yermingg@hotmail.com;girlesa.ruiz@servipilas.com;joriescobar64@gmail.com</v>
      </c>
      <c r="G1849" s="143">
        <v>44068</v>
      </c>
      <c r="H1849" s="38" t="s">
        <v>499</v>
      </c>
      <c r="I1849" s="30">
        <v>44005</v>
      </c>
      <c r="J1849" s="58">
        <v>2704</v>
      </c>
      <c r="K1849" s="32">
        <v>1322598.3193277312</v>
      </c>
      <c r="L1849" s="32"/>
      <c r="M1849" s="33">
        <f>(PROVEEDORES[[#This Row],[SUBTOTAL]]-PROVEEDORES[[#This Row],[descuento antes de IVA]])*VLOOKUP(PROVEEDORES[[#This Row],[PROVEEDOR]],TERCEROS_INFO[#All],3,FALSE)</f>
        <v>251293.68067226894</v>
      </c>
      <c r="N1849" s="34"/>
      <c r="O1849" s="33">
        <f>+PROVEEDORES[[#This Row],[Descuento sobre subtotal %]]*(PROVEEDORES[[#This Row],[SUBTOTAL]]-PROVEEDORES[[#This Row],[descuento antes de IVA]])</f>
        <v>0</v>
      </c>
      <c r="P184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49" s="33">
        <f>+(PROVEEDORES[[#This Row],[SUBTOTAL]]-PROVEEDORES[[#This Row],[descuento antes de IVA]])*PROVEEDORES[[#This Row],[Rete Fuente %]]</f>
        <v>33064.957983193279</v>
      </c>
      <c r="R1849" s="32">
        <f>+PROVEEDORES[[#This Row],[SUBTOTAL]]+PROVEEDORES[[#This Row],[IVA 19%]]-PROVEEDORES[[#This Row],[descuento antes de IVA]]-PROVEEDORES[[#This Row],[Descuento sobre subtotal $]]-PROVEEDORES[[#This Row],[Rete Fuente $]]</f>
        <v>1540827.0420168068</v>
      </c>
      <c r="S184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0" spans="1:19" ht="21.95" hidden="1" customHeight="1" x14ac:dyDescent="0.25">
      <c r="A1850" s="39" t="str">
        <f>+IF(PROVEEDORES[[#This Row],[FECHA DE PAGO]]=PROVEEDORES[[#This Row],[FECHA DE FACTURACIÓN]],"DE CONTADO","CRÉDITO")</f>
        <v>CRÉDITO</v>
      </c>
      <c r="B1850" s="68" t="str">
        <f>+IF((PROVEEDORES[[#This Row],[FECHA DE PAGO]]-PROVEEDORES[[#This Row],[FECHA DE FACTURACIÓN]])&gt;PROVEEDORES[[#This Row],[PLAZO Días]],"PAGO VENCIDO")</f>
        <v>PAGO VENCIDO</v>
      </c>
      <c r="C1850" s="27">
        <f>+VLOOKUP(PROVEEDORES[[#This Row],[PROVEEDOR]],TERCEROS_INFO[#All],2,FALSE)</f>
        <v>30</v>
      </c>
      <c r="D1850" s="37">
        <f>+SUMIFS(PROVEEDORES[Total],PROVEEDORES[PROVEEDOR],PROVEEDORES[[#This Row],[PROVEEDOR]],PROVEEDORES[FECHA DE PAGO],"")</f>
        <v>0</v>
      </c>
      <c r="E1850" s="37"/>
      <c r="F1850" s="108" t="str">
        <f>+VLOOKUP(PROVEEDORES[[#This Row],[PROVEEDOR]],TERCEROS_INFO[[PROVEEDOR]:[CORREO]],5,FALSE)</f>
        <v>yermingg@hotmail.com;girlesa.ruiz@servipilas.com;joriescobar64@gmail.com</v>
      </c>
      <c r="G1850" s="143">
        <v>44168</v>
      </c>
      <c r="H1850" s="38" t="s">
        <v>499</v>
      </c>
      <c r="I1850" s="30">
        <v>44082</v>
      </c>
      <c r="J1850" s="58">
        <v>2797</v>
      </c>
      <c r="K1850" s="32">
        <v>1065468.0672268907</v>
      </c>
      <c r="L1850" s="32"/>
      <c r="M1850" s="33">
        <f>(PROVEEDORES[[#This Row],[SUBTOTAL]]-PROVEEDORES[[#This Row],[descuento antes de IVA]])*VLOOKUP(PROVEEDORES[[#This Row],[PROVEEDOR]],TERCEROS_INFO[#All],3,FALSE)</f>
        <v>202438.93277310923</v>
      </c>
      <c r="N1850" s="34"/>
      <c r="O1850" s="33">
        <f>+PROVEEDORES[[#This Row],[Descuento sobre subtotal %]]*(PROVEEDORES[[#This Row],[SUBTOTAL]]-PROVEEDORES[[#This Row],[descuento antes de IVA]])</f>
        <v>0</v>
      </c>
      <c r="P185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50" s="33">
        <f>+(PROVEEDORES[[#This Row],[SUBTOTAL]]-PROVEEDORES[[#This Row],[descuento antes de IVA]])*PROVEEDORES[[#This Row],[Rete Fuente %]]</f>
        <v>26636.701680672268</v>
      </c>
      <c r="R1850" s="32">
        <f>+PROVEEDORES[[#This Row],[SUBTOTAL]]+PROVEEDORES[[#This Row],[IVA 19%]]-PROVEEDORES[[#This Row],[descuento antes de IVA]]-PROVEEDORES[[#This Row],[Descuento sobre subtotal $]]-PROVEEDORES[[#This Row],[Rete Fuente $]]</f>
        <v>1241270.2983193276</v>
      </c>
      <c r="S185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1" spans="1:19" ht="21.95" hidden="1" customHeight="1" x14ac:dyDescent="0.25">
      <c r="A1851" s="39" t="str">
        <f>+IF(PROVEEDORES[[#This Row],[FECHA DE PAGO]]=PROVEEDORES[[#This Row],[FECHA DE FACTURACIÓN]],"DE CONTADO","CRÉDITO")</f>
        <v>CRÉDITO</v>
      </c>
      <c r="B1851" s="68" t="str">
        <f>+IF((PROVEEDORES[[#This Row],[FECHA DE PAGO]]-PROVEEDORES[[#This Row],[FECHA DE FACTURACIÓN]])&gt;PROVEEDORES[[#This Row],[PLAZO Días]],"PAGO VENCIDO")</f>
        <v>PAGO VENCIDO</v>
      </c>
      <c r="C1851" s="27">
        <f>+VLOOKUP(PROVEEDORES[[#This Row],[PROVEEDOR]],TERCEROS_INFO[#All],2,FALSE)</f>
        <v>30</v>
      </c>
      <c r="D1851" s="37">
        <f>+SUMIFS(PROVEEDORES[Total],PROVEEDORES[PROVEEDOR],PROVEEDORES[[#This Row],[PROVEEDOR]],PROVEEDORES[FECHA DE PAGO],"")</f>
        <v>0</v>
      </c>
      <c r="E1851" s="37"/>
      <c r="F1851" s="108" t="str">
        <f>+VLOOKUP(PROVEEDORES[[#This Row],[PROVEEDOR]],TERCEROS_INFO[[PROVEEDOR]:[CORREO]],5,FALSE)</f>
        <v>yermingg@hotmail.com;girlesa.ruiz@servipilas.com;joriescobar64@gmail.com</v>
      </c>
      <c r="G1851" s="143">
        <v>44168</v>
      </c>
      <c r="H1851" s="38" t="s">
        <v>499</v>
      </c>
      <c r="I1851" s="30">
        <v>44102</v>
      </c>
      <c r="J1851" s="58">
        <v>2811</v>
      </c>
      <c r="K1851" s="32">
        <v>1215922.6890756304</v>
      </c>
      <c r="L1851" s="32"/>
      <c r="M1851" s="33">
        <f>(PROVEEDORES[[#This Row],[SUBTOTAL]]-PROVEEDORES[[#This Row],[descuento antes de IVA]])*VLOOKUP(PROVEEDORES[[#This Row],[PROVEEDOR]],TERCEROS_INFO[#All],3,FALSE)</f>
        <v>231025.31092436978</v>
      </c>
      <c r="N1851" s="34"/>
      <c r="O1851" s="33">
        <f>+PROVEEDORES[[#This Row],[Descuento sobre subtotal %]]*(PROVEEDORES[[#This Row],[SUBTOTAL]]-PROVEEDORES[[#This Row],[descuento antes de IVA]])</f>
        <v>0</v>
      </c>
      <c r="P185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51" s="33">
        <f>+(PROVEEDORES[[#This Row],[SUBTOTAL]]-PROVEEDORES[[#This Row],[descuento antes de IVA]])*PROVEEDORES[[#This Row],[Rete Fuente %]]</f>
        <v>30398.067226890762</v>
      </c>
      <c r="R1851" s="32">
        <f>+PROVEEDORES[[#This Row],[SUBTOTAL]]+PROVEEDORES[[#This Row],[IVA 19%]]-PROVEEDORES[[#This Row],[descuento antes de IVA]]-PROVEEDORES[[#This Row],[Descuento sobre subtotal $]]-PROVEEDORES[[#This Row],[Rete Fuente $]]</f>
        <v>1416549.9327731095</v>
      </c>
      <c r="S1851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2" spans="1:19" ht="21.95" hidden="1" customHeight="1" x14ac:dyDescent="0.25">
      <c r="A1852" s="39" t="str">
        <f>+IF(PROVEEDORES[[#This Row],[FECHA DE PAGO]]=PROVEEDORES[[#This Row],[FECHA DE FACTURACIÓN]],"DE CONTADO","CRÉDITO")</f>
        <v>CRÉDITO</v>
      </c>
      <c r="B1852" s="68" t="str">
        <f>+IF((PROVEEDORES[[#This Row],[FECHA DE PAGO]]-PROVEEDORES[[#This Row],[FECHA DE FACTURACIÓN]])&gt;PROVEEDORES[[#This Row],[PLAZO Días]],"PAGO VENCIDO")</f>
        <v>PAGO VENCIDO</v>
      </c>
      <c r="C1852" s="27">
        <f>+VLOOKUP(PROVEEDORES[[#This Row],[PROVEEDOR]],TERCEROS_INFO[#All],2,FALSE)</f>
        <v>30</v>
      </c>
      <c r="D1852" s="37">
        <f>+SUMIFS(PROVEEDORES[Total],PROVEEDORES[PROVEEDOR],PROVEEDORES[[#This Row],[PROVEEDOR]],PROVEEDORES[FECHA DE PAGO],"")</f>
        <v>0</v>
      </c>
      <c r="E1852" s="37"/>
      <c r="F1852" s="108" t="str">
        <f>+VLOOKUP(PROVEEDORES[[#This Row],[PROVEEDOR]],TERCEROS_INFO[[PROVEEDOR]:[CORREO]],5,FALSE)</f>
        <v>yermingg@hotmail.com;girlesa.ruiz@servipilas.com;joriescobar64@gmail.com</v>
      </c>
      <c r="G1852" s="143">
        <v>44180</v>
      </c>
      <c r="H1852" s="38" t="s">
        <v>499</v>
      </c>
      <c r="I1852" s="30">
        <v>44125</v>
      </c>
      <c r="J1852" s="58">
        <v>2828</v>
      </c>
      <c r="K1852" s="32">
        <v>751251.26050420175</v>
      </c>
      <c r="L1852" s="32"/>
      <c r="M1852" s="33">
        <f>(PROVEEDORES[[#This Row],[SUBTOTAL]]-PROVEEDORES[[#This Row],[descuento antes de IVA]])*VLOOKUP(PROVEEDORES[[#This Row],[PROVEEDOR]],TERCEROS_INFO[#All],3,FALSE)</f>
        <v>142737.73949579833</v>
      </c>
      <c r="N1852" s="34"/>
      <c r="O1852" s="33">
        <f>+PROVEEDORES[[#This Row],[Descuento sobre subtotal %]]*(PROVEEDORES[[#This Row],[SUBTOTAL]]-PROVEEDORES[[#This Row],[descuento antes de IVA]])</f>
        <v>0</v>
      </c>
      <c r="P185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52" s="33">
        <f>+(PROVEEDORES[[#This Row],[SUBTOTAL]]-PROVEEDORES[[#This Row],[descuento antes de IVA]])*PROVEEDORES[[#This Row],[Rete Fuente %]]</f>
        <v>0</v>
      </c>
      <c r="R1852" s="32">
        <f>+PROVEEDORES[[#This Row],[SUBTOTAL]]+PROVEEDORES[[#This Row],[IVA 19%]]-PROVEEDORES[[#This Row],[descuento antes de IVA]]-PROVEEDORES[[#This Row],[Descuento sobre subtotal $]]-PROVEEDORES[[#This Row],[Rete Fuente $]]</f>
        <v>893989.00000000012</v>
      </c>
      <c r="S1852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3" spans="1:19" ht="21.95" hidden="1" customHeight="1" x14ac:dyDescent="0.25">
      <c r="A1853" s="39" t="str">
        <f>+IF(PROVEEDORES[[#This Row],[FECHA DE PAGO]]=PROVEEDORES[[#This Row],[FECHA DE FACTURACIÓN]],"DE CONTADO","CRÉDITO")</f>
        <v>CRÉDITO</v>
      </c>
      <c r="B1853" s="68" t="str">
        <f>+IF((PROVEEDORES[[#This Row],[FECHA DE PAGO]]-PROVEEDORES[[#This Row],[FECHA DE FACTURACIÓN]])&gt;PROVEEDORES[[#This Row],[PLAZO Días]],"PAGO VENCIDO")</f>
        <v>PAGO VENCIDO</v>
      </c>
      <c r="C1853" s="27">
        <f>+VLOOKUP(PROVEEDORES[[#This Row],[PROVEEDOR]],TERCEROS_INFO[#All],2,FALSE)</f>
        <v>30</v>
      </c>
      <c r="D1853" s="37">
        <f>+SUMIFS(PROVEEDORES[Total],PROVEEDORES[PROVEEDOR],PROVEEDORES[[#This Row],[PROVEEDOR]],PROVEEDORES[FECHA DE PAGO],"")</f>
        <v>0</v>
      </c>
      <c r="E1853" s="37"/>
      <c r="F1853" s="108" t="str">
        <f>+VLOOKUP(PROVEEDORES[[#This Row],[PROVEEDOR]],TERCEROS_INFO[[PROVEEDOR]:[CORREO]],5,FALSE)</f>
        <v>yermingg@hotmail.com;girlesa.ruiz@servipilas.com;joriescobar64@gmail.com</v>
      </c>
      <c r="G1853" s="143">
        <v>44180</v>
      </c>
      <c r="H1853" s="38" t="s">
        <v>499</v>
      </c>
      <c r="I1853" s="30">
        <v>44131</v>
      </c>
      <c r="J1853" s="58">
        <v>2830</v>
      </c>
      <c r="K1853" s="32">
        <v>1496000</v>
      </c>
      <c r="L1853" s="32"/>
      <c r="M1853" s="33">
        <f>(PROVEEDORES[[#This Row],[SUBTOTAL]]-PROVEEDORES[[#This Row],[descuento antes de IVA]])*VLOOKUP(PROVEEDORES[[#This Row],[PROVEEDOR]],TERCEROS_INFO[#All],3,FALSE)</f>
        <v>284240</v>
      </c>
      <c r="N1853" s="34"/>
      <c r="O1853" s="33">
        <f>+PROVEEDORES[[#This Row],[Descuento sobre subtotal %]]*(PROVEEDORES[[#This Row],[SUBTOTAL]]-PROVEEDORES[[#This Row],[descuento antes de IVA]])</f>
        <v>0</v>
      </c>
      <c r="P185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53" s="33">
        <f>+(PROVEEDORES[[#This Row],[SUBTOTAL]]-PROVEEDORES[[#This Row],[descuento antes de IVA]])*PROVEEDORES[[#This Row],[Rete Fuente %]]</f>
        <v>37400</v>
      </c>
      <c r="R1853" s="32">
        <f>+PROVEEDORES[[#This Row],[SUBTOTAL]]+PROVEEDORES[[#This Row],[IVA 19%]]-PROVEEDORES[[#This Row],[descuento antes de IVA]]-PROVEEDORES[[#This Row],[Descuento sobre subtotal $]]-PROVEEDORES[[#This Row],[Rete Fuente $]]</f>
        <v>1742840</v>
      </c>
      <c r="S1853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4" spans="1:19" ht="21.95" hidden="1" customHeight="1" x14ac:dyDescent="0.25">
      <c r="A1854" s="39" t="str">
        <f>+IF(PROVEEDORES[[#This Row],[FECHA DE PAGO]]=PROVEEDORES[[#This Row],[FECHA DE FACTURACIÓN]],"DE CONTADO","CRÉDITO")</f>
        <v>CRÉDITO</v>
      </c>
      <c r="B1854" s="68" t="str">
        <f>+IF((PROVEEDORES[[#This Row],[FECHA DE PAGO]]-PROVEEDORES[[#This Row],[FECHA DE FACTURACIÓN]])&gt;PROVEEDORES[[#This Row],[PLAZO Días]],"PAGO VENCIDO")</f>
        <v>PAGO VENCIDO</v>
      </c>
      <c r="C1854" s="27">
        <f>+VLOOKUP(PROVEEDORES[[#This Row],[PROVEEDOR]],TERCEROS_INFO[#All],2,FALSE)</f>
        <v>30</v>
      </c>
      <c r="D1854" s="37">
        <f>+SUMIFS(PROVEEDORES[Total],PROVEEDORES[PROVEEDOR],PROVEEDORES[[#This Row],[PROVEEDOR]],PROVEEDORES[FECHA DE PAGO],"")</f>
        <v>0</v>
      </c>
      <c r="E1854" s="37"/>
      <c r="F1854" s="108" t="str">
        <f>+VLOOKUP(PROVEEDORES[[#This Row],[PROVEEDOR]],TERCEROS_INFO[[PROVEEDOR]:[CORREO]],5,FALSE)</f>
        <v>yermingg@hotmail.com;girlesa.ruiz@servipilas.com;joriescobar64@gmail.com</v>
      </c>
      <c r="G1854" s="143">
        <v>43994</v>
      </c>
      <c r="H1854" s="38" t="s">
        <v>13</v>
      </c>
      <c r="I1854" s="30">
        <v>43850</v>
      </c>
      <c r="J1854" s="58">
        <v>5261</v>
      </c>
      <c r="K1854" s="32">
        <v>1282354.6218487395</v>
      </c>
      <c r="L1854" s="32"/>
      <c r="M1854" s="33">
        <f>(PROVEEDORES[[#This Row],[SUBTOTAL]]-PROVEEDORES[[#This Row],[descuento antes de IVA]])*VLOOKUP(PROVEEDORES[[#This Row],[PROVEEDOR]],TERCEROS_INFO[#All],3,FALSE)</f>
        <v>243647.37815126049</v>
      </c>
      <c r="N1854" s="34"/>
      <c r="O1854" s="33">
        <f>+PROVEEDORES[[#This Row],[Descuento sobre subtotal %]]*(PROVEEDORES[[#This Row],[SUBTOTAL]]-PROVEEDORES[[#This Row],[descuento antes de IVA]])</f>
        <v>0</v>
      </c>
      <c r="P185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854" s="33">
        <f>+(PROVEEDORES[[#This Row],[SUBTOTAL]]-PROVEEDORES[[#This Row],[descuento antes de IVA]])*PROVEEDORES[[#This Row],[Rete Fuente %]]</f>
        <v>32058.865546218487</v>
      </c>
      <c r="R1854" s="32">
        <f>+PROVEEDORES[[#This Row],[SUBTOTAL]]+PROVEEDORES[[#This Row],[IVA 19%]]-PROVEEDORES[[#This Row],[descuento antes de IVA]]-PROVEEDORES[[#This Row],[Descuento sobre subtotal $]]-PROVEEDORES[[#This Row],[Rete Fuente $]]</f>
        <v>1493943.1344537814</v>
      </c>
      <c r="S1854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5" spans="1:19" ht="21.95" hidden="1" customHeight="1" x14ac:dyDescent="0.25">
      <c r="A1855" s="39" t="str">
        <f>+IF(PROVEEDORES[[#This Row],[FECHA DE PAGO]]=PROVEEDORES[[#This Row],[FECHA DE FACTURACIÓN]],"DE CONTADO","CRÉDITO")</f>
        <v>CRÉDITO</v>
      </c>
      <c r="B1855" s="68" t="str">
        <f>+IF((PROVEEDORES[[#This Row],[FECHA DE PAGO]]-PROVEEDORES[[#This Row],[FECHA DE FACTURACIÓN]])&gt;PROVEEDORES[[#This Row],[PLAZO Días]],"PAGO VENCIDO")</f>
        <v>PAGO VENCIDO</v>
      </c>
      <c r="C1855" s="27">
        <f>+VLOOKUP(PROVEEDORES[[#This Row],[PROVEEDOR]],TERCEROS_INFO[#All],2,FALSE)</f>
        <v>30</v>
      </c>
      <c r="D1855" s="37">
        <f>+SUMIFS(PROVEEDORES[Total],PROVEEDORES[PROVEEDOR],PROVEEDORES[[#This Row],[PROVEEDOR]],PROVEEDORES[FECHA DE PAGO],"")</f>
        <v>0</v>
      </c>
      <c r="E1855" s="37"/>
      <c r="F1855" s="108" t="str">
        <f>+VLOOKUP(PROVEEDORES[[#This Row],[PROVEEDOR]],TERCEROS_INFO[[PROVEEDOR]:[CORREO]],5,FALSE)</f>
        <v>yermingg@hotmail.com;girlesa.ruiz@servipilas.com;joriescobar64@gmail.com</v>
      </c>
      <c r="G1855" s="143">
        <v>43994</v>
      </c>
      <c r="H1855" s="38" t="s">
        <v>13</v>
      </c>
      <c r="I1855" s="30">
        <v>43865</v>
      </c>
      <c r="J1855" s="58">
        <v>5278</v>
      </c>
      <c r="K1855" s="32">
        <v>746214.2857142858</v>
      </c>
      <c r="L1855" s="32"/>
      <c r="M1855" s="33">
        <f>(PROVEEDORES[[#This Row],[SUBTOTAL]]-PROVEEDORES[[#This Row],[descuento antes de IVA]])*VLOOKUP(PROVEEDORES[[#This Row],[PROVEEDOR]],TERCEROS_INFO[#All],3,FALSE)</f>
        <v>141780.71428571429</v>
      </c>
      <c r="N1855" s="34"/>
      <c r="O1855" s="33">
        <f>+PROVEEDORES[[#This Row],[Descuento sobre subtotal %]]*(PROVEEDORES[[#This Row],[SUBTOTAL]]-PROVEEDORES[[#This Row],[descuento antes de IVA]])</f>
        <v>0</v>
      </c>
      <c r="P185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55" s="33">
        <f>+(PROVEEDORES[[#This Row],[SUBTOTAL]]-PROVEEDORES[[#This Row],[descuento antes de IVA]])*PROVEEDORES[[#This Row],[Rete Fuente %]]</f>
        <v>0</v>
      </c>
      <c r="R1855" s="32">
        <f>+PROVEEDORES[[#This Row],[SUBTOTAL]]+PROVEEDORES[[#This Row],[IVA 19%]]-PROVEEDORES[[#This Row],[descuento antes de IVA]]-PROVEEDORES[[#This Row],[Descuento sobre subtotal $]]-PROVEEDORES[[#This Row],[Rete Fuente $]]</f>
        <v>887995.00000000012</v>
      </c>
      <c r="S1855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6" spans="1:19" ht="21.95" hidden="1" customHeight="1" x14ac:dyDescent="0.25">
      <c r="A1856" s="39" t="str">
        <f>+IF(PROVEEDORES[[#This Row],[FECHA DE PAGO]]=PROVEEDORES[[#This Row],[FECHA DE FACTURACIÓN]],"DE CONTADO","CRÉDITO")</f>
        <v>CRÉDITO</v>
      </c>
      <c r="B1856" s="68" t="str">
        <f>+IF((PROVEEDORES[[#This Row],[FECHA DE PAGO]]-PROVEEDORES[[#This Row],[FECHA DE FACTURACIÓN]])&gt;PROVEEDORES[[#This Row],[PLAZO Días]],"PAGO VENCIDO")</f>
        <v>PAGO VENCIDO</v>
      </c>
      <c r="C1856" s="27">
        <f>+VLOOKUP(PROVEEDORES[[#This Row],[PROVEEDOR]],TERCEROS_INFO[#All],2,FALSE)</f>
        <v>30</v>
      </c>
      <c r="D1856" s="37">
        <f>+SUMIFS(PROVEEDORES[Total],PROVEEDORES[PROVEEDOR],PROVEEDORES[[#This Row],[PROVEEDOR]],PROVEEDORES[FECHA DE PAGO],"")</f>
        <v>0</v>
      </c>
      <c r="E1856" s="37" t="s">
        <v>378</v>
      </c>
      <c r="F1856" s="108" t="str">
        <f>+VLOOKUP(PROVEEDORES[[#This Row],[PROVEEDOR]],TERCEROS_INFO[[PROVEEDOR]:[CORREO]],5,FALSE)</f>
        <v>yermingg@hotmail.com;girlesa.ruiz@servipilas.com;joriescobar64@gmail.com</v>
      </c>
      <c r="G1856" s="143">
        <v>44124</v>
      </c>
      <c r="H1856" s="38" t="s">
        <v>13</v>
      </c>
      <c r="I1856" s="30">
        <v>43994</v>
      </c>
      <c r="J1856" s="58" t="s">
        <v>1028</v>
      </c>
      <c r="K1856" s="32">
        <v>-238528.57142857145</v>
      </c>
      <c r="L1856" s="32"/>
      <c r="M1856" s="33">
        <f>(PROVEEDORES[[#This Row],[SUBTOTAL]]-PROVEEDORES[[#This Row],[descuento antes de IVA]])*VLOOKUP(PROVEEDORES[[#This Row],[PROVEEDOR]],TERCEROS_INFO[#All],3,FALSE)</f>
        <v>-45320.428571428572</v>
      </c>
      <c r="N1856" s="34"/>
      <c r="O1856" s="33">
        <f>+PROVEEDORES[[#This Row],[Descuento sobre subtotal %]]*(PROVEEDORES[[#This Row],[SUBTOTAL]]-PROVEEDORES[[#This Row],[descuento antes de IVA]])</f>
        <v>0</v>
      </c>
      <c r="P185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56" s="33">
        <f>+(PROVEEDORES[[#This Row],[SUBTOTAL]]-PROVEEDORES[[#This Row],[descuento antes de IVA]])*PROVEEDORES[[#This Row],[Rete Fuente %]]</f>
        <v>0</v>
      </c>
      <c r="R1856" s="32">
        <f>+PROVEEDORES[[#This Row],[SUBTOTAL]]+PROVEEDORES[[#This Row],[IVA 19%]]-PROVEEDORES[[#This Row],[descuento antes de IVA]]-PROVEEDORES[[#This Row],[Descuento sobre subtotal $]]-PROVEEDORES[[#This Row],[Rete Fuente $]]</f>
        <v>-283849</v>
      </c>
      <c r="S1856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7" spans="1:19" ht="21.95" hidden="1" customHeight="1" x14ac:dyDescent="0.25">
      <c r="A1857" s="39" t="str">
        <f>+IF(PROVEEDORES[[#This Row],[FECHA DE PAGO]]=PROVEEDORES[[#This Row],[FECHA DE FACTURACIÓN]],"DE CONTADO","CRÉDITO")</f>
        <v>CRÉDITO</v>
      </c>
      <c r="B1857" s="68" t="b">
        <f>+IF((PROVEEDORES[[#This Row],[FECHA DE PAGO]]-PROVEEDORES[[#This Row],[FECHA DE FACTURACIÓN]])&gt;PROVEEDORES[[#This Row],[PLAZO Días]],"PAGO VENCIDO")</f>
        <v>0</v>
      </c>
      <c r="C1857" s="27">
        <f>+VLOOKUP(PROVEEDORES[[#This Row],[PROVEEDOR]],TERCEROS_INFO[#All],2,FALSE)</f>
        <v>30</v>
      </c>
      <c r="D1857" s="37">
        <f>+SUMIFS(PROVEEDORES[Total],PROVEEDORES[PROVEEDOR],PROVEEDORES[[#This Row],[PROVEEDOR]],PROVEEDORES[FECHA DE PAGO],"")</f>
        <v>0</v>
      </c>
      <c r="E1857" s="37"/>
      <c r="F1857" s="108" t="str">
        <f>+VLOOKUP(PROVEEDORES[[#This Row],[PROVEEDOR]],TERCEROS_INFO[[PROVEEDOR]:[CORREO]],5,FALSE)</f>
        <v>yermingg@hotmail.com;girlesa.ruiz@servipilas.com;joriescobar64@gmail.com</v>
      </c>
      <c r="G1857" s="143">
        <v>43920</v>
      </c>
      <c r="H1857" s="38" t="s">
        <v>13</v>
      </c>
      <c r="I1857" s="30">
        <v>44046</v>
      </c>
      <c r="J1857" s="58">
        <v>6077</v>
      </c>
      <c r="K1857" s="32">
        <v>90756.302521008402</v>
      </c>
      <c r="L1857" s="32"/>
      <c r="M1857" s="33">
        <f>(PROVEEDORES[[#This Row],[SUBTOTAL]]-PROVEEDORES[[#This Row],[descuento antes de IVA]])*VLOOKUP(PROVEEDORES[[#This Row],[PROVEEDOR]],TERCEROS_INFO[#All],3,FALSE)</f>
        <v>17243.697478991595</v>
      </c>
      <c r="N1857" s="34"/>
      <c r="O1857" s="33">
        <f>+PROVEEDORES[[#This Row],[Descuento sobre subtotal %]]*(PROVEEDORES[[#This Row],[SUBTOTAL]]-PROVEEDORES[[#This Row],[descuento antes de IVA]])</f>
        <v>0</v>
      </c>
      <c r="P185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57" s="33">
        <f>+(PROVEEDORES[[#This Row],[SUBTOTAL]]-PROVEEDORES[[#This Row],[descuento antes de IVA]])*PROVEEDORES[[#This Row],[Rete Fuente %]]</f>
        <v>0</v>
      </c>
      <c r="R1857" s="32">
        <f>+PROVEEDORES[[#This Row],[SUBTOTAL]]+PROVEEDORES[[#This Row],[IVA 19%]]-PROVEEDORES[[#This Row],[descuento antes de IVA]]-PROVEEDORES[[#This Row],[Descuento sobre subtotal $]]-PROVEEDORES[[#This Row],[Rete Fuente $]]</f>
        <v>108000</v>
      </c>
      <c r="S1857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8" spans="1:19" ht="21.95" hidden="1" customHeight="1" x14ac:dyDescent="0.25">
      <c r="A1858" s="39" t="str">
        <f>+IF(PROVEEDORES[[#This Row],[FECHA DE PAGO]]=PROVEEDORES[[#This Row],[FECHA DE FACTURACIÓN]],"DE CONTADO","CRÉDITO")</f>
        <v>CRÉDITO</v>
      </c>
      <c r="B1858" s="68" t="str">
        <f>+IF((PROVEEDORES[[#This Row],[FECHA DE PAGO]]-PROVEEDORES[[#This Row],[FECHA DE FACTURACIÓN]])&gt;PROVEEDORES[[#This Row],[PLAZO Días]],"PAGO VENCIDO")</f>
        <v>PAGO VENCIDO</v>
      </c>
      <c r="C1858" s="27">
        <f>+VLOOKUP(PROVEEDORES[[#This Row],[PROVEEDOR]],TERCEROS_INFO[#All],2,FALSE)</f>
        <v>30</v>
      </c>
      <c r="D1858" s="37">
        <f>+SUMIFS(PROVEEDORES[Total],PROVEEDORES[PROVEEDOR],PROVEEDORES[[#This Row],[PROVEEDOR]],PROVEEDORES[FECHA DE PAGO],"")</f>
        <v>0</v>
      </c>
      <c r="E1858" s="37"/>
      <c r="F1858" s="108" t="str">
        <f>+VLOOKUP(PROVEEDORES[[#This Row],[PROVEEDOR]],TERCEROS_INFO[[PROVEEDOR]:[CORREO]],5,FALSE)</f>
        <v>yermingg@hotmail.com;girlesa.ruiz@servipilas.com;joriescobar64@gmail.com</v>
      </c>
      <c r="G1858" s="143">
        <v>44124</v>
      </c>
      <c r="H1858" s="38" t="s">
        <v>13</v>
      </c>
      <c r="I1858" s="30">
        <v>44068</v>
      </c>
      <c r="J1858" s="58">
        <v>6111</v>
      </c>
      <c r="K1858" s="32">
        <v>478155.46218487399</v>
      </c>
      <c r="L1858" s="32"/>
      <c r="M1858" s="33">
        <f>(PROVEEDORES[[#This Row],[SUBTOTAL]]-PROVEEDORES[[#This Row],[descuento antes de IVA]])*VLOOKUP(PROVEEDORES[[#This Row],[PROVEEDOR]],TERCEROS_INFO[#All],3,FALSE)</f>
        <v>90849.537815126067</v>
      </c>
      <c r="N1858" s="34"/>
      <c r="O1858" s="33">
        <f>+PROVEEDORES[[#This Row],[Descuento sobre subtotal %]]*(PROVEEDORES[[#This Row],[SUBTOTAL]]-PROVEEDORES[[#This Row],[descuento antes de IVA]])</f>
        <v>0</v>
      </c>
      <c r="P1858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58" s="33">
        <f>+(PROVEEDORES[[#This Row],[SUBTOTAL]]-PROVEEDORES[[#This Row],[descuento antes de IVA]])*PROVEEDORES[[#This Row],[Rete Fuente %]]</f>
        <v>0</v>
      </c>
      <c r="R1858" s="32">
        <f>+PROVEEDORES[[#This Row],[SUBTOTAL]]+PROVEEDORES[[#This Row],[IVA 19%]]-PROVEEDORES[[#This Row],[descuento antes de IVA]]-PROVEEDORES[[#This Row],[Descuento sobre subtotal $]]-PROVEEDORES[[#This Row],[Rete Fuente $]]</f>
        <v>569005</v>
      </c>
      <c r="S1858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59" spans="1:19" ht="21.95" hidden="1" customHeight="1" x14ac:dyDescent="0.25">
      <c r="A1859" s="39" t="str">
        <f>+IF(PROVEEDORES[[#This Row],[FECHA DE PAGO]]=PROVEEDORES[[#This Row],[FECHA DE FACTURACIÓN]],"DE CONTADO","CRÉDITO")</f>
        <v>CRÉDITO</v>
      </c>
      <c r="B1859" s="68" t="b">
        <f>+IF((PROVEEDORES[[#This Row],[FECHA DE PAGO]]-PROVEEDORES[[#This Row],[FECHA DE FACTURACIÓN]])&gt;PROVEEDORES[[#This Row],[PLAZO Días]],"PAGO VENCIDO")</f>
        <v>0</v>
      </c>
      <c r="C1859" s="27">
        <f>+VLOOKUP(PROVEEDORES[[#This Row],[PROVEEDOR]],TERCEROS_INFO[#All],2,FALSE)</f>
        <v>30</v>
      </c>
      <c r="D1859" s="37">
        <f>+SUMIFS(PROVEEDORES[Total],PROVEEDORES[PROVEEDOR],PROVEEDORES[[#This Row],[PROVEEDOR]],PROVEEDORES[FECHA DE PAGO],"")</f>
        <v>0</v>
      </c>
      <c r="E1859" s="37"/>
      <c r="F1859" s="108" t="str">
        <f>+VLOOKUP(PROVEEDORES[[#This Row],[PROVEEDOR]],TERCEROS_INFO[[PROVEEDOR]:[CORREO]],5,FALSE)</f>
        <v>yermingg@hotmail.com;girlesa.ruiz@servipilas.com;joriescobar64@gmail.com</v>
      </c>
      <c r="G1859" s="143">
        <v>44124</v>
      </c>
      <c r="H1859" s="38" t="s">
        <v>13</v>
      </c>
      <c r="I1859" s="30">
        <v>44112</v>
      </c>
      <c r="J1859" s="58">
        <v>6182</v>
      </c>
      <c r="K1859" s="32">
        <v>378150.42016806727</v>
      </c>
      <c r="L1859" s="32"/>
      <c r="M1859" s="33">
        <f>(PROVEEDORES[[#This Row],[SUBTOTAL]]-PROVEEDORES[[#This Row],[descuento antes de IVA]])*VLOOKUP(PROVEEDORES[[#This Row],[PROVEEDOR]],TERCEROS_INFO[#All],3,FALSE)</f>
        <v>71848.579831932788</v>
      </c>
      <c r="N1859" s="34"/>
      <c r="O1859" s="33">
        <f>+PROVEEDORES[[#This Row],[Descuento sobre subtotal %]]*(PROVEEDORES[[#This Row],[SUBTOTAL]]-PROVEEDORES[[#This Row],[descuento antes de IVA]])</f>
        <v>0</v>
      </c>
      <c r="P1859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59" s="33">
        <f>+(PROVEEDORES[[#This Row],[SUBTOTAL]]-PROVEEDORES[[#This Row],[descuento antes de IVA]])*PROVEEDORES[[#This Row],[Rete Fuente %]]</f>
        <v>0</v>
      </c>
      <c r="R1859" s="32">
        <f>+PROVEEDORES[[#This Row],[SUBTOTAL]]+PROVEEDORES[[#This Row],[IVA 19%]]-PROVEEDORES[[#This Row],[descuento antes de IVA]]-PROVEEDORES[[#This Row],[Descuento sobre subtotal $]]-PROVEEDORES[[#This Row],[Rete Fuente $]]</f>
        <v>449999.00000000006</v>
      </c>
      <c r="S1859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60" spans="1:19" ht="21.95" hidden="1" customHeight="1" x14ac:dyDescent="0.25">
      <c r="A1860" s="39" t="str">
        <f>+IF(PROVEEDORES[[#This Row],[FECHA DE PAGO]]=PROVEEDORES[[#This Row],[FECHA DE FACTURACIÓN]],"DE CONTADO","CRÉDITO")</f>
        <v>CRÉDITO</v>
      </c>
      <c r="B1860" s="68" t="b">
        <f>+IF((PROVEEDORES[[#This Row],[FECHA DE PAGO]]-PROVEEDORES[[#This Row],[FECHA DE FACTURACIÓN]])&gt;PROVEEDORES[[#This Row],[PLAZO Días]],"PAGO VENCIDO")</f>
        <v>0</v>
      </c>
      <c r="C1860" s="27">
        <f>+VLOOKUP(PROVEEDORES[[#This Row],[PROVEEDOR]],TERCEROS_INFO[#All],2,FALSE)</f>
        <v>30</v>
      </c>
      <c r="D1860" s="37">
        <f>+SUMIFS(PROVEEDORES[Total],PROVEEDORES[PROVEEDOR],PROVEEDORES[[#This Row],[PROVEEDOR]],PROVEEDORES[FECHA DE PAGO],"")</f>
        <v>0</v>
      </c>
      <c r="E1860" s="37"/>
      <c r="F1860" s="108" t="str">
        <f>+VLOOKUP(PROVEEDORES[[#This Row],[PROVEEDOR]],TERCEROS_INFO[[PROVEEDOR]:[CORREO]],5,FALSE)</f>
        <v>yermingg@hotmail.com;girlesa.ruiz@servipilas.com;joriescobar64@gmail.com</v>
      </c>
      <c r="G1860" s="143">
        <v>43835</v>
      </c>
      <c r="H1860" s="38" t="s">
        <v>13</v>
      </c>
      <c r="I1860" s="30">
        <v>44125</v>
      </c>
      <c r="J1860" s="58">
        <v>6204</v>
      </c>
      <c r="K1860" s="32">
        <v>231100</v>
      </c>
      <c r="L1860" s="32"/>
      <c r="M1860" s="33">
        <f>(PROVEEDORES[[#This Row],[SUBTOTAL]]-PROVEEDORES[[#This Row],[descuento antes de IVA]])*VLOOKUP(PROVEEDORES[[#This Row],[PROVEEDOR]],TERCEROS_INFO[#All],3,FALSE)</f>
        <v>43909</v>
      </c>
      <c r="N1860" s="34"/>
      <c r="O1860" s="33">
        <f>+PROVEEDORES[[#This Row],[Descuento sobre subtotal %]]*(PROVEEDORES[[#This Row],[SUBTOTAL]]-PROVEEDORES[[#This Row],[descuento antes de IVA]])</f>
        <v>0</v>
      </c>
      <c r="P1860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60" s="33">
        <f>+(PROVEEDORES[[#This Row],[SUBTOTAL]]-PROVEEDORES[[#This Row],[descuento antes de IVA]])*PROVEEDORES[[#This Row],[Rete Fuente %]]</f>
        <v>0</v>
      </c>
      <c r="R1860" s="32">
        <f>+PROVEEDORES[[#This Row],[SUBTOTAL]]+PROVEEDORES[[#This Row],[IVA 19%]]-PROVEEDORES[[#This Row],[descuento antes de IVA]]-PROVEEDORES[[#This Row],[Descuento sobre subtotal $]]-PROVEEDORES[[#This Row],[Rete Fuente $]]</f>
        <v>275009</v>
      </c>
      <c r="S1860" s="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61" spans="1:19" ht="21.95" hidden="1" customHeight="1" x14ac:dyDescent="0.25">
      <c r="A1861" s="177" t="str">
        <f>+IF(PROVEEDORES[[#This Row],[FECHA DE PAGO]]=PROVEEDORES[[#This Row],[FECHA DE FACTURACIÓN]],"DE CONTADO","CRÉDITO")</f>
        <v>DE CONTADO</v>
      </c>
      <c r="B1861" s="70" t="b">
        <f>+IF((PROVEEDORES[[#This Row],[FECHA DE PAGO]]-PROVEEDORES[[#This Row],[FECHA DE FACTURACIÓN]])&gt;PROVEEDORES[[#This Row],[PLAZO Días]],"PAGO VENCIDO")</f>
        <v>0</v>
      </c>
      <c r="C1861" s="27">
        <f>+VLOOKUP(PROVEEDORES[[#This Row],[PROVEEDOR]],TERCEROS_INFO[#All],2,FALSE)</f>
        <v>30</v>
      </c>
      <c r="D1861" s="37">
        <f>+SUMIFS(PROVEEDORES[Total],PROVEEDORES[PROVEEDOR],PROVEEDORES[[#This Row],[PROVEEDOR]],PROVEEDORES[FECHA DE PAGO],"")</f>
        <v>0</v>
      </c>
      <c r="E1861" s="37"/>
      <c r="F1861" s="108" t="str">
        <f>+VLOOKUP(PROVEEDORES[[#This Row],[PROVEEDOR]],TERCEROS_INFO[[PROVEEDOR]:[CORREO]],5,FALSE)</f>
        <v/>
      </c>
      <c r="G1861" s="30">
        <v>44562</v>
      </c>
      <c r="H1861" s="38" t="s">
        <v>385</v>
      </c>
      <c r="I1861" s="30">
        <v>44562</v>
      </c>
      <c r="J1861" s="58" t="s">
        <v>1374</v>
      </c>
      <c r="K1861" s="32">
        <v>693200</v>
      </c>
      <c r="L1861" s="32"/>
      <c r="M1861" s="33">
        <f>(PROVEEDORES[[#This Row],[SUBTOTAL]]-PROVEEDORES[[#This Row],[descuento antes de IVA]])*VLOOKUP(PROVEEDORES[[#This Row],[PROVEEDOR]],TERCEROS_INFO[#All],3,FALSE)</f>
        <v>0</v>
      </c>
      <c r="N1861" s="34"/>
      <c r="O1861" s="33">
        <f>+PROVEEDORES[[#This Row],[Descuento sobre subtotal %]]*(PROVEEDORES[[#This Row],[SUBTOTAL]]-PROVEEDORES[[#This Row],[descuento antes de IVA]])</f>
        <v>0</v>
      </c>
      <c r="P1861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61" s="33">
        <f>+(PROVEEDORES[[#This Row],[SUBTOTAL]]-PROVEEDORES[[#This Row],[descuento antes de IVA]])*PROVEEDORES[[#This Row],[Rete Fuente %]]</f>
        <v>0</v>
      </c>
      <c r="R1861" s="32">
        <f>+PROVEEDORES[[#This Row],[SUBTOTAL]]+PROVEEDORES[[#This Row],[IVA 19%]]-PROVEEDORES[[#This Row],[descuento antes de IVA]]-PROVEEDORES[[#This Row],[Descuento sobre subtotal $]]-PROVEEDORES[[#This Row],[Rete Fuente $]]</f>
        <v>693200</v>
      </c>
      <c r="S1861" s="17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62" spans="1:19" ht="21.95" hidden="1" customHeight="1" x14ac:dyDescent="0.25">
      <c r="A1862" s="177" t="str">
        <f>+IF(PROVEEDORES[[#This Row],[FECHA DE PAGO]]=PROVEEDORES[[#This Row],[FECHA DE FACTURACIÓN]],"DE CONTADO","CRÉDITO")</f>
        <v>DE CONTADO</v>
      </c>
      <c r="B1862" s="70" t="b">
        <f>+IF((PROVEEDORES[[#This Row],[FECHA DE PAGO]]-PROVEEDORES[[#This Row],[FECHA DE FACTURACIÓN]])&gt;PROVEEDORES[[#This Row],[PLAZO Días]],"PAGO VENCIDO")</f>
        <v>0</v>
      </c>
      <c r="C1862" s="27">
        <f>+VLOOKUP(PROVEEDORES[[#This Row],[PROVEEDOR]],TERCEROS_INFO[#All],2,FALSE)</f>
        <v>30</v>
      </c>
      <c r="D1862" s="37">
        <f>+SUMIFS(PROVEEDORES[Total],PROVEEDORES[PROVEEDOR],PROVEEDORES[[#This Row],[PROVEEDOR]],PROVEEDORES[FECHA DE PAGO],"")</f>
        <v>0</v>
      </c>
      <c r="E1862" s="37"/>
      <c r="F1862" s="108" t="str">
        <f>+VLOOKUP(PROVEEDORES[[#This Row],[PROVEEDOR]],TERCEROS_INFO[[PROVEEDOR]:[CORREO]],5,FALSE)</f>
        <v/>
      </c>
      <c r="G1862" s="30">
        <v>44567</v>
      </c>
      <c r="H1862" s="38" t="s">
        <v>276</v>
      </c>
      <c r="I1862" s="30">
        <v>44567</v>
      </c>
      <c r="J1862" s="58"/>
      <c r="K1862" s="32">
        <v>1000000</v>
      </c>
      <c r="L1862" s="32"/>
      <c r="M1862" s="33">
        <f>(PROVEEDORES[[#This Row],[SUBTOTAL]]-PROVEEDORES[[#This Row],[descuento antes de IVA]])*VLOOKUP(PROVEEDORES[[#This Row],[PROVEEDOR]],TERCEROS_INFO[#All],3,FALSE)</f>
        <v>0</v>
      </c>
      <c r="N1862" s="34"/>
      <c r="O1862" s="33">
        <f>+PROVEEDORES[[#This Row],[Descuento sobre subtotal %]]*(PROVEEDORES[[#This Row],[SUBTOTAL]]-PROVEEDORES[[#This Row],[descuento antes de IVA]])</f>
        <v>0</v>
      </c>
      <c r="P1862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62" s="33">
        <f>+(PROVEEDORES[[#This Row],[SUBTOTAL]]-PROVEEDORES[[#This Row],[descuento antes de IVA]])*PROVEEDORES[[#This Row],[Rete Fuente %]]</f>
        <v>0</v>
      </c>
      <c r="R1862" s="32">
        <f>+PROVEEDORES[[#This Row],[SUBTOTAL]]+PROVEEDORES[[#This Row],[IVA 19%]]-PROVEEDORES[[#This Row],[descuento antes de IVA]]-PROVEEDORES[[#This Row],[Descuento sobre subtotal $]]-PROVEEDORES[[#This Row],[Rete Fuente $]]</f>
        <v>1000000</v>
      </c>
      <c r="S1862" s="17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63" spans="1:19" ht="21.95" hidden="1" customHeight="1" x14ac:dyDescent="0.25">
      <c r="A1863" s="177" t="str">
        <f>+IF(PROVEEDORES[[#This Row],[FECHA DE PAGO]]=PROVEEDORES[[#This Row],[FECHA DE FACTURACIÓN]],"DE CONTADO","CRÉDITO")</f>
        <v>CRÉDITO</v>
      </c>
      <c r="B1863" s="70" t="b">
        <f>+IF((PROVEEDORES[[#This Row],[FECHA DE PAGO]]-PROVEEDORES[[#This Row],[FECHA DE FACTURACIÓN]])&gt;PROVEEDORES[[#This Row],[PLAZO Días]],"PAGO VENCIDO")</f>
        <v>0</v>
      </c>
      <c r="C1863" s="27">
        <f>+VLOOKUP(PROVEEDORES[[#This Row],[PROVEEDOR]],TERCEROS_INFO[#All],2,FALSE)</f>
        <v>30</v>
      </c>
      <c r="D1863" s="37">
        <f>+SUMIFS(PROVEEDORES[Total],PROVEEDORES[PROVEEDOR],PROVEEDORES[[#This Row],[PROVEEDOR]],PROVEEDORES[FECHA DE PAGO],"")</f>
        <v>702000</v>
      </c>
      <c r="E1863" s="37"/>
      <c r="F1863" s="108" t="str">
        <f>+VLOOKUP(PROVEEDORES[[#This Row],[PROVEEDOR]],TERCEROS_INFO[[PROVEEDOR]:[CORREO]],5,FALSE)</f>
        <v/>
      </c>
      <c r="H1863" s="38" t="s">
        <v>282</v>
      </c>
      <c r="I1863" s="30">
        <v>44566</v>
      </c>
      <c r="J1863" s="58"/>
      <c r="K1863" s="32">
        <v>702000</v>
      </c>
      <c r="L1863" s="32"/>
      <c r="M1863" s="33">
        <f>(PROVEEDORES[[#This Row],[SUBTOTAL]]-PROVEEDORES[[#This Row],[descuento antes de IVA]])*VLOOKUP(PROVEEDORES[[#This Row],[PROVEEDOR]],TERCEROS_INFO[#All],3,FALSE)</f>
        <v>0</v>
      </c>
      <c r="N1863" s="34"/>
      <c r="O1863" s="33">
        <f>+PROVEEDORES[[#This Row],[Descuento sobre subtotal %]]*(PROVEEDORES[[#This Row],[SUBTOTAL]]-PROVEEDORES[[#This Row],[descuento antes de IVA]])</f>
        <v>0</v>
      </c>
      <c r="P1863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63" s="33">
        <f>+(PROVEEDORES[[#This Row],[SUBTOTAL]]-PROVEEDORES[[#This Row],[descuento antes de IVA]])*PROVEEDORES[[#This Row],[Rete Fuente %]]</f>
        <v>0</v>
      </c>
      <c r="R1863" s="32">
        <f>+PROVEEDORES[[#This Row],[SUBTOTAL]]+PROVEEDORES[[#This Row],[IVA 19%]]-PROVEEDORES[[#This Row],[descuento antes de IVA]]-PROVEEDORES[[#This Row],[Descuento sobre subtotal $]]-PROVEEDORES[[#This Row],[Rete Fuente $]]</f>
        <v>702000</v>
      </c>
      <c r="S1863" s="17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864" spans="1:19" ht="21.95" hidden="1" customHeight="1" x14ac:dyDescent="0.25">
      <c r="A1864" s="177" t="str">
        <f>+IF(PROVEEDORES[[#This Row],[FECHA DE PAGO]]=PROVEEDORES[[#This Row],[FECHA DE FACTURACIÓN]],"DE CONTADO","CRÉDITO")</f>
        <v>CRÉDITO</v>
      </c>
      <c r="B1864" s="70" t="b">
        <f>+IF((PROVEEDORES[[#This Row],[FECHA DE PAGO]]-PROVEEDORES[[#This Row],[FECHA DE FACTURACIÓN]])&gt;PROVEEDORES[[#This Row],[PLAZO Días]],"PAGO VENCIDO")</f>
        <v>0</v>
      </c>
      <c r="C1864" s="27">
        <f>+VLOOKUP(PROVEEDORES[[#This Row],[PROVEEDOR]],TERCEROS_INFO[#All],2,FALSE)</f>
        <v>30</v>
      </c>
      <c r="D1864" s="37">
        <f>+SUMIFS(PROVEEDORES[Total],PROVEEDORES[PROVEEDOR],PROVEEDORES[[#This Row],[PROVEEDOR]],PROVEEDORES[FECHA DE PAGO],"")</f>
        <v>800264</v>
      </c>
      <c r="E1864" s="37"/>
      <c r="F1864" s="108" t="str">
        <f>+VLOOKUP(PROVEEDORES[[#This Row],[PROVEEDOR]],TERCEROS_INFO[[PROVEEDOR]:[CORREO]],5,FALSE)</f>
        <v>PSE</v>
      </c>
      <c r="H1864" s="38" t="s">
        <v>653</v>
      </c>
      <c r="I1864" s="30">
        <v>44562</v>
      </c>
      <c r="J1864" s="58">
        <v>12698</v>
      </c>
      <c r="K1864" s="32"/>
      <c r="L1864" s="32"/>
      <c r="M1864" s="33">
        <f>(PROVEEDORES[[#This Row],[SUBTOTAL]]-PROVEEDORES[[#This Row],[descuento antes de IVA]])*VLOOKUP(PROVEEDORES[[#This Row],[PROVEEDOR]],TERCEROS_INFO[#All],3,FALSE)</f>
        <v>0</v>
      </c>
      <c r="N1864" s="34"/>
      <c r="O1864" s="33">
        <f>+PROVEEDORES[[#This Row],[Descuento sobre subtotal %]]*(PROVEEDORES[[#This Row],[SUBTOTAL]]-PROVEEDORES[[#This Row],[descuento antes de IVA]])</f>
        <v>0</v>
      </c>
      <c r="P1864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64" s="33">
        <f>+(PROVEEDORES[[#This Row],[SUBTOTAL]]-PROVEEDORES[[#This Row],[descuento antes de IVA]])*PROVEEDORES[[#This Row],[Rete Fuente %]]</f>
        <v>0</v>
      </c>
      <c r="R1864" s="32">
        <f>+PROVEEDORES[[#This Row],[SUBTOTAL]]+PROVEEDORES[[#This Row],[IVA 19%]]-PROVEEDORES[[#This Row],[descuento antes de IVA]]-PROVEEDORES[[#This Row],[Descuento sobre subtotal $]]-PROVEEDORES[[#This Row],[Rete Fuente $]]</f>
        <v>0</v>
      </c>
      <c r="S1864" s="17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865" spans="1:19" ht="21.95" hidden="1" customHeight="1" x14ac:dyDescent="0.25">
      <c r="A1865" s="177" t="str">
        <f>+IF(PROVEEDORES[[#This Row],[FECHA DE PAGO]]=PROVEEDORES[[#This Row],[FECHA DE FACTURACIÓN]],"DE CONTADO","CRÉDITO")</f>
        <v>CRÉDITO</v>
      </c>
      <c r="B1865" s="70" t="b">
        <f>+IF((PROVEEDORES[[#This Row],[FECHA DE PAGO]]-PROVEEDORES[[#This Row],[FECHA DE FACTURACIÓN]])&gt;PROVEEDORES[[#This Row],[PLAZO Días]],"PAGO VENCIDO")</f>
        <v>0</v>
      </c>
      <c r="C1865" s="27">
        <f>+VLOOKUP(PROVEEDORES[[#This Row],[PROVEEDOR]],TERCEROS_INFO[#All],2,FALSE)</f>
        <v>30</v>
      </c>
      <c r="D1865" s="37">
        <f>+SUMIFS(PROVEEDORES[Total],PROVEEDORES[PROVEEDOR],PROVEEDORES[[#This Row],[PROVEEDOR]],PROVEEDORES[FECHA DE PAGO],"")</f>
        <v>2691998.74</v>
      </c>
      <c r="E1865" s="37"/>
      <c r="F1865" s="108" t="str">
        <f>+VLOOKUP(PROVEEDORES[[#This Row],[PROVEEDOR]],TERCEROS_INFO[[PROVEEDOR]:[CORREO]],5,FALSE)</f>
        <v>propertymarketingsas@hotmail.com;girlesa.ruiz@servipilas.com;joriescobar64@gmail.com</v>
      </c>
      <c r="H1865" s="38" t="s">
        <v>813</v>
      </c>
      <c r="I1865" s="30">
        <v>44562</v>
      </c>
      <c r="J1865" s="58" t="s">
        <v>1375</v>
      </c>
      <c r="K1865" s="32">
        <v>2789636</v>
      </c>
      <c r="L1865" s="32"/>
      <c r="M1865" s="33">
        <f>(PROVEEDORES[[#This Row],[SUBTOTAL]]-PROVEEDORES[[#This Row],[descuento antes de IVA]])*VLOOKUP(PROVEEDORES[[#This Row],[PROVEEDOR]],TERCEROS_INFO[#All],3,FALSE)</f>
        <v>0</v>
      </c>
      <c r="N1865" s="34"/>
      <c r="O1865" s="33">
        <f>+PROVEEDORES[[#This Row],[Descuento sobre subtotal %]]*(PROVEEDORES[[#This Row],[SUBTOTAL]]-PROVEEDORES[[#This Row],[descuento antes de IVA]])</f>
        <v>0</v>
      </c>
      <c r="P1865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865" s="33">
        <f>+(PROVEEDORES[[#This Row],[SUBTOTAL]]-PROVEEDORES[[#This Row],[descuento antes de IVA]])*PROVEEDORES[[#This Row],[Rete Fuente %]]</f>
        <v>97637.260000000009</v>
      </c>
      <c r="R1865" s="32">
        <f>+PROVEEDORES[[#This Row],[SUBTOTAL]]+PROVEEDORES[[#This Row],[IVA 19%]]-PROVEEDORES[[#This Row],[descuento antes de IVA]]-PROVEEDORES[[#This Row],[Descuento sobre subtotal $]]-PROVEEDORES[[#This Row],[Rete Fuente $]]</f>
        <v>2691998.74</v>
      </c>
      <c r="S1865" s="17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866" spans="1:19" ht="21.95" hidden="1" customHeight="1" x14ac:dyDescent="0.25">
      <c r="A1866" s="177" t="str">
        <f>+IF(PROVEEDORES[[#This Row],[FECHA DE PAGO]]=PROVEEDORES[[#This Row],[FECHA DE FACTURACIÓN]],"DE CONTADO","CRÉDITO")</f>
        <v>DE CONTADO</v>
      </c>
      <c r="B1866" s="70" t="b">
        <f>+IF((PROVEEDORES[[#This Row],[FECHA DE PAGO]]-PROVEEDORES[[#This Row],[FECHA DE FACTURACIÓN]])&gt;PROVEEDORES[[#This Row],[PLAZO Días]],"PAGO VENCIDO")</f>
        <v>0</v>
      </c>
      <c r="C1866" s="27">
        <f>+VLOOKUP(PROVEEDORES[[#This Row],[PROVEEDOR]],TERCEROS_INFO[#All],2,FALSE)</f>
        <v>30</v>
      </c>
      <c r="D1866" s="37">
        <f>+SUMIFS(PROVEEDORES[Total],PROVEEDORES[PROVEEDOR],PROVEEDORES[[#This Row],[PROVEEDOR]],PROVEEDORES[FECHA DE PAGO],"")</f>
        <v>-37730</v>
      </c>
      <c r="E1866" s="37"/>
      <c r="F1866" s="108" t="str">
        <f>+VLOOKUP(PROVEEDORES[[#This Row],[PROVEEDOR]],TERCEROS_INFO[[PROVEEDOR]:[CORREO]],5,FALSE)</f>
        <v>CARLOSARCILAMENSAJERIA@gmail.com;girlesa.ruiz@servipilas.com;joriescobar64@gmail.com</v>
      </c>
      <c r="G1866" s="143">
        <v>44567</v>
      </c>
      <c r="H1866" s="38" t="s">
        <v>383</v>
      </c>
      <c r="I1866" s="30">
        <v>44567</v>
      </c>
      <c r="J1866" s="58" t="s">
        <v>1376</v>
      </c>
      <c r="K1866" s="32">
        <v>-135000</v>
      </c>
      <c r="L1866" s="32"/>
      <c r="M1866" s="33">
        <f>(PROVEEDORES[[#This Row],[SUBTOTAL]]-PROVEEDORES[[#This Row],[descuento antes de IVA]])*VLOOKUP(PROVEEDORES[[#This Row],[PROVEEDOR]],TERCEROS_INFO[#All],3,FALSE)</f>
        <v>0</v>
      </c>
      <c r="N1866" s="34"/>
      <c r="O1866" s="33">
        <f>+PROVEEDORES[[#This Row],[Descuento sobre subtotal %]]*(PROVEEDORES[[#This Row],[SUBTOTAL]]-PROVEEDORES[[#This Row],[descuento antes de IVA]])</f>
        <v>0</v>
      </c>
      <c r="P1866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66" s="33">
        <f>+(PROVEEDORES[[#This Row],[SUBTOTAL]]-PROVEEDORES[[#This Row],[descuento antes de IVA]])*PROVEEDORES[[#This Row],[Rete Fuente %]]</f>
        <v>0</v>
      </c>
      <c r="R1866" s="32"/>
      <c r="S1866" s="17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867" spans="1:19" ht="21.95" hidden="1" customHeight="1" x14ac:dyDescent="0.25">
      <c r="A1867" s="177" t="str">
        <f>+IF(PROVEEDORES[[#This Row],[FECHA DE PAGO]]=PROVEEDORES[[#This Row],[FECHA DE FACTURACIÓN]],"DE CONTADO","CRÉDITO")</f>
        <v>CRÉDITO</v>
      </c>
      <c r="B1867" s="70" t="b">
        <f>+IF((PROVEEDORES[[#This Row],[FECHA DE PAGO]]-PROVEEDORES[[#This Row],[FECHA DE FACTURACIÓN]])&gt;PROVEEDORES[[#This Row],[PLAZO Días]],"PAGO VENCIDO")</f>
        <v>0</v>
      </c>
      <c r="C1867" s="27">
        <f>+VLOOKUP(PROVEEDORES[[#This Row],[PROVEEDOR]],TERCEROS_INFO[#All],2,FALSE)</f>
        <v>30</v>
      </c>
      <c r="D1867" s="37">
        <f>+SUMIFS(PROVEEDORES[Total],PROVEEDORES[PROVEEDOR],PROVEEDORES[[#This Row],[PROVEEDOR]],PROVEEDORES[FECHA DE PAGO],"")</f>
        <v>-37730</v>
      </c>
      <c r="E1867" s="37"/>
      <c r="F1867" s="108" t="str">
        <f>+VLOOKUP(PROVEEDORES[[#This Row],[PROVEEDOR]],TERCEROS_INFO[[PROVEEDOR]:[CORREO]],5,FALSE)</f>
        <v>CARLOSARCILAMENSAJERIA@gmail.com;girlesa.ruiz@servipilas.com;joriescobar64@gmail.com</v>
      </c>
      <c r="H1867" s="38" t="s">
        <v>383</v>
      </c>
      <c r="I1867" s="30">
        <v>44567</v>
      </c>
      <c r="J1867" s="58" t="s">
        <v>1373</v>
      </c>
      <c r="K1867" s="32">
        <v>-37730</v>
      </c>
      <c r="L1867" s="32"/>
      <c r="M1867" s="33">
        <f>(PROVEEDORES[[#This Row],[SUBTOTAL]]-PROVEEDORES[[#This Row],[descuento antes de IVA]])*VLOOKUP(PROVEEDORES[[#This Row],[PROVEEDOR]],TERCEROS_INFO[#All],3,FALSE)</f>
        <v>0</v>
      </c>
      <c r="N1867" s="34"/>
      <c r="O1867" s="33">
        <f>+PROVEEDORES[[#This Row],[Descuento sobre subtotal %]]*(PROVEEDORES[[#This Row],[SUBTOTAL]]-PROVEEDORES[[#This Row],[descuento antes de IVA]])</f>
        <v>0</v>
      </c>
      <c r="P1867" s="34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867" s="33">
        <f>+(PROVEEDORES[[#This Row],[SUBTOTAL]]-PROVEEDORES[[#This Row],[descuento antes de IVA]])*PROVEEDORES[[#This Row],[Rete Fuente %]]</f>
        <v>0</v>
      </c>
      <c r="R1867" s="32">
        <f>+PROVEEDORES[[#This Row],[SUBTOTAL]]+PROVEEDORES[[#This Row],[IVA 19%]]-PROVEEDORES[[#This Row],[descuento antes de IVA]]-PROVEEDORES[[#This Row],[Descuento sobre subtotal $]]-PROVEEDORES[[#This Row],[Rete Fuente $]]</f>
        <v>-37730</v>
      </c>
      <c r="S1867" s="17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D1:S1867">
    <cfRule type="expression" dxfId="131" priority="28">
      <formula>$S1="Por pagar"</formula>
    </cfRule>
    <cfRule type="expression" dxfId="130" priority="29">
      <formula>$S1="Vencida"</formula>
    </cfRule>
    <cfRule type="expression" dxfId="129" priority="30">
      <formula>$S1="Pagada"</formula>
    </cfRule>
  </conditionalFormatting>
  <conditionalFormatting sqref="H1861">
    <cfRule type="expression" dxfId="128" priority="19">
      <formula>$S1861="Por pagar"</formula>
    </cfRule>
    <cfRule type="expression" dxfId="127" priority="20">
      <formula>$S1861="Vencida"</formula>
    </cfRule>
    <cfRule type="expression" dxfId="126" priority="21">
      <formula>$S1861="Pagada"</formula>
    </cfRule>
  </conditionalFormatting>
  <conditionalFormatting sqref="H1862">
    <cfRule type="expression" dxfId="125" priority="16">
      <formula>$S1862="Por pagar"</formula>
    </cfRule>
    <cfRule type="expression" dxfId="124" priority="17">
      <formula>$S1862="Vencida"</formula>
    </cfRule>
    <cfRule type="expression" dxfId="123" priority="18">
      <formula>$S1862="Pagada"</formula>
    </cfRule>
  </conditionalFormatting>
  <conditionalFormatting sqref="H1863">
    <cfRule type="expression" dxfId="122" priority="13">
      <formula>$S1863="Por pagar"</formula>
    </cfRule>
    <cfRule type="expression" dxfId="121" priority="14">
      <formula>$S1863="Vencida"</formula>
    </cfRule>
    <cfRule type="expression" dxfId="120" priority="15">
      <formula>$S1863="Pagada"</formula>
    </cfRule>
  </conditionalFormatting>
  <conditionalFormatting sqref="H1864">
    <cfRule type="expression" dxfId="119" priority="10">
      <formula>$S1864="Por pagar"</formula>
    </cfRule>
    <cfRule type="expression" dxfId="118" priority="11">
      <formula>$S1864="Vencida"</formula>
    </cfRule>
    <cfRule type="expression" dxfId="117" priority="12">
      <formula>$S1864="Pagada"</formula>
    </cfRule>
  </conditionalFormatting>
  <conditionalFormatting sqref="H1865">
    <cfRule type="expression" dxfId="116" priority="7">
      <formula>$S1865="Por pagar"</formula>
    </cfRule>
    <cfRule type="expression" dxfId="115" priority="8">
      <formula>$S1865="Vencida"</formula>
    </cfRule>
    <cfRule type="expression" dxfId="114" priority="9">
      <formula>$S1865="Pagada"</formula>
    </cfRule>
  </conditionalFormatting>
  <conditionalFormatting sqref="H1866">
    <cfRule type="expression" dxfId="113" priority="4">
      <formula>$S1866="Por pagar"</formula>
    </cfRule>
    <cfRule type="expression" dxfId="112" priority="5">
      <formula>$S1866="Vencida"</formula>
    </cfRule>
    <cfRule type="expression" dxfId="111" priority="6">
      <formula>$S1866="Pagada"</formula>
    </cfRule>
  </conditionalFormatting>
  <conditionalFormatting sqref="H1867">
    <cfRule type="expression" dxfId="110" priority="1">
      <formula>$S1867="Por pagar"</formula>
    </cfRule>
    <cfRule type="expression" dxfId="109" priority="2">
      <formula>$S1867="Vencida"</formula>
    </cfRule>
    <cfRule type="expression" dxfId="108" priority="3">
      <formula>$S1867="Pagada"</formula>
    </cfRule>
  </conditionalFormatting>
  <pageMargins left="1.085" right="0.7" top="0.75" bottom="0.75" header="0.3" footer="0.3"/>
  <pageSetup scale="39" orientation="portrait" r:id="rId1"/>
  <colBreaks count="2" manualBreakCount="2">
    <brk id="18" max="1048575" man="1"/>
    <brk id="20" max="1048575" man="1"/>
  </col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rimero crea el proveedor en la hoja &quot;Proveedores&quot;." xr:uid="{59BD0DFA-B100-4C67-97D4-F5C71F503F06}">
          <x14:formula1>
            <xm:f>Terceros!$A:$A</xm:f>
          </x14:formula1>
          <xm:sqref>H1053:H1054 H1411 H1407 H1344:H1349 H1445:H1446 H1390:H1396 H1786:H1791 H1387:H1388 H1607 H1373:H1376 H1034:H1041 H1354:H1357 H1352 H1426:H1428 H1334:H1336 H1330 H1363:H1369 H1284 H1310:H1312 H1263 H1261 H1253:H1255 H1248 H1245 H1242 H1798:H1800 H1289 H1151 H1205:H1211 H1229 H1221 H1325:H1328 H1679 H1120 H860:H882 H1176 H1188 H1070 H1074 H1265 H1192:H1193 H1102:H1107 H1109 H1164:H1165 H1147 H1271 H1275 H1280 H1232 H1729:H1731 H1298 H1076:H1082 H1303:H1307 H1415:H1416 H1418 H1420:H1421 H1527 H1433:H1434 H1338 H1439 H1442 H1024:H1031 H1195:H1203 H1316:H1323 H1398 H1450:H1457 H1459:H1461 H1095 H1465:H1467 H1473:H1478 H1072 H1481 H1483:H1484 H1490:H1491 H1282 H1496:H1498 H1503:H1505 H1507 H1509:H1510 H1516 H1519 H1521:H1522 H884:H996 H1530:H1535 H1538 H1544:H1545 H1547:H1548 H1554 H1556:H1557 H1561 H1568 H1572:H1574 H1576 H1579:H1580 H1583:H1586 H1588:H1589 H1594:H1596 H1378 H1380:H1384 H1616 H1620:H1623 H1625:H1627 H1629:H1634 H1641 H1646 H1648 H1650:H1654 H1658:H1659 H1665 H1668 H1672 H1674 H998:H1022 H1684:H1687 H1689 H1692:H1693 H1695:H1696 H1699:H1702 H1704 H1708:H1709 H1713 H1724 H1727 H839:H858 H1734:H1740 H1742 H1744 H1751 H1753:H1754 H1766 H1770 H1772 H1784 H770:H837 H23:H107 H1832:H1835 H109:H112 H1793:H1794 H577:H768 H1807 H1813 H1816:H1817 H1819:H1823 H1746:H1749 H1825 H1829:H1830 H1:H21 H114:H575 H1756:H1762 H1837:H1844 H1858:H1864 H1854:H1855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93C2-2A8B-4966-977C-8694FCD052C0}">
  <sheetPr codeName="Hoja7"/>
  <dimension ref="A1:AC47"/>
  <sheetViews>
    <sheetView topLeftCell="B1" workbookViewId="0"/>
  </sheetViews>
  <sheetFormatPr baseColWidth="10" defaultColWidth="11.42578125" defaultRowHeight="21.95" customHeight="1" x14ac:dyDescent="0.25"/>
  <cols>
    <col min="1" max="1" width="11.42578125" style="43" hidden="1" customWidth="1"/>
    <col min="2" max="2" width="12.42578125" style="44" customWidth="1"/>
    <col min="3" max="3" width="26.140625" style="44" customWidth="1"/>
    <col min="4" max="4" width="13" style="62" customWidth="1"/>
    <col min="5" max="6" width="30.5703125" style="45" customWidth="1"/>
    <col min="7" max="7" width="15.140625" style="89" bestFit="1" customWidth="1"/>
    <col min="8" max="8" width="13.5703125" style="46" customWidth="1"/>
    <col min="9" max="9" width="14.5703125" style="46" customWidth="1"/>
    <col min="10" max="10" width="11.5703125" style="46" customWidth="1"/>
    <col min="11" max="11" width="10.140625" style="47" customWidth="1"/>
    <col min="12" max="12" width="14.85546875" style="47" customWidth="1"/>
    <col min="13" max="13" width="10" style="36" customWidth="1"/>
    <col min="14" max="14" width="10" style="41" customWidth="1"/>
    <col min="15" max="15" width="11.85546875" style="41" customWidth="1"/>
    <col min="16" max="16" width="14.140625" style="41" customWidth="1"/>
    <col min="17" max="18" width="11.42578125" style="40"/>
    <col min="19" max="19" width="13.5703125" style="41" customWidth="1"/>
    <col min="20" max="20" width="11.42578125" style="36"/>
    <col min="21" max="21" width="14.85546875" style="36" customWidth="1"/>
    <col min="22" max="22" width="23.7109375" style="36" customWidth="1"/>
    <col min="23" max="23" width="11.5703125" style="36" customWidth="1"/>
    <col min="24" max="24" width="12.42578125" style="41" customWidth="1"/>
    <col min="25" max="25" width="17.140625" style="42" customWidth="1"/>
    <col min="26" max="26" width="11.42578125" style="36"/>
    <col min="27" max="28" width="17.140625" style="36" customWidth="1"/>
    <col min="29" max="16384" width="11.42578125" style="36"/>
  </cols>
  <sheetData>
    <row r="1" spans="1:29" s="26" customFormat="1" ht="62.25" customHeight="1" x14ac:dyDescent="0.25">
      <c r="A1" s="18" t="s">
        <v>4</v>
      </c>
      <c r="B1" s="19" t="s">
        <v>5</v>
      </c>
      <c r="C1" s="19" t="s">
        <v>247</v>
      </c>
      <c r="D1" s="61" t="s">
        <v>389</v>
      </c>
      <c r="E1" s="21" t="s">
        <v>3</v>
      </c>
      <c r="F1" s="63" t="s">
        <v>1</v>
      </c>
      <c r="G1" s="59" t="s">
        <v>2</v>
      </c>
      <c r="H1" s="21" t="s">
        <v>227</v>
      </c>
      <c r="I1" s="22" t="s">
        <v>304</v>
      </c>
      <c r="J1" s="23" t="s">
        <v>228</v>
      </c>
      <c r="K1" s="64" t="s">
        <v>230</v>
      </c>
      <c r="L1" s="22" t="s">
        <v>231</v>
      </c>
      <c r="M1" s="24" t="s">
        <v>233</v>
      </c>
      <c r="N1" s="22" t="s">
        <v>232</v>
      </c>
      <c r="O1" s="21" t="s">
        <v>229</v>
      </c>
    </row>
    <row r="2" spans="1:29" s="40" customFormat="1" ht="21.95" customHeight="1" x14ac:dyDescent="0.25">
      <c r="A2" s="27">
        <f>+VLOOKUP(GASTOS[[#This Row],[PROVEEDOR]],TERCEROS_INFO[#All],2,FALSE)</f>
        <v>30</v>
      </c>
      <c r="B2" s="37"/>
      <c r="C2" s="29" t="str">
        <f>+VLOOKUP(GASTOS[[#This Row],[PROVEEDOR]],TERCEROS_INFO[#All],5,FALSE)</f>
        <v>contabilidad@comercialweb.com.co;info@servipilas.com</v>
      </c>
      <c r="D2" s="56">
        <v>44229</v>
      </c>
      <c r="E2" s="38" t="s">
        <v>643</v>
      </c>
      <c r="F2" s="38">
        <v>44197</v>
      </c>
      <c r="G2" s="58">
        <v>204</v>
      </c>
      <c r="H2" s="32">
        <v>490000</v>
      </c>
      <c r="I2" s="32"/>
      <c r="J2" s="33">
        <f>+(GASTOS[[#This Row],[SUBTOTAL]]-GASTOS[[#This Row],[descuento antes de IVA]])*VLOOKUP(GASTOS[[#This Row],[PROVEEDOR]],TERCEROS_INFO[#All],3,FALSE)</f>
        <v>0</v>
      </c>
      <c r="K2" s="65"/>
      <c r="L2" s="33">
        <f>+GASTOS[[#This Row],[Descuento sobre subtotal %]]*GASTOS[[#This Row],[SUBTOTAL]]</f>
        <v>0</v>
      </c>
      <c r="M2" s="34">
        <v>3.5000000000000003E-2</v>
      </c>
      <c r="N2" s="33">
        <f>+(GASTOS[[#This Row],[SUBTOTAL]]-GASTOS[[#This Row],[descuento antes de IVA]])*GASTOS[[#This Row],[Rete Fuente %]]</f>
        <v>17150</v>
      </c>
      <c r="O2" s="32">
        <f>+GASTOS[[#This Row],[SUBTOTAL]]+GASTOS[[#This Row],[IVA 19%]]-GASTOS[[#This Row],[descuento antes de IVA]]-GASTOS[[#This Row],[Descuento sobre subtotal $]]-GASTOS[[#This Row],[Rete Fuente $]]</f>
        <v>472850</v>
      </c>
      <c r="R2" s="41"/>
      <c r="S2" s="36"/>
      <c r="T2" s="36"/>
      <c r="U2" s="36"/>
      <c r="V2" s="36"/>
      <c r="W2" s="41"/>
      <c r="X2" s="42"/>
      <c r="Y2" s="36"/>
      <c r="Z2" s="36"/>
      <c r="AA2" s="36"/>
      <c r="AB2" s="36"/>
      <c r="AC2" s="36"/>
    </row>
    <row r="3" spans="1:29" s="40" customFormat="1" ht="21.95" customHeight="1" x14ac:dyDescent="0.25">
      <c r="A3" s="27">
        <f>+VLOOKUP(GASTOS[[#This Row],[PROVEEDOR]],TERCEROS_INFO[#All],2,FALSE)</f>
        <v>30</v>
      </c>
      <c r="B3" s="37"/>
      <c r="C3" s="29" t="str">
        <f>+VLOOKUP(GASTOS[[#This Row],[PROVEEDOR]],TERCEROS_INFO[#All],5,FALSE)</f>
        <v>contabilidad@comercialweb.com.co;info@servipilas.com</v>
      </c>
      <c r="D3" s="56">
        <v>44239</v>
      </c>
      <c r="E3" s="38" t="s">
        <v>643</v>
      </c>
      <c r="F3" s="38">
        <v>44228</v>
      </c>
      <c r="G3" s="58">
        <v>252</v>
      </c>
      <c r="H3" s="32">
        <v>600000</v>
      </c>
      <c r="I3" s="32"/>
      <c r="J3" s="33">
        <f>+(GASTOS[[#This Row],[SUBTOTAL]]-GASTOS[[#This Row],[descuento antes de IVA]])*VLOOKUP(GASTOS[[#This Row],[PROVEEDOR]],TERCEROS_INFO[#All],3,FALSE)</f>
        <v>0</v>
      </c>
      <c r="K3" s="65"/>
      <c r="L3" s="33">
        <f>+GASTOS[[#This Row],[Descuento sobre subtotal %]]*GASTOS[[#This Row],[SUBTOTAL]]</f>
        <v>0</v>
      </c>
      <c r="M3" s="34">
        <v>3.5000000000000003E-2</v>
      </c>
      <c r="N3" s="33">
        <f>+(GASTOS[[#This Row],[SUBTOTAL]]-GASTOS[[#This Row],[descuento antes de IVA]])*GASTOS[[#This Row],[Rete Fuente %]]</f>
        <v>21000.000000000004</v>
      </c>
      <c r="O3" s="32">
        <f>+GASTOS[[#This Row],[SUBTOTAL]]+GASTOS[[#This Row],[IVA 19%]]-GASTOS[[#This Row],[descuento antes de IVA]]-GASTOS[[#This Row],[Descuento sobre subtotal $]]-GASTOS[[#This Row],[Rete Fuente $]]</f>
        <v>579000</v>
      </c>
      <c r="R3" s="41"/>
      <c r="S3" s="36"/>
      <c r="T3" s="36"/>
      <c r="U3" s="36"/>
      <c r="V3" s="36"/>
      <c r="W3" s="41"/>
      <c r="X3" s="42"/>
      <c r="Y3" s="36"/>
      <c r="Z3" s="36"/>
      <c r="AA3" s="36"/>
      <c r="AB3" s="36"/>
      <c r="AC3" s="36"/>
    </row>
    <row r="4" spans="1:29" ht="21.95" customHeight="1" x14ac:dyDescent="0.25">
      <c r="A4" s="27">
        <f>+VLOOKUP(GASTOS[[#This Row],[PROVEEDOR]],TERCEROS_INFO[#All],2,FALSE)</f>
        <v>30</v>
      </c>
      <c r="B4" s="37"/>
      <c r="C4" s="29" t="str">
        <f>+VLOOKUP(GASTOS[[#This Row],[PROVEEDOR]],TERCEROS_INFO[#All],5,FALSE)</f>
        <v>PSE</v>
      </c>
      <c r="D4" s="56">
        <v>44165</v>
      </c>
      <c r="E4" s="38" t="s">
        <v>632</v>
      </c>
      <c r="F4" s="38">
        <v>44117</v>
      </c>
      <c r="G4" s="58"/>
      <c r="H4" s="32">
        <v>131932.77310924372</v>
      </c>
      <c r="I4" s="32"/>
      <c r="J4" s="33">
        <f>+(GASTOS[[#This Row],[SUBTOTAL]]-GASTOS[[#This Row],[descuento antes de IVA]])*VLOOKUP(GASTOS[[#This Row],[PROVEEDOR]],TERCEROS_INFO[#All],3,FALSE)</f>
        <v>25067.226890756305</v>
      </c>
      <c r="K4" s="65"/>
      <c r="L4" s="33">
        <f>+GASTOS[[#This Row],[Descuento sobre subtotal %]]*GASTOS[[#This Row],[SUBTOTAL]]</f>
        <v>0</v>
      </c>
      <c r="M4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4" s="33">
        <f>+(GASTOS[[#This Row],[SUBTOTAL]]-GASTOS[[#This Row],[descuento antes de IVA]])*GASTOS[[#This Row],[Rete Fuente %]]</f>
        <v>0</v>
      </c>
      <c r="O4" s="32">
        <f>+GASTOS[[#This Row],[SUBTOTAL]]+GASTOS[[#This Row],[IVA 19%]]-GASTOS[[#This Row],[descuento antes de IVA]]-GASTOS[[#This Row],[Descuento sobre subtotal $]]-GASTOS[[#This Row],[Rete Fuente $]]</f>
        <v>157000.00000000003</v>
      </c>
      <c r="P4" s="40"/>
      <c r="R4" s="41"/>
      <c r="S4" s="36"/>
      <c r="W4" s="41"/>
      <c r="X4" s="42"/>
      <c r="Y4" s="36"/>
    </row>
    <row r="5" spans="1:29" ht="21.95" customHeight="1" x14ac:dyDescent="0.25">
      <c r="A5" s="27">
        <f>+VLOOKUP(GASTOS[[#This Row],[PROVEEDOR]],TERCEROS_INFO[#All],2,FALSE)</f>
        <v>30</v>
      </c>
      <c r="B5" s="37" t="s">
        <v>349</v>
      </c>
      <c r="C5" s="29" t="str">
        <f>+VLOOKUP(GASTOS[[#This Row],[PROVEEDOR]],TERCEROS_INFO[#All],5,FALSE)</f>
        <v>PSE</v>
      </c>
      <c r="D5" s="56">
        <v>44117</v>
      </c>
      <c r="E5" s="38" t="s">
        <v>632</v>
      </c>
      <c r="F5" s="38">
        <v>44117</v>
      </c>
      <c r="G5" s="58">
        <v>3489</v>
      </c>
      <c r="H5" s="32">
        <v>348320.16806722688</v>
      </c>
      <c r="I5" s="32"/>
      <c r="J5" s="33">
        <f>+(GASTOS[[#This Row],[SUBTOTAL]]-GASTOS[[#This Row],[descuento antes de IVA]])*VLOOKUP(GASTOS[[#This Row],[PROVEEDOR]],TERCEROS_INFO[#All],3,FALSE)</f>
        <v>66180.831932773115</v>
      </c>
      <c r="K5" s="65"/>
      <c r="L5" s="33">
        <f>+GASTOS[[#This Row],[Descuento sobre subtotal %]]*GASTOS[[#This Row],[SUBTOTAL]]</f>
        <v>0</v>
      </c>
      <c r="M5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5" s="33">
        <f>+(GASTOS[[#This Row],[SUBTOTAL]]-GASTOS[[#This Row],[descuento antes de IVA]])*GASTOS[[#This Row],[Rete Fuente %]]</f>
        <v>0</v>
      </c>
      <c r="O5" s="32">
        <f>+GASTOS[[#This Row],[SUBTOTAL]]+GASTOS[[#This Row],[IVA 19%]]-GASTOS[[#This Row],[descuento antes de IVA]]-GASTOS[[#This Row],[Descuento sobre subtotal $]]-GASTOS[[#This Row],[Rete Fuente $]]</f>
        <v>414501</v>
      </c>
      <c r="P5" s="40"/>
      <c r="R5" s="41"/>
      <c r="S5" s="36"/>
      <c r="W5" s="41"/>
      <c r="X5" s="42"/>
      <c r="Y5" s="36"/>
    </row>
    <row r="6" spans="1:29" ht="21.95" customHeight="1" x14ac:dyDescent="0.25">
      <c r="A6" s="27">
        <f>+VLOOKUP(GASTOS[[#This Row],[PROVEEDOR]],TERCEROS_INFO[#All],2,FALSE)</f>
        <v>30</v>
      </c>
      <c r="B6" s="37"/>
      <c r="C6" s="29" t="str">
        <f>+VLOOKUP(GASTOS[[#This Row],[PROVEEDOR]],TERCEROS_INFO[#All],5,FALSE)</f>
        <v>bienesymercadeo@hotmail.com;girlesa.ruiz@servipilas.com;joriescobar64@gmail.com</v>
      </c>
      <c r="D6" s="56">
        <v>44250</v>
      </c>
      <c r="E6" s="38" t="s">
        <v>644</v>
      </c>
      <c r="F6" s="38">
        <v>44228</v>
      </c>
      <c r="G6" s="58"/>
      <c r="H6" s="32">
        <v>2789636</v>
      </c>
      <c r="I6" s="32"/>
      <c r="J6" s="33">
        <f>+(GASTOS[[#This Row],[SUBTOTAL]]-GASTOS[[#This Row],[descuento antes de IVA]])*VLOOKUP(GASTOS[[#This Row],[PROVEEDOR]],TERCEROS_INFO[#All],3,FALSE)</f>
        <v>0</v>
      </c>
      <c r="K6" s="65"/>
      <c r="L6" s="33">
        <f>+GASTOS[[#This Row],[Descuento sobre subtotal %]]*GASTOS[[#This Row],[SUBTOTAL]]</f>
        <v>0</v>
      </c>
      <c r="M6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6" s="33">
        <f>+(GASTOS[[#This Row],[SUBTOTAL]]-GASTOS[[#This Row],[descuento antes de IVA]])*GASTOS[[#This Row],[Rete Fuente %]]</f>
        <v>97637.260000000009</v>
      </c>
      <c r="O6" s="32">
        <f>+GASTOS[[#This Row],[SUBTOTAL]]+GASTOS[[#This Row],[IVA 19%]]-GASTOS[[#This Row],[descuento antes de IVA]]-GASTOS[[#This Row],[Descuento sobre subtotal $]]-GASTOS[[#This Row],[Rete Fuente $]]</f>
        <v>2691998.74</v>
      </c>
      <c r="P6" s="40"/>
      <c r="R6" s="41"/>
      <c r="S6" s="36"/>
      <c r="W6" s="41"/>
      <c r="X6" s="42"/>
      <c r="Y6" s="36"/>
    </row>
    <row r="7" spans="1:29" ht="21.95" customHeight="1" x14ac:dyDescent="0.25">
      <c r="A7" s="27">
        <f>+VLOOKUP(GASTOS[[#This Row],[PROVEEDOR]],TERCEROS_INFO[#All],2,FALSE)</f>
        <v>30</v>
      </c>
      <c r="B7" s="37"/>
      <c r="C7" s="29" t="str">
        <f>+VLOOKUP(GASTOS[[#This Row],[PROVEEDOR]],TERCEROS_INFO[#All],5,FALSE)</f>
        <v>bienesymercadeo@hotmail.com;girlesa.ruiz@servipilas.com;joriescobar64@gmail.com</v>
      </c>
      <c r="D7" s="56">
        <v>44284</v>
      </c>
      <c r="E7" s="38" t="s">
        <v>644</v>
      </c>
      <c r="F7" s="38">
        <v>44256</v>
      </c>
      <c r="G7" s="58">
        <v>3831</v>
      </c>
      <c r="H7" s="32">
        <v>2789636</v>
      </c>
      <c r="I7" s="32"/>
      <c r="J7" s="33">
        <f>+(GASTOS[[#This Row],[SUBTOTAL]]-GASTOS[[#This Row],[descuento antes de IVA]])*VLOOKUP(GASTOS[[#This Row],[PROVEEDOR]],TERCEROS_INFO[#All],3,FALSE)</f>
        <v>0</v>
      </c>
      <c r="K7" s="65"/>
      <c r="L7" s="33">
        <f>+GASTOS[[#This Row],[Descuento sobre subtotal %]]*GASTOS[[#This Row],[SUBTOTAL]]</f>
        <v>0</v>
      </c>
      <c r="M7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7" s="33">
        <f>+(GASTOS[[#This Row],[SUBTOTAL]]-GASTOS[[#This Row],[descuento antes de IVA]])*GASTOS[[#This Row],[Rete Fuente %]]</f>
        <v>97637.260000000009</v>
      </c>
      <c r="O7" s="32">
        <f>+GASTOS[[#This Row],[SUBTOTAL]]+GASTOS[[#This Row],[IVA 19%]]-GASTOS[[#This Row],[descuento antes de IVA]]-GASTOS[[#This Row],[Descuento sobre subtotal $]]-GASTOS[[#This Row],[Rete Fuente $]]</f>
        <v>2691998.74</v>
      </c>
    </row>
    <row r="8" spans="1:29" ht="21.95" customHeight="1" x14ac:dyDescent="0.25">
      <c r="A8" s="27">
        <f>+VLOOKUP(GASTOS[[#This Row],[PROVEEDOR]],TERCEROS_INFO[#All],2,FALSE)</f>
        <v>30</v>
      </c>
      <c r="B8" s="37"/>
      <c r="C8" s="29" t="str">
        <f>+VLOOKUP(GASTOS[[#This Row],[PROVEEDOR]],TERCEROS_INFO[#All],5,FALSE)</f>
        <v>bienesymercadeo@hotmail.com;girlesa.ruiz@servipilas.com;joriescobar64@gmail.com</v>
      </c>
      <c r="D8" s="56"/>
      <c r="E8" s="38" t="s">
        <v>644</v>
      </c>
      <c r="F8" s="38">
        <v>44287</v>
      </c>
      <c r="G8" s="58" t="s">
        <v>624</v>
      </c>
      <c r="H8" s="32">
        <v>2789636</v>
      </c>
      <c r="I8" s="32"/>
      <c r="J8" s="33">
        <f>+(GASTOS[[#This Row],[SUBTOTAL]]-GASTOS[[#This Row],[descuento antes de IVA]])*VLOOKUP(GASTOS[[#This Row],[PROVEEDOR]],TERCEROS_INFO[#All],3,FALSE)</f>
        <v>0</v>
      </c>
      <c r="K8" s="65"/>
      <c r="L8" s="33">
        <f>+GASTOS[[#This Row],[Descuento sobre subtotal %]]*GASTOS[[#This Row],[SUBTOTAL]]</f>
        <v>0</v>
      </c>
      <c r="M8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8" s="33">
        <f>+(GASTOS[[#This Row],[SUBTOTAL]]-GASTOS[[#This Row],[descuento antes de IVA]])*GASTOS[[#This Row],[Rete Fuente %]]</f>
        <v>97637.260000000009</v>
      </c>
      <c r="O8" s="32">
        <f>+GASTOS[[#This Row],[SUBTOTAL]]+GASTOS[[#This Row],[IVA 19%]]-GASTOS[[#This Row],[descuento antes de IVA]]-GASTOS[[#This Row],[Descuento sobre subtotal $]]-GASTOS[[#This Row],[Rete Fuente $]]</f>
        <v>2691998.74</v>
      </c>
    </row>
    <row r="9" spans="1:29" ht="21.95" customHeight="1" x14ac:dyDescent="0.25">
      <c r="A9" s="27">
        <f>+VLOOKUP(GASTOS[[#This Row],[PROVEEDOR]],TERCEROS_INFO[#All],2,FALSE)</f>
        <v>30</v>
      </c>
      <c r="B9" s="37"/>
      <c r="C9" s="29" t="str">
        <f>+VLOOKUP(GASTOS[[#This Row],[PROVEEDOR]],TERCEROS_INFO[#All],5,FALSE)</f>
        <v>tesoreria@lacentral.com.co;girlesa.ruiz@servipilas.com;joriescobar64@gmail.com</v>
      </c>
      <c r="D9" s="56">
        <v>44250</v>
      </c>
      <c r="E9" s="38" t="s">
        <v>634</v>
      </c>
      <c r="F9" s="38">
        <v>44228</v>
      </c>
      <c r="G9" s="58"/>
      <c r="H9" s="32">
        <v>1327746</v>
      </c>
      <c r="I9" s="32"/>
      <c r="J9" s="33">
        <f>+(GASTOS[[#This Row],[SUBTOTAL]]-GASTOS[[#This Row],[descuento antes de IVA]])*VLOOKUP(GASTOS[[#This Row],[PROVEEDOR]],TERCEROS_INFO[#All],3,FALSE)</f>
        <v>0</v>
      </c>
      <c r="K9" s="65"/>
      <c r="L9" s="33">
        <v>131601</v>
      </c>
      <c r="M9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9" s="33">
        <f>+(GASTOS[[#This Row],[SUBTOTAL]]-GASTOS[[#This Row],[descuento antes de IVA]])*GASTOS[[#This Row],[Rete Fuente %]]</f>
        <v>0</v>
      </c>
      <c r="O9" s="32">
        <f>+GASTOS[[#This Row],[SUBTOTAL]]+GASTOS[[#This Row],[IVA 19%]]-GASTOS[[#This Row],[descuento antes de IVA]]-GASTOS[[#This Row],[Descuento sobre subtotal $]]-GASTOS[[#This Row],[Rete Fuente $]]</f>
        <v>1196145</v>
      </c>
    </row>
    <row r="10" spans="1:29" ht="21.95" customHeight="1" x14ac:dyDescent="0.25">
      <c r="A10" s="27">
        <f>+VLOOKUP(GASTOS[[#This Row],[PROVEEDOR]],TERCEROS_INFO[#All],2,FALSE)</f>
        <v>30</v>
      </c>
      <c r="B10" s="37"/>
      <c r="C10" s="29" t="str">
        <f>+VLOOKUP(GASTOS[[#This Row],[PROVEEDOR]],TERCEROS_INFO[#All],5,FALSE)</f>
        <v>tesoreria@lacentral.com.co;girlesa.ruiz@servipilas.com;joriescobar64@gmail.com</v>
      </c>
      <c r="D10" s="56">
        <v>44285</v>
      </c>
      <c r="E10" s="38" t="s">
        <v>634</v>
      </c>
      <c r="F10" s="38">
        <v>44256</v>
      </c>
      <c r="G10" s="58">
        <v>7708</v>
      </c>
      <c r="H10" s="32">
        <v>1327746</v>
      </c>
      <c r="I10" s="32"/>
      <c r="J10" s="33">
        <f>+(GASTOS[[#This Row],[SUBTOTAL]]-GASTOS[[#This Row],[descuento antes de IVA]])*VLOOKUP(GASTOS[[#This Row],[PROVEEDOR]],TERCEROS_INFO[#All],3,FALSE)</f>
        <v>0</v>
      </c>
      <c r="K10" s="65"/>
      <c r="L10" s="33">
        <v>131601</v>
      </c>
      <c r="M10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0" s="33">
        <f>+(GASTOS[[#This Row],[SUBTOTAL]]-GASTOS[[#This Row],[descuento antes de IVA]])*GASTOS[[#This Row],[Rete Fuente %]]</f>
        <v>0</v>
      </c>
      <c r="O10" s="32">
        <f>+GASTOS[[#This Row],[SUBTOTAL]]+GASTOS[[#This Row],[IVA 19%]]-GASTOS[[#This Row],[descuento antes de IVA]]-GASTOS[[#This Row],[Descuento sobre subtotal $]]-GASTOS[[#This Row],[Rete Fuente $]]</f>
        <v>1196145</v>
      </c>
    </row>
    <row r="11" spans="1:29" ht="21.95" customHeight="1" x14ac:dyDescent="0.25">
      <c r="A11" s="27">
        <f>+VLOOKUP(GASTOS[[#This Row],[PROVEEDOR]],TERCEROS_INFO[#All],2,FALSE)</f>
        <v>30</v>
      </c>
      <c r="B11" s="37"/>
      <c r="C11" s="29" t="str">
        <f>+VLOOKUP(GASTOS[[#This Row],[PROVEEDOR]],TERCEROS_INFO[#All],5,FALSE)</f>
        <v>tesoreria@lacentral.com.co;girlesa.ruiz@servipilas.com;joriescobar64@gmail.com</v>
      </c>
      <c r="D11" s="56">
        <v>44314</v>
      </c>
      <c r="E11" s="38" t="s">
        <v>634</v>
      </c>
      <c r="F11" s="38">
        <v>44287</v>
      </c>
      <c r="G11" s="58">
        <v>7921</v>
      </c>
      <c r="H11" s="32">
        <v>1517363</v>
      </c>
      <c r="I11" s="32"/>
      <c r="J11" s="33">
        <f>+(GASTOS[[#This Row],[SUBTOTAL]]-GASTOS[[#This Row],[descuento antes de IVA]])*VLOOKUP(GASTOS[[#This Row],[PROVEEDOR]],TERCEROS_INFO[#All],3,FALSE)</f>
        <v>0</v>
      </c>
      <c r="K11" s="65"/>
      <c r="L11" s="33">
        <f>120337+240387</f>
        <v>360724</v>
      </c>
      <c r="M11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1" s="33">
        <f>+(GASTOS[[#This Row],[SUBTOTAL]]-GASTOS[[#This Row],[descuento antes de IVA]])*GASTOS[[#This Row],[Rete Fuente %]]</f>
        <v>0</v>
      </c>
      <c r="O11" s="32">
        <f>+GASTOS[[#This Row],[SUBTOTAL]]+GASTOS[[#This Row],[IVA 19%]]-GASTOS[[#This Row],[descuento antes de IVA]]-GASTOS[[#This Row],[Descuento sobre subtotal $]]-GASTOS[[#This Row],[Rete Fuente $]]</f>
        <v>1156639</v>
      </c>
    </row>
    <row r="12" spans="1:29" ht="21.95" customHeight="1" x14ac:dyDescent="0.25">
      <c r="A12" s="27">
        <f>+VLOOKUP(GASTOS[[#This Row],[PROVEEDOR]],TERCEROS_INFO[#All],2,FALSE)</f>
        <v>30</v>
      </c>
      <c r="B12" s="37"/>
      <c r="C12" s="29" t="str">
        <f>+VLOOKUP(GASTOS[[#This Row],[PROVEEDOR]],TERCEROS_INFO[#All],5,FALSE)</f>
        <v>carlan@mayorcainversiones.com;girlesa.ruiz@servipilas.com;joriescobar64@gmail.com</v>
      </c>
      <c r="D12" s="56">
        <v>44250</v>
      </c>
      <c r="E12" s="38" t="s">
        <v>648</v>
      </c>
      <c r="F12" s="38">
        <v>44228</v>
      </c>
      <c r="G12" s="58">
        <v>5070</v>
      </c>
      <c r="H12" s="32">
        <v>3061166</v>
      </c>
      <c r="I12" s="32"/>
      <c r="J12" s="33">
        <f>+(GASTOS[[#This Row],[SUBTOTAL]]-GASTOS[[#This Row],[descuento antes de IVA]])*VLOOKUP(GASTOS[[#This Row],[PROVEEDOR]],TERCEROS_INFO[#All],3,FALSE)</f>
        <v>581621.54</v>
      </c>
      <c r="K12" s="65"/>
      <c r="L12" s="33">
        <f>+GASTOS[[#This Row],[Descuento sobre subtotal %]]*GASTOS[[#This Row],[SUBTOTAL]]</f>
        <v>0</v>
      </c>
      <c r="M12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2" s="33">
        <f>+(GASTOS[[#This Row],[SUBTOTAL]]-GASTOS[[#This Row],[descuento antes de IVA]])*GASTOS[[#This Row],[Rete Fuente %]]</f>
        <v>0</v>
      </c>
      <c r="O12" s="32">
        <f>+GASTOS[[#This Row],[SUBTOTAL]]+GASTOS[[#This Row],[IVA 19%]]-GASTOS[[#This Row],[descuento antes de IVA]]-GASTOS[[#This Row],[Descuento sobre subtotal $]]-GASTOS[[#This Row],[Rete Fuente $]]</f>
        <v>3642787.54</v>
      </c>
    </row>
    <row r="13" spans="1:29" ht="21.95" customHeight="1" x14ac:dyDescent="0.25">
      <c r="A13" s="27">
        <f>+VLOOKUP(GASTOS[[#This Row],[PROVEEDOR]],TERCEROS_INFO[#All],2,FALSE)</f>
        <v>30</v>
      </c>
      <c r="B13" s="37"/>
      <c r="C13" s="29" t="str">
        <f>+VLOOKUP(GASTOS[[#This Row],[PROVEEDOR]],TERCEROS_INFO[#All],5,FALSE)</f>
        <v>carlan@mayorcainversiones.com;girlesa.ruiz@servipilas.com;joriescobar64@gmail.com</v>
      </c>
      <c r="D13" s="56">
        <v>44250</v>
      </c>
      <c r="E13" s="38" t="s">
        <v>648</v>
      </c>
      <c r="F13" s="38">
        <v>44228</v>
      </c>
      <c r="G13" s="58">
        <v>4792</v>
      </c>
      <c r="H13" s="32">
        <v>716544</v>
      </c>
      <c r="I13" s="32"/>
      <c r="J13" s="33">
        <f>+(GASTOS[[#This Row],[SUBTOTAL]]-GASTOS[[#This Row],[descuento antes de IVA]])*VLOOKUP(GASTOS[[#This Row],[PROVEEDOR]],TERCEROS_INFO[#All],3,FALSE)</f>
        <v>136143.36000000002</v>
      </c>
      <c r="K13" s="65"/>
      <c r="L13" s="33">
        <f>+GASTOS[[#This Row],[Descuento sobre subtotal %]]*GASTOS[[#This Row],[SUBTOTAL]]</f>
        <v>0</v>
      </c>
      <c r="M13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3" s="33">
        <f>+(GASTOS[[#This Row],[SUBTOTAL]]-GASTOS[[#This Row],[descuento antes de IVA]])*GASTOS[[#This Row],[Rete Fuente %]]</f>
        <v>0</v>
      </c>
      <c r="O13" s="32">
        <f>+GASTOS[[#This Row],[SUBTOTAL]]+GASTOS[[#This Row],[IVA 19%]]-GASTOS[[#This Row],[descuento antes de IVA]]-GASTOS[[#This Row],[Descuento sobre subtotal $]]-GASTOS[[#This Row],[Rete Fuente $]]</f>
        <v>852687.35999999999</v>
      </c>
    </row>
    <row r="14" spans="1:29" ht="21.95" customHeight="1" x14ac:dyDescent="0.25">
      <c r="A14" s="27">
        <f>+VLOOKUP(GASTOS[[#This Row],[PROVEEDOR]],TERCEROS_INFO[#All],2,FALSE)</f>
        <v>30</v>
      </c>
      <c r="B14" s="37"/>
      <c r="C14" s="29" t="str">
        <f>+VLOOKUP(GASTOS[[#This Row],[PROVEEDOR]],TERCEROS_INFO[#All],5,FALSE)</f>
        <v>carlan@mayorcainversiones.com;girlesa.ruiz@servipilas.com;joriescobar64@gmail.com</v>
      </c>
      <c r="D14" s="56">
        <v>44284</v>
      </c>
      <c r="E14" s="38" t="s">
        <v>648</v>
      </c>
      <c r="F14" s="38">
        <v>44256</v>
      </c>
      <c r="G14" s="58">
        <v>486</v>
      </c>
      <c r="H14" s="32">
        <v>3061166</v>
      </c>
      <c r="I14" s="32"/>
      <c r="J14" s="33">
        <f>+(GASTOS[[#This Row],[SUBTOTAL]]-GASTOS[[#This Row],[descuento antes de IVA]])*VLOOKUP(GASTOS[[#This Row],[PROVEEDOR]],TERCEROS_INFO[#All],3,FALSE)</f>
        <v>581621.54</v>
      </c>
      <c r="K14" s="65"/>
      <c r="L14" s="33">
        <f>+GASTOS[[#This Row],[Descuento sobre subtotal %]]*GASTOS[[#This Row],[SUBTOTAL]]</f>
        <v>0</v>
      </c>
      <c r="M14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4" s="33">
        <f>+(GASTOS[[#This Row],[SUBTOTAL]]-GASTOS[[#This Row],[descuento antes de IVA]])*GASTOS[[#This Row],[Rete Fuente %]]</f>
        <v>0</v>
      </c>
      <c r="O14" s="32">
        <f>+GASTOS[[#This Row],[SUBTOTAL]]+GASTOS[[#This Row],[IVA 19%]]-GASTOS[[#This Row],[descuento antes de IVA]]-GASTOS[[#This Row],[Descuento sobre subtotal $]]-GASTOS[[#This Row],[Rete Fuente $]]</f>
        <v>3642787.54</v>
      </c>
    </row>
    <row r="15" spans="1:29" ht="21.95" customHeight="1" x14ac:dyDescent="0.25">
      <c r="A15" s="27">
        <f>+VLOOKUP(GASTOS[[#This Row],[PROVEEDOR]],TERCEROS_INFO[#All],2,FALSE)</f>
        <v>30</v>
      </c>
      <c r="B15" s="37"/>
      <c r="C15" s="29" t="str">
        <f>+VLOOKUP(GASTOS[[#This Row],[PROVEEDOR]],TERCEROS_INFO[#All],5,FALSE)</f>
        <v>carlan@mayorcainversiones.com;girlesa.ruiz@servipilas.com;joriescobar64@gmail.com</v>
      </c>
      <c r="D15" s="56">
        <v>44284</v>
      </c>
      <c r="E15" s="38" t="s">
        <v>648</v>
      </c>
      <c r="F15" s="38">
        <v>44256</v>
      </c>
      <c r="G15" s="58">
        <v>234</v>
      </c>
      <c r="H15" s="32">
        <v>716544</v>
      </c>
      <c r="I15" s="32"/>
      <c r="J15" s="33">
        <f>+(GASTOS[[#This Row],[SUBTOTAL]]-GASTOS[[#This Row],[descuento antes de IVA]])*VLOOKUP(GASTOS[[#This Row],[PROVEEDOR]],TERCEROS_INFO[#All],3,FALSE)</f>
        <v>136143.36000000002</v>
      </c>
      <c r="K15" s="65"/>
      <c r="L15" s="33">
        <f>+GASTOS[[#This Row],[Descuento sobre subtotal %]]*GASTOS[[#This Row],[SUBTOTAL]]</f>
        <v>0</v>
      </c>
      <c r="M15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5" s="33">
        <f>+(GASTOS[[#This Row],[SUBTOTAL]]-GASTOS[[#This Row],[descuento antes de IVA]])*GASTOS[[#This Row],[Rete Fuente %]]</f>
        <v>0</v>
      </c>
      <c r="O15" s="32">
        <f>+GASTOS[[#This Row],[SUBTOTAL]]+GASTOS[[#This Row],[IVA 19%]]-GASTOS[[#This Row],[descuento antes de IVA]]-GASTOS[[#This Row],[Descuento sobre subtotal $]]-GASTOS[[#This Row],[Rete Fuente $]]</f>
        <v>852687.35999999999</v>
      </c>
    </row>
    <row r="16" spans="1:29" ht="21.95" customHeight="1" x14ac:dyDescent="0.25">
      <c r="A16" s="27">
        <f>+VLOOKUP(GASTOS[[#This Row],[PROVEEDOR]],TERCEROS_INFO[#All],2,FALSE)</f>
        <v>30</v>
      </c>
      <c r="B16" s="37" t="s">
        <v>596</v>
      </c>
      <c r="C16" s="29" t="str">
        <f>+VLOOKUP(GASTOS[[#This Row],[PROVEEDOR]],TERCEROS_INFO[#All],5,FALSE)</f>
        <v>carlan@mayorcainversiones.com;girlesa.ruiz@servipilas.com;joriescobar64@gmail.com</v>
      </c>
      <c r="D16" s="56"/>
      <c r="E16" s="38" t="s">
        <v>648</v>
      </c>
      <c r="F16" s="38">
        <v>44284</v>
      </c>
      <c r="G16" s="58" t="s">
        <v>511</v>
      </c>
      <c r="H16" s="32">
        <f>-162010.17/1.19</f>
        <v>-136143.00000000003</v>
      </c>
      <c r="I16" s="32"/>
      <c r="J16" s="33">
        <f>+(GASTOS[[#This Row],[SUBTOTAL]]-GASTOS[[#This Row],[descuento antes de IVA]])*VLOOKUP(GASTOS[[#This Row],[PROVEEDOR]],TERCEROS_INFO[#All],3,FALSE)</f>
        <v>-25867.170000000006</v>
      </c>
      <c r="K16" s="65"/>
      <c r="L16" s="33">
        <f>+GASTOS[[#This Row],[Descuento sobre subtotal %]]*GASTOS[[#This Row],[SUBTOTAL]]</f>
        <v>0</v>
      </c>
      <c r="M16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6" s="33">
        <f>+(GASTOS[[#This Row],[SUBTOTAL]]-GASTOS[[#This Row],[descuento antes de IVA]])*GASTOS[[#This Row],[Rete Fuente %]]</f>
        <v>0</v>
      </c>
      <c r="O16" s="32">
        <f>+GASTOS[[#This Row],[SUBTOTAL]]+GASTOS[[#This Row],[IVA 19%]]-GASTOS[[#This Row],[descuento antes de IVA]]-GASTOS[[#This Row],[Descuento sobre subtotal $]]-GASTOS[[#This Row],[Rete Fuente $]]</f>
        <v>-162010.17000000004</v>
      </c>
    </row>
    <row r="17" spans="1:15" ht="21.95" customHeight="1" x14ac:dyDescent="0.25">
      <c r="A17" s="27">
        <f>+VLOOKUP(GASTOS[[#This Row],[PROVEEDOR]],TERCEROS_INFO[#All],2,FALSE)</f>
        <v>30</v>
      </c>
      <c r="B17" s="37"/>
      <c r="C17" s="29" t="str">
        <f>+VLOOKUP(GASTOS[[#This Row],[PROVEEDOR]],TERCEROS_INFO[#All],5,FALSE)</f>
        <v>carlan@mayorcainversiones.com;girlesa.ruiz@servipilas.com;joriescobar64@gmail.com</v>
      </c>
      <c r="D17" s="56">
        <v>44314</v>
      </c>
      <c r="E17" s="38" t="s">
        <v>648</v>
      </c>
      <c r="F17" s="38">
        <v>44287</v>
      </c>
      <c r="G17" s="58" t="s">
        <v>627</v>
      </c>
      <c r="H17" s="32">
        <v>716544</v>
      </c>
      <c r="I17" s="32"/>
      <c r="J17" s="33">
        <f>+(GASTOS[[#This Row],[SUBTOTAL]]-GASTOS[[#This Row],[descuento antes de IVA]])*VLOOKUP(GASTOS[[#This Row],[PROVEEDOR]],TERCEROS_INFO[#All],3,FALSE)</f>
        <v>136143.36000000002</v>
      </c>
      <c r="K17" s="65"/>
      <c r="L17" s="33">
        <f>+GASTOS[[#This Row],[Descuento sobre subtotal %]]*GASTOS[[#This Row],[SUBTOTAL]]</f>
        <v>0</v>
      </c>
      <c r="M17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7" s="33">
        <f>+(GASTOS[[#This Row],[SUBTOTAL]]-GASTOS[[#This Row],[descuento antes de IVA]])*GASTOS[[#This Row],[Rete Fuente %]]</f>
        <v>0</v>
      </c>
      <c r="O17" s="32">
        <f>+GASTOS[[#This Row],[SUBTOTAL]]+GASTOS[[#This Row],[IVA 19%]]-GASTOS[[#This Row],[descuento antes de IVA]]-GASTOS[[#This Row],[Descuento sobre subtotal $]]-GASTOS[[#This Row],[Rete Fuente $]]</f>
        <v>852687.35999999999</v>
      </c>
    </row>
    <row r="18" spans="1:15" ht="21.95" customHeight="1" x14ac:dyDescent="0.25">
      <c r="A18" s="27">
        <f>+VLOOKUP(GASTOS[[#This Row],[PROVEEDOR]],TERCEROS_INFO[#All],2,FALSE)</f>
        <v>30</v>
      </c>
      <c r="B18" s="37"/>
      <c r="C18" s="29" t="str">
        <f>+VLOOKUP(GASTOS[[#This Row],[PROVEEDOR]],TERCEROS_INFO[#All],5,FALSE)</f>
        <v>carlan@mayorcainversiones.com;girlesa.ruiz@servipilas.com;joriescobar64@gmail.com</v>
      </c>
      <c r="D18" s="56"/>
      <c r="E18" s="38" t="s">
        <v>648</v>
      </c>
      <c r="F18" s="38">
        <v>44317</v>
      </c>
      <c r="G18" s="58" t="s">
        <v>620</v>
      </c>
      <c r="H18" s="32">
        <v>716544</v>
      </c>
      <c r="I18" s="32"/>
      <c r="J18" s="33">
        <f>+(GASTOS[[#This Row],[SUBTOTAL]]-GASTOS[[#This Row],[descuento antes de IVA]])*VLOOKUP(GASTOS[[#This Row],[PROVEEDOR]],TERCEROS_INFO[#All],3,FALSE)</f>
        <v>136143.36000000002</v>
      </c>
      <c r="K18" s="65"/>
      <c r="L18" s="33">
        <f>+GASTOS[[#This Row],[Descuento sobre subtotal %]]*GASTOS[[#This Row],[SUBTOTAL]]</f>
        <v>0</v>
      </c>
      <c r="M18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8" s="33">
        <f>+(GASTOS[[#This Row],[SUBTOTAL]]-GASTOS[[#This Row],[descuento antes de IVA]])*GASTOS[[#This Row],[Rete Fuente %]]</f>
        <v>0</v>
      </c>
      <c r="O18" s="32">
        <f>+GASTOS[[#This Row],[SUBTOTAL]]+GASTOS[[#This Row],[IVA 19%]]-GASTOS[[#This Row],[descuento antes de IVA]]-GASTOS[[#This Row],[Descuento sobre subtotal $]]-GASTOS[[#This Row],[Rete Fuente $]]</f>
        <v>852687.35999999999</v>
      </c>
    </row>
    <row r="19" spans="1:15" ht="21.95" customHeight="1" x14ac:dyDescent="0.25">
      <c r="A19" s="27">
        <f>+VLOOKUP(GASTOS[[#This Row],[PROVEEDOR]],TERCEROS_INFO[#All],2,FALSE)</f>
        <v>30</v>
      </c>
      <c r="B19" s="37"/>
      <c r="C19" s="29" t="str">
        <f>+VLOOKUP(GASTOS[[#This Row],[PROVEEDOR]],TERCEROS_INFO[#All],5,FALSE)</f>
        <v>carlan@mayorcainversiones.com;girlesa.ruiz@servipilas.com;joriescobar64@gmail.com</v>
      </c>
      <c r="D19" s="56"/>
      <c r="E19" s="38" t="s">
        <v>648</v>
      </c>
      <c r="F19" s="38">
        <v>44317</v>
      </c>
      <c r="G19" s="58" t="s">
        <v>621</v>
      </c>
      <c r="H19" s="32">
        <v>3061166</v>
      </c>
      <c r="I19" s="32"/>
      <c r="J19" s="33">
        <f>+(GASTOS[[#This Row],[SUBTOTAL]]-GASTOS[[#This Row],[descuento antes de IVA]])*VLOOKUP(GASTOS[[#This Row],[PROVEEDOR]],TERCEROS_INFO[#All],3,FALSE)</f>
        <v>581621.54</v>
      </c>
      <c r="K19" s="65"/>
      <c r="L19" s="33">
        <f>+GASTOS[[#This Row],[Descuento sobre subtotal %]]*GASTOS[[#This Row],[SUBTOTAL]]</f>
        <v>0</v>
      </c>
      <c r="M19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19" s="33">
        <f>+(GASTOS[[#This Row],[SUBTOTAL]]-GASTOS[[#This Row],[descuento antes de IVA]])*GASTOS[[#This Row],[Rete Fuente %]]</f>
        <v>0</v>
      </c>
      <c r="O19" s="32">
        <f>+GASTOS[[#This Row],[SUBTOTAL]]+GASTOS[[#This Row],[IVA 19%]]-GASTOS[[#This Row],[descuento antes de IVA]]-GASTOS[[#This Row],[Descuento sobre subtotal $]]-GASTOS[[#This Row],[Rete Fuente $]]</f>
        <v>3642787.54</v>
      </c>
    </row>
    <row r="20" spans="1:15" ht="21.95" customHeight="1" x14ac:dyDescent="0.25">
      <c r="A20" s="27">
        <f>+VLOOKUP(GASTOS[[#This Row],[PROVEEDOR]],TERCEROS_INFO[#All],2,FALSE)</f>
        <v>30</v>
      </c>
      <c r="B20" s="37"/>
      <c r="C20" s="29" t="str">
        <f>+VLOOKUP(GASTOS[[#This Row],[PROVEEDOR]],TERCEROS_INFO[#All],5,FALSE)</f>
        <v>carlan@mayorcainversiones.com;girlesa.ruiz@servipilas.com;joriescobar64@gmail.com</v>
      </c>
      <c r="D20" s="56"/>
      <c r="E20" s="38" t="s">
        <v>648</v>
      </c>
      <c r="F20" s="38">
        <v>44287</v>
      </c>
      <c r="G20" s="58" t="s">
        <v>622</v>
      </c>
      <c r="H20" s="32">
        <v>3061166</v>
      </c>
      <c r="I20" s="32"/>
      <c r="J20" s="33">
        <f>+(GASTOS[[#This Row],[SUBTOTAL]]-GASTOS[[#This Row],[descuento antes de IVA]])*VLOOKUP(GASTOS[[#This Row],[PROVEEDOR]],TERCEROS_INFO[#All],3,FALSE)</f>
        <v>581621.54</v>
      </c>
      <c r="K20" s="65"/>
      <c r="L20" s="33">
        <f>+GASTOS[[#This Row],[Descuento sobre subtotal %]]*GASTOS[[#This Row],[SUBTOTAL]]</f>
        <v>0</v>
      </c>
      <c r="M20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0" s="33">
        <f>+(GASTOS[[#This Row],[SUBTOTAL]]-GASTOS[[#This Row],[descuento antes de IVA]])*GASTOS[[#This Row],[Rete Fuente %]]</f>
        <v>0</v>
      </c>
      <c r="O20" s="32">
        <f>+GASTOS[[#This Row],[SUBTOTAL]]+GASTOS[[#This Row],[IVA 19%]]-GASTOS[[#This Row],[descuento antes de IVA]]-GASTOS[[#This Row],[Descuento sobre subtotal $]]-GASTOS[[#This Row],[Rete Fuente $]]</f>
        <v>3642787.54</v>
      </c>
    </row>
    <row r="21" spans="1:15" ht="21.95" customHeight="1" x14ac:dyDescent="0.25">
      <c r="A21" s="27">
        <f>+VLOOKUP(GASTOS[[#This Row],[PROVEEDOR]],TERCEROS_INFO[#All],2,FALSE)</f>
        <v>30</v>
      </c>
      <c r="B21" s="37"/>
      <c r="C21" s="29" t="str">
        <f>+VLOOKUP(GASTOS[[#This Row],[PROVEEDOR]],TERCEROS_INFO[#All],5,FALSE)</f>
        <v>carlan@mayorcainversiones.com;girlesa.ruiz@servipilas.com;joriescobar64@gmail.com</v>
      </c>
      <c r="D21" s="56"/>
      <c r="E21" s="38" t="s">
        <v>648</v>
      </c>
      <c r="F21" s="38">
        <v>44287</v>
      </c>
      <c r="G21" s="58" t="s">
        <v>623</v>
      </c>
      <c r="H21" s="32">
        <v>-918350</v>
      </c>
      <c r="I21" s="32"/>
      <c r="J21" s="33">
        <f>+(GASTOS[[#This Row],[SUBTOTAL]]-GASTOS[[#This Row],[descuento antes de IVA]])*VLOOKUP(GASTOS[[#This Row],[PROVEEDOR]],TERCEROS_INFO[#All],3,FALSE)</f>
        <v>-174486.5</v>
      </c>
      <c r="K21" s="65"/>
      <c r="L21" s="33">
        <f>+GASTOS[[#This Row],[Descuento sobre subtotal %]]*GASTOS[[#This Row],[SUBTOTAL]]</f>
        <v>0</v>
      </c>
      <c r="M21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1" s="33">
        <f>+(GASTOS[[#This Row],[SUBTOTAL]]-GASTOS[[#This Row],[descuento antes de IVA]])*GASTOS[[#This Row],[Rete Fuente %]]</f>
        <v>0</v>
      </c>
      <c r="O21" s="32">
        <f>+GASTOS[[#This Row],[SUBTOTAL]]+GASTOS[[#This Row],[IVA 19%]]-GASTOS[[#This Row],[descuento antes de IVA]]-GASTOS[[#This Row],[Descuento sobre subtotal $]]-GASTOS[[#This Row],[Rete Fuente $]]</f>
        <v>-1092836.5</v>
      </c>
    </row>
    <row r="22" spans="1:15" ht="21.95" customHeight="1" x14ac:dyDescent="0.25">
      <c r="A22" s="27">
        <f>+VLOOKUP(GASTOS[[#This Row],[PROVEEDOR]],TERCEROS_INFO[#All],2,FALSE)</f>
        <v>30</v>
      </c>
      <c r="B22" s="37"/>
      <c r="C22" s="29" t="str">
        <f>+VLOOKUP(GASTOS[[#This Row],[PROVEEDOR]],TERCEROS_INFO[#All],5,FALSE)</f>
        <v>pse</v>
      </c>
      <c r="D22" s="56">
        <v>44243</v>
      </c>
      <c r="E22" s="38" t="s">
        <v>645</v>
      </c>
      <c r="F22" s="38">
        <v>44228</v>
      </c>
      <c r="G22" s="58"/>
      <c r="H22" s="32">
        <v>250973</v>
      </c>
      <c r="I22" s="32"/>
      <c r="J22" s="33">
        <f>+(GASTOS[[#This Row],[SUBTOTAL]]-GASTOS[[#This Row],[descuento antes de IVA]])*VLOOKUP(GASTOS[[#This Row],[PROVEEDOR]],TERCEROS_INFO[#All],3,FALSE)</f>
        <v>0</v>
      </c>
      <c r="K22" s="65">
        <v>0.1</v>
      </c>
      <c r="L22" s="33">
        <f>+GASTOS[[#This Row],[Descuento sobre subtotal %]]*GASTOS[[#This Row],[SUBTOTAL]]+7519</f>
        <v>32616.300000000003</v>
      </c>
      <c r="M22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2" s="33">
        <f>+(GASTOS[[#This Row],[SUBTOTAL]]-GASTOS[[#This Row],[descuento antes de IVA]])*GASTOS[[#This Row],[Rete Fuente %]]</f>
        <v>0</v>
      </c>
      <c r="O22" s="32">
        <f>+GASTOS[[#This Row],[SUBTOTAL]]+GASTOS[[#This Row],[IVA 19%]]-GASTOS[[#This Row],[descuento antes de IVA]]-GASTOS[[#This Row],[Descuento sobre subtotal $]]-GASTOS[[#This Row],[Rete Fuente $]]</f>
        <v>218356.7</v>
      </c>
    </row>
    <row r="23" spans="1:15" ht="21.95" customHeight="1" x14ac:dyDescent="0.25">
      <c r="A23" s="27">
        <f>+VLOOKUP(GASTOS[[#This Row],[PROVEEDOR]],TERCEROS_INFO[#All],2,FALSE)</f>
        <v>30</v>
      </c>
      <c r="B23" s="37"/>
      <c r="C23" s="29" t="str">
        <f>+VLOOKUP(GASTOS[[#This Row],[PROVEEDOR]],TERCEROS_INFO[#All],5,FALSE)</f>
        <v>pse</v>
      </c>
      <c r="D23" s="56">
        <v>44271</v>
      </c>
      <c r="E23" s="38" t="s">
        <v>645</v>
      </c>
      <c r="F23" s="38">
        <v>44256</v>
      </c>
      <c r="G23" s="58">
        <v>61974</v>
      </c>
      <c r="H23" s="32">
        <v>250973</v>
      </c>
      <c r="I23" s="32"/>
      <c r="J23" s="33">
        <f>+(GASTOS[[#This Row],[SUBTOTAL]]-GASTOS[[#This Row],[descuento antes de IVA]])*VLOOKUP(GASTOS[[#This Row],[PROVEEDOR]],TERCEROS_INFO[#All],3,FALSE)</f>
        <v>0</v>
      </c>
      <c r="K23" s="65"/>
      <c r="L23" s="33">
        <v>12532</v>
      </c>
      <c r="M23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3" s="33">
        <f>+(GASTOS[[#This Row],[SUBTOTAL]]-GASTOS[[#This Row],[descuento antes de IVA]])*GASTOS[[#This Row],[Rete Fuente %]]</f>
        <v>0</v>
      </c>
      <c r="O23" s="32">
        <f>+GASTOS[[#This Row],[SUBTOTAL]]+GASTOS[[#This Row],[IVA 19%]]-GASTOS[[#This Row],[descuento antes de IVA]]-GASTOS[[#This Row],[Descuento sobre subtotal $]]-GASTOS[[#This Row],[Rete Fuente $]]</f>
        <v>238441</v>
      </c>
    </row>
    <row r="24" spans="1:15" ht="21.95" customHeight="1" x14ac:dyDescent="0.25">
      <c r="A24" s="27">
        <f>+VLOOKUP(GASTOS[[#This Row],[PROVEEDOR]],TERCEROS_INFO[#All],2,FALSE)</f>
        <v>30</v>
      </c>
      <c r="B24" s="37"/>
      <c r="C24" s="29" t="str">
        <f>+VLOOKUP(GASTOS[[#This Row],[PROVEEDOR]],TERCEROS_INFO[#All],5,FALSE)</f>
        <v>pse</v>
      </c>
      <c r="D24" s="56">
        <v>44302</v>
      </c>
      <c r="E24" s="38" t="s">
        <v>645</v>
      </c>
      <c r="F24" s="38" t="s">
        <v>597</v>
      </c>
      <c r="G24" s="58">
        <v>62349</v>
      </c>
      <c r="H24" s="32">
        <v>302625</v>
      </c>
      <c r="I24" s="32"/>
      <c r="J24" s="33">
        <f>+(GASTOS[[#This Row],[SUBTOTAL]]-GASTOS[[#This Row],[descuento antes de IVA]])*VLOOKUP(GASTOS[[#This Row],[PROVEEDOR]],TERCEROS_INFO[#All],3,FALSE)</f>
        <v>0</v>
      </c>
      <c r="K24" s="65"/>
      <c r="L24" s="32">
        <f>40102+7817.55</f>
        <v>47919.55</v>
      </c>
      <c r="M24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4" s="33">
        <f>+(GASTOS[[#This Row],[SUBTOTAL]]-GASTOS[[#This Row],[descuento antes de IVA]])*GASTOS[[#This Row],[Rete Fuente %]]</f>
        <v>0</v>
      </c>
      <c r="O24" s="32">
        <f>+GASTOS[[#This Row],[SUBTOTAL]]+GASTOS[[#This Row],[IVA 19%]]-GASTOS[[#This Row],[descuento antes de IVA]]-GASTOS[[#This Row],[Descuento sobre subtotal $]]-GASTOS[[#This Row],[Rete Fuente $]]</f>
        <v>254705.45</v>
      </c>
    </row>
    <row r="25" spans="1:15" ht="21.95" customHeight="1" x14ac:dyDescent="0.25">
      <c r="A25" s="27">
        <f>+VLOOKUP(GASTOS[[#This Row],[PROVEEDOR]],TERCEROS_INFO[#All],2,FALSE)</f>
        <v>30</v>
      </c>
      <c r="B25" s="37"/>
      <c r="C25" s="29" t="str">
        <f>+VLOOKUP(GASTOS[[#This Row],[PROVEEDOR]],TERCEROS_INFO[#All],5,FALSE)</f>
        <v>pse</v>
      </c>
      <c r="D25" s="56"/>
      <c r="E25" s="38" t="s">
        <v>645</v>
      </c>
      <c r="F25" s="38">
        <v>44317</v>
      </c>
      <c r="G25" s="58">
        <v>62725</v>
      </c>
      <c r="H25" s="32">
        <v>302625</v>
      </c>
      <c r="I25" s="32"/>
      <c r="J25" s="33">
        <f>+(GASTOS[[#This Row],[SUBTOTAL]]-GASTOS[[#This Row],[descuento antes de IVA]])*VLOOKUP(GASTOS[[#This Row],[PROVEEDOR]],TERCEROS_INFO[#All],3,FALSE)</f>
        <v>0</v>
      </c>
      <c r="K25" s="65"/>
      <c r="L25" s="33">
        <f>33876.05+41694</f>
        <v>75570.05</v>
      </c>
      <c r="M25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5" s="33">
        <f>+(GASTOS[[#This Row],[SUBTOTAL]]-GASTOS[[#This Row],[descuento antes de IVA]])*GASTOS[[#This Row],[Rete Fuente %]]</f>
        <v>0</v>
      </c>
      <c r="O25" s="32">
        <f>+GASTOS[[#This Row],[SUBTOTAL]]+GASTOS[[#This Row],[IVA 19%]]-GASTOS[[#This Row],[descuento antes de IVA]]-GASTOS[[#This Row],[Descuento sobre subtotal $]]-GASTOS[[#This Row],[Rete Fuente $]]</f>
        <v>227054.95</v>
      </c>
    </row>
    <row r="26" spans="1:15" ht="21.95" customHeight="1" x14ac:dyDescent="0.25">
      <c r="A26" s="27">
        <f>+VLOOKUP(GASTOS[[#This Row],[PROVEEDOR]],TERCEROS_INFO[#All],2,FALSE)</f>
        <v>30</v>
      </c>
      <c r="B26" s="37"/>
      <c r="C26" s="29" t="str">
        <f>+VLOOKUP(GASTOS[[#This Row],[PROVEEDOR]],TERCEROS_INFO[#All],5,FALSE)</f>
        <v>PSE</v>
      </c>
      <c r="D26" s="56"/>
      <c r="E26" s="38" t="s">
        <v>636</v>
      </c>
      <c r="F26" s="38">
        <v>44293</v>
      </c>
      <c r="G26" s="58" t="s">
        <v>618</v>
      </c>
      <c r="H26" s="32">
        <v>1545030</v>
      </c>
      <c r="I26" s="32"/>
      <c r="J26" s="33">
        <f>+(GASTOS[[#This Row],[SUBTOTAL]]-GASTOS[[#This Row],[descuento antes de IVA]])*VLOOKUP(GASTOS[[#This Row],[PROVEEDOR]],TERCEROS_INFO[#All],3,FALSE)</f>
        <v>0</v>
      </c>
      <c r="K26" s="65"/>
      <c r="L26" s="33">
        <f>+GASTOS[[#This Row],[Descuento sobre subtotal %]]*GASTOS[[#This Row],[SUBTOTAL]]</f>
        <v>0</v>
      </c>
      <c r="M26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6" s="33">
        <f>+(GASTOS[[#This Row],[SUBTOTAL]]-GASTOS[[#This Row],[descuento antes de IVA]])*GASTOS[[#This Row],[Rete Fuente %]]</f>
        <v>0</v>
      </c>
      <c r="O26" s="32">
        <f>+GASTOS[[#This Row],[SUBTOTAL]]+GASTOS[[#This Row],[IVA 19%]]-GASTOS[[#This Row],[descuento antes de IVA]]-GASTOS[[#This Row],[Descuento sobre subtotal $]]-GASTOS[[#This Row],[Rete Fuente $]]</f>
        <v>1545030</v>
      </c>
    </row>
    <row r="27" spans="1:15" ht="21.95" customHeight="1" x14ac:dyDescent="0.25">
      <c r="A27" s="27">
        <f>+VLOOKUP(GASTOS[[#This Row],[PROVEEDOR]],TERCEROS_INFO[#All],2,FALSE)</f>
        <v>30</v>
      </c>
      <c r="B27" s="37"/>
      <c r="C27" s="29" t="str">
        <f>+VLOOKUP(GASTOS[[#This Row],[PROVEEDOR]],TERCEROS_INFO[#All],5,FALSE)</f>
        <v>PSE</v>
      </c>
      <c r="D27" s="56"/>
      <c r="E27" s="38" t="s">
        <v>636</v>
      </c>
      <c r="F27" s="38">
        <v>44287</v>
      </c>
      <c r="G27" s="58" t="s">
        <v>617</v>
      </c>
      <c r="H27" s="32">
        <v>1230953</v>
      </c>
      <c r="I27" s="32"/>
      <c r="J27" s="33">
        <f>+(GASTOS[[#This Row],[SUBTOTAL]]-GASTOS[[#This Row],[descuento antes de IVA]])*VLOOKUP(GASTOS[[#This Row],[PROVEEDOR]],TERCEROS_INFO[#All],3,FALSE)</f>
        <v>0</v>
      </c>
      <c r="K27" s="65"/>
      <c r="L27" s="33">
        <f>+GASTOS[[#This Row],[Descuento sobre subtotal %]]*GASTOS[[#This Row],[SUBTOTAL]]</f>
        <v>0</v>
      </c>
      <c r="M27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7" s="33">
        <f>+(GASTOS[[#This Row],[SUBTOTAL]]-GASTOS[[#This Row],[descuento antes de IVA]])*GASTOS[[#This Row],[Rete Fuente %]]</f>
        <v>0</v>
      </c>
      <c r="O27" s="32">
        <f>+GASTOS[[#This Row],[SUBTOTAL]]+GASTOS[[#This Row],[IVA 19%]]-GASTOS[[#This Row],[descuento antes de IVA]]-GASTOS[[#This Row],[Descuento sobre subtotal $]]-GASTOS[[#This Row],[Rete Fuente $]]</f>
        <v>1230953</v>
      </c>
    </row>
    <row r="28" spans="1:15" ht="21.95" customHeight="1" x14ac:dyDescent="0.25">
      <c r="A28" s="27">
        <f>+VLOOKUP(GASTOS[[#This Row],[PROVEEDOR]],TERCEROS_INFO[#All],2,FALSE)</f>
        <v>30</v>
      </c>
      <c r="B28" s="37"/>
      <c r="C28" s="29" t="str">
        <f>+VLOOKUP(GASTOS[[#This Row],[PROVEEDOR]],TERCEROS_INFO[#All],5,FALSE)</f>
        <v>PSE</v>
      </c>
      <c r="D28" s="56"/>
      <c r="E28" s="38" t="s">
        <v>636</v>
      </c>
      <c r="F28" s="38">
        <v>44293</v>
      </c>
      <c r="G28" s="58" t="s">
        <v>619</v>
      </c>
      <c r="H28" s="32">
        <v>256261</v>
      </c>
      <c r="I28" s="32"/>
      <c r="J28" s="33">
        <f>+(GASTOS[[#This Row],[SUBTOTAL]]-GASTOS[[#This Row],[descuento antes de IVA]])*VLOOKUP(GASTOS[[#This Row],[PROVEEDOR]],TERCEROS_INFO[#All],3,FALSE)</f>
        <v>0</v>
      </c>
      <c r="K28" s="65"/>
      <c r="L28" s="33">
        <f>+GASTOS[[#This Row],[Descuento sobre subtotal %]]*GASTOS[[#This Row],[SUBTOTAL]]</f>
        <v>0</v>
      </c>
      <c r="M28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8" s="33">
        <f>+(GASTOS[[#This Row],[SUBTOTAL]]-GASTOS[[#This Row],[descuento antes de IVA]])*GASTOS[[#This Row],[Rete Fuente %]]</f>
        <v>0</v>
      </c>
      <c r="O28" s="32">
        <f>+GASTOS[[#This Row],[SUBTOTAL]]+GASTOS[[#This Row],[IVA 19%]]-GASTOS[[#This Row],[descuento antes de IVA]]-GASTOS[[#This Row],[Descuento sobre subtotal $]]-GASTOS[[#This Row],[Rete Fuente $]]</f>
        <v>256261</v>
      </c>
    </row>
    <row r="29" spans="1:15" ht="21.95" customHeight="1" x14ac:dyDescent="0.25">
      <c r="A29" s="27">
        <f>+VLOOKUP(GASTOS[[#This Row],[PROVEEDOR]],TERCEROS_INFO[#All],2,FALSE)</f>
        <v>30</v>
      </c>
      <c r="B29" s="37"/>
      <c r="C29" s="29" t="str">
        <f>+VLOOKUP(GASTOS[[#This Row],[PROVEEDOR]],TERCEROS_INFO[#All],5,FALSE)</f>
        <v>Info.patex@gmail.com;girlesa.ruiz@servipilas.com;joriescobar64@gmail.com</v>
      </c>
      <c r="D29" s="56"/>
      <c r="E29" s="38" t="s">
        <v>637</v>
      </c>
      <c r="F29" s="38">
        <v>44284</v>
      </c>
      <c r="G29" s="58">
        <v>68</v>
      </c>
      <c r="H29" s="32">
        <v>972801.9</v>
      </c>
      <c r="I29" s="32"/>
      <c r="J29" s="33">
        <f>+(GASTOS[[#This Row],[SUBTOTAL]]-GASTOS[[#This Row],[descuento antes de IVA]])*VLOOKUP(GASTOS[[#This Row],[PROVEEDOR]],TERCEROS_INFO[#All],3,FALSE)</f>
        <v>184832.361</v>
      </c>
      <c r="K29" s="65"/>
      <c r="L29" s="33">
        <f>+GASTOS[[#This Row],[Descuento sobre subtotal %]]*GASTOS[[#This Row],[SUBTOTAL]]</f>
        <v>0</v>
      </c>
      <c r="M29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29" s="33">
        <f>+(GASTOS[[#This Row],[SUBTOTAL]]-GASTOS[[#This Row],[descuento antes de IVA]])*GASTOS[[#This Row],[Rete Fuente %]]</f>
        <v>0</v>
      </c>
      <c r="O29" s="32">
        <f>+GASTOS[[#This Row],[SUBTOTAL]]+GASTOS[[#This Row],[IVA 19%]]-GASTOS[[#This Row],[descuento antes de IVA]]-GASTOS[[#This Row],[Descuento sobre subtotal $]]-GASTOS[[#This Row],[Rete Fuente $]]</f>
        <v>1157634.2609999999</v>
      </c>
    </row>
    <row r="30" spans="1:15" ht="21.95" customHeight="1" x14ac:dyDescent="0.25">
      <c r="A30" s="27">
        <f>+VLOOKUP(GASTOS[[#This Row],[PROVEEDOR]],TERCEROS_INFO[#All],2,FALSE)</f>
        <v>30</v>
      </c>
      <c r="B30" s="37"/>
      <c r="C30" s="29" t="str">
        <f>+VLOOKUP(GASTOS[[#This Row],[PROVEEDOR]],TERCEROS_INFO[#All],5,FALSE)</f>
        <v>girlesa.ruiz@servipilas.com;joriescobar64@gmail.com</v>
      </c>
      <c r="D30" s="56">
        <v>44264</v>
      </c>
      <c r="E30" s="57" t="s">
        <v>638</v>
      </c>
      <c r="F30" s="38">
        <v>44249</v>
      </c>
      <c r="G30" s="58" t="s">
        <v>510</v>
      </c>
      <c r="H30" s="32">
        <v>3023387</v>
      </c>
      <c r="I30" s="32"/>
      <c r="J30" s="33">
        <f>+(GASTOS[[#This Row],[SUBTOTAL]]-GASTOS[[#This Row],[descuento antes de IVA]])*VLOOKUP(GASTOS[[#This Row],[PROVEEDOR]],TERCEROS_INFO[#All],3,FALSE)</f>
        <v>0</v>
      </c>
      <c r="K30" s="65"/>
      <c r="L30" s="33">
        <f>+GASTOS[[#This Row],[Descuento sobre subtotal %]]*GASTOS[[#This Row],[SUBTOTAL]]</f>
        <v>0</v>
      </c>
      <c r="M30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30" s="33">
        <f>+(GASTOS[[#This Row],[SUBTOTAL]]-GASTOS[[#This Row],[descuento antes de IVA]])*GASTOS[[#This Row],[Rete Fuente %]]</f>
        <v>105818.54500000001</v>
      </c>
      <c r="O30" s="32">
        <f>+GASTOS[[#This Row],[SUBTOTAL]]+GASTOS[[#This Row],[IVA 19%]]-GASTOS[[#This Row],[descuento antes de IVA]]-GASTOS[[#This Row],[Descuento sobre subtotal $]]-GASTOS[[#This Row],[Rete Fuente $]]</f>
        <v>2917568.4550000001</v>
      </c>
    </row>
    <row r="31" spans="1:15" ht="21.95" customHeight="1" x14ac:dyDescent="0.25">
      <c r="A31" s="27">
        <f>+VLOOKUP(GASTOS[[#This Row],[PROVEEDOR]],TERCEROS_INFO[#All],2,FALSE)</f>
        <v>30</v>
      </c>
      <c r="B31" s="37"/>
      <c r="C31" s="29" t="str">
        <f>+VLOOKUP(GASTOS[[#This Row],[PROVEEDOR]],TERCEROS_INFO[#All],5,FALSE)</f>
        <v>girlesa.ruiz@servipilas.com;joriescobar64@gmail.com</v>
      </c>
      <c r="D31" s="56">
        <v>44284</v>
      </c>
      <c r="E31" s="57" t="s">
        <v>638</v>
      </c>
      <c r="F31" s="38">
        <v>44256</v>
      </c>
      <c r="G31" s="58" t="s">
        <v>519</v>
      </c>
      <c r="H31" s="32">
        <v>3023387</v>
      </c>
      <c r="I31" s="32"/>
      <c r="J31" s="33">
        <f>+(GASTOS[[#This Row],[SUBTOTAL]]-GASTOS[[#This Row],[descuento antes de IVA]])*VLOOKUP(GASTOS[[#This Row],[PROVEEDOR]],TERCEROS_INFO[#All],3,FALSE)</f>
        <v>0</v>
      </c>
      <c r="K31" s="65"/>
      <c r="L31" s="33">
        <f>+GASTOS[[#This Row],[Descuento sobre subtotal %]]*GASTOS[[#This Row],[SUBTOTAL]]</f>
        <v>0</v>
      </c>
      <c r="M31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31" s="33">
        <f>+(GASTOS[[#This Row],[SUBTOTAL]]-GASTOS[[#This Row],[descuento antes de IVA]])*GASTOS[[#This Row],[Rete Fuente %]]</f>
        <v>105818.54500000001</v>
      </c>
      <c r="O31" s="32">
        <f>+GASTOS[[#This Row],[SUBTOTAL]]+GASTOS[[#This Row],[IVA 19%]]-GASTOS[[#This Row],[descuento antes de IVA]]-GASTOS[[#This Row],[Descuento sobre subtotal $]]-GASTOS[[#This Row],[Rete Fuente $]]</f>
        <v>2917568.4550000001</v>
      </c>
    </row>
    <row r="32" spans="1:15" ht="21.95" customHeight="1" x14ac:dyDescent="0.25">
      <c r="A32" s="27">
        <f>+VLOOKUP(GASTOS[[#This Row],[PROVEEDOR]],TERCEROS_INFO[#All],2,FALSE)</f>
        <v>30</v>
      </c>
      <c r="B32" s="37"/>
      <c r="C32" s="29" t="str">
        <f>+VLOOKUP(GASTOS[[#This Row],[PROVEEDOR]],TERCEROS_INFO[#All],5,FALSE)</f>
        <v>girlesa.ruiz@servipilas.com;joriescobar64@gmail.com</v>
      </c>
      <c r="D32" s="56"/>
      <c r="E32" s="57" t="s">
        <v>638</v>
      </c>
      <c r="F32" s="38">
        <v>44287</v>
      </c>
      <c r="G32" s="58" t="s">
        <v>602</v>
      </c>
      <c r="H32" s="32">
        <v>2492240</v>
      </c>
      <c r="I32" s="32"/>
      <c r="J32" s="33">
        <f>+(GASTOS[[#This Row],[SUBTOTAL]]-GASTOS[[#This Row],[descuento antes de IVA]])*VLOOKUP(GASTOS[[#This Row],[PROVEEDOR]],TERCEROS_INFO[#All],3,FALSE)</f>
        <v>0</v>
      </c>
      <c r="K32" s="65"/>
      <c r="L32" s="33">
        <f>+GASTOS[[#This Row],[Descuento sobre subtotal %]]*GASTOS[[#This Row],[SUBTOTAL]]</f>
        <v>0</v>
      </c>
      <c r="M32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32" s="33">
        <f>+(GASTOS[[#This Row],[SUBTOTAL]]-GASTOS[[#This Row],[descuento antes de IVA]])*GASTOS[[#This Row],[Rete Fuente %]]</f>
        <v>87228.400000000009</v>
      </c>
      <c r="O32" s="32">
        <f>+GASTOS[[#This Row],[SUBTOTAL]]+GASTOS[[#This Row],[IVA 19%]]-GASTOS[[#This Row],[descuento antes de IVA]]-GASTOS[[#This Row],[Descuento sobre subtotal $]]-GASTOS[[#This Row],[Rete Fuente $]]</f>
        <v>2405011.6</v>
      </c>
    </row>
    <row r="33" spans="1:15" ht="21.95" customHeight="1" x14ac:dyDescent="0.25">
      <c r="A33" s="27">
        <f>+VLOOKUP(GASTOS[[#This Row],[PROVEEDOR]],TERCEROS_INFO[#All],2,FALSE)</f>
        <v>30</v>
      </c>
      <c r="B33" s="37"/>
      <c r="C33" s="29" t="str">
        <f>+VLOOKUP(GASTOS[[#This Row],[PROVEEDOR]],TERCEROS_INFO[#All],5,FALSE)</f>
        <v>administracion@sapian.com.co;girlesa.ruiz@servipilas.com;joriescobar64@gmail.com</v>
      </c>
      <c r="D33" s="56">
        <v>44250</v>
      </c>
      <c r="E33" s="38" t="s">
        <v>646</v>
      </c>
      <c r="F33" s="38">
        <v>44228</v>
      </c>
      <c r="G33" s="58">
        <v>1350</v>
      </c>
      <c r="H33" s="32">
        <v>203897</v>
      </c>
      <c r="I33" s="32"/>
      <c r="J33" s="33">
        <f>+(GASTOS[[#This Row],[SUBTOTAL]]-GASTOS[[#This Row],[descuento antes de IVA]])*VLOOKUP(GASTOS[[#This Row],[PROVEEDOR]],TERCEROS_INFO[#All],3,FALSE)</f>
        <v>38740.43</v>
      </c>
      <c r="K33" s="65"/>
      <c r="L33" s="33">
        <v>7136.4</v>
      </c>
      <c r="M33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33" s="33">
        <f>+(GASTOS[[#This Row],[SUBTOTAL]]-GASTOS[[#This Row],[descuento antes de IVA]])*GASTOS[[#This Row],[Rete Fuente %]]</f>
        <v>0</v>
      </c>
      <c r="O33" s="32">
        <f>+GASTOS[[#This Row],[SUBTOTAL]]+GASTOS[[#This Row],[IVA 19%]]-GASTOS[[#This Row],[descuento antes de IVA]]-GASTOS[[#This Row],[Descuento sobre subtotal $]]-GASTOS[[#This Row],[Rete Fuente $]]</f>
        <v>235501.03</v>
      </c>
    </row>
    <row r="34" spans="1:15" ht="21.95" customHeight="1" x14ac:dyDescent="0.25">
      <c r="A34" s="27">
        <f>+VLOOKUP(GASTOS[[#This Row],[PROVEEDOR]],TERCEROS_INFO[#All],2,FALSE)</f>
        <v>30</v>
      </c>
      <c r="B34" s="37"/>
      <c r="C34" s="29" t="str">
        <f>+VLOOKUP(GASTOS[[#This Row],[PROVEEDOR]],TERCEROS_INFO[#All],5,FALSE)</f>
        <v>administracion@sapian.com.co;girlesa.ruiz@servipilas.com;joriescobar64@gmail.com</v>
      </c>
      <c r="D34" s="56">
        <v>44284</v>
      </c>
      <c r="E34" s="38" t="s">
        <v>646</v>
      </c>
      <c r="F34" s="38">
        <v>44256</v>
      </c>
      <c r="G34" s="58">
        <v>1554</v>
      </c>
      <c r="H34" s="32">
        <v>203897</v>
      </c>
      <c r="I34" s="32"/>
      <c r="J34" s="33">
        <f>+(GASTOS[[#This Row],[SUBTOTAL]]-GASTOS[[#This Row],[descuento antes de IVA]])*VLOOKUP(GASTOS[[#This Row],[PROVEEDOR]],TERCEROS_INFO[#All],3,FALSE)</f>
        <v>38740.43</v>
      </c>
      <c r="K34" s="65"/>
      <c r="L34" s="33">
        <f>+GASTOS[[#This Row],[Descuento sobre subtotal %]]*GASTOS[[#This Row],[SUBTOTAL]]</f>
        <v>0</v>
      </c>
      <c r="M34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34" s="33">
        <f>+(GASTOS[[#This Row],[SUBTOTAL]]-GASTOS[[#This Row],[descuento antes de IVA]])*GASTOS[[#This Row],[Rete Fuente %]]</f>
        <v>0</v>
      </c>
      <c r="O34" s="32">
        <f>+GASTOS[[#This Row],[SUBTOTAL]]+GASTOS[[#This Row],[IVA 19%]]-GASTOS[[#This Row],[descuento antes de IVA]]-GASTOS[[#This Row],[Descuento sobre subtotal $]]-GASTOS[[#This Row],[Rete Fuente $]]</f>
        <v>242637.43</v>
      </c>
    </row>
    <row r="35" spans="1:15" ht="21.95" customHeight="1" x14ac:dyDescent="0.25">
      <c r="A35" s="27">
        <f>+VLOOKUP(GASTOS[[#This Row],[PROVEEDOR]],TERCEROS_INFO[#All],2,FALSE)</f>
        <v>30</v>
      </c>
      <c r="B35" s="37"/>
      <c r="C35" s="29" t="str">
        <f>+VLOOKUP(GASTOS[[#This Row],[PROVEEDOR]],TERCEROS_INFO[#All],5,FALSE)</f>
        <v>administracion@sapian.com.co;girlesa.ruiz@servipilas.com;joriescobar64@gmail.com</v>
      </c>
      <c r="D35" s="56"/>
      <c r="E35" s="38" t="s">
        <v>646</v>
      </c>
      <c r="F35" s="38" t="s">
        <v>597</v>
      </c>
      <c r="G35" s="58" t="s">
        <v>598</v>
      </c>
      <c r="H35" s="32">
        <v>203897</v>
      </c>
      <c r="I35" s="32"/>
      <c r="J35" s="33">
        <f>+(GASTOS[[#This Row],[SUBTOTAL]]-GASTOS[[#This Row],[descuento antes de IVA]])*VLOOKUP(GASTOS[[#This Row],[PROVEEDOR]],TERCEROS_INFO[#All],3,FALSE)</f>
        <v>38740.43</v>
      </c>
      <c r="K35" s="65"/>
      <c r="L35" s="33">
        <f>+GASTOS[[#This Row],[Descuento sobre subtotal %]]*GASTOS[[#This Row],[SUBTOTAL]]</f>
        <v>0</v>
      </c>
      <c r="M35" s="34">
        <v>3.5000000000000003E-2</v>
      </c>
      <c r="N35" s="33">
        <f>+(GASTOS[[#This Row],[SUBTOTAL]]-GASTOS[[#This Row],[descuento antes de IVA]])*GASTOS[[#This Row],[Rete Fuente %]]</f>
        <v>7136.3950000000004</v>
      </c>
      <c r="O35" s="32">
        <f>+GASTOS[[#This Row],[SUBTOTAL]]+GASTOS[[#This Row],[IVA 19%]]-GASTOS[[#This Row],[descuento antes de IVA]]-GASTOS[[#This Row],[Descuento sobre subtotal $]]-GASTOS[[#This Row],[Rete Fuente $]]</f>
        <v>235501.035</v>
      </c>
    </row>
    <row r="36" spans="1:15" ht="21.95" customHeight="1" x14ac:dyDescent="0.25">
      <c r="A36" s="27">
        <f>+VLOOKUP(GASTOS[[#This Row],[PROVEEDOR]],TERCEROS_INFO[#All],2,FALSE)</f>
        <v>30</v>
      </c>
      <c r="B36" s="37" t="s">
        <v>599</v>
      </c>
      <c r="C36" s="29" t="str">
        <f>+VLOOKUP(GASTOS[[#This Row],[PROVEEDOR]],TERCEROS_INFO[#All],5,FALSE)</f>
        <v>administracion@sapian.com.co;girlesa.ruiz@servipilas.com;joriescobar64@gmail.com</v>
      </c>
      <c r="D36" s="56"/>
      <c r="E36" s="38" t="s">
        <v>646</v>
      </c>
      <c r="F36" s="38">
        <v>44284</v>
      </c>
      <c r="G36" s="58" t="s">
        <v>395</v>
      </c>
      <c r="H36" s="32">
        <f>-7136.4/1.19</f>
        <v>-5996.9747899159665</v>
      </c>
      <c r="I36" s="32"/>
      <c r="J36" s="33">
        <f>+(GASTOS[[#This Row],[SUBTOTAL]]-GASTOS[[#This Row],[descuento antes de IVA]])*VLOOKUP(GASTOS[[#This Row],[PROVEEDOR]],TERCEROS_INFO[#All],3,FALSE)</f>
        <v>-1139.4252100840336</v>
      </c>
      <c r="K36" s="65"/>
      <c r="L36" s="33">
        <f>+GASTOS[[#This Row],[Descuento sobre subtotal %]]*GASTOS[[#This Row],[SUBTOTAL]]</f>
        <v>0</v>
      </c>
      <c r="M36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36" s="33">
        <f>+(GASTOS[[#This Row],[SUBTOTAL]]-GASTOS[[#This Row],[descuento antes de IVA]])*GASTOS[[#This Row],[Rete Fuente %]]</f>
        <v>0</v>
      </c>
      <c r="O36" s="32">
        <f>+GASTOS[[#This Row],[SUBTOTAL]]+GASTOS[[#This Row],[IVA 19%]]-GASTOS[[#This Row],[descuento antes de IVA]]-GASTOS[[#This Row],[Descuento sobre subtotal $]]-GASTOS[[#This Row],[Rete Fuente $]]</f>
        <v>-7136.4</v>
      </c>
    </row>
    <row r="37" spans="1:15" ht="21.95" customHeight="1" x14ac:dyDescent="0.25">
      <c r="A37" s="27">
        <f>+VLOOKUP(GASTOS[[#This Row],[PROVEEDOR]],TERCEROS_INFO[#All],2,FALSE)</f>
        <v>30</v>
      </c>
      <c r="B37" s="37"/>
      <c r="C37" s="29" t="str">
        <f>+VLOOKUP(GASTOS[[#This Row],[PROVEEDOR]],TERCEROS_INFO[#All],5,FALSE)</f>
        <v>administracion@sapian.com.co;girlesa.ruiz@servipilas.com;joriescobar64@gmail.com</v>
      </c>
      <c r="D37" s="56">
        <v>44314</v>
      </c>
      <c r="E37" s="38" t="s">
        <v>646</v>
      </c>
      <c r="F37" s="38">
        <v>44287</v>
      </c>
      <c r="G37" s="58">
        <v>1764</v>
      </c>
      <c r="H37" s="32">
        <v>203897</v>
      </c>
      <c r="I37" s="32"/>
      <c r="J37" s="33">
        <f>+(GASTOS[[#This Row],[SUBTOTAL]]-GASTOS[[#This Row],[descuento antes de IVA]])*VLOOKUP(GASTOS[[#This Row],[PROVEEDOR]],TERCEROS_INFO[#All],3,FALSE)</f>
        <v>38740.43</v>
      </c>
      <c r="K37" s="65"/>
      <c r="L37" s="33">
        <f>+GASTOS[[#This Row],[Descuento sobre subtotal %]]*GASTOS[[#This Row],[SUBTOTAL]]</f>
        <v>0</v>
      </c>
      <c r="M37" s="34">
        <v>3.5000000000000003E-2</v>
      </c>
      <c r="N37" s="33">
        <f>+(GASTOS[[#This Row],[SUBTOTAL]]-GASTOS[[#This Row],[descuento antes de IVA]])*GASTOS[[#This Row],[Rete Fuente %]]</f>
        <v>7136.3950000000004</v>
      </c>
      <c r="O37" s="32">
        <f>+GASTOS[[#This Row],[SUBTOTAL]]+GASTOS[[#This Row],[IVA 19%]]-GASTOS[[#This Row],[descuento antes de IVA]]-GASTOS[[#This Row],[Descuento sobre subtotal $]]-GASTOS[[#This Row],[Rete Fuente $]]</f>
        <v>235501.035</v>
      </c>
    </row>
    <row r="38" spans="1:15" ht="21.95" customHeight="1" x14ac:dyDescent="0.25">
      <c r="A38" s="27">
        <f>+VLOOKUP(GASTOS[[#This Row],[PROVEEDOR]],TERCEROS_INFO[#All],2,FALSE)</f>
        <v>30</v>
      </c>
      <c r="B38" s="37"/>
      <c r="C38" s="29" t="str">
        <f>+VLOOKUP(GASTOS[[#This Row],[PROVEEDOR]],TERCEROS_INFO[#All],5,FALSE)</f>
        <v>administracion@sapian.com.co;girlesa.ruiz@servipilas.com;joriescobar64@gmail.com</v>
      </c>
      <c r="D38" s="56"/>
      <c r="E38" s="38" t="s">
        <v>646</v>
      </c>
      <c r="F38" s="38">
        <v>44317</v>
      </c>
      <c r="G38" s="58">
        <v>1976</v>
      </c>
      <c r="H38" s="32">
        <v>203897</v>
      </c>
      <c r="I38" s="32"/>
      <c r="J38" s="33">
        <f>+(GASTOS[[#This Row],[SUBTOTAL]]-GASTOS[[#This Row],[descuento antes de IVA]])*VLOOKUP(GASTOS[[#This Row],[PROVEEDOR]],TERCEROS_INFO[#All],3,FALSE)</f>
        <v>38740.43</v>
      </c>
      <c r="K38" s="65"/>
      <c r="L38" s="33">
        <f>+GASTOS[[#This Row],[Descuento sobre subtotal %]]*GASTOS[[#This Row],[SUBTOTAL]]</f>
        <v>0</v>
      </c>
      <c r="M38" s="34">
        <v>3.5000000000000003E-2</v>
      </c>
      <c r="N38" s="33">
        <f>+(GASTOS[[#This Row],[SUBTOTAL]]-GASTOS[[#This Row],[descuento antes de IVA]])*GASTOS[[#This Row],[Rete Fuente %]]</f>
        <v>7136.3950000000004</v>
      </c>
      <c r="O38" s="32">
        <f>+GASTOS[[#This Row],[SUBTOTAL]]+GASTOS[[#This Row],[IVA 19%]]-GASTOS[[#This Row],[descuento antes de IVA]]-GASTOS[[#This Row],[Descuento sobre subtotal $]]-GASTOS[[#This Row],[Rete Fuente $]]</f>
        <v>235501.035</v>
      </c>
    </row>
    <row r="39" spans="1:15" ht="21.95" customHeight="1" x14ac:dyDescent="0.25">
      <c r="A39" s="27">
        <f>+VLOOKUP(GASTOS[[#This Row],[PROVEEDOR]],TERCEROS_INFO[#All],2,FALSE)</f>
        <v>30</v>
      </c>
      <c r="B39" s="37"/>
      <c r="C39" s="29" t="str">
        <f>+VLOOKUP(GASTOS[[#This Row],[PROVEEDOR]],TERCEROS_INFO[#All],5,FALSE)</f>
        <v>senalizacionyavisos@gmail.com;girlesa.ruiz@servipilas.com;joriescobar64@gmail.com</v>
      </c>
      <c r="D39" s="56">
        <v>44198</v>
      </c>
      <c r="E39" s="57" t="s">
        <v>640</v>
      </c>
      <c r="F39" s="38">
        <v>44197</v>
      </c>
      <c r="G39" s="58">
        <v>422</v>
      </c>
      <c r="H39" s="32">
        <v>54000</v>
      </c>
      <c r="I39" s="32"/>
      <c r="J39" s="33">
        <f>+(GASTOS[[#This Row],[SUBTOTAL]]-GASTOS[[#This Row],[descuento antes de IVA]])*VLOOKUP(GASTOS[[#This Row],[PROVEEDOR]],TERCEROS_INFO[#All],3,FALSE)</f>
        <v>10260</v>
      </c>
      <c r="K39" s="65"/>
      <c r="L39" s="33">
        <f>+GASTOS[[#This Row],[Descuento sobre subtotal %]]*GASTOS[[#This Row],[SUBTOTAL]]</f>
        <v>0</v>
      </c>
      <c r="M39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39" s="33">
        <f>+(GASTOS[[#This Row],[SUBTOTAL]]-GASTOS[[#This Row],[descuento antes de IVA]])*GASTOS[[#This Row],[Rete Fuente %]]</f>
        <v>0</v>
      </c>
      <c r="O39" s="32">
        <f>+GASTOS[[#This Row],[SUBTOTAL]]+GASTOS[[#This Row],[IVA 19%]]-GASTOS[[#This Row],[descuento antes de IVA]]-GASTOS[[#This Row],[Descuento sobre subtotal $]]-GASTOS[[#This Row],[Rete Fuente $]]</f>
        <v>64260</v>
      </c>
    </row>
    <row r="40" spans="1:15" ht="21.95" customHeight="1" x14ac:dyDescent="0.25">
      <c r="A40" s="27">
        <f>+VLOOKUP(GASTOS[[#This Row],[PROVEEDOR]],TERCEROS_INFO[#All],2,FALSE)</f>
        <v>13</v>
      </c>
      <c r="B40" s="37"/>
      <c r="C40" s="29">
        <f>+VLOOKUP(GASTOS[[#This Row],[PROVEEDOR]],TERCEROS_INFO[#All],5,FALSE)</f>
        <v>0</v>
      </c>
      <c r="D40" s="56"/>
      <c r="E40" s="57" t="s">
        <v>628</v>
      </c>
      <c r="F40" s="38">
        <v>44317</v>
      </c>
      <c r="G40" s="58" t="s">
        <v>629</v>
      </c>
      <c r="H40" s="32">
        <v>1392986</v>
      </c>
      <c r="I40" s="32"/>
      <c r="J40" s="33">
        <f>+(GASTOS[[#This Row],[SUBTOTAL]]-GASTOS[[#This Row],[descuento antes de IVA]])*VLOOKUP(GASTOS[[#This Row],[PROVEEDOR]],TERCEROS_INFO[#All],3,FALSE)</f>
        <v>0</v>
      </c>
      <c r="K40" s="65"/>
      <c r="L40" s="33">
        <f>+GASTOS[[#This Row],[Descuento sobre subtotal %]]*GASTOS[[#This Row],[SUBTOTAL]]</f>
        <v>0</v>
      </c>
      <c r="M40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40" s="33">
        <f>+(GASTOS[[#This Row],[SUBTOTAL]]-GASTOS[[#This Row],[descuento antes de IVA]])*GASTOS[[#This Row],[Rete Fuente %]]</f>
        <v>0</v>
      </c>
      <c r="O40" s="32">
        <f>+GASTOS[[#This Row],[SUBTOTAL]]+GASTOS[[#This Row],[IVA 19%]]-GASTOS[[#This Row],[descuento antes de IVA]]-GASTOS[[#This Row],[Descuento sobre subtotal $]]-GASTOS[[#This Row],[Rete Fuente $]]</f>
        <v>1392986</v>
      </c>
    </row>
    <row r="41" spans="1:15" ht="21.95" customHeight="1" x14ac:dyDescent="0.25">
      <c r="A41" s="27">
        <f>+VLOOKUP(GASTOS[[#This Row],[PROVEEDOR]],TERCEROS_INFO[#All],2,FALSE)</f>
        <v>13</v>
      </c>
      <c r="B41" s="37"/>
      <c r="C41" s="29">
        <f>+VLOOKUP(GASTOS[[#This Row],[PROVEEDOR]],TERCEROS_INFO[#All],5,FALSE)</f>
        <v>0</v>
      </c>
      <c r="D41" s="56"/>
      <c r="E41" s="57" t="s">
        <v>628</v>
      </c>
      <c r="F41" s="38">
        <v>44331</v>
      </c>
      <c r="G41" s="58" t="s">
        <v>630</v>
      </c>
      <c r="H41" s="32">
        <v>313385</v>
      </c>
      <c r="I41" s="32"/>
      <c r="J41" s="33">
        <f>+(GASTOS[[#This Row],[SUBTOTAL]]-GASTOS[[#This Row],[descuento antes de IVA]])*VLOOKUP(GASTOS[[#This Row],[PROVEEDOR]],TERCEROS_INFO[#All],3,FALSE)</f>
        <v>0</v>
      </c>
      <c r="K41" s="65"/>
      <c r="L41" s="33">
        <f>+GASTOS[[#This Row],[Descuento sobre subtotal %]]*GASTOS[[#This Row],[SUBTOTAL]]</f>
        <v>0</v>
      </c>
      <c r="M41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41" s="33">
        <f>+(GASTOS[[#This Row],[SUBTOTAL]]-GASTOS[[#This Row],[descuento antes de IVA]])*GASTOS[[#This Row],[Rete Fuente %]]</f>
        <v>0</v>
      </c>
      <c r="O41" s="32">
        <f>+GASTOS[[#This Row],[SUBTOTAL]]+GASTOS[[#This Row],[IVA 19%]]-GASTOS[[#This Row],[descuento antes de IVA]]-GASTOS[[#This Row],[Descuento sobre subtotal $]]-GASTOS[[#This Row],[Rete Fuente $]]</f>
        <v>313385</v>
      </c>
    </row>
    <row r="42" spans="1:15" ht="21.95" customHeight="1" x14ac:dyDescent="0.25">
      <c r="A42" s="27">
        <f>+VLOOKUP(GASTOS[[#This Row],[PROVEEDOR]],TERCEROS_INFO[#All],2,FALSE)</f>
        <v>30</v>
      </c>
      <c r="B42" s="37"/>
      <c r="C42" s="29" t="str">
        <f>+VLOOKUP(GASTOS[[#This Row],[PROVEEDOR]],TERCEROS_INFO[#All],5,FALSE)</f>
        <v>PSE</v>
      </c>
      <c r="D42" s="56">
        <v>44225</v>
      </c>
      <c r="E42" s="38" t="s">
        <v>641</v>
      </c>
      <c r="F42" s="38">
        <v>44197</v>
      </c>
      <c r="G42" s="58"/>
      <c r="H42" s="32">
        <v>340400</v>
      </c>
      <c r="I42" s="32"/>
      <c r="J42" s="33">
        <f>+(GASTOS[[#This Row],[SUBTOTAL]]-GASTOS[[#This Row],[descuento antes de IVA]])*VLOOKUP(GASTOS[[#This Row],[PROVEEDOR]],TERCEROS_INFO[#All],3,FALSE)</f>
        <v>0</v>
      </c>
      <c r="K42" s="65"/>
      <c r="L42" s="33">
        <f>+GASTOS[[#This Row],[Descuento sobre subtotal %]]*GASTOS[[#This Row],[SUBTOTAL]]</f>
        <v>0</v>
      </c>
      <c r="M42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0</v>
      </c>
      <c r="N42" s="33">
        <f>+(GASTOS[[#This Row],[SUBTOTAL]]-GASTOS[[#This Row],[descuento antes de IVA]])*GASTOS[[#This Row],[Rete Fuente %]]</f>
        <v>0</v>
      </c>
      <c r="O42" s="32">
        <f>+GASTOS[[#This Row],[SUBTOTAL]]+GASTOS[[#This Row],[IVA 19%]]-GASTOS[[#This Row],[descuento antes de IVA]]-GASTOS[[#This Row],[Descuento sobre subtotal $]]-GASTOS[[#This Row],[Rete Fuente $]]</f>
        <v>340400</v>
      </c>
    </row>
    <row r="43" spans="1:15" ht="21.95" customHeight="1" x14ac:dyDescent="0.25">
      <c r="A43" s="27">
        <f>+VLOOKUP(GASTOS[[#This Row],[PROVEEDOR]],TERCEROS_INFO[#All],2,FALSE)</f>
        <v>30</v>
      </c>
      <c r="B43" s="37"/>
      <c r="C43" s="29" t="str">
        <f>+VLOOKUP(GASTOS[[#This Row],[PROVEEDOR]],TERCEROS_INFO[#All],5,FALSE)</f>
        <v>CBastidas@vyp.com.co;girlesa.ruiz@servipilas.com;joriescobar64@gmail.com</v>
      </c>
      <c r="D43" s="56">
        <v>44250</v>
      </c>
      <c r="E43" s="38" t="s">
        <v>647</v>
      </c>
      <c r="F43" s="38">
        <v>44228</v>
      </c>
      <c r="G43" s="58">
        <v>38129</v>
      </c>
      <c r="H43" s="32">
        <v>3488000</v>
      </c>
      <c r="I43" s="32"/>
      <c r="J43" s="33">
        <f>+(GASTOS[[#This Row],[SUBTOTAL]]-GASTOS[[#This Row],[descuento antes de IVA]])*VLOOKUP(GASTOS[[#This Row],[PROVEEDOR]],TERCEROS_INFO[#All],3,FALSE)</f>
        <v>662720</v>
      </c>
      <c r="K43" s="65"/>
      <c r="L43" s="33">
        <f>+GASTOS[[#This Row],[Descuento sobre subtotal %]]*GASTOS[[#This Row],[SUBTOTAL]]</f>
        <v>0</v>
      </c>
      <c r="M43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43" s="33">
        <f>+(GASTOS[[#This Row],[SUBTOTAL]]-GASTOS[[#This Row],[descuento antes de IVA]])*GASTOS[[#This Row],[Rete Fuente %]]</f>
        <v>122080.00000000001</v>
      </c>
      <c r="O43" s="32">
        <f>+GASTOS[[#This Row],[SUBTOTAL]]+GASTOS[[#This Row],[IVA 19%]]-GASTOS[[#This Row],[descuento antes de IVA]]-GASTOS[[#This Row],[Descuento sobre subtotal $]]-GASTOS[[#This Row],[Rete Fuente $]]</f>
        <v>4028640</v>
      </c>
    </row>
    <row r="44" spans="1:15" ht="21.95" customHeight="1" x14ac:dyDescent="0.25">
      <c r="A44" s="27">
        <f>+VLOOKUP(GASTOS[[#This Row],[PROVEEDOR]],TERCEROS_INFO[#All],2,FALSE)</f>
        <v>30</v>
      </c>
      <c r="B44" s="37"/>
      <c r="C44" s="29" t="str">
        <f>+VLOOKUP(GASTOS[[#This Row],[PROVEEDOR]],TERCEROS_INFO[#All],5,FALSE)</f>
        <v>CBastidas@vyp.com.co;girlesa.ruiz@servipilas.com;joriescobar64@gmail.com</v>
      </c>
      <c r="D44" s="56">
        <v>44280</v>
      </c>
      <c r="E44" s="38" t="s">
        <v>647</v>
      </c>
      <c r="F44" s="38">
        <v>44251</v>
      </c>
      <c r="G44" s="58" t="s">
        <v>511</v>
      </c>
      <c r="H44" s="32">
        <v>-174400</v>
      </c>
      <c r="I44" s="32"/>
      <c r="J44" s="33">
        <f>+(GASTOS[[#This Row],[SUBTOTAL]]-GASTOS[[#This Row],[descuento antes de IVA]])*VLOOKUP(GASTOS[[#This Row],[PROVEEDOR]],TERCEROS_INFO[#All],3,FALSE)</f>
        <v>-33136</v>
      </c>
      <c r="K44" s="65"/>
      <c r="L44" s="33">
        <f>+GASTOS[[#This Row],[Descuento sobre subtotal %]]*GASTOS[[#This Row],[SUBTOTAL]]</f>
        <v>0</v>
      </c>
      <c r="M44" s="34">
        <v>3.5000000000000003E-2</v>
      </c>
      <c r="N44" s="33">
        <f>+(GASTOS[[#This Row],[SUBTOTAL]]-GASTOS[[#This Row],[descuento antes de IVA]])*GASTOS[[#This Row],[Rete Fuente %]]</f>
        <v>-6104.0000000000009</v>
      </c>
      <c r="O44" s="32">
        <f>+GASTOS[[#This Row],[SUBTOTAL]]+GASTOS[[#This Row],[IVA 19%]]-GASTOS[[#This Row],[descuento antes de IVA]]-GASTOS[[#This Row],[Descuento sobre subtotal $]]-GASTOS[[#This Row],[Rete Fuente $]]</f>
        <v>-201432</v>
      </c>
    </row>
    <row r="45" spans="1:15" ht="21.95" customHeight="1" x14ac:dyDescent="0.25">
      <c r="A45" s="27">
        <f>+VLOOKUP(GASTOS[[#This Row],[PROVEEDOR]],TERCEROS_INFO[#All],2,FALSE)</f>
        <v>30</v>
      </c>
      <c r="B45" s="37"/>
      <c r="C45" s="29" t="str">
        <f>+VLOOKUP(GASTOS[[#This Row],[PROVEEDOR]],TERCEROS_INFO[#All],5,FALSE)</f>
        <v>CBastidas@vyp.com.co;girlesa.ruiz@servipilas.com;joriescobar64@gmail.com</v>
      </c>
      <c r="D45" s="56">
        <v>44280</v>
      </c>
      <c r="E45" s="38" t="s">
        <v>647</v>
      </c>
      <c r="F45" s="38">
        <v>44256</v>
      </c>
      <c r="G45" s="58">
        <v>38432</v>
      </c>
      <c r="H45" s="32">
        <v>3706000</v>
      </c>
      <c r="I45" s="32"/>
      <c r="J45" s="33">
        <f>+(GASTOS[[#This Row],[SUBTOTAL]]-GASTOS[[#This Row],[descuento antes de IVA]])*VLOOKUP(GASTOS[[#This Row],[PROVEEDOR]],TERCEROS_INFO[#All],3,FALSE)</f>
        <v>704140</v>
      </c>
      <c r="K45" s="65"/>
      <c r="L45" s="33">
        <v>214021</v>
      </c>
      <c r="M45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45" s="33">
        <f>+(GASTOS[[#This Row],[SUBTOTAL]]-GASTOS[[#This Row],[descuento antes de IVA]])*GASTOS[[#This Row],[Rete Fuente %]]</f>
        <v>129710.00000000001</v>
      </c>
      <c r="O45" s="32">
        <f>+GASTOS[[#This Row],[SUBTOTAL]]+GASTOS[[#This Row],[IVA 19%]]-GASTOS[[#This Row],[descuento antes de IVA]]-GASTOS[[#This Row],[Descuento sobre subtotal $]]-GASTOS[[#This Row],[Rete Fuente $]]</f>
        <v>4066409</v>
      </c>
    </row>
    <row r="46" spans="1:15" ht="21.95" customHeight="1" x14ac:dyDescent="0.25">
      <c r="A46" s="27">
        <f>+VLOOKUP(GASTOS[[#This Row],[PROVEEDOR]],TERCEROS_INFO[#All],2,FALSE)</f>
        <v>30</v>
      </c>
      <c r="B46" s="37"/>
      <c r="C46" s="29" t="str">
        <f>+VLOOKUP(GASTOS[[#This Row],[PROVEEDOR]],TERCEROS_INFO[#All],5,FALSE)</f>
        <v>CBastidas@vyp.com.co;girlesa.ruiz@servipilas.com;joriescobar64@gmail.com</v>
      </c>
      <c r="D46" s="56"/>
      <c r="E46" s="38" t="s">
        <v>647</v>
      </c>
      <c r="F46" s="38">
        <v>44287</v>
      </c>
      <c r="G46" s="58" t="s">
        <v>626</v>
      </c>
      <c r="H46" s="32">
        <v>4142000</v>
      </c>
      <c r="I46" s="32"/>
      <c r="J46" s="33">
        <f>+(GASTOS[[#This Row],[SUBTOTAL]]-GASTOS[[#This Row],[descuento antes de IVA]])*VLOOKUP(GASTOS[[#This Row],[PROVEEDOR]],TERCEROS_INFO[#All],3,FALSE)</f>
        <v>786980</v>
      </c>
      <c r="K46" s="65"/>
      <c r="L46" s="33">
        <f>+GASTOS[[#This Row],[Descuento sobre subtotal %]]*GASTOS[[#This Row],[SUBTOTAL]]</f>
        <v>0</v>
      </c>
      <c r="M46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46" s="33">
        <f>+(GASTOS[[#This Row],[SUBTOTAL]]-GASTOS[[#This Row],[descuento antes de IVA]])*GASTOS[[#This Row],[Rete Fuente %]]</f>
        <v>144970</v>
      </c>
      <c r="O46" s="32">
        <f>+GASTOS[[#This Row],[SUBTOTAL]]+GASTOS[[#This Row],[IVA 19%]]-GASTOS[[#This Row],[descuento antes de IVA]]-GASTOS[[#This Row],[Descuento sobre subtotal $]]-GASTOS[[#This Row],[Rete Fuente $]]</f>
        <v>4784010</v>
      </c>
    </row>
    <row r="47" spans="1:15" ht="21.95" customHeight="1" x14ac:dyDescent="0.25">
      <c r="A47" s="27">
        <f>+VLOOKUP(GASTOS[[#This Row],[PROVEEDOR]],TERCEROS_INFO[#All],2,FALSE)</f>
        <v>30</v>
      </c>
      <c r="B47" s="37"/>
      <c r="C47" s="29" t="str">
        <f>+VLOOKUP(GASTOS[[#This Row],[PROVEEDOR]],TERCEROS_INFO[#All],5,FALSE)</f>
        <v>CBastidas@vyp.com.co;girlesa.ruiz@servipilas.com;joriescobar64@gmail.com</v>
      </c>
      <c r="D47" s="56"/>
      <c r="E47" s="38" t="s">
        <v>647</v>
      </c>
      <c r="F47" s="38">
        <v>44317</v>
      </c>
      <c r="G47" s="58" t="s">
        <v>625</v>
      </c>
      <c r="H47" s="32">
        <v>3322500</v>
      </c>
      <c r="I47" s="32"/>
      <c r="J47" s="33">
        <f>+(GASTOS[[#This Row],[SUBTOTAL]]-GASTOS[[#This Row],[descuento antes de IVA]])*VLOOKUP(GASTOS[[#This Row],[PROVEEDOR]],TERCEROS_INFO[#All],3,FALSE)</f>
        <v>631275</v>
      </c>
      <c r="K47" s="65"/>
      <c r="L47" s="33">
        <f>+GASTOS[[#This Row],[Descuento sobre subtotal %]]*GASTOS[[#This Row],[SUBTOTAL]]</f>
        <v>0</v>
      </c>
      <c r="M47" s="34">
        <f>+
IF(AND(VLOOKUP(GASTOS[[#This Row],[PROVEEDOR]],TERCEROS_INFO[#All],4,FALSE)=1%,(GASTOS[[#This Row],[SUBTOTAL]]-GASTOS[[#This Row],[descuento antes de IVA]])&gt;=145000),1%,
IF(AND(VLOOKUP(GASTOS[[#This Row],[PROVEEDOR]],TERCEROS_INFO[#All],4,FALSE)=2.5%,(GASTOS[[#This Row],[SUBTOTAL]]-GASTOS[[#This Row],[descuento antes de IVA]])&gt;=980000),2.5%,
IF(AND(VLOOKUP(GASTOS[[#This Row],[PROVEEDOR]],TERCEROS_INFO[#All],4,FALSE)=3.5%,(GASTOS[[#This Row],[SUBTOTAL]]-GASTOS[[#This Row],[descuento antes de IVA]])&gt;=980000),3.5%,
0)))</f>
        <v>3.5000000000000003E-2</v>
      </c>
      <c r="N47" s="33">
        <f>+(GASTOS[[#This Row],[SUBTOTAL]]-GASTOS[[#This Row],[descuento antes de IVA]])*GASTOS[[#This Row],[Rete Fuente %]]</f>
        <v>116287.50000000001</v>
      </c>
      <c r="O47" s="32">
        <f>+GASTOS[[#This Row],[SUBTOTAL]]+GASTOS[[#This Row],[IVA 19%]]-GASTOS[[#This Row],[descuento antes de IVA]]-GASTOS[[#This Row],[Descuento sobre subtotal $]]-GASTOS[[#This Row],[Rete Fuente $]]</f>
        <v>3837487.5</v>
      </c>
    </row>
  </sheetData>
  <sheetProtection formatCells="0" formatColumns="0" formatRows="0" insertColumns="0" insertRows="0" insertHyperlinks="0" deleteColumns="0" deleteRows="0" sort="0" autoFilter="0" pivotTables="0"/>
  <conditionalFormatting sqref="C9 C2:D8">
    <cfRule type="expression" dxfId="85" priority="25">
      <formula>$R2="Por pagar"</formula>
    </cfRule>
    <cfRule type="expression" dxfId="84" priority="26">
      <formula>$R2="Vencida"</formula>
    </cfRule>
    <cfRule type="expression" dxfId="83" priority="27">
      <formula>$R2="Pagada"</formula>
    </cfRule>
  </conditionalFormatting>
  <conditionalFormatting sqref="F1">
    <cfRule type="expression" dxfId="82" priority="22">
      <formula>$O1="Por pagar"</formula>
    </cfRule>
    <cfRule type="expression" dxfId="81" priority="23">
      <formula>$O1="Vencida"</formula>
    </cfRule>
    <cfRule type="expression" dxfId="80" priority="24">
      <formula>$O1="Pagada"</formula>
    </cfRule>
  </conditionalFormatting>
  <conditionalFormatting sqref="D9">
    <cfRule type="expression" dxfId="79" priority="13">
      <formula>$P9="Por pagar"</formula>
    </cfRule>
    <cfRule type="expression" dxfId="78" priority="14">
      <formula>$P9="Vencida"</formula>
    </cfRule>
    <cfRule type="expression" dxfId="77" priority="15">
      <formula>$P9="Pagada"</formula>
    </cfRule>
  </conditionalFormatting>
  <conditionalFormatting sqref="D10">
    <cfRule type="expression" dxfId="76" priority="10">
      <formula>$R10="Por pagar"</formula>
    </cfRule>
    <cfRule type="expression" dxfId="75" priority="11">
      <formula>$R10="Vencida"</formula>
    </cfRule>
    <cfRule type="expression" dxfId="74" priority="12">
      <formula>$R10="Pagada"</formula>
    </cfRule>
  </conditionalFormatting>
  <conditionalFormatting sqref="D11">
    <cfRule type="expression" dxfId="73" priority="7">
      <formula>$R11="Por pagar"</formula>
    </cfRule>
    <cfRule type="expression" dxfId="72" priority="8">
      <formula>$R11="Vencida"</formula>
    </cfRule>
    <cfRule type="expression" dxfId="71" priority="9">
      <formula>$R11="Pagada"</formula>
    </cfRule>
  </conditionalFormatting>
  <conditionalFormatting sqref="D12:D13 D18:D21">
    <cfRule type="expression" dxfId="70" priority="4">
      <formula>$R12="Por pagar"</formula>
    </cfRule>
    <cfRule type="expression" dxfId="69" priority="5">
      <formula>$R12="Vencida"</formula>
    </cfRule>
    <cfRule type="expression" dxfId="68" priority="6">
      <formula>$R12="Pagada"</formula>
    </cfRule>
  </conditionalFormatting>
  <dataValidations count="1">
    <dataValidation allowBlank="1" showInputMessage="1" showErrorMessage="1" error="Primero crea el proveedor en la hoja &quot;Proveedores&quot;." sqref="F1 D15 F4:F1048576" xr:uid="{2535CE5C-A10F-4E69-ABC6-44F8D4B8366D}"/>
  </dataValidations>
  <pageMargins left="1.085" right="0.7" top="0.75" bottom="0.75" header="0.3" footer="0.3"/>
  <pageSetup scale="87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rimero crea el proveedor en la hoja &quot;Proveedores&quot;." xr:uid="{77DDC3A6-1E46-4F7E-8C8E-3AEE98047922}">
          <x14:formula1>
            <xm:f>Terceros!$A:$A</xm:f>
          </x14:formula1>
          <xm:sqref>E1:E47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6ACA-6084-4CD6-B691-3C5102800CEA}">
  <sheetPr codeName="Hoja10"/>
  <dimension ref="A1:Y40"/>
  <sheetViews>
    <sheetView topLeftCell="A7" workbookViewId="0">
      <selection activeCell="Y10" sqref="Y10"/>
    </sheetView>
  </sheetViews>
  <sheetFormatPr baseColWidth="10" defaultColWidth="14.42578125" defaultRowHeight="15" x14ac:dyDescent="0.25"/>
  <cols>
    <col min="1" max="1" width="14.7109375" style="74" customWidth="1"/>
    <col min="2" max="13" width="14.42578125" style="74" hidden="1" customWidth="1"/>
    <col min="14" max="14" width="15" style="74" hidden="1" customWidth="1"/>
    <col min="15" max="15" width="15.42578125" style="74" hidden="1" customWidth="1"/>
    <col min="16" max="16" width="14.42578125" style="74" hidden="1" customWidth="1"/>
    <col min="17" max="17" width="17" style="74" hidden="1" customWidth="1"/>
    <col min="18" max="18" width="15.7109375" style="74" hidden="1" customWidth="1"/>
    <col min="19" max="22" width="15.28515625" style="74" hidden="1" customWidth="1"/>
    <col min="23" max="23" width="16.28515625" style="74" hidden="1" customWidth="1"/>
    <col min="24" max="24" width="16.28515625" style="74" customWidth="1"/>
    <col min="25" max="16384" width="14.42578125" style="74"/>
  </cols>
  <sheetData>
    <row r="1" spans="1:25" x14ac:dyDescent="0.25">
      <c r="A1" s="73" t="s">
        <v>406</v>
      </c>
      <c r="B1" s="73">
        <v>43831</v>
      </c>
      <c r="C1" s="73">
        <v>43862</v>
      </c>
      <c r="D1" s="73">
        <v>43891</v>
      </c>
      <c r="E1" s="73">
        <v>43922</v>
      </c>
      <c r="F1" s="73">
        <v>43952</v>
      </c>
      <c r="G1" s="73">
        <v>43983</v>
      </c>
      <c r="H1" s="73">
        <v>44013</v>
      </c>
      <c r="I1" s="73">
        <v>44044</v>
      </c>
      <c r="J1" s="73">
        <v>44075</v>
      </c>
      <c r="K1" s="73">
        <v>44105</v>
      </c>
      <c r="L1" s="73">
        <v>44136</v>
      </c>
      <c r="M1" s="73">
        <v>44166</v>
      </c>
      <c r="N1" s="73">
        <v>44197</v>
      </c>
      <c r="O1" s="73">
        <v>44228</v>
      </c>
      <c r="P1" s="96">
        <v>44256</v>
      </c>
      <c r="Q1" s="96">
        <v>44287</v>
      </c>
      <c r="R1" s="96">
        <v>44317</v>
      </c>
      <c r="S1" s="96">
        <v>44348</v>
      </c>
      <c r="T1" s="96">
        <v>44378</v>
      </c>
      <c r="U1" s="96">
        <v>44409</v>
      </c>
      <c r="V1" s="96">
        <v>44440</v>
      </c>
      <c r="W1" s="96">
        <v>44470</v>
      </c>
      <c r="X1" s="96">
        <v>44501</v>
      </c>
      <c r="Y1" s="96">
        <v>44531</v>
      </c>
    </row>
    <row r="2" spans="1:25" x14ac:dyDescent="0.25">
      <c r="A2" s="79" t="s">
        <v>466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 x14ac:dyDescent="0.25">
      <c r="A3" s="80" t="s">
        <v>467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spans="1:25" x14ac:dyDescent="0.25">
      <c r="A4" s="79" t="s">
        <v>468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 ht="42" x14ac:dyDescent="0.25">
      <c r="A5" s="71" t="s">
        <v>414</v>
      </c>
      <c r="B5" s="83">
        <f>+SUMIFS(PROVEEDORES[[#All],[Total]],
PROVEEDORES[[#All],[FECHA DE PAGO]],"&gt;="&amp;B$1,
PROVEEDORES[[#All],[FECHA DE PAGO]],"&lt;="&amp;EOMONTH(B$1,0))
+
SUMIFS(FINANCIACION[[#All],[PAGO]],
FINANCIACION[[#All],[Fecha]],"&gt;="&amp;B$1,
FINANCIACION[[#All],[Fecha]],"&lt;="&amp;EOMONTH(B$1,0))</f>
        <v>73284398.415126041</v>
      </c>
      <c r="C5" s="83">
        <f>+SUMIFS(PROVEEDORES[[#All],[Total]],
PROVEEDORES[[#All],[FECHA DE PAGO]],"&gt;="&amp;C$1,
PROVEEDORES[[#All],[FECHA DE PAGO]],"&lt;="&amp;EOMONTH(C$1,0))
+
SUMIFS(FINANCIACION[[#All],[PAGO]],
FINANCIACION[[#All],[Fecha]],"&gt;="&amp;C$1,
FINANCIACION[[#All],[Fecha]],"&lt;="&amp;EOMONTH(C$1,0))</f>
        <v>75076802.836680666</v>
      </c>
      <c r="D5" s="83">
        <f>+SUMIFS(PROVEEDORES[[#All],[Total]],
PROVEEDORES[[#All],[FECHA DE PAGO]],"&gt;="&amp;D$1,
PROVEEDORES[[#All],[FECHA DE PAGO]],"&lt;="&amp;EOMONTH(D$1,0))
+
SUMIFS(FINANCIACION[[#All],[PAGO]],
FINANCIACION[[#All],[Fecha]],"&gt;="&amp;D$1,
FINANCIACION[[#All],[Fecha]],"&lt;="&amp;EOMONTH(D$1,0))</f>
        <v>145065825.97394955</v>
      </c>
      <c r="E5" s="83">
        <f>+SUMIFS(PROVEEDORES[[#All],[Total]],
PROVEEDORES[[#All],[FECHA DE PAGO]],"&gt;="&amp;E$1,
PROVEEDORES[[#All],[FECHA DE PAGO]],"&lt;="&amp;EOMONTH(E$1,0))
+
SUMIFS(FINANCIACION[[#All],[PAGO]],
FINANCIACION[[#All],[Fecha]],"&gt;="&amp;E$1,
FINANCIACION[[#All],[Fecha]],"&lt;="&amp;EOMONTH(E$1,0))</f>
        <v>42266140.90319328</v>
      </c>
      <c r="F5" s="83">
        <f>+SUMIFS(PROVEEDORES[[#All],[Total]],
PROVEEDORES[[#All],[FECHA DE PAGO]],"&gt;="&amp;F$1,
PROVEEDORES[[#All],[FECHA DE PAGO]],"&lt;="&amp;EOMONTH(F$1,0))
+
SUMIFS(FINANCIACION[[#All],[PAGO]],
FINANCIACION[[#All],[Fecha]],"&gt;="&amp;F$1,
FINANCIACION[[#All],[Fecha]],"&lt;="&amp;EOMONTH(F$1,0))</f>
        <v>69008649.985336125</v>
      </c>
      <c r="G5" s="83">
        <f>+SUMIFS(PROVEEDORES[[#All],[Total]],
PROVEEDORES[[#All],[FECHA DE PAGO]],"&gt;="&amp;G$1,
PROVEEDORES[[#All],[FECHA DE PAGO]],"&lt;="&amp;EOMONTH(G$1,0))
+
SUMIFS(FINANCIACION[[#All],[PAGO]],
FINANCIACION[[#All],[Fecha]],"&gt;="&amp;G$1,
FINANCIACION[[#All],[Fecha]],"&lt;="&amp;EOMONTH(G$1,0))</f>
        <v>121933087.45802522</v>
      </c>
      <c r="H5" s="83">
        <f>+SUMIFS(PROVEEDORES[[#All],[Total]],
PROVEEDORES[[#All],[FECHA DE PAGO]],"&gt;="&amp;H$1,
PROVEEDORES[[#All],[FECHA DE PAGO]],"&lt;="&amp;EOMONTH(H$1,0))
+
SUMIFS(FINANCIACION[[#All],[PAGO]],
FINANCIACION[[#All],[Fecha]],"&gt;="&amp;H$1,
FINANCIACION[[#All],[Fecha]],"&lt;="&amp;EOMONTH(H$1,0))</f>
        <v>481282986.5127731</v>
      </c>
      <c r="I5" s="83">
        <f>+SUMIFS(PROVEEDORES[[#All],[Total]],
PROVEEDORES[[#All],[FECHA DE PAGO]],"&gt;="&amp;I$1,
PROVEEDORES[[#All],[FECHA DE PAGO]],"&lt;="&amp;EOMONTH(I$1,0))
+
SUMIFS(FINANCIACION[[#All],[PAGO]],
FINANCIACION[[#All],[Fecha]],"&gt;="&amp;I$1,
FINANCIACION[[#All],[Fecha]],"&lt;="&amp;EOMONTH(I$1,0))</f>
        <v>125066908.84016807</v>
      </c>
      <c r="J5" s="83">
        <f>+SUMIFS(PROVEEDORES[[#All],[Total]],
PROVEEDORES[[#All],[FECHA DE PAGO]],"&gt;="&amp;J$1,
PROVEEDORES[[#All],[FECHA DE PAGO]],"&lt;="&amp;EOMONTH(J$1,0))
+
SUMIFS(FINANCIACION[[#All],[PAGO]],
FINANCIACION[[#All],[Fecha]],"&gt;="&amp;J$1,
FINANCIACION[[#All],[Fecha]],"&lt;="&amp;EOMONTH(J$1,0))</f>
        <v>200374862.30109245</v>
      </c>
      <c r="K5" s="83">
        <f>+SUMIFS(PROVEEDORES[[#All],[Total]],
PROVEEDORES[[#All],[FECHA DE PAGO]],"&gt;="&amp;K$1,
PROVEEDORES[[#All],[FECHA DE PAGO]],"&lt;="&amp;EOMONTH(K$1,0))
+
SUMIFS(FINANCIACION[[#All],[PAGO]],
FINANCIACION[[#All],[Fecha]],"&gt;="&amp;K$1,
FINANCIACION[[#All],[Fecha]],"&lt;="&amp;EOMONTH(K$1,0))</f>
        <v>244655302.07051682</v>
      </c>
      <c r="L5" s="83">
        <f>+SUMIFS(PROVEEDORES[[#All],[Total]],
PROVEEDORES[[#All],[FECHA DE PAGO]],"&gt;="&amp;L$1,
PROVEEDORES[[#All],[FECHA DE PAGO]],"&lt;="&amp;EOMONTH(L$1,0))
+
SUMIFS(FINANCIACION[[#All],[PAGO]],
FINANCIACION[[#All],[Fecha]],"&gt;="&amp;L$1,
FINANCIACION[[#All],[Fecha]],"&lt;="&amp;EOMONTH(L$1,0))</f>
        <v>201645470.25214669</v>
      </c>
      <c r="M5" s="83">
        <f>+SUMIFS(PROVEEDORES[[#All],[Total]],
PROVEEDORES[[#All],[FECHA DE PAGO]],"&gt;="&amp;M$1,
PROVEEDORES[[#All],[FECHA DE PAGO]],"&lt;="&amp;EOMONTH(M$1,0))
+
SUMIFS(FINANCIACION[[#All],[PAGO]],
FINANCIACION[[#All],[Fecha]],"&gt;="&amp;M$1,
FINANCIACION[[#All],[Fecha]],"&lt;="&amp;EOMONTH(M$1,0))</f>
        <v>541122209.19037831</v>
      </c>
      <c r="N5" s="83">
        <f>+SUMIFS(PROVEEDORES[[#All],[Total]],
PROVEEDORES[[#All],[FECHA DE PAGO]],"&gt;="&amp;N$1,
PROVEEDORES[[#All],[FECHA DE PAGO]],"&lt;="&amp;EOMONTH(N$1,0))
+
SUMIFS(FINANCIACION[[#All],[PAGO]],
FINANCIACION[[#All],[Fecha]],"&gt;="&amp;N$1,
FINANCIACION[[#All],[Fecha]],"&lt;="&amp;EOMONTH(N$1,0))</f>
        <v>126111309.54939915</v>
      </c>
      <c r="O5" s="83">
        <f>+SUMIFS(PROVEEDORES[[#All],[Total]],
PROVEEDORES[[#All],[FECHA DE PAGO]],"&gt;="&amp;O$1,
PROVEEDORES[[#All],[FECHA DE PAGO]],"&lt;="&amp;EOMONTH(O$1,0))
+
SUMIFS(FINANCIACION[[#All],[PAGO]],
FINANCIACION[[#All],[Fecha]],"&gt;="&amp;O$1,
FINANCIACION[[#All],[Fecha]],"&lt;="&amp;EOMONTH(O$1,0))</f>
        <v>216650027.98284793</v>
      </c>
      <c r="P5" s="83">
        <f>+SUMIFS(PROVEEDORES[[#All],[Total]],
PROVEEDORES[[#All],[FECHA DE PAGO]],"&gt;="&amp;P$1,
PROVEEDORES[[#All],[FECHA DE PAGO]],"&lt;="&amp;EOMONTH(P$1,0))
+
SUMIFS(FINANCIACION[[#All],[PAGO]],
FINANCIACION[[#All],[Fecha]],"&gt;="&amp;P$1,
FINANCIACION[[#All],[Fecha]],"&lt;="&amp;EOMONTH(P$1,0))</f>
        <v>288668998.13817942</v>
      </c>
      <c r="Q5" s="83">
        <f>+SUMIFS(PROVEEDORES[[#All],[Total]],
PROVEEDORES[[#All],[FECHA DE PAGO]],"&gt;="&amp;Q$1,
PROVEEDORES[[#All],[FECHA DE PAGO]],"&lt;="&amp;EOMONTH(Q$1,0))
+
SUMIFS(FINANCIACION[[#All],[PAGO]],
FINANCIACION[[#All],[Fecha]],"&gt;="&amp;Q$1,
FINANCIACION[[#All],[Fecha]],"&lt;="&amp;EOMONTH(Q$1,0))</f>
        <v>153473111.18292773</v>
      </c>
      <c r="R5" s="83">
        <f>+SUMIFS(PROVEEDORES[[#All],[Total]],
PROVEEDORES[[#All],[FECHA DE PAGO]],"&gt;="&amp;R$1,
PROVEEDORES[[#All],[FECHA DE PAGO]],"&lt;="&amp;EOMONTH(R$1,0))
+
SUMIFS(FINANCIACION[[#All],[PAGO]],
FINANCIACION[[#All],[Fecha]],"&gt;="&amp;R$1,
FINANCIACION[[#All],[Fecha]],"&lt;="&amp;EOMONTH(R$1,0))</f>
        <v>315447201.18141437</v>
      </c>
      <c r="S5" s="83">
        <f>+SUMIFS(PROVEEDORES[[#All],[Total]],
PROVEEDORES[[#All],[FECHA DE PAGO]],"&gt;="&amp;S$1,
PROVEEDORES[[#All],[FECHA DE PAGO]],"&lt;="&amp;EOMONTH(S$1,0))
+
SUMIFS(FINANCIACION[[#All],[PAGO]],
FINANCIACION[[#All],[Fecha]],"&gt;="&amp;S$1,
FINANCIACION[[#All],[Fecha]],"&lt;="&amp;EOMONTH(S$1,0))</f>
        <v>288039943.19387221</v>
      </c>
      <c r="T5" s="83">
        <f>+SUMIFS(PROVEEDORES[[#All],[Total]],
PROVEEDORES[[#All],[FECHA DE PAGO]],"&gt;="&amp;T$1,
PROVEEDORES[[#All],[FECHA DE PAGO]],"&lt;="&amp;EOMONTH(T$1,0))
+
SUMIFS(FINANCIACION[[#All],[PAGO]],
FINANCIACION[[#All],[Fecha]],"&gt;="&amp;T$1,
FINANCIACION[[#All],[Fecha]],"&lt;="&amp;EOMONTH(T$1,0))</f>
        <v>207342096.74439999</v>
      </c>
      <c r="U5" s="83">
        <f>+SUMIFS(PROVEEDORES[[#All],[Total]],
PROVEEDORES[[#All],[FECHA DE PAGO]],"&gt;="&amp;U$1,
PROVEEDORES[[#All],[FECHA DE PAGO]],"&lt;="&amp;EOMONTH(U$1,0))
+
SUMIFS(FINANCIACION[[#All],[PAGO]],
FINANCIACION[[#All],[Fecha]],"&gt;="&amp;U$1,
FINANCIACION[[#All],[Fecha]],"&lt;="&amp;EOMONTH(U$1,0))</f>
        <v>278794972.94119996</v>
      </c>
      <c r="V5" s="83">
        <f>+SUMIFS(PROVEEDORES[[#All],[Total]],
PROVEEDORES[[#All],[FECHA DE PAGO]],"&gt;="&amp;V$1,
PROVEEDORES[[#All],[FECHA DE PAGO]],"&lt;="&amp;EOMONTH(V$1,0))
+
SUMIFS(FINANCIACION[[#All],[PAGO]],
FINANCIACION[[#All],[Fecha]],"&gt;="&amp;V$1,
FINANCIACION[[#All],[Fecha]],"&lt;="&amp;EOMONTH(V$1,0))</f>
        <v>208380013.64094993</v>
      </c>
      <c r="W5" s="83">
        <f>+SUMIFS(PROVEEDORES[[#All],[Total]],
PROVEEDORES[[#All],[FECHA DE PAGO]],"&gt;="&amp;W$1,
PROVEEDORES[[#All],[FECHA DE PAGO]],"&lt;="&amp;EOMONTH(W$1,0))
+
SUMIFS(FINANCIACION[[#All],[PAGO]],
FINANCIACION[[#All],[Fecha]],"&gt;="&amp;W$1,
FINANCIACION[[#All],[Fecha]],"&lt;="&amp;EOMONTH(W$1,0))</f>
        <v>378466763.78815001</v>
      </c>
      <c r="X5" s="83">
        <f>+SUMIFS(PROVEEDORES[[#All],[Total]],
PROVEEDORES[[#All],[FECHA DE PAGO]],"&gt;="&amp;X$1,
PROVEEDORES[[#All],[FECHA DE PAGO]],"&lt;="&amp;EOMONTH(X$1,0))
+
SUMIFS(FINANCIACION[[#All],[PAGO]],
FINANCIACION[[#All],[Fecha]],"&gt;="&amp;X$1,
FINANCIACION[[#All],[Fecha]],"&lt;="&amp;EOMONTH(X$1,0))</f>
        <v>202578565.89249998</v>
      </c>
      <c r="Y5" s="83">
        <f>+SUMIFS(PROVEEDORES[[#All],[Total]],
PROVEEDORES[[#All],[FECHA DE PAGO]],"&gt;="&amp;Y$1,
PROVEEDORES[[#All],[FECHA DE PAGO]],"&lt;="&amp;EOMONTH(Y$1,0))
+
SUMIFS(FINANCIACION[[#All],[PAGO]],
FINANCIACION[[#All],[Fecha]],"&gt;="&amp;Y$1,
FINANCIACION[[#All],[Fecha]],"&lt;="&amp;EOMONTH(Y$1,0))</f>
        <v>515372468.18024999</v>
      </c>
    </row>
    <row r="6" spans="1:25" ht="30" x14ac:dyDescent="0.25">
      <c r="A6" s="72" t="s">
        <v>393</v>
      </c>
      <c r="B6" s="84">
        <f>SUMIFS(PROVEEDORES[[#All],[Total]],
PROVEEDORES[[#All],[Total]],"&gt;0",
PROVEEDORES[[#All],[FECHA DE FACTURACIÓN]],"&gt;="&amp;B$1,
PROVEEDORES[[#All],[FECHA DE FACTURACIÓN]],"&lt;="&amp;EOMONTH(B$1,0),
PROVEEDORES[[#All],[Crédito / Contado]],"De Contado")</f>
        <v>12008258.823529413</v>
      </c>
      <c r="C6" s="84">
        <f>SUMIFS(PROVEEDORES[[#All],[Total]],
PROVEEDORES[[#All],[Total]],"&gt;0",
PROVEEDORES[[#All],[FECHA DE FACTURACIÓN]],"&gt;="&amp;C$1,
PROVEEDORES[[#All],[FECHA DE FACTURACIÓN]],"&lt;="&amp;EOMONTH(C$1,0),
PROVEEDORES[[#All],[Crédito / Contado]],"De Contado")</f>
        <v>11926909.822184874</v>
      </c>
      <c r="D6" s="84">
        <f>SUMIFS(PROVEEDORES[[#All],[Total]],
PROVEEDORES[[#All],[Total]],"&gt;0",
PROVEEDORES[[#All],[FECHA DE FACTURACIÓN]],"&gt;="&amp;D$1,
PROVEEDORES[[#All],[FECHA DE FACTURACIÓN]],"&lt;="&amp;EOMONTH(D$1,0),
PROVEEDORES[[#All],[Crédito / Contado]],"De Contado")</f>
        <v>15447743.928235294</v>
      </c>
      <c r="E6" s="84">
        <f>SUMIFS(PROVEEDORES[[#All],[Total]],
PROVEEDORES[[#All],[Total]],"&gt;0",
PROVEEDORES[[#All],[FECHA DE FACTURACIÓN]],"&gt;="&amp;E$1,
PROVEEDORES[[#All],[FECHA DE FACTURACIÓN]],"&lt;="&amp;EOMONTH(E$1,0),
PROVEEDORES[[#All],[Crédito / Contado]],"De Contado")</f>
        <v>4043140</v>
      </c>
      <c r="F6" s="84">
        <f>SUMIFS(PROVEEDORES[[#All],[Total]],
PROVEEDORES[[#All],[Total]],"&gt;0",
PROVEEDORES[[#All],[FECHA DE FACTURACIÓN]],"&gt;="&amp;F$1,
PROVEEDORES[[#All],[FECHA DE FACTURACIÓN]],"&lt;="&amp;EOMONTH(F$1,0),
PROVEEDORES[[#All],[Crédito / Contado]],"De Contado")</f>
        <v>760600</v>
      </c>
      <c r="G6" s="84">
        <f>SUMIFS(PROVEEDORES[[#All],[Total]],
PROVEEDORES[[#All],[Total]],"&gt;0",
PROVEEDORES[[#All],[FECHA DE FACTURACIÓN]],"&gt;="&amp;G$1,
PROVEEDORES[[#All],[FECHA DE FACTURACIÓN]],"&lt;="&amp;EOMONTH(G$1,0),
PROVEEDORES[[#All],[Crédito / Contado]],"De Contado")</f>
        <v>3607717</v>
      </c>
      <c r="H6" s="84">
        <f>SUMIFS(PROVEEDORES[[#All],[Total]],
PROVEEDORES[[#All],[Total]],"&gt;0",
PROVEEDORES[[#All],[FECHA DE FACTURACIÓN]],"&gt;="&amp;H$1,
PROVEEDORES[[#All],[FECHA DE FACTURACIÓN]],"&lt;="&amp;EOMONTH(H$1,0),
PROVEEDORES[[#All],[Crédito / Contado]],"De Contado")</f>
        <v>17388612.084033616</v>
      </c>
      <c r="I6" s="84">
        <f>SUMIFS(PROVEEDORES[[#All],[Total]],
PROVEEDORES[[#All],[Total]],"&gt;0",
PROVEEDORES[[#All],[FECHA DE FACTURACIÓN]],"&gt;="&amp;I$1,
PROVEEDORES[[#All],[FECHA DE FACTURACIÓN]],"&lt;="&amp;EOMONTH(I$1,0),
PROVEEDORES[[#All],[Crédito / Contado]],"De Contado")</f>
        <v>3019500</v>
      </c>
      <c r="J6" s="84">
        <f>SUMIFS(PROVEEDORES[[#All],[Total]],
PROVEEDORES[[#All],[Total]],"&gt;0",
PROVEEDORES[[#All],[FECHA DE FACTURACIÓN]],"&gt;="&amp;J$1,
PROVEEDORES[[#All],[FECHA DE FACTURACIÓN]],"&lt;="&amp;EOMONTH(J$1,0),
PROVEEDORES[[#All],[Crédito / Contado]],"De Contado")</f>
        <v>11455348.386554621</v>
      </c>
      <c r="K6" s="84">
        <f>SUMIFS(PROVEEDORES[[#All],[Total]],
PROVEEDORES[[#All],[Total]],"&gt;0",
PROVEEDORES[[#All],[FECHA DE FACTURACIÓN]],"&gt;="&amp;K$1,
PROVEEDORES[[#All],[FECHA DE FACTURACIÓN]],"&lt;="&amp;EOMONTH(K$1,0),
PROVEEDORES[[#All],[Crédito / Contado]],"De Contado")</f>
        <v>11966419.390756302</v>
      </c>
      <c r="L6" s="84">
        <f>SUMIFS(PROVEEDORES[[#All],[Total]],
PROVEEDORES[[#All],[Total]],"&gt;0",
PROVEEDORES[[#All],[FECHA DE FACTURACIÓN]],"&gt;="&amp;L$1,
PROVEEDORES[[#All],[FECHA DE FACTURACIÓN]],"&lt;="&amp;EOMONTH(L$1,0),
PROVEEDORES[[#All],[Crédito / Contado]],"De Contado")</f>
        <v>38939381.979999997</v>
      </c>
      <c r="M6" s="84">
        <f>SUMIFS(PROVEEDORES[[#All],[Total]],
PROVEEDORES[[#All],[Total]],"&gt;0",
PROVEEDORES[[#All],[FECHA DE FACTURACIÓN]],"&gt;="&amp;M$1,
PROVEEDORES[[#All],[FECHA DE FACTURACIÓN]],"&lt;="&amp;EOMONTH(M$1,0),
PROVEEDORES[[#All],[Crédito / Contado]],"De Contado")</f>
        <v>23171065.802521009</v>
      </c>
      <c r="N6" s="84">
        <f>SUMIFS(PROVEEDORES[[#All],[Total]],
PROVEEDORES[[#All],[Total]],"&gt;0",
PROVEEDORES[[#All],[FECHA DE FACTURACIÓN]],"&gt;="&amp;N$1,
PROVEEDORES[[#All],[FECHA DE FACTURACIÓN]],"&lt;="&amp;EOMONTH(N$1,0),
PROVEEDORES[[#All],[Crédito / Contado]],"De Contado")</f>
        <v>37470765.909999996</v>
      </c>
      <c r="O6" s="84">
        <f>SUMIFS(PROVEEDORES[[#All],[Total]],
PROVEEDORES[[#All],[Total]],"&gt;0",
PROVEEDORES[[#All],[FECHA DE FACTURACIÓN]],"&gt;="&amp;O$1,
PROVEEDORES[[#All],[FECHA DE FACTURACIÓN]],"&lt;="&amp;EOMONTH(O$1,0),
PROVEEDORES[[#All],[Crédito / Contado]],"De Contado")</f>
        <v>8961000</v>
      </c>
      <c r="P6" s="84">
        <f>SUMIFS(PROVEEDORES[[#All],[Total]],
PROVEEDORES[[#All],[Total]],"&gt;0",
PROVEEDORES[[#All],[FECHA DE FACTURACIÓN]],"&gt;="&amp;P$1,
PROVEEDORES[[#All],[FECHA DE FACTURACIÓN]],"&lt;="&amp;EOMONTH(P$1,0),
PROVEEDORES[[#All],[Crédito / Contado]],"De Contado")</f>
        <v>11922560.76</v>
      </c>
      <c r="Q6" s="84">
        <f>SUMIFS(PROVEEDORES[[#All],[Total]],
PROVEEDORES[[#All],[Total]],"&gt;0",
PROVEEDORES[[#All],[FECHA DE FACTURACIÓN]],"&gt;="&amp;Q$1,
PROVEEDORES[[#All],[FECHA DE FACTURACIÓN]],"&lt;="&amp;EOMONTH(Q$1,0),
PROVEEDORES[[#All],[Crédito / Contado]],"De Contado")</f>
        <v>4616460.24</v>
      </c>
      <c r="R6" s="84">
        <f>SUMIFS(PROVEEDORES[[#All],[Total]],
PROVEEDORES[[#All],[Total]],"&gt;0",
PROVEEDORES[[#All],[FECHA DE FACTURACIÓN]],"&gt;="&amp;R$1,
PROVEEDORES[[#All],[FECHA DE FACTURACIÓN]],"&lt;="&amp;EOMONTH(R$1,0),
PROVEEDORES[[#All],[Crédito / Contado]],"De Contado")</f>
        <v>24181323.020000003</v>
      </c>
      <c r="S6" s="84">
        <f>SUMIFS(PROVEEDORES[[#All],[Total]],
PROVEEDORES[[#All],[Total]],"&gt;0",
PROVEEDORES[[#All],[FECHA DE FACTURACIÓN]],"&gt;="&amp;S$1,
PROVEEDORES[[#All],[FECHA DE FACTURACIÓN]],"&lt;="&amp;EOMONTH(S$1,0),
PROVEEDORES[[#All],[Crédito / Contado]],"De Contado")</f>
        <v>21282920.039999999</v>
      </c>
      <c r="T6" s="84">
        <f>SUMIFS(PROVEEDORES[[#All],[Total]],
PROVEEDORES[[#All],[Total]],"&gt;0",
PROVEEDORES[[#All],[FECHA DE FACTURACIÓN]],"&gt;="&amp;T$1,
PROVEEDORES[[#All],[FECHA DE FACTURACIÓN]],"&lt;="&amp;EOMONTH(T$1,0),
PROVEEDORES[[#All],[Crédito / Contado]],"De Contado")</f>
        <v>13780600</v>
      </c>
      <c r="U6" s="84">
        <f>SUMIFS(PROVEEDORES[[#All],[Total]],
PROVEEDORES[[#All],[Total]],"&gt;0",
PROVEEDORES[[#All],[FECHA DE FACTURACIÓN]],"&gt;="&amp;U$1,
PROVEEDORES[[#All],[FECHA DE FACTURACIÓN]],"&lt;="&amp;EOMONTH(U$1,0),
PROVEEDORES[[#All],[Crédito / Contado]],"De Contado")</f>
        <v>34456843.525000006</v>
      </c>
      <c r="V6" s="84">
        <f>SUMIFS(PROVEEDORES[[#All],[Total]],
PROVEEDORES[[#All],[Total]],"&gt;0",
PROVEEDORES[[#All],[FECHA DE FACTURACIÓN]],"&gt;="&amp;V$1,
PROVEEDORES[[#All],[FECHA DE FACTURACIÓN]],"&lt;="&amp;EOMONTH(V$1,0),
PROVEEDORES[[#All],[Crédito / Contado]],"De Contado")</f>
        <v>14354003.734999999</v>
      </c>
      <c r="W6" s="84">
        <f>SUMIFS(PROVEEDORES[[#All],[Total]],
PROVEEDORES[[#All],[Total]],"&gt;0",
PROVEEDORES[[#All],[FECHA DE FACTURACIÓN]],"&gt;="&amp;W$1,
PROVEEDORES[[#All],[FECHA DE FACTURACIÓN]],"&lt;="&amp;EOMONTH(W$1,0),
PROVEEDORES[[#All],[Crédito / Contado]],"De Contado")</f>
        <v>12395850</v>
      </c>
      <c r="X6" s="84">
        <f>SUMIFS(PROVEEDORES[[#All],[Total]],
PROVEEDORES[[#All],[Total]],"&gt;0",
PROVEEDORES[[#All],[FECHA DE FACTURACIÓN]],"&gt;="&amp;X$1,
PROVEEDORES[[#All],[FECHA DE FACTURACIÓN]],"&lt;="&amp;EOMONTH(X$1,0),
PROVEEDORES[[#All],[Crédito / Contado]],"De Contado")</f>
        <v>15803039.800000001</v>
      </c>
      <c r="Y6" s="84">
        <f>SUMIFS(PROVEEDORES[[#All],[Total]],
PROVEEDORES[[#All],[Total]],"&gt;0",
PROVEEDORES[[#All],[FECHA DE FACTURACIÓN]],"&gt;="&amp;Y$1,
PROVEEDORES[[#All],[FECHA DE FACTURACIÓN]],"&lt;="&amp;EOMONTH(Y$1,0),
PROVEEDORES[[#All],[Crédito / Contado]],"De Contado")</f>
        <v>23171302.879999999</v>
      </c>
    </row>
    <row r="7" spans="1:25" ht="30" x14ac:dyDescent="0.25">
      <c r="A7" s="71" t="s">
        <v>396</v>
      </c>
      <c r="B7" s="83">
        <f>SUMIFS(PROVEEDORES[[#All],[Total]],
PROVEEDORES[[#All],[Total]],"&gt;0",
PROVEEDORES[[#All],[FECHA DE FACTURACIÓN]],"&gt;="&amp;B$1,
PROVEEDORES[[#All],[FECHA DE FACTURACIÓN]],"&lt;="&amp;EOMONTH(B$1,0),
PROVEEDORES[[#All],[Crédito / Contado]],"Crédito")</f>
        <v>54675229.849789903</v>
      </c>
      <c r="C7" s="83">
        <f>SUMIFS(PROVEEDORES[[#All],[Total]],
PROVEEDORES[[#All],[Total]],"&gt;0",
PROVEEDORES[[#All],[FECHA DE FACTURACIÓN]],"&gt;="&amp;C$1,
PROVEEDORES[[#All],[FECHA DE FACTURACIÓN]],"&lt;="&amp;EOMONTH(C$1,0),
PROVEEDORES[[#All],[Crédito / Contado]],"Crédito")</f>
        <v>94531667.296134457</v>
      </c>
      <c r="D7" s="83">
        <f>SUMIFS(PROVEEDORES[[#All],[Total]],
PROVEEDORES[[#All],[Total]],"&gt;0",
PROVEEDORES[[#All],[FECHA DE FACTURACIÓN]],"&gt;="&amp;D$1,
PROVEEDORES[[#All],[FECHA DE FACTURACIÓN]],"&lt;="&amp;EOMONTH(D$1,0),
PROVEEDORES[[#All],[Crédito / Contado]],"Crédito")</f>
        <v>83421244.605126038</v>
      </c>
      <c r="E7" s="83">
        <f>SUMIFS(PROVEEDORES[[#All],[Total]],
PROVEEDORES[[#All],[Total]],"&gt;0",
PROVEEDORES[[#All],[FECHA DE FACTURACIÓN]],"&gt;="&amp;E$1,
PROVEEDORES[[#All],[FECHA DE FACTURACIÓN]],"&lt;="&amp;EOMONTH(E$1,0),
PROVEEDORES[[#All],[Crédito / Contado]],"Crédito")</f>
        <v>19336746.050714284</v>
      </c>
      <c r="F7" s="83">
        <f>SUMIFS(PROVEEDORES[[#All],[Total]],
PROVEEDORES[[#All],[Total]],"&gt;0",
PROVEEDORES[[#All],[FECHA DE FACTURACIÓN]],"&gt;="&amp;F$1,
PROVEEDORES[[#All],[FECHA DE FACTURACIÓN]],"&lt;="&amp;EOMONTH(F$1,0),
PROVEEDORES[[#All],[Crédito / Contado]],"Crédito")</f>
        <v>45172861.485924371</v>
      </c>
      <c r="G7" s="83">
        <f>SUMIFS(PROVEEDORES[[#All],[Total]],
PROVEEDORES[[#All],[Total]],"&gt;0",
PROVEEDORES[[#All],[FECHA DE FACTURACIÓN]],"&gt;="&amp;G$1,
PROVEEDORES[[#All],[FECHA DE FACTURACIÓN]],"&lt;="&amp;EOMONTH(G$1,0),
PROVEEDORES[[#All],[Crédito / Contado]],"Crédito")</f>
        <v>92237932.025546223</v>
      </c>
      <c r="H7" s="83">
        <f>SUMIFS(PROVEEDORES[[#All],[Total]],
PROVEEDORES[[#All],[Total]],"&gt;0",
PROVEEDORES[[#All],[FECHA DE FACTURACIÓN]],"&gt;="&amp;H$1,
PROVEEDORES[[#All],[FECHA DE FACTURACIÓN]],"&lt;="&amp;EOMONTH(H$1,0),
PROVEEDORES[[#All],[Crédito / Contado]],"Crédito")</f>
        <v>73251397.728319332</v>
      </c>
      <c r="I7" s="83">
        <f>SUMIFS(PROVEEDORES[[#All],[Total]],
PROVEEDORES[[#All],[Total]],"&gt;0",
PROVEEDORES[[#All],[FECHA DE FACTURACIÓN]],"&gt;="&amp;I$1,
PROVEEDORES[[#All],[FECHA DE FACTURACIÓN]],"&lt;="&amp;EOMONTH(I$1,0),
PROVEEDORES[[#All],[Crédito / Contado]],"Crédito")</f>
        <v>60741165.793991596</v>
      </c>
      <c r="J7" s="83">
        <f>SUMIFS(PROVEEDORES[[#All],[Total]],
PROVEEDORES[[#All],[Total]],"&gt;0",
PROVEEDORES[[#All],[FECHA DE FACTURACIÓN]],"&gt;="&amp;J$1,
PROVEEDORES[[#All],[FECHA DE FACTURACIÓN]],"&lt;="&amp;EOMONTH(J$1,0),
PROVEEDORES[[#All],[Crédito / Contado]],"Crédito")</f>
        <v>128536535.51634455</v>
      </c>
      <c r="K7" s="83">
        <f>SUMIFS(PROVEEDORES[[#All],[Total]],
PROVEEDORES[[#All],[Total]],"&gt;0",
PROVEEDORES[[#All],[FECHA DE FACTURACIÓN]],"&gt;="&amp;K$1,
PROVEEDORES[[#All],[FECHA DE FACTURACIÓN]],"&lt;="&amp;EOMONTH(K$1,0),
PROVEEDORES[[#All],[Crédito / Contado]],"Crédito")</f>
        <v>201709005.04016805</v>
      </c>
      <c r="L7" s="83">
        <f>SUMIFS(PROVEEDORES[[#All],[Total]],
PROVEEDORES[[#All],[Total]],"&gt;0",
PROVEEDORES[[#All],[FECHA DE FACTURACIÓN]],"&gt;="&amp;L$1,
PROVEEDORES[[#All],[FECHA DE FACTURACIÓN]],"&lt;="&amp;EOMONTH(L$1,0),
PROVEEDORES[[#All],[Crédito / Contado]],"Crédito")</f>
        <v>146852919.27612567</v>
      </c>
      <c r="M7" s="83">
        <f>SUMIFS(PROVEEDORES[[#All],[Total]],
PROVEEDORES[[#All],[Total]],"&gt;0",
PROVEEDORES[[#All],[FECHA DE FACTURACIÓN]],"&gt;="&amp;M$1,
PROVEEDORES[[#All],[FECHA DE FACTURACIÓN]],"&lt;="&amp;EOMONTH(M$1,0),
PROVEEDORES[[#All],[Crédito / Contado]],"Crédito")</f>
        <v>279814324.05197483</v>
      </c>
      <c r="N7" s="83">
        <f>SUMIFS(PROVEEDORES[[#All],[Total]],
PROVEEDORES[[#All],[Total]],"&gt;0",
PROVEEDORES[[#All],[FECHA DE FACTURACIÓN]],"&gt;="&amp;N$1,
PROVEEDORES[[#All],[FECHA DE FACTURACIÓN]],"&lt;="&amp;EOMONTH(N$1,0),
PROVEEDORES[[#All],[Crédito / Contado]],"Crédito")</f>
        <v>58603588.971138239</v>
      </c>
      <c r="O7" s="83">
        <f>SUMIFS(PROVEEDORES[[#All],[Total]],
PROVEEDORES[[#All],[Total]],"&gt;0",
PROVEEDORES[[#All],[FECHA DE FACTURACIÓN]],"&gt;="&amp;O$1,
PROVEEDORES[[#All],[FECHA DE FACTURACIÓN]],"&lt;="&amp;EOMONTH(O$1,0),
PROVEEDORES[[#All],[Crédito / Contado]],"Crédito")</f>
        <v>82142385.291599989</v>
      </c>
      <c r="P7" s="83">
        <f>SUMIFS(PROVEEDORES[[#All],[Total]],
PROVEEDORES[[#All],[Total]],"&gt;0",
PROVEEDORES[[#All],[FECHA DE FACTURACIÓN]],"&gt;="&amp;P$1,
PROVEEDORES[[#All],[FECHA DE FACTURACIÓN]],"&lt;="&amp;EOMONTH(P$1,0),
PROVEEDORES[[#All],[Crédito / Contado]],"Crédito")</f>
        <v>130977711.93265</v>
      </c>
      <c r="Q7" s="83">
        <f>SUMIFS(PROVEEDORES[[#All],[Total]],
PROVEEDORES[[#All],[Total]],"&gt;0",
PROVEEDORES[[#All],[FECHA DE FACTURACIÓN]],"&gt;="&amp;Q$1,
PROVEEDORES[[#All],[FECHA DE FACTURACIÓN]],"&lt;="&amp;EOMONTH(Q$1,0),
PROVEEDORES[[#All],[Crédito / Contado]],"Crédito")</f>
        <v>112761336.51569</v>
      </c>
      <c r="R7" s="83">
        <f>SUMIFS(PROVEEDORES[[#All],[Total]],
PROVEEDORES[[#All],[Total]],"&gt;0",
PROVEEDORES[[#All],[FECHA DE FACTURACIÓN]],"&gt;="&amp;R$1,
PROVEEDORES[[#All],[FECHA DE FACTURACIÓN]],"&lt;="&amp;EOMONTH(R$1,0),
PROVEEDORES[[#All],[Crédito / Contado]],"Crédito")</f>
        <v>117526652.32390001</v>
      </c>
      <c r="S7" s="83">
        <f>SUMIFS(PROVEEDORES[[#All],[Total]],
PROVEEDORES[[#All],[Total]],"&gt;0",
PROVEEDORES[[#All],[FECHA DE FACTURACIÓN]],"&gt;="&amp;S$1,
PROVEEDORES[[#All],[FECHA DE FACTURACIÓN]],"&lt;="&amp;EOMONTH(S$1,0),
PROVEEDORES[[#All],[Crédito / Contado]],"Crédito")</f>
        <v>161163597.70679995</v>
      </c>
      <c r="T7" s="83">
        <f>SUMIFS(PROVEEDORES[[#All],[Total]],
PROVEEDORES[[#All],[Total]],"&gt;0",
PROVEEDORES[[#All],[FECHA DE FACTURACIÓN]],"&gt;="&amp;T$1,
PROVEEDORES[[#All],[FECHA DE FACTURACIÓN]],"&lt;="&amp;EOMONTH(T$1,0),
PROVEEDORES[[#All],[Crédito / Contado]],"Crédito")</f>
        <v>180316431.31760001</v>
      </c>
      <c r="U7" s="83">
        <f>SUMIFS(PROVEEDORES[[#All],[Total]],
PROVEEDORES[[#All],[Total]],"&gt;0",
PROVEEDORES[[#All],[FECHA DE FACTURACIÓN]],"&gt;="&amp;U$1,
PROVEEDORES[[#All],[FECHA DE FACTURACIÓN]],"&lt;="&amp;EOMONTH(U$1,0),
PROVEEDORES[[#All],[Crédito / Contado]],"Crédito")</f>
        <v>202976524.52379999</v>
      </c>
      <c r="V7" s="83">
        <f>SUMIFS(PROVEEDORES[[#All],[Total]],
PROVEEDORES[[#All],[Total]],"&gt;0",
PROVEEDORES[[#All],[FECHA DE FACTURACIÓN]],"&gt;="&amp;V$1,
PROVEEDORES[[#All],[FECHA DE FACTURACIÓN]],"&lt;="&amp;EOMONTH(V$1,0),
PROVEEDORES[[#All],[Crédito / Contado]],"Crédito")</f>
        <v>135629776.59450001</v>
      </c>
      <c r="W7" s="83">
        <f>SUMIFS(PROVEEDORES[[#All],[Total]],
PROVEEDORES[[#All],[Total]],"&gt;0",
PROVEEDORES[[#All],[FECHA DE FACTURACIÓN]],"&gt;="&amp;W$1,
PROVEEDORES[[#All],[FECHA DE FACTURACIÓN]],"&lt;="&amp;EOMONTH(W$1,0),
PROVEEDORES[[#All],[Crédito / Contado]],"Crédito")</f>
        <v>221895574.40240002</v>
      </c>
      <c r="X7" s="83">
        <f>SUMIFS(PROVEEDORES[[#All],[Total]],
PROVEEDORES[[#All],[Total]],"&gt;0",
PROVEEDORES[[#All],[FECHA DE FACTURACIÓN]],"&gt;="&amp;X$1,
PROVEEDORES[[#All],[FECHA DE FACTURACIÓN]],"&lt;="&amp;EOMONTH(X$1,0),
PROVEEDORES[[#All],[Crédito / Contado]],"Crédito")</f>
        <v>201523745.80985001</v>
      </c>
      <c r="Y7" s="83">
        <f>SUMIFS(PROVEEDORES[[#All],[Total]],
PROVEEDORES[[#All],[Total]],"&gt;0",
PROVEEDORES[[#All],[FECHA DE FACTURACIÓN]],"&gt;="&amp;Y$1,
PROVEEDORES[[#All],[FECHA DE FACTURACIÓN]],"&lt;="&amp;EOMONTH(Y$1,0),
PROVEEDORES[[#All],[Crédito / Contado]],"Crédito")</f>
        <v>334096207.20625001</v>
      </c>
    </row>
    <row r="8" spans="1:25" x14ac:dyDescent="0.25">
      <c r="A8" s="72" t="s">
        <v>397</v>
      </c>
      <c r="B8" s="84">
        <f t="shared" ref="B8:O8" si="0">+B6+B7</f>
        <v>66683488.673319317</v>
      </c>
      <c r="C8" s="84">
        <f t="shared" si="0"/>
        <v>106458577.11831933</v>
      </c>
      <c r="D8" s="84">
        <f t="shared" si="0"/>
        <v>98868988.533361331</v>
      </c>
      <c r="E8" s="84">
        <f t="shared" si="0"/>
        <v>23379886.050714284</v>
      </c>
      <c r="F8" s="84">
        <f t="shared" si="0"/>
        <v>45933461.485924371</v>
      </c>
      <c r="G8" s="84">
        <f t="shared" si="0"/>
        <v>95845649.025546223</v>
      </c>
      <c r="H8" s="84">
        <f t="shared" si="0"/>
        <v>90640009.812352955</v>
      </c>
      <c r="I8" s="84">
        <f t="shared" si="0"/>
        <v>63760665.793991596</v>
      </c>
      <c r="J8" s="84">
        <f t="shared" si="0"/>
        <v>139991883.90289918</v>
      </c>
      <c r="K8" s="84">
        <f t="shared" si="0"/>
        <v>213675424.43092436</v>
      </c>
      <c r="L8" s="84">
        <f t="shared" si="0"/>
        <v>185792301.25612566</v>
      </c>
      <c r="M8" s="84">
        <f t="shared" si="0"/>
        <v>302985389.85449582</v>
      </c>
      <c r="N8" s="84">
        <f t="shared" si="0"/>
        <v>96074354.881138235</v>
      </c>
      <c r="O8" s="84">
        <f t="shared" si="0"/>
        <v>91103385.291599989</v>
      </c>
      <c r="P8" s="84">
        <f t="shared" ref="P8" si="1">+P6+P7</f>
        <v>142900272.69264999</v>
      </c>
      <c r="Q8" s="84">
        <f t="shared" ref="Q8:R8" si="2">+Q6+Q7</f>
        <v>117377796.75568999</v>
      </c>
      <c r="R8" s="84">
        <f t="shared" si="2"/>
        <v>141707975.34390002</v>
      </c>
      <c r="S8" s="84">
        <f t="shared" ref="S8:T8" si="3">+S6+S7</f>
        <v>182446517.74679995</v>
      </c>
      <c r="T8" s="84">
        <f t="shared" si="3"/>
        <v>194097031.31760001</v>
      </c>
      <c r="U8" s="84">
        <f t="shared" ref="U8:V8" si="4">+U6+U7</f>
        <v>237433368.04879999</v>
      </c>
      <c r="V8" s="84">
        <f t="shared" si="4"/>
        <v>149983780.32950002</v>
      </c>
      <c r="W8" s="84">
        <f t="shared" ref="W8:X8" si="5">+W6+W7</f>
        <v>234291424.40240002</v>
      </c>
      <c r="X8" s="84">
        <f t="shared" si="5"/>
        <v>217326785.60985002</v>
      </c>
      <c r="Y8" s="84">
        <f t="shared" ref="Y8" si="6">+Y6+Y7</f>
        <v>357267510.08625001</v>
      </c>
    </row>
    <row r="9" spans="1:25" ht="51" x14ac:dyDescent="0.25">
      <c r="A9" s="71" t="s">
        <v>426</v>
      </c>
      <c r="B9" s="83" t="e">
        <f>+#REF!+#REF!</f>
        <v>#REF!</v>
      </c>
      <c r="C9" s="83" t="e">
        <f>+#REF!+#REF!</f>
        <v>#REF!</v>
      </c>
      <c r="D9" s="83" t="e">
        <f>+#REF!+#REF!</f>
        <v>#REF!</v>
      </c>
      <c r="E9" s="83" t="e">
        <f>+#REF!+#REF!</f>
        <v>#REF!</v>
      </c>
      <c r="F9" s="83" t="e">
        <f>+#REF!+#REF!</f>
        <v>#REF!</v>
      </c>
      <c r="G9" s="83" t="e">
        <f>+#REF!+#REF!</f>
        <v>#REF!</v>
      </c>
      <c r="H9" s="83" t="e">
        <f>+#REF!+#REF!</f>
        <v>#REF!</v>
      </c>
      <c r="I9" s="83" t="e">
        <f>+#REF!+#REF!</f>
        <v>#REF!</v>
      </c>
      <c r="J9" s="83" t="e">
        <f>+#REF!+#REF!</f>
        <v>#REF!</v>
      </c>
      <c r="K9" s="83" t="e">
        <f>+#REF!+#REF!</f>
        <v>#REF!</v>
      </c>
      <c r="L9" s="83" t="e">
        <f>+#REF!+#REF!</f>
        <v>#REF!</v>
      </c>
      <c r="M9" s="83">
        <f t="shared" ref="M9:R9" si="7">+M10+M11</f>
        <v>1624018217.4407952</v>
      </c>
      <c r="N9" s="83">
        <f t="shared" si="7"/>
        <v>1600330396.3085341</v>
      </c>
      <c r="O9" s="83">
        <f t="shared" si="7"/>
        <v>1607441751.2431796</v>
      </c>
      <c r="P9" s="83">
        <f t="shared" si="7"/>
        <v>1557584690.4959841</v>
      </c>
      <c r="Q9" s="83">
        <f t="shared" si="7"/>
        <v>1606610795.2249451</v>
      </c>
      <c r="R9" s="83">
        <f t="shared" si="7"/>
        <v>1594412196.86023</v>
      </c>
      <c r="S9" s="83">
        <f t="shared" ref="S9:T9" si="8">+S10+S11</f>
        <v>1529618065.1859062</v>
      </c>
      <c r="T9" s="83">
        <f t="shared" si="8"/>
        <v>1534508603.3487592</v>
      </c>
      <c r="U9" s="83">
        <f t="shared" ref="U9:V9" si="9">+U10+U11</f>
        <v>1552891169.0336084</v>
      </c>
      <c r="V9" s="83">
        <f t="shared" si="9"/>
        <v>1517684982.4029655</v>
      </c>
      <c r="W9" s="83">
        <f t="shared" ref="W9:X9" si="10">+W10+W11</f>
        <v>1436095636.4342313</v>
      </c>
      <c r="X9" s="83">
        <f t="shared" si="10"/>
        <v>1581012224.374186</v>
      </c>
      <c r="Y9" s="83">
        <f t="shared" ref="Y9" si="11">+Y10+Y11</f>
        <v>1492107580.0391321</v>
      </c>
    </row>
    <row r="10" spans="1:25" ht="30" x14ac:dyDescent="0.25">
      <c r="A10" s="72" t="s">
        <v>398</v>
      </c>
      <c r="B10" s="84">
        <f xml:space="preserve">
SUMIFS(PROVEEDORES[[#All],[Total]],
PROVEEDORES[[#All],[FECHA DE FACTURACIÓN]],"&lt;="&amp;EOMONTH(B$1,0),
PROVEEDORES[[#All],[FECHA DE PAGO]],"")
+
SUMIFS(PROVEEDORES[[#All],[Total]],
PROVEEDORES[[#All],[FECHA DE FACTURACIÓN]],"&lt;="&amp;EOMONTH(B$1,0),
PROVEEDORES[[#All],[FECHA DE PAGO]],"&gt;"&amp;EOMONTH(B$1,0))</f>
        <v>43443333.358193271</v>
      </c>
      <c r="C10" s="84">
        <f xml:space="preserve">
SUMIFS(PROVEEDORES[[#All],[Total]],
PROVEEDORES[[#All],[FECHA DE FACTURACIÓN]],"&lt;="&amp;EOMONTH(C$1,0),
PROVEEDORES[[#All],[FECHA DE PAGO]],"")
+
SUMIFS(PROVEEDORES[[#All],[Total]],
PROVEEDORES[[#All],[FECHA DE FACTURACIÓN]],"&lt;="&amp;EOMONTH(C$1,0),
PROVEEDORES[[#All],[FECHA DE PAGO]],"&gt;"&amp;EOMONTH(C$1,0))</f>
        <v>111478811.49983193</v>
      </c>
      <c r="D10" s="84">
        <f xml:space="preserve">
SUMIFS(PROVEEDORES[[#All],[Total]],
PROVEEDORES[[#All],[FECHA DE FACTURACIÓN]],"&lt;="&amp;EOMONTH(D$1,0),
PROVEEDORES[[#All],[FECHA DE PAGO]],"")
+
SUMIFS(PROVEEDORES[[#All],[Total]],
PROVEEDORES[[#All],[FECHA DE FACTURACIÓN]],"&lt;="&amp;EOMONTH(D$1,0),
PROVEEDORES[[#All],[FECHA DE PAGO]],"&gt;"&amp;EOMONTH(D$1,0))</f>
        <v>136738044.89924371</v>
      </c>
      <c r="E10" s="84">
        <f xml:space="preserve">
SUMIFS(PROVEEDORES[[#All],[Total]],
PROVEEDORES[[#All],[FECHA DE FACTURACIÓN]],"&lt;="&amp;EOMONTH(E$1,0),
PROVEEDORES[[#All],[FECHA DE PAGO]],"")
+
SUMIFS(PROVEEDORES[[#All],[Total]],
PROVEEDORES[[#All],[FECHA DE FACTURACIÓN]],"&lt;="&amp;EOMONTH(E$1,0),
PROVEEDORES[[#All],[FECHA DE PAGO]],"&gt;"&amp;EOMONTH(E$1,0))</f>
        <v>126177628.0467647</v>
      </c>
      <c r="F10" s="84">
        <f xml:space="preserve">
SUMIFS(PROVEEDORES[[#All],[Total]],
PROVEEDORES[[#All],[FECHA DE FACTURACIÓN]],"&lt;="&amp;EOMONTH(F$1,0),
PROVEEDORES[[#All],[FECHA DE PAGO]],"")
+
SUMIFS(PROVEEDORES[[#All],[Total]],
PROVEEDORES[[#All],[FECHA DE FACTURACIÓN]],"&lt;="&amp;EOMONTH(F$1,0),
PROVEEDORES[[#All],[FECHA DE PAGO]],"&gt;"&amp;EOMONTH(F$1,0))</f>
        <v>122988956.75735295</v>
      </c>
      <c r="G10" s="84">
        <f xml:space="preserve">
SUMIFS(PROVEEDORES[[#All],[Total]],
PROVEEDORES[[#All],[FECHA DE FACTURACIÓN]],"&lt;="&amp;EOMONTH(G$1,0),
PROVEEDORES[[#All],[FECHA DE PAGO]],"")
+
SUMIFS(PROVEEDORES[[#All],[Total]],
PROVEEDORES[[#All],[FECHA DE FACTURACIÓN]],"&lt;="&amp;EOMONTH(G$1,0),
PROVEEDORES[[#All],[FECHA DE PAGO]],"&gt;"&amp;EOMONTH(G$1,0))</f>
        <v>122291589.34487395</v>
      </c>
      <c r="H10" s="84">
        <f xml:space="preserve">
SUMIFS(PROVEEDORES[[#All],[Total]],
PROVEEDORES[[#All],[FECHA DE FACTURACIÓN]],"&lt;="&amp;EOMONTH(H$1,0),
PROVEEDORES[[#All],[FECHA DE PAGO]],"")
+
SUMIFS(PROVEEDORES[[#All],[Total]],
PROVEEDORES[[#All],[FECHA DE FACTURACIÓN]],"&lt;="&amp;EOMONTH(H$1,0),
PROVEEDORES[[#All],[FECHA DE PAGO]],"&gt;"&amp;EOMONTH(H$1,0))</f>
        <v>128584909.76445378</v>
      </c>
      <c r="I10" s="84">
        <f xml:space="preserve">
SUMIFS(PROVEEDORES[[#All],[Total]],
PROVEEDORES[[#All],[FECHA DE FACTURACIÓN]],"&lt;="&amp;EOMONTH(I$1,0),
PROVEEDORES[[#All],[FECHA DE PAGO]],"")
+
SUMIFS(PROVEEDORES[[#All],[Total]],
PROVEEDORES[[#All],[FECHA DE FACTURACIÓN]],"&lt;="&amp;EOMONTH(I$1,0),
PROVEEDORES[[#All],[FECHA DE PAGO]],"&gt;"&amp;EOMONTH(I$1,0))</f>
        <v>133056752.80827731</v>
      </c>
      <c r="J10" s="84">
        <f xml:space="preserve">
SUMIFS(PROVEEDORES[[#All],[Total]],
PROVEEDORES[[#All],[FECHA DE FACTURACIÓN]],"&lt;="&amp;EOMONTH(J$1,0),
PROVEEDORES[[#All],[FECHA DE PAGO]],"")
+
SUMIFS(PROVEEDORES[[#All],[Total]],
PROVEEDORES[[#All],[FECHA DE FACTURACIÓN]],"&lt;="&amp;EOMONTH(J$1,0),
PROVEEDORES[[#All],[FECHA DE PAGO]],"&gt;"&amp;EOMONTH(J$1,0))</f>
        <v>169923998.11008406</v>
      </c>
      <c r="K10" s="84">
        <f xml:space="preserve">
SUMIFS(PROVEEDORES[[#All],[Total]],
PROVEEDORES[[#All],[FECHA DE FACTURACIÓN]],"&lt;="&amp;EOMONTH(K$1,0),
PROVEEDORES[[#All],[FECHA DE PAGO]],"")
+
SUMIFS(PROVEEDORES[[#All],[Total]],
PROVEEDORES[[#All],[FECHA DE FACTURACIÓN]],"&lt;="&amp;EOMONTH(K$1,0),
PROVEEDORES[[#All],[FECHA DE PAGO]],"&gt;"&amp;EOMONTH(K$1,0))</f>
        <v>267580406.21399161</v>
      </c>
      <c r="L10" s="84">
        <f xml:space="preserve">
SUMIFS(PROVEEDORES[[#All],[Total]],
PROVEEDORES[[#All],[FECHA DE FACTURACIÓN]],"&lt;="&amp;EOMONTH(L$1,0),
PROVEEDORES[[#All],[FECHA DE PAGO]],"")
+
SUMIFS(PROVEEDORES[[#All],[Total]],
PROVEEDORES[[#All],[FECHA DE FACTURACIÓN]],"&lt;="&amp;EOMONTH(L$1,0),
PROVEEDORES[[#All],[FECHA DE PAGO]],"&gt;"&amp;EOMONTH(L$1,0))</f>
        <v>314934047.44797069</v>
      </c>
      <c r="M10" s="84">
        <f xml:space="preserve">
SUMIFS(PROVEEDORES[[#All],[Total]],
PROVEEDORES[[#All],[FECHA DE FACTURACIÓN]],"&lt;="&amp;EOMONTH(M$1,0),
PROVEEDORES[[#All],[FECHA DE PAGO]],"")
+
SUMIFS(PROVEEDORES[[#All],[Total]],
PROVEEDORES[[#All],[FECHA DE FACTURACIÓN]],"&lt;="&amp;EOMONTH(M$1,0),
PROVEEDORES[[#All],[FECHA DE PAGO]],"&gt;"&amp;EOMONTH(M$1,0))</f>
        <v>241687230.33208823</v>
      </c>
      <c r="N10" s="84">
        <f xml:space="preserve">
SUMIFS(PROVEEDORES[[#All],[Total]],
PROVEEDORES[[#All],[FECHA DE FACTURACIÓN]],"&lt;="&amp;EOMONTH(N$1,0),
PROVEEDORES[[#All],[FECHA DE PAGO]],"")
+
SUMIFS(PROVEEDORES[[#All],[Total]],
PROVEEDORES[[#All],[FECHA DE FACTURACIÓN]],"&lt;="&amp;EOMONTH(N$1,0),
PROVEEDORES[[#All],[FECHA DE PAGO]],"&gt;"&amp;EOMONTH(N$1,0))</f>
        <v>243475563.8238273</v>
      </c>
      <c r="O10" s="84">
        <f xml:space="preserve">
SUMIFS(PROVEEDORES[[#All],[Total]],
PROVEEDORES[[#All],[FECHA DE FACTURACIÓN]],"&lt;="&amp;EOMONTH(O$1,0),
PROVEEDORES[[#All],[FECHA DE PAGO]],"")
+
SUMIFS(PROVEEDORES[[#All],[Total]],
PROVEEDORES[[#All],[FECHA DE FACTURACIÓN]],"&lt;="&amp;EOMONTH(O$1,0),
PROVEEDORES[[#All],[FECHA DE PAGO]],"&gt;"&amp;EOMONTH(O$1,0))</f>
        <v>232592701.13977939</v>
      </c>
      <c r="P10" s="84">
        <f xml:space="preserve">
SUMIFS(PROVEEDORES[[#All],[Total]],
PROVEEDORES[[#All],[FECHA DE FACTURACIÓN]],"&lt;="&amp;EOMONTH(P$1,0),
PROVEEDORES[[#All],[FECHA DE PAGO]],"")
+
SUMIFS(PROVEEDORES[[#All],[Total]],
PROVEEDORES[[#All],[FECHA DE FACTURACIÓN]],"&lt;="&amp;EOMONTH(P$1,0),
PROVEEDORES[[#All],[FECHA DE PAGO]],"&gt;"&amp;EOMONTH(P$1,0))</f>
        <v>207199633.10615</v>
      </c>
      <c r="Q10" s="84">
        <f xml:space="preserve">
SUMIFS(PROVEEDORES[[#All],[Total]],
PROVEEDORES[[#All],[FECHA DE FACTURACIÓN]],"&lt;="&amp;EOMONTH(Q$1,0),
PROVEEDORES[[#All],[FECHA DE PAGO]],"")
+
SUMIFS(PROVEEDORES[[#All],[Total]],
PROVEEDORES[[#All],[FECHA DE FACTURACIÓN]],"&lt;="&amp;EOMONTH(Q$1,0),
PROVEEDORES[[#All],[FECHA DE PAGO]],"&gt;"&amp;EOMONTH(Q$1,0))</f>
        <v>250025168.81891224</v>
      </c>
      <c r="R10" s="84">
        <f xml:space="preserve">
SUMIFS(PROVEEDORES[[#All],[Total]],
PROVEEDORES[[#All],[FECHA DE FACTURACIÓN]],"&lt;="&amp;EOMONTH(R$1,0),
PROVEEDORES[[#All],[FECHA DE PAGO]],"")
+
SUMIFS(PROVEEDORES[[#All],[Total]],
PROVEEDORES[[#All],[FECHA DE FACTURACIÓN]],"&lt;="&amp;EOMONTH(R$1,0),
PROVEEDORES[[#All],[FECHA DE PAGO]],"&gt;"&amp;EOMONTH(R$1,0))</f>
        <v>224313718.49067223</v>
      </c>
      <c r="S10" s="84">
        <f xml:space="preserve">
SUMIFS(PROVEEDORES[[#All],[Total]],
PROVEEDORES[[#All],[FECHA DE FACTURACIÓN]],"&lt;="&amp;EOMONTH(S$1,0),
PROVEEDORES[[#All],[FECHA DE PAGO]],"")
+
SUMIFS(PROVEEDORES[[#All],[Total]],
PROVEEDORES[[#All],[FECHA DE FACTURACIÓN]],"&lt;="&amp;EOMONTH(S$1,0),
PROVEEDORES[[#All],[FECHA DE PAGO]],"&gt;"&amp;EOMONTH(S$1,0))</f>
        <v>199277163.68060002</v>
      </c>
      <c r="T10" s="84">
        <f xml:space="preserve">
SUMIFS(PROVEEDORES[[#All],[Total]],
PROVEEDORES[[#All],[FECHA DE FACTURACIÓN]],"&lt;="&amp;EOMONTH(T$1,0),
PROVEEDORES[[#All],[FECHA DE PAGO]],"")
+
SUMIFS(PROVEEDORES[[#All],[Total]],
PROVEEDORES[[#All],[FECHA DE FACTURACIÓN]],"&lt;="&amp;EOMONTH(T$1,0),
PROVEEDORES[[#All],[FECHA DE PAGO]],"&gt;"&amp;EOMONTH(T$1,0))</f>
        <v>238036929.62380004</v>
      </c>
      <c r="U10" s="84">
        <f xml:space="preserve">
SUMIFS(PROVEEDORES[[#All],[Total]],
PROVEEDORES[[#All],[FECHA DE FACTURACIÓN]],"&lt;="&amp;EOMONTH(U$1,0),
PROVEEDORES[[#All],[FECHA DE PAGO]],"")
+
SUMIFS(PROVEEDORES[[#All],[Total]],
PROVEEDORES[[#All],[FECHA DE FACTURACIÓN]],"&lt;="&amp;EOMONTH(U$1,0),
PROVEEDORES[[#All],[FECHA DE PAGO]],"&gt;"&amp;EOMONTH(U$1,0))</f>
        <v>288947603.74290001</v>
      </c>
      <c r="V10" s="84">
        <f xml:space="preserve">
SUMIFS(PROVEEDORES[[#All],[Total]],
PROVEEDORES[[#All],[FECHA DE FACTURACIÓN]],"&lt;="&amp;EOMONTH(V$1,0),
PROVEEDORES[[#All],[FECHA DE PAGO]],"")
+
SUMIFS(PROVEEDORES[[#All],[Total]],
PROVEEDORES[[#All],[FECHA DE FACTURACIÓN]],"&lt;="&amp;EOMONTH(V$1,0),
PROVEEDORES[[#All],[FECHA DE PAGO]],"&gt;"&amp;EOMONTH(V$1,0))</f>
        <v>299569745.12145001</v>
      </c>
      <c r="W10" s="84">
        <f xml:space="preserve">
SUMIFS(PROVEEDORES[[#All],[Total]],
PROVEEDORES[[#All],[FECHA DE FACTURACIÓN]],"&lt;="&amp;EOMONTH(W$1,0),
PROVEEDORES[[#All],[FECHA DE PAGO]],"")
+
SUMIFS(PROVEEDORES[[#All],[Total]],
PROVEEDORES[[#All],[FECHA DE FACTURACIÓN]],"&lt;="&amp;EOMONTH(W$1,0),
PROVEEDORES[[#All],[FECHA DE PAGO]],"&gt;"&amp;EOMONTH(W$1,0))</f>
        <v>266487362.95570004</v>
      </c>
      <c r="X10" s="84">
        <f xml:space="preserve">
SUMIFS(PROVEEDORES[[#All],[Total]],
PROVEEDORES[[#All],[FECHA DE FACTURACIÓN]],"&lt;="&amp;EOMONTH(X$1,0),
PROVEEDORES[[#All],[FECHA DE PAGO]],"")
+
SUMIFS(PROVEEDORES[[#All],[Total]],
PROVEEDORES[[#All],[FECHA DE FACTURACIÓN]],"&lt;="&amp;EOMONTH(X$1,0),
PROVEEDORES[[#All],[FECHA DE PAGO]],"&gt;"&amp;EOMONTH(X$1,0))</f>
        <v>321601088.28305</v>
      </c>
      <c r="Y10" s="84">
        <f xml:space="preserve">
SUMIFS(PROVEEDORES[[#All],[Total]],
PROVEEDORES[[#All],[FECHA DE FACTURACIÓN]],"&lt;="&amp;EOMONTH(Y$1,0),
PROVEEDORES[[#All],[FECHA DE PAGO]],"")
+
SUMIFS(PROVEEDORES[[#All],[Total]],
PROVEEDORES[[#All],[FECHA DE FACTURACIÓN]],"&lt;="&amp;EOMONTH(Y$1,0),
PROVEEDORES[[#All],[FECHA DE PAGO]],"&gt;"&amp;EOMONTH(Y$1,0))</f>
        <v>280441358.88905001</v>
      </c>
    </row>
    <row r="11" spans="1:25" ht="45" x14ac:dyDescent="0.25">
      <c r="A11" s="71" t="s">
        <v>399</v>
      </c>
      <c r="B11" s="83">
        <f>ABS(SUMIFS(FINANCIACION[$ CAPITAL],
FINANCIACION[Fecha],"&lt;="&amp;EOMONTH(B$1,0)))</f>
        <v>1196768552.7708831</v>
      </c>
      <c r="C11" s="83">
        <f>ABS(SUMIFS(FINANCIACION[$ CAPITAL],
FINANCIACION[Fecha],"&lt;="&amp;EOMONTH(C$1,0)))</f>
        <v>1259012780.0091403</v>
      </c>
      <c r="D11" s="83">
        <f>ABS(SUMIFS(FINANCIACION[$ CAPITAL],
FINANCIACION[Fecha],"&lt;="&amp;EOMONTH(D$1,0)))</f>
        <v>1316026921.8659997</v>
      </c>
      <c r="E11" s="83">
        <f>ABS(SUMIFS(FINANCIACION[$ CAPITAL],
FINANCIACION[Fecha],"&lt;="&amp;EOMONTH(E$1,0)))</f>
        <v>1312762870.8659997</v>
      </c>
      <c r="F11" s="83">
        <f>ABS(SUMIFS(FINANCIACION[$ CAPITAL],
FINANCIACION[Fecha],"&lt;="&amp;EOMONTH(F$1,0)))</f>
        <v>1365235736.8659997</v>
      </c>
      <c r="G11" s="83">
        <f>ABS(SUMIFS(FINANCIACION[$ CAPITAL],
FINANCIACION[Fecha],"&lt;="&amp;EOMONTH(G$1,0)))</f>
        <v>1559192412.6159997</v>
      </c>
      <c r="H11" s="83">
        <f>ABS(SUMIFS(FINANCIACION[$ CAPITAL],
FINANCIACION[Fecha],"&lt;="&amp;EOMONTH(H$1,0)))</f>
        <v>1407944470.0659997</v>
      </c>
      <c r="I11" s="83">
        <f>ABS(SUMIFS(FINANCIACION[$ CAPITAL],
FINANCIACION[Fecha],"&lt;="&amp;EOMONTH(I$1,0)))</f>
        <v>1392599219.5359998</v>
      </c>
      <c r="J11" s="83">
        <f>ABS(SUMIFS(FINANCIACION[$ CAPITAL],
FINANCIACION[Fecha],"&lt;="&amp;EOMONTH(J$1,0)))</f>
        <v>1462720340.9999998</v>
      </c>
      <c r="K11" s="83">
        <f>ABS(SUMIFS(FINANCIACION[$ CAPITAL],
FINANCIACION[Fecha],"&lt;="&amp;EOMONTH(K$1,0)))</f>
        <v>1428196612.0399995</v>
      </c>
      <c r="L11" s="83">
        <f>ABS(SUMIFS(FINANCIACION[$ CAPITAL],
FINANCIACION[Fecha],"&lt;="&amp;EOMONTH(L$1,0)))</f>
        <v>1412794436.3800004</v>
      </c>
      <c r="M11" s="83">
        <f>ABS(SUMIFS(FINANCIACION[$ CAPITAL],
FINANCIACION[Fecha],"&lt;="&amp;EOMONTH(M$1,0)))</f>
        <v>1382330987.108707</v>
      </c>
      <c r="N11" s="83">
        <f>ABS(SUMIFS(FINANCIACION[$ CAPITAL],
FINANCIACION[Fecha],"&lt;="&amp;EOMONTH(N$1,0)))</f>
        <v>1356854832.4847069</v>
      </c>
      <c r="O11" s="83">
        <f>ABS(SUMIFS(FINANCIACION[$ CAPITAL],
FINANCIACION[Fecha],"&lt;="&amp;EOMONTH(O$1,0)))</f>
        <v>1374849050.1034002</v>
      </c>
      <c r="P11" s="83">
        <f>ABS(SUMIFS(FINANCIACION[$ CAPITAL],
FINANCIACION[Fecha],"&lt;="&amp;EOMONTH(P$1,0)))</f>
        <v>1350385057.3898342</v>
      </c>
      <c r="Q11" s="83">
        <f>ABS(SUMIFS(FINANCIACION[$ CAPITAL],
FINANCIACION[Fecha],"&lt;="&amp;EOMONTH(Q$1,0)))</f>
        <v>1356585626.4060328</v>
      </c>
      <c r="R11" s="83">
        <f>ABS(SUMIFS(FINANCIACION[$ CAPITAL],
FINANCIACION[Fecha],"&lt;="&amp;EOMONTH(R$1,0)))</f>
        <v>1370098478.3695579</v>
      </c>
      <c r="S11" s="83">
        <f>ABS(SUMIFS(FINANCIACION[$ CAPITAL],
FINANCIACION[Fecha],"&lt;="&amp;EOMONTH(S$1,0)))</f>
        <v>1330340901.5053062</v>
      </c>
      <c r="T11" s="83">
        <f>ABS(SUMIFS(FINANCIACION[$ CAPITAL],
FINANCIACION[Fecha],"&lt;="&amp;EOMONTH(T$1,0)))</f>
        <v>1296471673.7249591</v>
      </c>
      <c r="U11" s="83">
        <f>ABS(SUMIFS(FINANCIACION[$ CAPITAL],
FINANCIACION[Fecha],"&lt;="&amp;EOMONTH(U$1,0)))</f>
        <v>1263943565.2907085</v>
      </c>
      <c r="V11" s="83">
        <f>ABS(SUMIFS(FINANCIACION[$ CAPITAL],
FINANCIACION[Fecha],"&lt;="&amp;EOMONTH(V$1,0)))</f>
        <v>1218115237.2815156</v>
      </c>
      <c r="W11" s="83">
        <f>ABS(SUMIFS(FINANCIACION[$ CAPITAL],
FINANCIACION[Fecha],"&lt;="&amp;EOMONTH(W$1,0)))</f>
        <v>1169608273.4785314</v>
      </c>
      <c r="X11" s="83">
        <f>ABS(SUMIFS(FINANCIACION[$ CAPITAL],
FINANCIACION[Fecha],"&lt;="&amp;EOMONTH(X$1,0)))</f>
        <v>1259411136.091136</v>
      </c>
      <c r="Y11" s="83">
        <f>ABS(SUMIFS(FINANCIACION[$ CAPITAL],
FINANCIACION[Fecha],"&lt;="&amp;EOMONTH(Y$1,0)))</f>
        <v>1211666221.1500821</v>
      </c>
    </row>
    <row r="12" spans="1:25" x14ac:dyDescent="0.25">
      <c r="A12" s="72" t="s">
        <v>400</v>
      </c>
      <c r="B12" s="84">
        <f t="shared" ref="B12:M12" si="12">+SUM(B20:B25)</f>
        <v>0</v>
      </c>
      <c r="C12" s="84">
        <f t="shared" si="12"/>
        <v>0</v>
      </c>
      <c r="D12" s="84">
        <f t="shared" si="12"/>
        <v>0</v>
      </c>
      <c r="E12" s="84">
        <f t="shared" si="12"/>
        <v>0</v>
      </c>
      <c r="F12" s="84">
        <f t="shared" si="12"/>
        <v>0</v>
      </c>
      <c r="G12" s="84">
        <f t="shared" si="12"/>
        <v>0</v>
      </c>
      <c r="H12" s="84">
        <f t="shared" si="12"/>
        <v>0</v>
      </c>
      <c r="I12" s="84">
        <f t="shared" si="12"/>
        <v>0</v>
      </c>
      <c r="J12" s="84">
        <f t="shared" si="12"/>
        <v>0</v>
      </c>
      <c r="K12" s="84">
        <f t="shared" si="12"/>
        <v>0</v>
      </c>
      <c r="L12" s="84">
        <f t="shared" si="12"/>
        <v>0</v>
      </c>
      <c r="M12" s="84">
        <f t="shared" si="12"/>
        <v>0</v>
      </c>
      <c r="N12" s="84">
        <f t="shared" ref="N12:S12" si="13">+SUM(N20:N25)</f>
        <v>16130516.710000003</v>
      </c>
      <c r="O12" s="84">
        <f t="shared" si="13"/>
        <v>31295149.129999999</v>
      </c>
      <c r="P12" s="84">
        <f t="shared" si="13"/>
        <v>-7095403.9099999992</v>
      </c>
      <c r="Q12" s="84">
        <f t="shared" si="13"/>
        <v>13223260.26</v>
      </c>
      <c r="R12" s="84">
        <f t="shared" si="13"/>
        <v>13564187.379999999</v>
      </c>
      <c r="S12" s="84">
        <f t="shared" si="13"/>
        <v>2097486.7599999998</v>
      </c>
      <c r="T12" s="84">
        <f t="shared" ref="T12:U12" si="14">+SUM(T20:T25)</f>
        <v>5063939.5599999996</v>
      </c>
      <c r="U12" s="84">
        <f t="shared" si="14"/>
        <v>18165497.169999998</v>
      </c>
      <c r="V12" s="84">
        <f t="shared" ref="V12:W12" si="15">+SUM(V20:V25)</f>
        <v>5767101.4399999995</v>
      </c>
      <c r="W12" s="84">
        <f t="shared" si="15"/>
        <v>8248131.7599999998</v>
      </c>
      <c r="X12" s="84">
        <f t="shared" ref="X12:Y12" si="16">+SUM(X20:X25)</f>
        <v>76976155.230000004</v>
      </c>
      <c r="Y12" s="84">
        <f t="shared" si="16"/>
        <v>59937241.790000007</v>
      </c>
    </row>
    <row r="13" spans="1:25" ht="30" x14ac:dyDescent="0.25">
      <c r="A13" s="71" t="s">
        <v>401</v>
      </c>
      <c r="B13" s="83">
        <f t="shared" ref="B13:M13" si="17">+SUM(B20:B27)</f>
        <v>0</v>
      </c>
      <c r="C13" s="83">
        <f t="shared" si="17"/>
        <v>0</v>
      </c>
      <c r="D13" s="83">
        <f t="shared" si="17"/>
        <v>0</v>
      </c>
      <c r="E13" s="83">
        <f t="shared" si="17"/>
        <v>0</v>
      </c>
      <c r="F13" s="83">
        <f t="shared" si="17"/>
        <v>0</v>
      </c>
      <c r="G13" s="83">
        <f t="shared" si="17"/>
        <v>0</v>
      </c>
      <c r="H13" s="83">
        <f t="shared" si="17"/>
        <v>0</v>
      </c>
      <c r="I13" s="83">
        <f t="shared" si="17"/>
        <v>0</v>
      </c>
      <c r="J13" s="83">
        <f t="shared" si="17"/>
        <v>0</v>
      </c>
      <c r="K13" s="83">
        <f t="shared" si="17"/>
        <v>0</v>
      </c>
      <c r="L13" s="83">
        <f t="shared" si="17"/>
        <v>0</v>
      </c>
      <c r="M13" s="83">
        <f t="shared" si="17"/>
        <v>0</v>
      </c>
      <c r="N13" s="83">
        <f t="shared" ref="N13:S13" si="18">+SUM(N20:N27)</f>
        <v>34960056.5</v>
      </c>
      <c r="O13" s="83">
        <f t="shared" si="18"/>
        <v>44502842.549999997</v>
      </c>
      <c r="P13" s="83">
        <f t="shared" si="18"/>
        <v>3632796.0900000008</v>
      </c>
      <c r="Q13" s="83">
        <f t="shared" si="18"/>
        <v>13325447.279999999</v>
      </c>
      <c r="R13" s="83">
        <f t="shared" si="18"/>
        <v>24355059.559999999</v>
      </c>
      <c r="S13" s="83">
        <f t="shared" si="18"/>
        <v>8389609.6699999999</v>
      </c>
      <c r="T13" s="83">
        <f t="shared" ref="T13:U13" si="19">+SUM(T20:T27)</f>
        <v>13815785.92</v>
      </c>
      <c r="U13" s="83">
        <f t="shared" si="19"/>
        <v>26673509.119999997</v>
      </c>
      <c r="V13" s="83">
        <f t="shared" ref="V13:W13" si="20">+SUM(V20:V27)</f>
        <v>23882286.719999999</v>
      </c>
      <c r="W13" s="83">
        <f t="shared" si="20"/>
        <v>22564178.699999999</v>
      </c>
      <c r="X13" s="83">
        <f t="shared" ref="X13:Y13" si="21">+SUM(X20:X27)</f>
        <v>90725734.730000004</v>
      </c>
      <c r="Y13" s="83">
        <f t="shared" si="21"/>
        <v>104524152.60000001</v>
      </c>
    </row>
    <row r="14" spans="1:25" x14ac:dyDescent="0.25">
      <c r="A14" s="72" t="s">
        <v>402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149">
        <v>100338952</v>
      </c>
      <c r="V14" s="149">
        <v>100158475</v>
      </c>
      <c r="W14" s="149"/>
      <c r="X14" s="149"/>
      <c r="Y14" s="149"/>
    </row>
    <row r="15" spans="1:25" x14ac:dyDescent="0.25">
      <c r="A15" s="71" t="s">
        <v>403</v>
      </c>
      <c r="B15" s="83">
        <f xml:space="preserve">
SUMIFS(PROVEEDORES[[#All],[Descuento sobre subtotal $]],
PROVEEDORES[[#All],[FECHA DE PAGO]],"&gt;="&amp;B$1,
PROVEEDORES[[#All],[FECHA DE PAGO]],"&lt;="&amp;EOMONTH(B$1,0))
+
SUMIFS(GASTOS[[#All],[Descuento sobre subtotal $]],
GASTOS[[#All],[FECHA DE pago]],"&gt;="&amp;B$1,
GASTOS[[#All],[FECHA DE pago]],"&lt;="&amp;EOMONTH(B$1,0))</f>
        <v>0</v>
      </c>
      <c r="C15" s="83">
        <f xml:space="preserve">
SUMIFS(PROVEEDORES[[#All],[Descuento sobre subtotal $]],
PROVEEDORES[[#All],[FECHA DE PAGO]],"&gt;="&amp;C$1,
PROVEEDORES[[#All],[FECHA DE PAGO]],"&lt;="&amp;EOMONTH(C$1,0))
+
SUMIFS(GASTOS[[#All],[Descuento sobre subtotal $]],
GASTOS[[#All],[FECHA DE pago]],"&gt;="&amp;C$1,
GASTOS[[#All],[FECHA DE pago]],"&lt;="&amp;EOMONTH(C$1,0))</f>
        <v>0</v>
      </c>
      <c r="D15" s="83">
        <f xml:space="preserve">
SUMIFS(PROVEEDORES[[#All],[Descuento sobre subtotal $]],
PROVEEDORES[[#All],[FECHA DE PAGO]],"&gt;="&amp;D$1,
PROVEEDORES[[#All],[FECHA DE PAGO]],"&lt;="&amp;EOMONTH(D$1,0))
+
SUMIFS(GASTOS[[#All],[Descuento sobre subtotal $]],
GASTOS[[#All],[FECHA DE pago]],"&gt;="&amp;D$1,
GASTOS[[#All],[FECHA DE pago]],"&lt;="&amp;EOMONTH(D$1,0))</f>
        <v>0</v>
      </c>
      <c r="E15" s="83">
        <f xml:space="preserve">
SUMIFS(PROVEEDORES[[#All],[Descuento sobre subtotal $]],
PROVEEDORES[[#All],[FECHA DE PAGO]],"&gt;="&amp;E$1,
PROVEEDORES[[#All],[FECHA DE PAGO]],"&lt;="&amp;EOMONTH(E$1,0))
+
SUMIFS(GASTOS[[#All],[Descuento sobre subtotal $]],
GASTOS[[#All],[FECHA DE pago]],"&gt;="&amp;E$1,
GASTOS[[#All],[FECHA DE pago]],"&lt;="&amp;EOMONTH(E$1,0))</f>
        <v>0</v>
      </c>
      <c r="F15" s="83">
        <f xml:space="preserve">
SUMIFS(PROVEEDORES[[#All],[Descuento sobre subtotal $]],
PROVEEDORES[[#All],[FECHA DE PAGO]],"&gt;="&amp;F$1,
PROVEEDORES[[#All],[FECHA DE PAGO]],"&lt;="&amp;EOMONTH(F$1,0))
+
SUMIFS(GASTOS[[#All],[Descuento sobre subtotal $]],
GASTOS[[#All],[FECHA DE pago]],"&gt;="&amp;F$1,
GASTOS[[#All],[FECHA DE pago]],"&lt;="&amp;EOMONTH(F$1,0))</f>
        <v>0</v>
      </c>
      <c r="G15" s="83">
        <f xml:space="preserve">
SUMIFS(PROVEEDORES[[#All],[Descuento sobre subtotal $]],
PROVEEDORES[[#All],[FECHA DE PAGO]],"&gt;="&amp;G$1,
PROVEEDORES[[#All],[FECHA DE PAGO]],"&lt;="&amp;EOMONTH(G$1,0))
+
SUMIFS(GASTOS[[#All],[Descuento sobre subtotal $]],
GASTOS[[#All],[FECHA DE pago]],"&gt;="&amp;G$1,
GASTOS[[#All],[FECHA DE pago]],"&lt;="&amp;EOMONTH(G$1,0))</f>
        <v>569820</v>
      </c>
      <c r="H15" s="83">
        <f xml:space="preserve">
SUMIFS(PROVEEDORES[[#All],[Descuento sobre subtotal $]],
PROVEEDORES[[#All],[FECHA DE PAGO]],"&gt;="&amp;H$1,
PROVEEDORES[[#All],[FECHA DE PAGO]],"&lt;="&amp;EOMONTH(H$1,0))
+
SUMIFS(GASTOS[[#All],[Descuento sobre subtotal $]],
GASTOS[[#All],[FECHA DE pago]],"&gt;="&amp;H$1,
GASTOS[[#All],[FECHA DE pago]],"&lt;="&amp;EOMONTH(H$1,0))</f>
        <v>0</v>
      </c>
      <c r="I15" s="83">
        <f xml:space="preserve">
SUMIFS(PROVEEDORES[[#All],[Descuento sobre subtotal $]],
PROVEEDORES[[#All],[FECHA DE PAGO]],"&gt;="&amp;I$1,
PROVEEDORES[[#All],[FECHA DE PAGO]],"&lt;="&amp;EOMONTH(I$1,0))
+
SUMIFS(GASTOS[[#All],[Descuento sobre subtotal $]],
GASTOS[[#All],[FECHA DE pago]],"&gt;="&amp;I$1,
GASTOS[[#All],[FECHA DE pago]],"&lt;="&amp;EOMONTH(I$1,0))</f>
        <v>0</v>
      </c>
      <c r="J15" s="83">
        <f xml:space="preserve">
SUMIFS(PROVEEDORES[[#All],[Descuento sobre subtotal $]],
PROVEEDORES[[#All],[FECHA DE PAGO]],"&gt;="&amp;J$1,
PROVEEDORES[[#All],[FECHA DE PAGO]],"&lt;="&amp;EOMONTH(J$1,0))
+
SUMIFS(GASTOS[[#All],[Descuento sobre subtotal $]],
GASTOS[[#All],[FECHA DE pago]],"&gt;="&amp;J$1,
GASTOS[[#All],[FECHA DE pago]],"&lt;="&amp;EOMONTH(J$1,0))</f>
        <v>1029200</v>
      </c>
      <c r="K15" s="83">
        <f xml:space="preserve">
SUMIFS(PROVEEDORES[[#All],[Descuento sobre subtotal $]],
PROVEEDORES[[#All],[FECHA DE PAGO]],"&gt;="&amp;K$1,
PROVEEDORES[[#All],[FECHA DE PAGO]],"&lt;="&amp;EOMONTH(K$1,0))
+
SUMIFS(GASTOS[[#All],[Descuento sobre subtotal $]],
GASTOS[[#All],[FECHA DE pago]],"&gt;="&amp;K$1,
GASTOS[[#All],[FECHA DE pago]],"&lt;="&amp;EOMONTH(K$1,0))</f>
        <v>0</v>
      </c>
      <c r="L15" s="83">
        <f xml:space="preserve">
SUMIFS(PROVEEDORES[[#All],[Descuento sobre subtotal $]],
PROVEEDORES[[#All],[FECHA DE PAGO]],"&gt;="&amp;L$1,
PROVEEDORES[[#All],[FECHA DE PAGO]],"&lt;="&amp;EOMONTH(L$1,0))
+
SUMIFS(GASTOS[[#All],[Descuento sobre subtotal $]],
GASTOS[[#All],[FECHA DE pago]],"&gt;="&amp;L$1,
GASTOS[[#All],[FECHA DE pago]],"&lt;="&amp;EOMONTH(L$1,0))</f>
        <v>1649290.2139037442</v>
      </c>
      <c r="M15" s="83">
        <f xml:space="preserve">
SUMIFS(PROVEEDORES[[#All],[Descuento sobre subtotal $]],
PROVEEDORES[[#All],[FECHA DE PAGO]],"&gt;="&amp;M$1,
PROVEEDORES[[#All],[FECHA DE PAGO]],"&lt;="&amp;EOMONTH(M$1,0))
+
SUMIFS(GASTOS[[#All],[Descuento sobre subtotal $]],
GASTOS[[#All],[FECHA DE pago]],"&gt;="&amp;M$1,
GASTOS[[#All],[FECHA DE pago]],"&lt;="&amp;EOMONTH(M$1,0))</f>
        <v>4121739.8000000003</v>
      </c>
      <c r="N15" s="83">
        <f xml:space="preserve">
SUMIFS(PROVEEDORES[[#All],[Descuento sobre subtotal $]],
PROVEEDORES[[#All],[FECHA DE PAGO]],"&gt;="&amp;N$1,
PROVEEDORES[[#All],[FECHA DE PAGO]],"&lt;="&amp;EOMONTH(N$1,0))
+
SUMIFS(GASTOS[[#All],[Descuento sobre subtotal $]],
GASTOS[[#All],[FECHA DE pago]],"&gt;="&amp;N$1,
GASTOS[[#All],[FECHA DE pago]],"&lt;="&amp;EOMONTH(N$1,0))</f>
        <v>0</v>
      </c>
      <c r="O15" s="83">
        <f xml:space="preserve">
SUMIFS(PROVEEDORES[[#All],[Descuento sobre subtotal $]],
PROVEEDORES[[#All],[FECHA DE PAGO]],"&gt;="&amp;O$1,
PROVEEDORES[[#All],[FECHA DE PAGO]],"&lt;="&amp;EOMONTH(O$1,0))
+
SUMIFS(GASTOS[[#All],[Descuento sobre subtotal $]],
GASTOS[[#All],[FECHA DE pago]],"&gt;="&amp;O$1,
GASTOS[[#All],[FECHA DE pago]],"&lt;="&amp;EOMONTH(O$1,0))</f>
        <v>724887.87999999989</v>
      </c>
      <c r="P15" s="83">
        <f xml:space="preserve">
SUMIFS(PROVEEDORES[[#All],[Descuento sobre subtotal $]],
PROVEEDORES[[#All],[FECHA DE PAGO]],"&gt;="&amp;P$1,
PROVEEDORES[[#All],[FECHA DE PAGO]],"&lt;="&amp;EOMONTH(P$1,0))
+
SUMIFS(GASTOS[[#All],[Descuento sobre subtotal $]],
GASTOS[[#All],[FECHA DE pago]],"&gt;="&amp;P$1,
GASTOS[[#All],[FECHA DE pago]],"&lt;="&amp;EOMONTH(P$1,0))</f>
        <v>716308</v>
      </c>
      <c r="Q15" s="83">
        <f xml:space="preserve">
SUMIFS(PROVEEDORES[[#All],[Descuento sobre subtotal $]],
PROVEEDORES[[#All],[FECHA DE PAGO]],"&gt;="&amp;Q$1,
PROVEEDORES[[#All],[FECHA DE PAGO]],"&lt;="&amp;EOMONTH(Q$1,0))
+
SUMIFS(GASTOS[[#All],[Descuento sobre subtotal $]],
GASTOS[[#All],[FECHA DE pago]],"&gt;="&amp;Q$1,
GASTOS[[#All],[FECHA DE pago]],"&lt;="&amp;EOMONTH(Q$1,0))</f>
        <v>817287.1</v>
      </c>
      <c r="R15" s="83">
        <f xml:space="preserve">
SUMIFS(PROVEEDORES[[#All],[Descuento sobre subtotal $]],
PROVEEDORES[[#All],[FECHA DE PAGO]],"&gt;="&amp;R$1,
PROVEEDORES[[#All],[FECHA DE PAGO]],"&lt;="&amp;EOMONTH(R$1,0))
+
SUMIFS(GASTOS[[#All],[Descuento sobre subtotal $]],
GASTOS[[#All],[FECHA DE pago]],"&gt;="&amp;R$1,
GASTOS[[#All],[FECHA DE pago]],"&lt;="&amp;EOMONTH(R$1,0))</f>
        <v>219730.05</v>
      </c>
      <c r="S15" s="83">
        <f xml:space="preserve">
SUMIFS(PROVEEDORES[[#All],[Descuento sobre subtotal $]],
PROVEEDORES[[#All],[FECHA DE PAGO]],"&gt;="&amp;S$1,
PROVEEDORES[[#All],[FECHA DE PAGO]],"&lt;="&amp;EOMONTH(S$1,0))
+
SUMIFS(GASTOS[[#All],[Descuento sobre subtotal $]],
GASTOS[[#All],[FECHA DE pago]],"&gt;="&amp;S$1,
GASTOS[[#All],[FECHA DE pago]],"&lt;="&amp;EOMONTH(S$1,0))</f>
        <v>218173</v>
      </c>
      <c r="T15" s="83">
        <f xml:space="preserve">
SUMIFS(PROVEEDORES[[#All],[Descuento sobre subtotal $]],
PROVEEDORES[[#All],[FECHA DE PAGO]],"&gt;="&amp;T$1,
PROVEEDORES[[#All],[FECHA DE PAGO]],"&lt;="&amp;EOMONTH(T$1,0))
+
SUMIFS(GASTOS[[#All],[Descuento sobre subtotal $]],
GASTOS[[#All],[FECHA DE pago]],"&gt;="&amp;T$1,
GASTOS[[#All],[FECHA DE pago]],"&lt;="&amp;EOMONTH(T$1,0))</f>
        <v>198021.46</v>
      </c>
      <c r="U15" s="83">
        <f xml:space="preserve">
SUMIFS(PROVEEDORES[[#All],[Descuento sobre subtotal $]],
PROVEEDORES[[#All],[FECHA DE PAGO]],"&gt;="&amp;U$1,
PROVEEDORES[[#All],[FECHA DE PAGO]],"&lt;="&amp;EOMONTH(U$1,0))
+
SUMIFS(GASTOS[[#All],[Descuento sobre subtotal $]],
GASTOS[[#All],[FECHA DE pago]],"&gt;="&amp;U$1,
GASTOS[[#All],[FECHA DE pago]],"&lt;="&amp;EOMONTH(U$1,0))</f>
        <v>2342642.77</v>
      </c>
      <c r="V15" s="83">
        <f xml:space="preserve">
SUMIFS(PROVEEDORES[[#All],[Descuento sobre subtotal $]],
PROVEEDORES[[#All],[FECHA DE PAGO]],"&gt;="&amp;V$1,
PROVEEDORES[[#All],[FECHA DE PAGO]],"&lt;="&amp;EOMONTH(V$1,0))
+
SUMIFS(GASTOS[[#All],[Descuento sobre subtotal $]],
GASTOS[[#All],[FECHA DE pago]],"&gt;="&amp;V$1,
GASTOS[[#All],[FECHA DE pago]],"&lt;="&amp;EOMONTH(V$1,0))</f>
        <v>1020596.1700000004</v>
      </c>
      <c r="W15" s="83">
        <f xml:space="preserve">
SUMIFS(PROVEEDORES[[#All],[Descuento sobre subtotal $]],
PROVEEDORES[[#All],[FECHA DE PAGO]],"&gt;="&amp;W$1,
PROVEEDORES[[#All],[FECHA DE PAGO]],"&lt;="&amp;EOMONTH(W$1,0))
+
SUMIFS(GASTOS[[#All],[Descuento sobre subtotal $]],
GASTOS[[#All],[FECHA DE pago]],"&gt;="&amp;W$1,
GASTOS[[#All],[FECHA DE pago]],"&lt;="&amp;EOMONTH(W$1,0))</f>
        <v>130361.77</v>
      </c>
      <c r="X15" s="83">
        <f xml:space="preserve">
SUMIFS(PROVEEDORES[[#All],[Descuento sobre subtotal $]],
PROVEEDORES[[#All],[FECHA DE PAGO]],"&gt;="&amp;X$1,
PROVEEDORES[[#All],[FECHA DE PAGO]],"&lt;="&amp;EOMONTH(X$1,0))
+
SUMIFS(GASTOS[[#All],[Descuento sobre subtotal $]],
GASTOS[[#All],[FECHA DE pago]],"&gt;="&amp;X$1,
GASTOS[[#All],[FECHA DE pago]],"&lt;="&amp;EOMONTH(X$1,0))</f>
        <v>125150.08</v>
      </c>
      <c r="Y15" s="83">
        <f xml:space="preserve">
SUMIFS(PROVEEDORES[[#All],[Descuento sobre subtotal $]],
PROVEEDORES[[#All],[FECHA DE PAGO]],"&gt;="&amp;Y$1,
PROVEEDORES[[#All],[FECHA DE PAGO]],"&lt;="&amp;EOMONTH(Y$1,0))
+
SUMIFS(GASTOS[[#All],[Descuento sobre subtotal $]],
GASTOS[[#All],[FECHA DE pago]],"&gt;="&amp;Y$1,
GASTOS[[#All],[FECHA DE pago]],"&lt;="&amp;EOMONTH(Y$1,0))</f>
        <v>3179249.4</v>
      </c>
    </row>
    <row r="16" spans="1:25" ht="30" x14ac:dyDescent="0.25">
      <c r="A16" s="72" t="s">
        <v>404</v>
      </c>
      <c r="B16" s="84">
        <f xml:space="preserve">
SUMIFS(PROVEEDORES[[#All],[Total]],
PROVEEDORES[[#All],[FECHA DE FACTURACIÓN]],"&lt;="&amp;EOMONTH(B$1,0),
PROVEEDORES[[#All],[Estado de la factura]],"VENCIDA")
+
SUMIFS(PROVEEDORES[[#All],[Total]],
PROVEEDORES[[#All],[FECHA DE FACTURACIÓN]],"&lt;="&amp;EOMONTH(B$1,0),
PROVEEDORES[[#All],[PV]],"PAGO VENCIDO",
PROVEEDORES[[#All],[FECHA DE PAGO]],"&gt;"&amp;EOMONTH(B$1,0))</f>
        <v>38959413.358193271</v>
      </c>
      <c r="C16" s="84">
        <f xml:space="preserve">
SUMIFS(PROVEEDORES[[#All],[Total]],
PROVEEDORES[[#All],[FECHA DE FACTURACIÓN]],"&lt;="&amp;EOMONTH(C$1,0),
PROVEEDORES[[#All],[Estado de la factura]],"VENCIDA")
+
SUMIFS(PROVEEDORES[[#All],[Total]],
PROVEEDORES[[#All],[FECHA DE FACTURACIÓN]],"&lt;="&amp;EOMONTH(C$1,0),
PROVEEDORES[[#All],[PV]],"PAGO VENCIDO",
PROVEEDORES[[#All],[FECHA DE PAGO]],"&gt;"&amp;EOMONTH(C$1,0))</f>
        <v>102042895.49983193</v>
      </c>
      <c r="D16" s="84">
        <f xml:space="preserve">
SUMIFS(PROVEEDORES[[#All],[Total]],
PROVEEDORES[[#All],[FECHA DE FACTURACIÓN]],"&lt;="&amp;EOMONTH(D$1,0),
PROVEEDORES[[#All],[Estado de la factura]],"VENCIDA")
+
SUMIFS(PROVEEDORES[[#All],[Total]],
PROVEEDORES[[#All],[FECHA DE FACTURACIÓN]],"&lt;="&amp;EOMONTH(D$1,0),
PROVEEDORES[[#All],[PV]],"PAGO VENCIDO",
PROVEEDORES[[#All],[FECHA DE PAGO]],"&gt;"&amp;EOMONTH(D$1,0))</f>
        <v>128582944.89924371</v>
      </c>
      <c r="E16" s="84">
        <f xml:space="preserve">
SUMIFS(PROVEEDORES[[#All],[Total]],
PROVEEDORES[[#All],[FECHA DE FACTURACIÓN]],"&lt;="&amp;EOMONTH(E$1,0),
PROVEEDORES[[#All],[Estado de la factura]],"VENCIDA")
+
SUMIFS(PROVEEDORES[[#All],[Total]],
PROVEEDORES[[#All],[FECHA DE FACTURACIÓN]],"&lt;="&amp;EOMONTH(E$1,0),
PROVEEDORES[[#All],[PV]],"PAGO VENCIDO",
PROVEEDORES[[#All],[FECHA DE PAGO]],"&gt;"&amp;EOMONTH(E$1,0))</f>
        <v>112808028.55067226</v>
      </c>
      <c r="F16" s="84">
        <f xml:space="preserve">
SUMIFS(PROVEEDORES[[#All],[Total]],
PROVEEDORES[[#All],[FECHA DE FACTURACIÓN]],"&lt;="&amp;EOMONTH(F$1,0),
PROVEEDORES[[#All],[Estado de la factura]],"VENCIDA")
+
SUMIFS(PROVEEDORES[[#All],[Total]],
PROVEEDORES[[#All],[FECHA DE FACTURACIÓN]],"&lt;="&amp;EOMONTH(F$1,0),
PROVEEDORES[[#All],[PV]],"PAGO VENCIDO",
PROVEEDORES[[#All],[FECHA DE PAGO]],"&gt;"&amp;EOMONTH(F$1,0))</f>
        <v>88188798.27415967</v>
      </c>
      <c r="G16" s="84">
        <f xml:space="preserve">
SUMIFS(PROVEEDORES[[#All],[Total]],
PROVEEDORES[[#All],[FECHA DE FACTURACIÓN]],"&lt;="&amp;EOMONTH(G$1,0),
PROVEEDORES[[#All],[Estado de la factura]],"VENCIDA")
+
SUMIFS(PROVEEDORES[[#All],[Total]],
PROVEEDORES[[#All],[FECHA DE FACTURACIÓN]],"&lt;="&amp;EOMONTH(G$1,0),
PROVEEDORES[[#All],[PV]],"PAGO VENCIDO",
PROVEEDORES[[#All],[FECHA DE PAGO]],"&gt;"&amp;EOMONTH(G$1,0))</f>
        <v>105106644.41428572</v>
      </c>
      <c r="H16" s="84">
        <f xml:space="preserve">
SUMIFS(PROVEEDORES[[#All],[Total]],
PROVEEDORES[[#All],[FECHA DE FACTURACIÓN]],"&lt;="&amp;EOMONTH(H$1,0),
PROVEEDORES[[#All],[Estado de la factura]],"VENCIDA")
+
SUMIFS(PROVEEDORES[[#All],[Total]],
PROVEEDORES[[#All],[FECHA DE FACTURACIÓN]],"&lt;="&amp;EOMONTH(H$1,0),
PROVEEDORES[[#All],[PV]],"PAGO VENCIDO",
PROVEEDORES[[#All],[FECHA DE PAGO]],"&gt;"&amp;EOMONTH(H$1,0))</f>
        <v>124641644.76445378</v>
      </c>
      <c r="I16" s="84">
        <f xml:space="preserve">
SUMIFS(PROVEEDORES[[#All],[Total]],
PROVEEDORES[[#All],[FECHA DE FACTURACIÓN]],"&lt;="&amp;EOMONTH(I$1,0),
PROVEEDORES[[#All],[Estado de la factura]],"VENCIDA")
+
SUMIFS(PROVEEDORES[[#All],[Total]],
PROVEEDORES[[#All],[FECHA DE FACTURACIÓN]],"&lt;="&amp;EOMONTH(I$1,0),
PROVEEDORES[[#All],[PV]],"PAGO VENCIDO",
PROVEEDORES[[#All],[FECHA DE PAGO]],"&gt;"&amp;EOMONTH(I$1,0))</f>
        <v>124014789.50294118</v>
      </c>
      <c r="J16" s="84">
        <f xml:space="preserve">
SUMIFS(PROVEEDORES[[#All],[Total]],
PROVEEDORES[[#All],[FECHA DE FACTURACIÓN]],"&lt;="&amp;EOMONTH(J$1,0),
PROVEEDORES[[#All],[Estado de la factura]],"VENCIDA")
+
SUMIFS(PROVEEDORES[[#All],[Total]],
PROVEEDORES[[#All],[FECHA DE FACTURACIÓN]],"&lt;="&amp;EOMONTH(J$1,0),
PROVEEDORES[[#All],[PV]],"PAGO VENCIDO",
PROVEEDORES[[#All],[FECHA DE PAGO]],"&gt;"&amp;EOMONTH(J$1,0))</f>
        <v>156084179.21231094</v>
      </c>
      <c r="K16" s="84">
        <f xml:space="preserve">
SUMIFS(PROVEEDORES[[#All],[Total]],
PROVEEDORES[[#All],[FECHA DE FACTURACIÓN]],"&lt;="&amp;EOMONTH(K$1,0),
PROVEEDORES[[#All],[Estado de la factura]],"VENCIDA")
+
SUMIFS(PROVEEDORES[[#All],[Total]],
PROVEEDORES[[#All],[FECHA DE FACTURACIÓN]],"&lt;="&amp;EOMONTH(K$1,0),
PROVEEDORES[[#All],[PV]],"PAGO VENCIDO",
PROVEEDORES[[#All],[FECHA DE PAGO]],"&gt;"&amp;EOMONTH(K$1,0))</f>
        <v>145016362.41415969</v>
      </c>
      <c r="L16" s="84">
        <f xml:space="preserve">
SUMIFS(PROVEEDORES[[#All],[Total]],
PROVEEDORES[[#All],[FECHA DE FACTURACIÓN]],"&lt;="&amp;EOMONTH(L$1,0),
PROVEEDORES[[#All],[Estado de la factura]],"VENCIDA")
+
SUMIFS(PROVEEDORES[[#All],[Total]],
PROVEEDORES[[#All],[FECHA DE FACTURACIÓN]],"&lt;="&amp;EOMONTH(L$1,0),
PROVEEDORES[[#All],[PV]],"PAGO VENCIDO",
PROVEEDORES[[#All],[FECHA DE PAGO]],"&gt;"&amp;EOMONTH(L$1,0))</f>
        <v>206086218.51834872</v>
      </c>
      <c r="M16" s="84">
        <f ca="1" xml:space="preserve">
SUMIFS(PROVEEDORES[[#All],[Total]],
PROVEEDORES[[#All],[FECHA DE FACTURACIÓN]],"&lt;="&amp;EOMONTH(M$1,0),
PROVEEDORES[[#All],[Estado de la factura]],"VENCIDA")
+
SUMIFS(PROVEEDORES[[#All],[Total]],
PROVEEDORES[[#All],[FECHA DE FACTURACIÓN]],"&lt;="&amp;EOMONTH(M$1,0),
PROVEEDORES[[#All],[PV]],"PAGO VENCIDO",
PROVEEDORES[[#All],[FECHA DE PAGO]],"&gt;"&amp;EOMONTH(M$1,0))</f>
        <v>229379780.51208824</v>
      </c>
      <c r="N16" s="84">
        <f ca="1" xml:space="preserve">
SUMIFS(PROVEEDORES[[#All],[Total]],
PROVEEDORES[[#All],[FECHA DE FACTURACIÓN]],"&lt;="&amp;EOMONTH(N$1,0),
PROVEEDORES[[#All],[Estado de la factura]],"VENCIDA")
+
SUMIFS(PROVEEDORES[[#All],[Total]],
PROVEEDORES[[#All],[FECHA DE FACTURACIÓN]],"&lt;="&amp;EOMONTH(N$1,0),
PROVEEDORES[[#All],[PV]],"PAGO VENCIDO",
PROVEEDORES[[#All],[FECHA DE PAGO]],"&gt;"&amp;EOMONTH(N$1,0))</f>
        <v>227155791.29892731</v>
      </c>
      <c r="O16" s="84">
        <f ca="1" xml:space="preserve">
SUMIFS(PROVEEDORES[[#All],[Total]],
PROVEEDORES[[#All],[FECHA DE FACTURACIÓN]],"&lt;="&amp;EOMONTH(O$1,0),
PROVEEDORES[[#All],[Estado de la factura]],"VENCIDA")
+
SUMIFS(PROVEEDORES[[#All],[Total]],
PROVEEDORES[[#All],[FECHA DE FACTURACIÓN]],"&lt;="&amp;EOMONTH(O$1,0),
PROVEEDORES[[#All],[PV]],"PAGO VENCIDO",
PROVEEDORES[[#All],[FECHA DE PAGO]],"&gt;"&amp;EOMONTH(O$1,0))</f>
        <v>226548165.72477937</v>
      </c>
      <c r="P16" s="84">
        <f ca="1" xml:space="preserve">
SUMIFS(PROVEEDORES[[#All],[Total]],
PROVEEDORES[[#All],[FECHA DE FACTURACIÓN]],"&lt;="&amp;EOMONTH(P$1,0),
PROVEEDORES[[#All],[Estado de la factura]],"VENCIDA")
+
SUMIFS(PROVEEDORES[[#All],[Total]],
PROVEEDORES[[#All],[FECHA DE FACTURACIÓN]],"&lt;="&amp;EOMONTH(P$1,0),
PROVEEDORES[[#All],[PV]],"PAGO VENCIDO",
PROVEEDORES[[#All],[FECHA DE PAGO]],"&gt;"&amp;EOMONTH(P$1,0))</f>
        <v>206152038.02614999</v>
      </c>
      <c r="Q16" s="84">
        <f ca="1" xml:space="preserve">
SUMIFS(PROVEEDORES[[#All],[Total]],
PROVEEDORES[[#All],[FECHA DE FACTURACIÓN]],"&lt;="&amp;EOMONTH(Q$1,0),
PROVEEDORES[[#All],[Estado de la factura]],"VENCIDA")
+
SUMIFS(PROVEEDORES[[#All],[Total]],
PROVEEDORES[[#All],[FECHA DE FACTURACIÓN]],"&lt;="&amp;EOMONTH(Q$1,0),
PROVEEDORES[[#All],[PV]],"PAGO VENCIDO",
PROVEEDORES[[#All],[FECHA DE PAGO]],"&gt;"&amp;EOMONTH(Q$1,0))</f>
        <v>221059630.45562229</v>
      </c>
      <c r="R16" s="84">
        <f ca="1" xml:space="preserve">
SUMIFS(PROVEEDORES[[#All],[Total]],
PROVEEDORES[[#All],[FECHA DE FACTURACIÓN]],"&lt;="&amp;EOMONTH(R$1,0),
PROVEEDORES[[#All],[Estado de la factura]],"VENCIDA")
+
SUMIFS(PROVEEDORES[[#All],[Total]],
PROVEEDORES[[#All],[FECHA DE FACTURACIÓN]],"&lt;="&amp;EOMONTH(R$1,0),
PROVEEDORES[[#All],[PV]],"PAGO VENCIDO",
PROVEEDORES[[#All],[FECHA DE PAGO]],"&gt;"&amp;EOMONTH(R$1,0))</f>
        <v>193996232.91067225</v>
      </c>
      <c r="S16" s="84">
        <f ca="1" xml:space="preserve">
SUMIFS(PROVEEDORES[[#All],[Total]],
PROVEEDORES[[#All],[FECHA DE FACTURACIÓN]],"&lt;="&amp;EOMONTH(S$1,0),
PROVEEDORES[[#All],[Estado de la factura]],"VENCIDA")
+
SUMIFS(PROVEEDORES[[#All],[Total]],
PROVEEDORES[[#All],[FECHA DE FACTURACIÓN]],"&lt;="&amp;EOMONTH(S$1,0),
PROVEEDORES[[#All],[PV]],"PAGO VENCIDO",
PROVEEDORES[[#All],[FECHA DE PAGO]],"&gt;"&amp;EOMONTH(S$1,0))</f>
        <v>187227535.89860004</v>
      </c>
      <c r="T16" s="84">
        <f ca="1" xml:space="preserve">
SUMIFS(PROVEEDORES[[#All],[Total]],
PROVEEDORES[[#All],[FECHA DE FACTURACIÓN]],"&lt;="&amp;EOMONTH(T$1,0),
PROVEEDORES[[#All],[Estado de la factura]],"VENCIDA")
+
SUMIFS(PROVEEDORES[[#All],[Total]],
PROVEEDORES[[#All],[FECHA DE FACTURACIÓN]],"&lt;="&amp;EOMONTH(T$1,0),
PROVEEDORES[[#All],[PV]],"PAGO VENCIDO",
PROVEEDORES[[#All],[FECHA DE PAGO]],"&gt;"&amp;EOMONTH(T$1,0))</f>
        <v>175856677.23379996</v>
      </c>
      <c r="U16" s="84">
        <f ca="1" xml:space="preserve">
SUMIFS(PROVEEDORES[[#All],[Total]],
PROVEEDORES[[#All],[FECHA DE FACTURACIÓN]],"&lt;="&amp;EOMONTH(U$1,0),
PROVEEDORES[[#All],[Estado de la factura]],"VENCIDA")
+
SUMIFS(PROVEEDORES[[#All],[Total]],
PROVEEDORES[[#All],[FECHA DE FACTURACIÓN]],"&lt;="&amp;EOMONTH(U$1,0),
PROVEEDORES[[#All],[PV]],"PAGO VENCIDO",
PROVEEDORES[[#All],[FECHA DE PAGO]],"&gt;"&amp;EOMONTH(U$1,0))</f>
        <v>225460366.89290002</v>
      </c>
      <c r="V16" s="84">
        <f ca="1" xml:space="preserve">
SUMIFS(PROVEEDORES[[#All],[Total]],
PROVEEDORES[[#All],[FECHA DE FACTURACIÓN]],"&lt;="&amp;EOMONTH(V$1,0),
PROVEEDORES[[#All],[Estado de la factura]],"VENCIDA")
+
SUMIFS(PROVEEDORES[[#All],[Total]],
PROVEEDORES[[#All],[FECHA DE FACTURACIÓN]],"&lt;="&amp;EOMONTH(V$1,0),
PROVEEDORES[[#All],[PV]],"PAGO VENCIDO",
PROVEEDORES[[#All],[FECHA DE PAGO]],"&gt;"&amp;EOMONTH(V$1,0))</f>
        <v>229714140.01144999</v>
      </c>
      <c r="W16" s="84">
        <f ca="1" xml:space="preserve">
SUMIFS(PROVEEDORES[[#All],[Total]],
PROVEEDORES[[#All],[FECHA DE FACTURACIÓN]],"&lt;="&amp;EOMONTH(W$1,0),
PROVEEDORES[[#All],[Estado de la factura]],"VENCIDA")
+
SUMIFS(PROVEEDORES[[#All],[Total]],
PROVEEDORES[[#All],[FECHA DE FACTURACIÓN]],"&lt;="&amp;EOMONTH(W$1,0),
PROVEEDORES[[#All],[PV]],"PAGO VENCIDO",
PROVEEDORES[[#All],[FECHA DE PAGO]],"&gt;"&amp;EOMONTH(W$1,0))</f>
        <v>219856079.3197</v>
      </c>
      <c r="X16" s="84">
        <f ca="1" xml:space="preserve">
SUMIFS(PROVEEDORES[[#All],[Total]],
PROVEEDORES[[#All],[FECHA DE FACTURACIÓN]],"&lt;="&amp;EOMONTH(X$1,0),
PROVEEDORES[[#All],[Estado de la factura]],"VENCIDA")
+
SUMIFS(PROVEEDORES[[#All],[Total]],
PROVEEDORES[[#All],[FECHA DE FACTURACIÓN]],"&lt;="&amp;EOMONTH(X$1,0),
PROVEEDORES[[#All],[PV]],"PAGO VENCIDO",
PROVEEDORES[[#All],[FECHA DE PAGO]],"&gt;"&amp;EOMONTH(X$1,0))</f>
        <v>213970277.18084997</v>
      </c>
      <c r="Y16" s="84">
        <f ca="1" xml:space="preserve">
SUMIFS(PROVEEDORES[[#All],[Total]],
PROVEEDORES[[#All],[FECHA DE FACTURACIÓN]],"&lt;="&amp;EOMONTH(Y$1,0),
PROVEEDORES[[#All],[Estado de la factura]],"VENCIDA")
+
SUMIFS(PROVEEDORES[[#All],[Total]],
PROVEEDORES[[#All],[FECHA DE FACTURACIÓN]],"&lt;="&amp;EOMONTH(Y$1,0),
PROVEEDORES[[#All],[PV]],"PAGO VENCIDO",
PROVEEDORES[[#All],[FECHA DE PAGO]],"&gt;"&amp;EOMONTH(Y$1,0))</f>
        <v>263160791.88905001</v>
      </c>
    </row>
    <row r="17" spans="1:25" ht="30" x14ac:dyDescent="0.25">
      <c r="A17" s="71" t="s">
        <v>405</v>
      </c>
      <c r="B17" s="83">
        <f t="shared" ref="B17:O17" si="22">+B10-B16</f>
        <v>4483920</v>
      </c>
      <c r="C17" s="83">
        <f t="shared" si="22"/>
        <v>9435916</v>
      </c>
      <c r="D17" s="83">
        <f t="shared" si="22"/>
        <v>8155100</v>
      </c>
      <c r="E17" s="83">
        <f t="shared" si="22"/>
        <v>13369599.496092439</v>
      </c>
      <c r="F17" s="83">
        <f t="shared" si="22"/>
        <v>34800158.483193278</v>
      </c>
      <c r="G17" s="83">
        <f t="shared" si="22"/>
        <v>17184944.93058823</v>
      </c>
      <c r="H17" s="83">
        <f t="shared" si="22"/>
        <v>3943265</v>
      </c>
      <c r="I17" s="83">
        <f t="shared" si="22"/>
        <v>9041963.3053361326</v>
      </c>
      <c r="J17" s="83">
        <f t="shared" si="22"/>
        <v>13839818.897773117</v>
      </c>
      <c r="K17" s="83">
        <f t="shared" si="22"/>
        <v>122564043.79983193</v>
      </c>
      <c r="L17" s="83">
        <f t="shared" si="22"/>
        <v>108847828.92962196</v>
      </c>
      <c r="M17" s="83">
        <f t="shared" ca="1" si="22"/>
        <v>12307449.819999993</v>
      </c>
      <c r="N17" s="83">
        <f t="shared" ca="1" si="22"/>
        <v>16319772.524899989</v>
      </c>
      <c r="O17" s="83">
        <f t="shared" ca="1" si="22"/>
        <v>6044535.4150000215</v>
      </c>
      <c r="P17" s="83">
        <f t="shared" ref="P17" ca="1" si="23">+P10-P16</f>
        <v>1047595.0800000131</v>
      </c>
      <c r="Q17" s="83">
        <f t="shared" ref="Q17:R17" ca="1" si="24">+Q10-Q16</f>
        <v>28965538.363289952</v>
      </c>
      <c r="R17" s="83">
        <f t="shared" ca="1" si="24"/>
        <v>30317485.579999983</v>
      </c>
      <c r="S17" s="83">
        <f t="shared" ref="S17:T17" ca="1" si="25">+S10-S16</f>
        <v>12049627.781999975</v>
      </c>
      <c r="T17" s="83">
        <f t="shared" ca="1" si="25"/>
        <v>62180252.390000075</v>
      </c>
      <c r="U17" s="83">
        <f t="shared" ref="U17:V17" ca="1" si="26">+U10-U16</f>
        <v>63487236.849999994</v>
      </c>
      <c r="V17" s="83">
        <f t="shared" ca="1" si="26"/>
        <v>69855605.110000014</v>
      </c>
      <c r="W17" s="83">
        <f t="shared" ref="W17:X17" ca="1" si="27">+W10-W16</f>
        <v>46631283.636000037</v>
      </c>
      <c r="X17" s="83">
        <f t="shared" ca="1" si="27"/>
        <v>107630811.10220003</v>
      </c>
      <c r="Y17" s="83">
        <f t="shared" ref="Y17" ca="1" si="28">+Y10-Y16</f>
        <v>17280567</v>
      </c>
    </row>
    <row r="18" spans="1:25" x14ac:dyDescent="0.25">
      <c r="A18" s="78" t="s">
        <v>465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>
        <v>861368531</v>
      </c>
      <c r="P18" s="84"/>
      <c r="Q18" s="84"/>
      <c r="R18" s="84"/>
      <c r="S18" s="84"/>
      <c r="T18" s="84"/>
      <c r="U18" s="150"/>
      <c r="V18" s="150"/>
      <c r="W18" s="150"/>
      <c r="X18" s="150"/>
      <c r="Y18" s="150"/>
    </row>
    <row r="19" spans="1:25" ht="30" x14ac:dyDescent="0.25">
      <c r="A19" s="71" t="s">
        <v>469</v>
      </c>
      <c r="B19" s="83">
        <f>+SUMIFS(FINANCIACION[[#All],[$ INTERESES]],
FINANCIACION[[#All],[Fecha]],"&gt;="&amp;B$1,
FINANCIACION[[#All],[Fecha]],"&lt;="&amp;EOMONTH(B$1,0))</f>
        <v>10567861.290000001</v>
      </c>
      <c r="C19" s="83">
        <f>+SUMIFS(FINANCIACION[[#All],[$ INTERESES]],
FINANCIACION[[#All],[Fecha]],"&gt;="&amp;C$1,
FINANCIACION[[#All],[Fecha]],"&lt;="&amp;EOMONTH(C$1,0))</f>
        <v>12080173.859999999</v>
      </c>
      <c r="D19" s="83">
        <f>+SUMIFS(FINANCIACION[[#All],[$ INTERESES]],
FINANCIACION[[#All],[Fecha]],"&gt;="&amp;D$1,
FINANCIACION[[#All],[Fecha]],"&lt;="&amp;EOMONTH(D$1,0))</f>
        <v>12638373.696859499</v>
      </c>
      <c r="E19" s="83">
        <f>+SUMIFS(FINANCIACION[[#All],[$ INTERESES]],
FINANCIACION[[#All],[Fecha]],"&gt;="&amp;E$1,
FINANCIACION[[#All],[Fecha]],"&lt;="&amp;EOMONTH(E$1,0))</f>
        <v>1536982</v>
      </c>
      <c r="F19" s="83">
        <f>+SUMIFS(FINANCIACION[[#All],[$ INTERESES]],
FINANCIACION[[#All],[Fecha]],"&gt;="&amp;F$1,
FINANCIACION[[#All],[Fecha]],"&lt;="&amp;EOMONTH(F$1,0))</f>
        <v>3859617.71</v>
      </c>
      <c r="G19" s="83">
        <f>+SUMIFS(FINANCIACION[[#All],[$ INTERESES]],
FINANCIACION[[#All],[Fecha]],"&gt;="&amp;G$1,
FINANCIACION[[#All],[Fecha]],"&lt;="&amp;EOMONTH(G$1,0))</f>
        <v>12594924.08</v>
      </c>
      <c r="H19" s="83">
        <f>+SUMIFS(FINANCIACION[[#All],[$ INTERESES]],
FINANCIACION[[#All],[Fecha]],"&gt;="&amp;H$1,
FINANCIACION[[#All],[Fecha]],"&lt;="&amp;EOMONTH(H$1,0))</f>
        <v>9365244</v>
      </c>
      <c r="I19" s="83">
        <f>+SUMIFS(FINANCIACION[[#All],[$ INTERESES]],
FINANCIACION[[#All],[Fecha]],"&gt;="&amp;I$1,
FINANCIACION[[#All],[Fecha]],"&lt;="&amp;EOMONTH(I$1,0))</f>
        <v>3139461.89</v>
      </c>
      <c r="J19" s="83">
        <f>+SUMIFS(FINANCIACION[[#All],[$ INTERESES]],
FINANCIACION[[#All],[Fecha]],"&gt;="&amp;J$1,
FINANCIACION[[#All],[Fecha]],"&lt;="&amp;EOMONTH(J$1,0))</f>
        <v>13066442</v>
      </c>
      <c r="K19" s="83">
        <f>+SUMIFS(FINANCIACION[[#All],[$ INTERESES]],
FINANCIACION[[#All],[Fecha]],"&gt;="&amp;K$1,
FINANCIACION[[#All],[Fecha]],"&lt;="&amp;EOMONTH(K$1,0))</f>
        <v>5106201.7899999991</v>
      </c>
      <c r="L19" s="83">
        <f>+SUMIFS(FINANCIACION[[#All],[$ INTERESES]],
FINANCIACION[[#All],[Fecha]],"&gt;="&amp;L$1,
FINANCIACION[[#All],[Fecha]],"&lt;="&amp;EOMONTH(L$1,0))</f>
        <v>19149570.5</v>
      </c>
      <c r="M19" s="83">
        <f>+SUMIFS(FINANCIACION[[#All],[$ INTERESES]],
FINANCIACION[[#All],[Fecha]],"&gt;="&amp;M$1,
FINANCIACION[[#All],[Fecha]],"&lt;="&amp;EOMONTH(M$1,0))</f>
        <v>16948875.539999999</v>
      </c>
      <c r="N19" s="83">
        <f>+SUMIFS(FINANCIACION[[#All],[$ INTERESES]],
FINANCIACION[[#All],[Fecha]],"&gt;="&amp;N$1,
FINANCIACION[[#All],[Fecha]],"&lt;="&amp;EOMONTH(N$1,0))</f>
        <v>3591794.7659999998</v>
      </c>
      <c r="O19" s="83">
        <f>+SUMIFS(FINANCIACION[[#All],[$ INTERESES]],
FINANCIACION[[#All],[Fecha]],"&gt;="&amp;O$1,
FINANCIACION[[#All],[Fecha]],"&lt;="&amp;EOMONTH(O$1,0))</f>
        <v>7334520.7086929996</v>
      </c>
      <c r="P19" s="83">
        <f>+SUMIFS(FINANCIACION[[#All],[$ INTERESES]],
FINANCIACION[[#All],[Fecha]],"&gt;="&amp;P$1,
FINANCIACION[[#All],[Fecha]],"&lt;="&amp;EOMONTH(P$1,0))</f>
        <v>5977630.6783339903</v>
      </c>
      <c r="Q19" s="83">
        <f>+SUMIFS(FINANCIACION[[#All],[$ INTERESES]],
FINANCIACION[[#All],[Fecha]],"&gt;="&amp;Q$1,
FINANCIACION[[#All],[Fecha]],"&lt;="&amp;EOMONTH(Q$1,0))</f>
        <v>3586317.5461983373</v>
      </c>
      <c r="R19" s="83">
        <f>+SUMIFS(FINANCIACION[[#All],[$ INTERESES]],
FINANCIACION[[#All],[Fecha]],"&gt;="&amp;R$1,
FINANCIACION[[#All],[Fecha]],"&lt;="&amp;EOMONTH(R$1,0))</f>
        <v>8333368.2428000085</v>
      </c>
      <c r="S19" s="83">
        <f>+SUMIFS(FINANCIACION[[#All],[$ INTERESES]],
FINANCIACION[[#All],[Fecha]],"&gt;="&amp;S$1,
FINANCIACION[[#All],[Fecha]],"&lt;="&amp;EOMONTH(S$1,0))</f>
        <v>8094564.2457486549</v>
      </c>
      <c r="T19" s="83">
        <f>+SUMIFS(FINANCIACION[[#All],[$ INTERESES]],
FINANCIACION[[#All],[Fecha]],"&gt;="&amp;T$1,
FINANCIACION[[#All],[Fecha]],"&lt;="&amp;EOMONTH(T$1,0))</f>
        <v>6714136.0096530719</v>
      </c>
      <c r="U19" s="83">
        <f>+SUMIFS(FINANCIACION[[#All],[$ INTERESES]],
FINANCIACION[[#All],[Fecha]],"&gt;="&amp;U$1,
FINANCIACION[[#All],[Fecha]],"&lt;="&amp;EOMONTH(U$1,0))</f>
        <v>6219874.4357495997</v>
      </c>
      <c r="V19" s="83">
        <f>+SUMIFS(FINANCIACION[[#All],[$ INTERESES]],
FINANCIACION[[#All],[Fecha]],"&gt;="&amp;V$1,
FINANCIACION[[#All],[Fecha]],"&lt;="&amp;EOMONTH(V$1,0))</f>
        <v>5604737.6808070904</v>
      </c>
      <c r="W19" s="83">
        <f>+SUMIFS(FINANCIACION[[#All],[$ INTERESES]],
FINANCIACION[[#All],[Fecha]],"&gt;="&amp;W$1,
FINANCIACION[[#All],[Fecha]],"&lt;="&amp;EOMONTH(W$1,0))</f>
        <v>5510652.2170151649</v>
      </c>
      <c r="X19" s="83">
        <f>+SUMIFS(FINANCIACION[[#All],[$ INTERESES]],
FINANCIACION[[#All],[Fecha]],"&gt;="&amp;X$1,
FINANCIACION[[#All],[Fecha]],"&lt;="&amp;EOMONTH(X$1,0))</f>
        <v>11663375.902604805</v>
      </c>
      <c r="Y19" s="83">
        <f>+SUMIFS(FINANCIACION[[#All],[$ INTERESES]],
FINANCIACION[[#All],[Fecha]],"&gt;="&amp;Y$1,
FINANCIACION[[#All],[Fecha]],"&lt;="&amp;EOMONTH(Y$1,0))</f>
        <v>14636994.228946181</v>
      </c>
    </row>
    <row r="20" spans="1:25" ht="45" x14ac:dyDescent="0.25">
      <c r="A20" s="99" t="s">
        <v>831</v>
      </c>
      <c r="B20" s="75"/>
      <c r="C20" s="75"/>
      <c r="D20" s="76"/>
      <c r="E20" s="77"/>
      <c r="F20" s="76"/>
      <c r="G20" s="77"/>
      <c r="H20" s="76"/>
      <c r="I20" s="77"/>
      <c r="J20" s="76"/>
      <c r="K20" s="77"/>
      <c r="L20" s="76"/>
      <c r="M20" s="77"/>
      <c r="N20" s="76">
        <v>12823183.49</v>
      </c>
      <c r="O20" s="105">
        <v>25716801.719999999</v>
      </c>
      <c r="P20" s="106">
        <v>-6622152.3499999996</v>
      </c>
      <c r="Q20" s="106">
        <v>13518267.619999999</v>
      </c>
      <c r="R20" s="106">
        <v>19000000</v>
      </c>
      <c r="S20" s="87">
        <v>-4712324.03</v>
      </c>
      <c r="T20" s="75">
        <v>3331889.61</v>
      </c>
      <c r="U20" s="75">
        <v>8111071.7599999998</v>
      </c>
      <c r="V20" s="75">
        <f>2178577.37+7746001.55</f>
        <v>9924578.9199999999</v>
      </c>
      <c r="W20" s="75">
        <f>1164596.06-2213707.95</f>
        <v>-1049111.8900000001</v>
      </c>
      <c r="X20" s="75">
        <f>806902.83+69108117.91</f>
        <v>69915020.739999995</v>
      </c>
      <c r="Y20" s="75">
        <f>3472901.51+2254545.81</f>
        <v>5727447.3200000003</v>
      </c>
    </row>
    <row r="21" spans="1:25" x14ac:dyDescent="0.25">
      <c r="A21" s="99" t="s">
        <v>410</v>
      </c>
      <c r="B21" s="75"/>
      <c r="C21" s="75"/>
      <c r="D21" s="76"/>
      <c r="E21" s="77"/>
      <c r="F21" s="76"/>
      <c r="G21" s="77"/>
      <c r="H21" s="76"/>
      <c r="I21" s="77"/>
      <c r="J21" s="76"/>
      <c r="K21" s="77"/>
      <c r="L21" s="76"/>
      <c r="M21" s="77"/>
      <c r="N21" s="76">
        <v>3400610.08</v>
      </c>
      <c r="O21" s="105">
        <v>457011.74</v>
      </c>
      <c r="P21" s="106">
        <v>456121.64</v>
      </c>
      <c r="Q21" s="106">
        <v>456562.73</v>
      </c>
      <c r="R21" s="106">
        <v>300000</v>
      </c>
      <c r="S21" s="87">
        <v>456825.05</v>
      </c>
      <c r="T21" s="75">
        <v>457553.75</v>
      </c>
      <c r="U21" s="75">
        <v>458546.51</v>
      </c>
      <c r="V21" s="75">
        <v>458546.51</v>
      </c>
      <c r="W21" s="75">
        <v>457961.76</v>
      </c>
      <c r="X21" s="75">
        <v>457245.18</v>
      </c>
      <c r="Y21" s="75">
        <v>458702.35</v>
      </c>
    </row>
    <row r="22" spans="1:25" ht="30" x14ac:dyDescent="0.25">
      <c r="A22" s="99" t="s">
        <v>470</v>
      </c>
      <c r="B22" s="75"/>
      <c r="C22" s="75"/>
      <c r="D22" s="76"/>
      <c r="E22" s="77"/>
      <c r="F22" s="76"/>
      <c r="G22" s="77"/>
      <c r="H22" s="76"/>
      <c r="I22" s="77"/>
      <c r="J22" s="76"/>
      <c r="K22" s="77"/>
      <c r="L22" s="76"/>
      <c r="M22" s="77"/>
      <c r="N22" s="76">
        <f>-10000000+811858.56-20000000+17031460.6</f>
        <v>-12156680.839999996</v>
      </c>
      <c r="O22" s="105">
        <f>-4645518.76-1946158.83</f>
        <v>-6591677.5899999999</v>
      </c>
      <c r="P22" s="106">
        <f>114279.05-1352916.94</f>
        <v>-1238637.8899999999</v>
      </c>
      <c r="Q22" s="106">
        <f>-904208.33-9825200.85</f>
        <v>-10729409.18</v>
      </c>
      <c r="R22" s="106">
        <f>-6000000-8000000</f>
        <v>-14000000</v>
      </c>
      <c r="S22" s="87">
        <f>-2147986.05-779130</f>
        <v>-2927116.05</v>
      </c>
      <c r="T22" s="75">
        <f>-161549.77-2445338</f>
        <v>-2606887.77</v>
      </c>
      <c r="U22" s="75">
        <f>3220172.49-4180965.64</f>
        <v>-960793.14999999991</v>
      </c>
      <c r="V22" s="75">
        <f>144350.87-10009800</f>
        <v>-9865449.1300000008</v>
      </c>
      <c r="W22" s="75">
        <f>4927940-5504061.34</f>
        <v>-576121.33999999985</v>
      </c>
      <c r="X22" s="75">
        <f>6120506.73-4848315.56</f>
        <v>1272191.1700000009</v>
      </c>
      <c r="Y22" s="75">
        <f>62122289.9-16700231.76</f>
        <v>45422058.140000001</v>
      </c>
    </row>
    <row r="23" spans="1:25" x14ac:dyDescent="0.25">
      <c r="A23" s="99" t="s">
        <v>411</v>
      </c>
      <c r="B23" s="75"/>
      <c r="C23" s="75"/>
      <c r="D23" s="76"/>
      <c r="E23" s="77"/>
      <c r="F23" s="76"/>
      <c r="G23" s="77"/>
      <c r="H23" s="76"/>
      <c r="I23" s="77"/>
      <c r="J23" s="76"/>
      <c r="K23" s="77"/>
      <c r="L23" s="76"/>
      <c r="M23" s="77"/>
      <c r="N23" s="76">
        <v>3307793.68</v>
      </c>
      <c r="O23" s="105">
        <v>309870.14</v>
      </c>
      <c r="P23" s="106">
        <v>309264.69</v>
      </c>
      <c r="Q23" s="106">
        <v>309504.15000000002</v>
      </c>
      <c r="R23" s="106">
        <v>400000</v>
      </c>
      <c r="S23" s="87">
        <v>309598.90000000002</v>
      </c>
      <c r="T23" s="75">
        <v>309598.90000000002</v>
      </c>
      <c r="U23" s="75">
        <v>310624.46999999997</v>
      </c>
      <c r="V23" s="75">
        <v>310624.46999999997</v>
      </c>
      <c r="W23" s="75">
        <v>310385.19</v>
      </c>
      <c r="X23" s="75">
        <v>309642.78999999998</v>
      </c>
      <c r="Y23" s="75">
        <v>309965.84999999998</v>
      </c>
    </row>
    <row r="24" spans="1:25" ht="30" x14ac:dyDescent="0.25">
      <c r="A24" s="99" t="s">
        <v>415</v>
      </c>
      <c r="B24" s="75"/>
      <c r="C24" s="75"/>
      <c r="D24" s="76"/>
      <c r="E24" s="77"/>
      <c r="F24" s="76"/>
      <c r="G24" s="77"/>
      <c r="H24" s="76"/>
      <c r="I24" s="77"/>
      <c r="J24" s="76"/>
      <c r="K24" s="77"/>
      <c r="L24" s="76"/>
      <c r="M24" s="77"/>
      <c r="N24" s="76">
        <v>5165671.5599999996</v>
      </c>
      <c r="O24" s="105">
        <v>2712741.39</v>
      </c>
      <c r="P24" s="106" t="s">
        <v>592</v>
      </c>
      <c r="Q24" s="106">
        <v>8081500.3799999999</v>
      </c>
      <c r="R24" s="106">
        <v>4100000</v>
      </c>
      <c r="S24" s="87">
        <v>7279218.5099999998</v>
      </c>
      <c r="T24" s="75">
        <v>2528454.69</v>
      </c>
      <c r="U24" s="75">
        <v>6449161.0300000003</v>
      </c>
      <c r="V24" s="75">
        <v>2534515.2799999998</v>
      </c>
      <c r="W24" s="75">
        <v>6487157.6500000004</v>
      </c>
      <c r="X24" s="75">
        <v>4962940.13</v>
      </c>
      <c r="Y24" s="75">
        <v>2352095.9700000002</v>
      </c>
    </row>
    <row r="25" spans="1:25" x14ac:dyDescent="0.25">
      <c r="A25" s="99" t="s">
        <v>416</v>
      </c>
      <c r="B25" s="75"/>
      <c r="C25" s="75"/>
      <c r="D25" s="76"/>
      <c r="E25" s="77"/>
      <c r="F25" s="76"/>
      <c r="G25" s="77"/>
      <c r="H25" s="76"/>
      <c r="I25" s="77"/>
      <c r="J25" s="76"/>
      <c r="K25" s="77"/>
      <c r="L25" s="76"/>
      <c r="M25" s="77"/>
      <c r="N25" s="76">
        <v>3589938.74</v>
      </c>
      <c r="O25" s="105">
        <v>8690401.7300000004</v>
      </c>
      <c r="P25" s="106" t="s">
        <v>590</v>
      </c>
      <c r="Q25" s="106">
        <v>1586834.56</v>
      </c>
      <c r="R25" s="121">
        <v>3764187.38</v>
      </c>
      <c r="S25" s="87">
        <v>1691284.38</v>
      </c>
      <c r="T25" s="75">
        <v>1043330.38</v>
      </c>
      <c r="U25" s="75">
        <v>3796886.55</v>
      </c>
      <c r="V25" s="75">
        <v>2404285.39</v>
      </c>
      <c r="W25" s="75">
        <v>2617860.39</v>
      </c>
      <c r="X25" s="75">
        <v>59115.22</v>
      </c>
      <c r="Y25" s="75">
        <v>5666972.1600000001</v>
      </c>
    </row>
    <row r="26" spans="1:25" x14ac:dyDescent="0.25">
      <c r="A26" s="99" t="s">
        <v>412</v>
      </c>
      <c r="B26" s="75"/>
      <c r="C26" s="75"/>
      <c r="D26" s="76"/>
      <c r="E26" s="77"/>
      <c r="F26" s="76"/>
      <c r="G26" s="77"/>
      <c r="H26" s="76"/>
      <c r="I26" s="77"/>
      <c r="J26" s="76"/>
      <c r="K26" s="77"/>
      <c r="L26" s="76"/>
      <c r="M26" s="77"/>
      <c r="N26" s="76">
        <v>3036389.79</v>
      </c>
      <c r="O26" s="105">
        <v>549293.42000000004</v>
      </c>
      <c r="P26" s="106" t="s">
        <v>591</v>
      </c>
      <c r="Q26" s="106">
        <v>102187.02</v>
      </c>
      <c r="R26" s="121">
        <v>1231972.18</v>
      </c>
      <c r="S26" s="87">
        <v>1752322.91</v>
      </c>
      <c r="T26" s="75">
        <v>2251846.36</v>
      </c>
      <c r="U26" s="75">
        <v>92111.95</v>
      </c>
      <c r="V26" s="75">
        <v>115185.28</v>
      </c>
      <c r="W26" s="75">
        <v>578146.93999999994</v>
      </c>
      <c r="X26" s="75">
        <v>1683879.5</v>
      </c>
      <c r="Y26" s="75">
        <v>2567860.81</v>
      </c>
    </row>
    <row r="27" spans="1:25" x14ac:dyDescent="0.25">
      <c r="A27" s="99" t="s">
        <v>413</v>
      </c>
      <c r="B27" s="75"/>
      <c r="C27" s="75"/>
      <c r="D27" s="76"/>
      <c r="E27" s="77"/>
      <c r="F27" s="76"/>
      <c r="G27" s="77"/>
      <c r="H27" s="76"/>
      <c r="I27" s="77"/>
      <c r="J27" s="76"/>
      <c r="K27" s="77"/>
      <c r="L27" s="76"/>
      <c r="M27" s="77"/>
      <c r="N27" s="76">
        <v>15793150</v>
      </c>
      <c r="O27" s="105">
        <v>12658400</v>
      </c>
      <c r="P27" s="106">
        <v>10728200</v>
      </c>
      <c r="Q27" s="106"/>
      <c r="R27" s="121">
        <v>9558900</v>
      </c>
      <c r="S27" s="87">
        <v>4539800</v>
      </c>
      <c r="T27" s="75">
        <v>6500000</v>
      </c>
      <c r="U27" s="75">
        <v>8415900</v>
      </c>
      <c r="V27" s="75">
        <v>18000000</v>
      </c>
      <c r="W27" s="75">
        <v>13737900</v>
      </c>
      <c r="X27" s="75">
        <v>12065700</v>
      </c>
      <c r="Y27" s="75">
        <f>40373050+1646000</f>
        <v>42019050</v>
      </c>
    </row>
    <row r="28" spans="1:25" x14ac:dyDescent="0.25">
      <c r="Y28" s="75"/>
    </row>
    <row r="34" spans="18:22" x14ac:dyDescent="0.25">
      <c r="R34" s="136"/>
    </row>
    <row r="35" spans="18:22" x14ac:dyDescent="0.25">
      <c r="R35" s="136"/>
      <c r="V35" s="75"/>
    </row>
    <row r="36" spans="18:22" x14ac:dyDescent="0.25">
      <c r="R36" s="136"/>
    </row>
    <row r="37" spans="18:22" x14ac:dyDescent="0.25">
      <c r="R37" s="136"/>
      <c r="V37" s="75"/>
    </row>
    <row r="38" spans="18:22" x14ac:dyDescent="0.25">
      <c r="R38" s="136"/>
    </row>
    <row r="39" spans="18:22" x14ac:dyDescent="0.25">
      <c r="R39" s="136"/>
    </row>
    <row r="40" spans="18:22" x14ac:dyDescent="0.25">
      <c r="R40" s="136"/>
      <c r="T40" s="75"/>
      <c r="U40" s="75"/>
      <c r="V40" s="75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/>
  <dimension ref="A1:AH1138"/>
  <sheetViews>
    <sheetView workbookViewId="0">
      <selection activeCell="C1141" sqref="C1141"/>
    </sheetView>
  </sheetViews>
  <sheetFormatPr baseColWidth="10" defaultColWidth="0" defaultRowHeight="24" customHeight="1" x14ac:dyDescent="0.25"/>
  <cols>
    <col min="1" max="1" width="15.5703125" style="8" customWidth="1"/>
    <col min="2" max="2" width="35.7109375" style="86" customWidth="1"/>
    <col min="3" max="3" width="18.5703125" style="8" customWidth="1"/>
    <col min="4" max="4" width="16.42578125" style="8" customWidth="1"/>
    <col min="5" max="5" width="18.140625" style="8" customWidth="1"/>
    <col min="6" max="6" width="15.85546875" style="8" customWidth="1"/>
    <col min="7" max="7" width="13.7109375" style="93" customWidth="1"/>
    <col min="8" max="8" width="15.42578125" style="8" customWidth="1"/>
    <col min="9" max="9" width="18.140625" style="8" hidden="1" customWidth="1"/>
    <col min="10" max="10" width="26.140625" style="15" hidden="1" customWidth="1"/>
    <col min="11" max="11" width="43" style="8" hidden="1" customWidth="1"/>
    <col min="12" max="12" width="16.42578125" style="8" hidden="1" customWidth="1"/>
    <col min="13" max="13" width="13.5703125" style="8" hidden="1" customWidth="1"/>
    <col min="14" max="14" width="14.5703125" style="14" hidden="1" customWidth="1"/>
    <col min="15" max="15" width="28.7109375" style="12" hidden="1" customWidth="1"/>
    <col min="16" max="16" width="15.5703125" style="8" hidden="1" customWidth="1"/>
    <col min="17" max="17" width="14.28515625" style="8" hidden="1" customWidth="1"/>
    <col min="18" max="18" width="28" style="8" hidden="1" customWidth="1"/>
    <col min="19" max="19" width="12.28515625" style="8" hidden="1" customWidth="1"/>
    <col min="20" max="20" width="8.42578125" style="8" hidden="1" customWidth="1"/>
    <col min="21" max="21" width="28" style="8" hidden="1" customWidth="1"/>
    <col min="22" max="22" width="13.28515625" style="8" hidden="1" customWidth="1"/>
    <col min="23" max="23" width="18.28515625" style="8" hidden="1" customWidth="1"/>
    <col min="24" max="24" width="19.5703125" style="8" hidden="1" customWidth="1"/>
    <col min="25" max="25" width="5.28515625" style="8" hidden="1" customWidth="1"/>
    <col min="26" max="26" width="9.42578125" style="8" hidden="1" customWidth="1"/>
    <col min="27" max="27" width="14.28515625" style="8" hidden="1" customWidth="1"/>
    <col min="28" max="28" width="16.5703125" style="8" hidden="1" customWidth="1"/>
    <col min="29" max="29" width="9.85546875" style="8" hidden="1" customWidth="1"/>
    <col min="30" max="34" width="12.5703125" style="8" hidden="1" customWidth="1"/>
    <col min="35" max="16384" width="11.42578125" style="8" hidden="1"/>
  </cols>
  <sheetData>
    <row r="1" spans="1:15" ht="30.75" customHeight="1" x14ac:dyDescent="0.25">
      <c r="A1" s="6" t="s">
        <v>796</v>
      </c>
      <c r="B1" s="6" t="s">
        <v>477</v>
      </c>
      <c r="C1" s="6" t="s">
        <v>218</v>
      </c>
      <c r="D1" s="6" t="s">
        <v>39</v>
      </c>
      <c r="E1" s="6" t="s">
        <v>221</v>
      </c>
      <c r="F1" s="7" t="s">
        <v>219</v>
      </c>
      <c r="G1" s="6" t="s">
        <v>220</v>
      </c>
      <c r="H1" s="92" t="s">
        <v>43</v>
      </c>
      <c r="I1" s="50" t="s">
        <v>38</v>
      </c>
      <c r="J1" s="5" t="s">
        <v>44</v>
      </c>
      <c r="N1" s="8"/>
      <c r="O1" s="8"/>
    </row>
    <row r="2" spans="1:15" ht="24" hidden="1" customHeight="1" x14ac:dyDescent="0.25">
      <c r="A2" s="10">
        <v>43830</v>
      </c>
      <c r="B2" s="85" t="s">
        <v>661</v>
      </c>
      <c r="C2" s="7">
        <v>-18000000</v>
      </c>
      <c r="D2" s="7"/>
      <c r="E2" s="7" t="str">
        <f>+IF(FINANCIACION[[#This Row],[$ CAPITAL]]&gt;=0,FINANCIACION[[#This Row],[$ CAPITAL]]+FINANCIACION[[#This Row],[$ INTERESES]],"")</f>
        <v/>
      </c>
      <c r="F2" s="7">
        <f>+SUMIFS(FINANCIACION[$ CAPITAL],FINANCIACION[Fecha],"&lt;="&amp;FINANCIACION[[#This Row],[Fecha]],FINANCIACION[PRESTAMO],FINANCIACION[[#This Row],[PRESTAMO]])</f>
        <v>-18000000</v>
      </c>
      <c r="G2" s="11"/>
      <c r="H2" s="13"/>
      <c r="I2" s="7" t="b">
        <f>+IF(FINANCIACION[[#This Row],[$ CAPITAL]]&gt;0,FINANCIACION[[#This Row],[$ CAPITAL]])</f>
        <v>0</v>
      </c>
      <c r="J2" s="12">
        <f>+IF(FINANCIACION[[#This Row],[$ CAPITAL]]&gt;=0,FINANCIACION[[#This Row],[$ CAPITAL]]+FINANCIACION[[#This Row],[$ INTERESES]],0)</f>
        <v>0</v>
      </c>
      <c r="N2" s="8"/>
      <c r="O2" s="8"/>
    </row>
    <row r="3" spans="1:15" ht="24" hidden="1" customHeight="1" x14ac:dyDescent="0.25">
      <c r="A3" s="10">
        <v>44103</v>
      </c>
      <c r="B3" s="85" t="s">
        <v>661</v>
      </c>
      <c r="C3" s="7">
        <v>-3887647</v>
      </c>
      <c r="D3" s="7"/>
      <c r="E3" s="7" t="str">
        <f>+IF(FINANCIACION[[#This Row],[$ CAPITAL]]&gt;=0,FINANCIACION[[#This Row],[$ CAPITAL]]+FINANCIACION[[#This Row],[$ INTERESES]],"")</f>
        <v/>
      </c>
      <c r="F3" s="7">
        <f>+SUMIFS(FINANCIACION[$ CAPITAL],FINANCIACION[Fecha],"&lt;="&amp;FINANCIACION[[#This Row],[Fecha]],FINANCIACION[PRESTAMO],FINANCIACION[[#This Row],[PRESTAMO]])</f>
        <v>-14591767</v>
      </c>
      <c r="G3" s="9" t="s">
        <v>47</v>
      </c>
      <c r="H3" s="11"/>
      <c r="I3" s="7" t="b">
        <f>+IF(FINANCIACION[[#This Row],[$ CAPITAL]]&gt;0,FINANCIACION[[#This Row],[$ CAPITAL]])</f>
        <v>0</v>
      </c>
      <c r="J3" s="12">
        <f>+IF(FINANCIACION[[#This Row],[$ CAPITAL]]&gt;=0,FINANCIACION[[#This Row],[$ CAPITAL]]+FINANCIACION[[#This Row],[$ INTERESES]],0)</f>
        <v>0</v>
      </c>
      <c r="N3" s="8"/>
      <c r="O3" s="8"/>
    </row>
    <row r="4" spans="1:15" ht="24" hidden="1" customHeight="1" x14ac:dyDescent="0.25">
      <c r="A4" s="10">
        <v>44103</v>
      </c>
      <c r="B4" s="85" t="s">
        <v>661</v>
      </c>
      <c r="C4" s="7">
        <v>7295880</v>
      </c>
      <c r="D4" s="7">
        <v>1184120</v>
      </c>
      <c r="E4" s="7">
        <f>+IF(FINANCIACION[[#This Row],[$ CAPITAL]]&gt;=0,FINANCIACION[[#This Row],[$ CAPITAL]]+FINANCIACION[[#This Row],[$ INTERESES]],"")</f>
        <v>8480000</v>
      </c>
      <c r="F4" s="7">
        <f>+SUMIFS(FINANCIACION[$ CAPITAL],FINANCIACION[Fecha],"&lt;="&amp;FINANCIACION[[#This Row],[Fecha]],FINANCIACION[PRESTAMO],FINANCIACION[[#This Row],[PRESTAMO]])</f>
        <v>-14591767</v>
      </c>
      <c r="G4" s="9"/>
      <c r="H4" s="11"/>
      <c r="I4" s="7">
        <f>+IF(FINANCIACION[[#This Row],[$ CAPITAL]]&gt;0,FINANCIACION[[#This Row],[$ CAPITAL]])</f>
        <v>7295880</v>
      </c>
      <c r="J4" s="12">
        <f>+IF(FINANCIACION[[#This Row],[$ CAPITAL]]&gt;=0,FINANCIACION[[#This Row],[$ CAPITAL]]+FINANCIACION[[#This Row],[$ INTERESES]],0)</f>
        <v>8480000</v>
      </c>
      <c r="N4" s="8"/>
      <c r="O4" s="8"/>
    </row>
    <row r="5" spans="1:15" ht="24" hidden="1" customHeight="1" x14ac:dyDescent="0.25">
      <c r="A5" s="10">
        <v>44248</v>
      </c>
      <c r="B5" s="85" t="s">
        <v>661</v>
      </c>
      <c r="C5" s="7">
        <v>7295880</v>
      </c>
      <c r="D5" s="7">
        <f>8879000-FINANCIACION[[#This Row],[$ CAPITAL]]</f>
        <v>1583120</v>
      </c>
      <c r="E5" s="7">
        <f>+IF(FINANCIACION[[#This Row],[$ CAPITAL]]&gt;=0,FINANCIACION[[#This Row],[$ CAPITAL]]+FINANCIACION[[#This Row],[$ INTERESES]],"")</f>
        <v>8879000</v>
      </c>
      <c r="F5" s="7">
        <f>+SUMIFS(FINANCIACION[$ CAPITAL],FINANCIACION[Fecha],"&lt;="&amp;FINANCIACION[[#This Row],[Fecha]],FINANCIACION[PRESTAMO],FINANCIACION[[#This Row],[PRESTAMO]])</f>
        <v>-7295887</v>
      </c>
      <c r="G5" s="11"/>
      <c r="H5" s="91"/>
      <c r="I5" s="7">
        <f>+IF(FINANCIACION[[#This Row],[$ CAPITAL]]&gt;0,FINANCIACION[[#This Row],[$ CAPITAL]])</f>
        <v>7295880</v>
      </c>
      <c r="J5" s="12">
        <f>+IF(FINANCIACION[[#This Row],[$ CAPITAL]]&gt;=0,FINANCIACION[[#This Row],[$ CAPITAL]]+FINANCIACION[[#This Row],[$ INTERESES]],0)</f>
        <v>8879000</v>
      </c>
    </row>
    <row r="6" spans="1:15" ht="24" hidden="1" customHeight="1" x14ac:dyDescent="0.25">
      <c r="A6" s="10">
        <v>44475</v>
      </c>
      <c r="B6" s="85" t="s">
        <v>661</v>
      </c>
      <c r="C6" s="7">
        <v>7295887</v>
      </c>
      <c r="D6" s="7">
        <f>8510950-FINANCIACION[[#This Row],[$ CAPITAL]]</f>
        <v>1215063</v>
      </c>
      <c r="E6" s="7">
        <f>+IF(FINANCIACION[[#This Row],[$ CAPITAL]]&gt;=0,FINANCIACION[[#This Row],[$ CAPITAL]]+FINANCIACION[[#This Row],[$ INTERESES]],"")</f>
        <v>8510950</v>
      </c>
      <c r="F6" s="7">
        <f>+SUMIFS(FINANCIACION[$ CAPITAL],FINANCIACION[Fecha],"&lt;="&amp;FINANCIACION[[#This Row],[Fecha]],FINANCIACION[PRESTAMO],FINANCIACION[[#This Row],[PRESTAMO]])</f>
        <v>0</v>
      </c>
      <c r="G6" s="91"/>
      <c r="H6" s="11"/>
      <c r="I6" s="7">
        <f>+IF(FINANCIACION[[#This Row],[$ CAPITAL]]&gt;0,FINANCIACION[[#This Row],[$ CAPITAL]])</f>
        <v>7295887</v>
      </c>
      <c r="J6" s="49">
        <f>+IF(FINANCIACION[[#This Row],[$ CAPITAL]]&gt;=0,FINANCIACION[[#This Row],[$ CAPITAL]]+FINANCIACION[[#This Row],[$ INTERESES]],0)</f>
        <v>8510950</v>
      </c>
    </row>
    <row r="7" spans="1:15" ht="24" hidden="1" customHeight="1" x14ac:dyDescent="0.25">
      <c r="A7" s="10">
        <v>36892</v>
      </c>
      <c r="B7" s="85" t="s">
        <v>475</v>
      </c>
      <c r="C7" s="7">
        <v>-13000000</v>
      </c>
      <c r="D7" s="7"/>
      <c r="E7" s="7" t="str">
        <f>+IF(FINANCIACION[[#This Row],[$ CAPITAL]]&gt;=0,FINANCIACION[[#This Row],[$ CAPITAL]]+FINANCIACION[[#This Row],[$ INTERESES]],"")</f>
        <v/>
      </c>
      <c r="F7" s="7">
        <f>+SUMIFS(FINANCIACION[$ CAPITAL],FINANCIACION[Fecha],"&lt;="&amp;FINANCIACION[[#This Row],[Fecha]],FINANCIACION[PRESTAMO],FINANCIACION[[#This Row],[PRESTAMO]])</f>
        <v>-13000000</v>
      </c>
      <c r="G7" s="91"/>
      <c r="H7" s="11"/>
      <c r="I7" s="7" t="b">
        <f>+IF(FINANCIACION[[#This Row],[$ CAPITAL]]&gt;0,FINANCIACION[[#This Row],[$ CAPITAL]])</f>
        <v>0</v>
      </c>
      <c r="J7" s="49">
        <f>+IF(FINANCIACION[[#This Row],[$ CAPITAL]]&gt;=0,FINANCIACION[[#This Row],[$ CAPITAL]]+FINANCIACION[[#This Row],[$ INTERESES]],0)</f>
        <v>0</v>
      </c>
    </row>
    <row r="8" spans="1:15" ht="24" hidden="1" customHeight="1" x14ac:dyDescent="0.25">
      <c r="A8" s="10">
        <v>44247</v>
      </c>
      <c r="B8" s="85" t="s">
        <v>475</v>
      </c>
      <c r="C8" s="7"/>
      <c r="D8" s="7">
        <v>130000</v>
      </c>
      <c r="E8" s="7">
        <f>+IF(FINANCIACION[[#This Row],[$ CAPITAL]]&gt;=0,FINANCIACION[[#This Row],[$ CAPITAL]]+FINANCIACION[[#This Row],[$ INTERESES]],"")</f>
        <v>130000</v>
      </c>
      <c r="F8" s="7">
        <f>+SUMIFS(FINANCIACION[$ CAPITAL],FINANCIACION[Fecha],"&lt;="&amp;FINANCIACION[[#This Row],[Fecha]],FINANCIACION[PRESTAMO],FINANCIACION[[#This Row],[PRESTAMO]])</f>
        <v>-13000000</v>
      </c>
      <c r="G8" s="91"/>
      <c r="H8" s="11"/>
      <c r="I8" s="7" t="b">
        <f>+IF(FINANCIACION[[#This Row],[$ CAPITAL]]&gt;0,FINANCIACION[[#This Row],[$ CAPITAL]])</f>
        <v>0</v>
      </c>
      <c r="J8" s="49">
        <f>+IF(FINANCIACION[[#This Row],[$ CAPITAL]]&gt;=0,FINANCIACION[[#This Row],[$ CAPITAL]]+FINANCIACION[[#This Row],[$ INTERESES]],0)</f>
        <v>130000</v>
      </c>
    </row>
    <row r="9" spans="1:15" ht="24" hidden="1" customHeight="1" x14ac:dyDescent="0.25">
      <c r="A9" s="10">
        <v>44265</v>
      </c>
      <c r="B9" s="85" t="s">
        <v>475</v>
      </c>
      <c r="C9" s="7"/>
      <c r="D9" s="7">
        <v>130000</v>
      </c>
      <c r="E9" s="7">
        <f>+IF(FINANCIACION[[#This Row],[$ CAPITAL]]&gt;=0,FINANCIACION[[#This Row],[$ CAPITAL]]+FINANCIACION[[#This Row],[$ INTERESES]],"")</f>
        <v>130000</v>
      </c>
      <c r="F9" s="7">
        <f>+SUMIFS(FINANCIACION[$ CAPITAL],FINANCIACION[Fecha],"&lt;="&amp;FINANCIACION[[#This Row],[Fecha]],FINANCIACION[PRESTAMO],FINANCIACION[[#This Row],[PRESTAMO]])</f>
        <v>-13000000</v>
      </c>
      <c r="G9" s="91"/>
      <c r="H9" s="11"/>
      <c r="I9" s="7" t="b">
        <f>+IF(FINANCIACION[[#This Row],[$ CAPITAL]]&gt;0,FINANCIACION[[#This Row],[$ CAPITAL]])</f>
        <v>0</v>
      </c>
      <c r="J9" s="49">
        <f>+IF(FINANCIACION[[#This Row],[$ CAPITAL]]&gt;=0,FINANCIACION[[#This Row],[$ CAPITAL]]+FINANCIACION[[#This Row],[$ INTERESES]],0)</f>
        <v>130000</v>
      </c>
    </row>
    <row r="10" spans="1:15" ht="24" hidden="1" customHeight="1" x14ac:dyDescent="0.25">
      <c r="A10" s="10">
        <v>44363</v>
      </c>
      <c r="B10" s="85" t="s">
        <v>475</v>
      </c>
      <c r="C10" s="7"/>
      <c r="D10" s="7">
        <f>130000*3</f>
        <v>390000</v>
      </c>
      <c r="E10" s="7">
        <f>+IF(FINANCIACION[[#This Row],[$ CAPITAL]]&gt;=0,FINANCIACION[[#This Row],[$ CAPITAL]]+FINANCIACION[[#This Row],[$ INTERESES]],"")</f>
        <v>390000</v>
      </c>
      <c r="F10" s="7">
        <f>+SUMIFS(FINANCIACION[$ CAPITAL],FINANCIACION[Fecha],"&lt;="&amp;FINANCIACION[[#This Row],[Fecha]],FINANCIACION[PRESTAMO],FINANCIACION[[#This Row],[PRESTAMO]])</f>
        <v>-13000000</v>
      </c>
      <c r="G10" s="91"/>
      <c r="H10" s="11"/>
      <c r="I10" s="7" t="b">
        <f>+IF(FINANCIACION[[#This Row],[$ CAPITAL]]&gt;0,FINANCIACION[[#This Row],[$ CAPITAL]])</f>
        <v>0</v>
      </c>
      <c r="J10" s="49">
        <f>+IF(FINANCIACION[[#This Row],[$ CAPITAL]]&gt;=0,FINANCIACION[[#This Row],[$ CAPITAL]]+FINANCIACION[[#This Row],[$ INTERESES]],0)</f>
        <v>390000</v>
      </c>
    </row>
    <row r="11" spans="1:15" ht="24" hidden="1" customHeight="1" x14ac:dyDescent="0.25">
      <c r="A11" s="10">
        <v>44390</v>
      </c>
      <c r="B11" s="85" t="s">
        <v>475</v>
      </c>
      <c r="C11" s="7"/>
      <c r="D11" s="7">
        <v>130000</v>
      </c>
      <c r="E11" s="7">
        <f>+IF(FINANCIACION[[#This Row],[$ CAPITAL]]&gt;=0,FINANCIACION[[#This Row],[$ CAPITAL]]+FINANCIACION[[#This Row],[$ INTERESES]],"")</f>
        <v>130000</v>
      </c>
      <c r="F11" s="7">
        <f>+SUMIFS(FINANCIACION[$ CAPITAL],FINANCIACION[Fecha],"&lt;="&amp;FINANCIACION[[#This Row],[Fecha]],FINANCIACION[PRESTAMO],FINANCIACION[[#This Row],[PRESTAMO]])</f>
        <v>-13000000</v>
      </c>
      <c r="G11" s="91"/>
      <c r="H11" s="11"/>
      <c r="I11" s="7" t="b">
        <f>+IF(FINANCIACION[[#This Row],[$ CAPITAL]]&gt;0,FINANCIACION[[#This Row],[$ CAPITAL]])</f>
        <v>0</v>
      </c>
      <c r="J11" s="49">
        <f>+IF(FINANCIACION[[#This Row],[$ CAPITAL]]&gt;=0,FINANCIACION[[#This Row],[$ CAPITAL]]+FINANCIACION[[#This Row],[$ INTERESES]],0)</f>
        <v>130000</v>
      </c>
    </row>
    <row r="12" spans="1:15" ht="24" hidden="1" customHeight="1" x14ac:dyDescent="0.25">
      <c r="A12" s="10">
        <v>44425</v>
      </c>
      <c r="B12" s="85" t="s">
        <v>475</v>
      </c>
      <c r="C12" s="7"/>
      <c r="D12" s="7">
        <v>130000</v>
      </c>
      <c r="E12" s="7">
        <f>+IF(FINANCIACION[[#This Row],[$ CAPITAL]]&gt;=0,FINANCIACION[[#This Row],[$ CAPITAL]]+FINANCIACION[[#This Row],[$ INTERESES]],"")</f>
        <v>130000</v>
      </c>
      <c r="F12" s="7">
        <f>+SUMIFS(FINANCIACION[$ CAPITAL],FINANCIACION[Fecha],"&lt;="&amp;FINANCIACION[[#This Row],[Fecha]],FINANCIACION[PRESTAMO],FINANCIACION[[#This Row],[PRESTAMO]])</f>
        <v>-13000000</v>
      </c>
      <c r="G12" s="91"/>
      <c r="H12" s="11"/>
      <c r="I12" s="7" t="b">
        <f>+IF(FINANCIACION[[#This Row],[$ CAPITAL]]&gt;0,FINANCIACION[[#This Row],[$ CAPITAL]])</f>
        <v>0</v>
      </c>
      <c r="J12" s="49">
        <f>+IF(FINANCIACION[[#This Row],[$ CAPITAL]]&gt;=0,FINANCIACION[[#This Row],[$ CAPITAL]]+FINANCIACION[[#This Row],[$ INTERESES]],0)</f>
        <v>130000</v>
      </c>
    </row>
    <row r="13" spans="1:15" ht="24" hidden="1" customHeight="1" x14ac:dyDescent="0.25">
      <c r="A13" s="10">
        <v>44450</v>
      </c>
      <c r="B13" s="85" t="s">
        <v>475</v>
      </c>
      <c r="C13" s="7"/>
      <c r="D13" s="7">
        <v>130000</v>
      </c>
      <c r="E13" s="7">
        <f>+IF(FINANCIACION[[#This Row],[$ CAPITAL]]&gt;=0,FINANCIACION[[#This Row],[$ CAPITAL]]+FINANCIACION[[#This Row],[$ INTERESES]],"")</f>
        <v>130000</v>
      </c>
      <c r="F13" s="7">
        <f>+SUMIFS(FINANCIACION[$ CAPITAL],FINANCIACION[Fecha],"&lt;="&amp;FINANCIACION[[#This Row],[Fecha]],FINANCIACION[PRESTAMO],FINANCIACION[[#This Row],[PRESTAMO]])</f>
        <v>-13000000</v>
      </c>
      <c r="G13" s="91"/>
      <c r="H13" s="11"/>
      <c r="I13" s="7" t="b">
        <f>+IF(FINANCIACION[[#This Row],[$ CAPITAL]]&gt;0,FINANCIACION[[#This Row],[$ CAPITAL]])</f>
        <v>0</v>
      </c>
      <c r="J13" s="49">
        <f>+IF(FINANCIACION[[#This Row],[$ CAPITAL]]&gt;=0,FINANCIACION[[#This Row],[$ CAPITAL]]+FINANCIACION[[#This Row],[$ INTERESES]],0)</f>
        <v>130000</v>
      </c>
    </row>
    <row r="14" spans="1:15" ht="24" hidden="1" customHeight="1" x14ac:dyDescent="0.25">
      <c r="A14" s="10">
        <v>44510</v>
      </c>
      <c r="B14" s="85" t="s">
        <v>475</v>
      </c>
      <c r="C14" s="7"/>
      <c r="D14" s="7">
        <v>130000</v>
      </c>
      <c r="E14" s="7">
        <f>+IF(FINANCIACION[[#This Row],[$ CAPITAL]]&gt;=0,FINANCIACION[[#This Row],[$ CAPITAL]]+FINANCIACION[[#This Row],[$ INTERESES]],"")</f>
        <v>130000</v>
      </c>
      <c r="F14" s="7">
        <f>+SUMIFS(FINANCIACION[$ CAPITAL],FINANCIACION[Fecha],"&lt;="&amp;FINANCIACION[[#This Row],[Fecha]],FINANCIACION[PRESTAMO],FINANCIACION[[#This Row],[PRESTAMO]])</f>
        <v>-13000000</v>
      </c>
      <c r="G14" s="91"/>
      <c r="H14" s="11"/>
      <c r="I14" s="7" t="b">
        <f>+IF(FINANCIACION[[#This Row],[$ CAPITAL]]&gt;0,FINANCIACION[[#This Row],[$ CAPITAL]])</f>
        <v>0</v>
      </c>
      <c r="J14" s="49">
        <f>+IF(FINANCIACION[[#This Row],[$ CAPITAL]]&gt;=0,FINANCIACION[[#This Row],[$ CAPITAL]]+FINANCIACION[[#This Row],[$ INTERESES]],0)</f>
        <v>130000</v>
      </c>
    </row>
    <row r="15" spans="1:15" ht="24" hidden="1" customHeight="1" x14ac:dyDescent="0.25">
      <c r="A15" s="10">
        <v>44539</v>
      </c>
      <c r="B15" s="85" t="s">
        <v>475</v>
      </c>
      <c r="C15" s="7"/>
      <c r="D15" s="7">
        <v>130000</v>
      </c>
      <c r="E15" s="7">
        <f>+IF(FINANCIACION[[#This Row],[$ CAPITAL]]&gt;=0,FINANCIACION[[#This Row],[$ CAPITAL]]+FINANCIACION[[#This Row],[$ INTERESES]],"")</f>
        <v>130000</v>
      </c>
      <c r="F15" s="7">
        <f>+SUMIFS(FINANCIACION[$ CAPITAL],FINANCIACION[Fecha],"&lt;="&amp;FINANCIACION[[#This Row],[Fecha]],FINANCIACION[PRESTAMO],FINANCIACION[[#This Row],[PRESTAMO]])</f>
        <v>-13000000</v>
      </c>
      <c r="G15" s="91"/>
      <c r="H15" s="11"/>
      <c r="I15" s="7" t="b">
        <f>+IF(FINANCIACION[[#This Row],[$ CAPITAL]]&gt;0,FINANCIACION[[#This Row],[$ CAPITAL]])</f>
        <v>0</v>
      </c>
      <c r="J15" s="49">
        <f>+IF(FINANCIACION[[#This Row],[$ CAPITAL]]&gt;=0,FINANCIACION[[#This Row],[$ CAPITAL]]+FINANCIACION[[#This Row],[$ INTERESES]],0)</f>
        <v>130000</v>
      </c>
    </row>
    <row r="16" spans="1:15" ht="24" hidden="1" customHeight="1" x14ac:dyDescent="0.25">
      <c r="A16" s="10">
        <v>43465</v>
      </c>
      <c r="B16" s="85" t="s">
        <v>476</v>
      </c>
      <c r="C16" s="7">
        <v>-3500000</v>
      </c>
      <c r="D16" s="7"/>
      <c r="E16" s="7" t="str">
        <f>+IF(FINANCIACION[[#This Row],[$ CAPITAL]]&gt;=0,FINANCIACION[[#This Row],[$ CAPITAL]]+FINANCIACION[[#This Row],[$ INTERESES]],"")</f>
        <v/>
      </c>
      <c r="F16" s="7">
        <f>+SUMIFS(FINANCIACION[$ CAPITAL],FINANCIACION[Fecha],"&lt;="&amp;FINANCIACION[[#This Row],[Fecha]],FINANCIACION[PRESTAMO],FINANCIACION[[#This Row],[PRESTAMO]])</f>
        <v>-3500000</v>
      </c>
      <c r="G16" s="11"/>
      <c r="H16" s="11"/>
      <c r="I16" s="7" t="b">
        <f>+IF(FINANCIACION[[#This Row],[$ CAPITAL]]&gt;0,FINANCIACION[[#This Row],[$ CAPITAL]])</f>
        <v>0</v>
      </c>
      <c r="J16" s="49">
        <f>+IF(FINANCIACION[[#This Row],[$ CAPITAL]]&gt;=0,FINANCIACION[[#This Row],[$ CAPITAL]]+FINANCIACION[[#This Row],[$ INTERESES]],0)</f>
        <v>0</v>
      </c>
    </row>
    <row r="17" spans="1:10" ht="24" hidden="1" customHeight="1" x14ac:dyDescent="0.25">
      <c r="A17" s="10">
        <v>43766</v>
      </c>
      <c r="B17" s="85" t="s">
        <v>476</v>
      </c>
      <c r="C17" s="7"/>
      <c r="D17" s="7">
        <v>90000</v>
      </c>
      <c r="E17" s="7">
        <f>+IF(FINANCIACION[[#This Row],[$ CAPITAL]]&gt;=0,FINANCIACION[[#This Row],[$ CAPITAL]]+FINANCIACION[[#This Row],[$ INTERESES]],"")</f>
        <v>90000</v>
      </c>
      <c r="F17" s="7">
        <f>+SUMIFS(FINANCIACION[$ CAPITAL],FINANCIACION[Fecha],"&lt;="&amp;FINANCIACION[[#This Row],[Fecha]],FINANCIACION[PRESTAMO],FINANCIACION[[#This Row],[PRESTAMO]])</f>
        <v>-3500000</v>
      </c>
      <c r="G17" s="11"/>
      <c r="H17" s="11"/>
      <c r="I17" s="7" t="b">
        <f>+IF(FINANCIACION[[#This Row],[$ CAPITAL]]&gt;0,FINANCIACION[[#This Row],[$ CAPITAL]])</f>
        <v>0</v>
      </c>
      <c r="J17" s="49">
        <f>+IF(FINANCIACION[[#This Row],[$ CAPITAL]]&gt;=0,FINANCIACION[[#This Row],[$ CAPITAL]]+FINANCIACION[[#This Row],[$ INTERESES]],0)</f>
        <v>90000</v>
      </c>
    </row>
    <row r="18" spans="1:10" ht="24" hidden="1" customHeight="1" x14ac:dyDescent="0.25">
      <c r="A18" s="10">
        <v>43890</v>
      </c>
      <c r="B18" s="85" t="s">
        <v>476</v>
      </c>
      <c r="C18" s="7"/>
      <c r="D18" s="7">
        <v>120000</v>
      </c>
      <c r="E18" s="7">
        <f>+IF(FINANCIACION[[#This Row],[$ CAPITAL]]&gt;=0,FINANCIACION[[#This Row],[$ CAPITAL]]+FINANCIACION[[#This Row],[$ INTERESES]],"")</f>
        <v>120000</v>
      </c>
      <c r="F18" s="7">
        <f>+SUMIFS(FINANCIACION[$ CAPITAL],FINANCIACION[Fecha],"&lt;="&amp;FINANCIACION[[#This Row],[Fecha]],FINANCIACION[PRESTAMO],FINANCIACION[[#This Row],[PRESTAMO]])</f>
        <v>-3500000</v>
      </c>
      <c r="G18" s="11"/>
      <c r="H18" s="11"/>
      <c r="I18" s="7" t="b">
        <f>+IF(FINANCIACION[[#This Row],[$ CAPITAL]]&gt;0,FINANCIACION[[#This Row],[$ CAPITAL]])</f>
        <v>0</v>
      </c>
      <c r="J18" s="49">
        <f>+IF(FINANCIACION[[#This Row],[$ CAPITAL]]&gt;=0,FINANCIACION[[#This Row],[$ CAPITAL]]+FINANCIACION[[#This Row],[$ INTERESES]],0)</f>
        <v>120000</v>
      </c>
    </row>
    <row r="19" spans="1:10" ht="24" hidden="1" customHeight="1" x14ac:dyDescent="0.25">
      <c r="A19" s="10">
        <v>43951</v>
      </c>
      <c r="B19" s="85" t="s">
        <v>476</v>
      </c>
      <c r="C19" s="7">
        <v>3500000</v>
      </c>
      <c r="D19" s="7"/>
      <c r="E19" s="7">
        <f>+IF(FINANCIACION[[#This Row],[$ CAPITAL]]&gt;=0,FINANCIACION[[#This Row],[$ CAPITAL]]+FINANCIACION[[#This Row],[$ INTERESES]],"")</f>
        <v>3500000</v>
      </c>
      <c r="F19" s="7">
        <f>+SUMIFS(FINANCIACION[$ CAPITAL],FINANCIACION[Fecha],"&lt;="&amp;FINANCIACION[[#This Row],[Fecha]],FINANCIACION[PRESTAMO],FINANCIACION[[#This Row],[PRESTAMO]])</f>
        <v>0</v>
      </c>
      <c r="G19" s="11"/>
      <c r="H19" s="11"/>
      <c r="I19" s="7">
        <f>+IF(FINANCIACION[[#This Row],[$ CAPITAL]]&gt;0,FINANCIACION[[#This Row],[$ CAPITAL]])</f>
        <v>3500000</v>
      </c>
      <c r="J19" s="49">
        <f>+IF(FINANCIACION[[#This Row],[$ CAPITAL]]&gt;=0,FINANCIACION[[#This Row],[$ CAPITAL]]+FINANCIACION[[#This Row],[$ INTERESES]],0)</f>
        <v>3500000</v>
      </c>
    </row>
    <row r="20" spans="1:10" ht="24" hidden="1" customHeight="1" x14ac:dyDescent="0.25">
      <c r="A20" s="10">
        <v>43900</v>
      </c>
      <c r="B20" s="85" t="s">
        <v>442</v>
      </c>
      <c r="C20" s="7">
        <v>-75000000</v>
      </c>
      <c r="D20" s="7"/>
      <c r="E20" s="7" t="str">
        <f>+IF(FINANCIACION[[#This Row],[$ CAPITAL]]&gt;=0,FINANCIACION[[#This Row],[$ CAPITAL]]+FINANCIACION[[#This Row],[$ INTERESES]],"")</f>
        <v/>
      </c>
      <c r="F20" s="7">
        <f>+SUMIFS(FINANCIACION[$ CAPITAL],FINANCIACION[Fecha],"&lt;="&amp;FINANCIACION[[#This Row],[Fecha]],FINANCIACION[PRESTAMO],FINANCIACION[[#This Row],[PRESTAMO]])</f>
        <v>-75000000</v>
      </c>
      <c r="G20" s="11"/>
      <c r="H20" s="11"/>
      <c r="I20" s="7" t="b">
        <f>+IF(FINANCIACION[[#This Row],[$ CAPITAL]]&gt;0,FINANCIACION[[#This Row],[$ CAPITAL]])</f>
        <v>0</v>
      </c>
      <c r="J20" s="49">
        <f>+IF(FINANCIACION[[#This Row],[$ CAPITAL]]&gt;=0,FINANCIACION[[#This Row],[$ CAPITAL]]+FINANCIACION[[#This Row],[$ INTERESES]],0)</f>
        <v>0</v>
      </c>
    </row>
    <row r="21" spans="1:10" ht="24" hidden="1" customHeight="1" x14ac:dyDescent="0.25">
      <c r="A21" s="10">
        <v>44191</v>
      </c>
      <c r="B21" s="85" t="s">
        <v>442</v>
      </c>
      <c r="C21" s="7"/>
      <c r="D21" s="7">
        <v>6750000</v>
      </c>
      <c r="E21" s="7">
        <f>+IF(FINANCIACION[[#This Row],[$ CAPITAL]]&gt;=0,FINANCIACION[[#This Row],[$ CAPITAL]]+FINANCIACION[[#This Row],[$ INTERESES]],"")</f>
        <v>6750000</v>
      </c>
      <c r="F21" s="7">
        <f>+SUMIFS(FINANCIACION[$ CAPITAL],FINANCIACION[Fecha],"&lt;="&amp;FINANCIACION[[#This Row],[Fecha]],FINANCIACION[PRESTAMO],FINANCIACION[[#This Row],[PRESTAMO]])</f>
        <v>-75000000</v>
      </c>
      <c r="G21" s="11"/>
      <c r="H21" s="11"/>
      <c r="I21" s="7" t="b">
        <f>+IF(FINANCIACION[[#This Row],[$ CAPITAL]]&gt;0,FINANCIACION[[#This Row],[$ CAPITAL]])</f>
        <v>0</v>
      </c>
      <c r="J21" s="49">
        <f>+IF(FINANCIACION[[#This Row],[$ CAPITAL]]&gt;=0,FINANCIACION[[#This Row],[$ CAPITAL]]+FINANCIACION[[#This Row],[$ INTERESES]],0)</f>
        <v>6750000</v>
      </c>
    </row>
    <row r="22" spans="1:10" ht="24" hidden="1" customHeight="1" x14ac:dyDescent="0.25">
      <c r="A22" s="10">
        <v>44554</v>
      </c>
      <c r="B22" s="85" t="s">
        <v>442</v>
      </c>
      <c r="C22" s="7"/>
      <c r="D22" s="7">
        <v>9000000</v>
      </c>
      <c r="E22" s="7">
        <f>+IF(FINANCIACION[[#This Row],[$ CAPITAL]]&gt;=0,FINANCIACION[[#This Row],[$ CAPITAL]]+FINANCIACION[[#This Row],[$ INTERESES]],"")</f>
        <v>9000000</v>
      </c>
      <c r="F22" s="7">
        <f>+SUMIFS(FINANCIACION[$ CAPITAL],FINANCIACION[Fecha],"&lt;="&amp;FINANCIACION[[#This Row],[Fecha]],FINANCIACION[PRESTAMO],FINANCIACION[[#This Row],[PRESTAMO]])</f>
        <v>-75000000</v>
      </c>
      <c r="G22" s="91"/>
      <c r="H22" s="11"/>
      <c r="I22" s="7" t="b">
        <f>+IF(FINANCIACION[[#This Row],[$ CAPITAL]]&gt;0,FINANCIACION[[#This Row],[$ CAPITAL]])</f>
        <v>0</v>
      </c>
      <c r="J22" s="49">
        <f>+IF(FINANCIACION[[#This Row],[$ CAPITAL]]&gt;=0,FINANCIACION[[#This Row],[$ CAPITAL]]+FINANCIACION[[#This Row],[$ INTERESES]],0)</f>
        <v>9000000</v>
      </c>
    </row>
    <row r="23" spans="1:10" ht="24" hidden="1" customHeight="1" x14ac:dyDescent="0.25">
      <c r="A23" s="10">
        <v>44420</v>
      </c>
      <c r="B23" s="85" t="s">
        <v>785</v>
      </c>
      <c r="C23" s="7">
        <f>-30000000-10000000</f>
        <v>-40000000</v>
      </c>
      <c r="D23" s="7"/>
      <c r="E23" s="7" t="str">
        <f>+IF(FINANCIACION[[#This Row],[$ CAPITAL]]&gt;=0,FINANCIACION[[#This Row],[$ CAPITAL]]+FINANCIACION[[#This Row],[$ INTERESES]],"")</f>
        <v/>
      </c>
      <c r="F23" s="7">
        <f>+SUMIFS(FINANCIACION[$ CAPITAL],FINANCIACION[Fecha],"&lt;="&amp;FINANCIACION[[#This Row],[Fecha]],FINANCIACION[PRESTAMO],FINANCIACION[[#This Row],[PRESTAMO]])</f>
        <v>-40000000</v>
      </c>
      <c r="G23" s="130" t="s">
        <v>795</v>
      </c>
      <c r="H23" s="11"/>
      <c r="I23" s="7" t="b">
        <f>+IF(FINANCIACION[[#This Row],[$ CAPITAL]]&gt;0,FINANCIACION[[#This Row],[$ CAPITAL]])</f>
        <v>0</v>
      </c>
      <c r="J23" s="49">
        <f>+IF(FINANCIACION[[#This Row],[$ CAPITAL]]&gt;=0,FINANCIACION[[#This Row],[$ CAPITAL]]+FINANCIACION[[#This Row],[$ INTERESES]],0)</f>
        <v>0</v>
      </c>
    </row>
    <row r="24" spans="1:10" ht="24" hidden="1" customHeight="1" x14ac:dyDescent="0.25">
      <c r="A24" s="10">
        <v>44450</v>
      </c>
      <c r="B24" s="85" t="s">
        <v>785</v>
      </c>
      <c r="C24" s="7"/>
      <c r="D24" s="7">
        <v>400000</v>
      </c>
      <c r="E24" s="7">
        <f>+IF(FINANCIACION[[#This Row],[$ CAPITAL]]&gt;=0,FINANCIACION[[#This Row],[$ CAPITAL]]+FINANCIACION[[#This Row],[$ INTERESES]],"")</f>
        <v>400000</v>
      </c>
      <c r="F24" s="7">
        <f>+SUMIFS(FINANCIACION[$ CAPITAL],FINANCIACION[Fecha],"&lt;="&amp;FINANCIACION[[#This Row],[Fecha]],FINANCIACION[PRESTAMO],FINANCIACION[[#This Row],[PRESTAMO]])</f>
        <v>-40000000</v>
      </c>
      <c r="G24" s="91" t="s">
        <v>861</v>
      </c>
      <c r="H24" s="11"/>
      <c r="I24" s="7" t="b">
        <f>+IF(FINANCIACION[[#This Row],[$ CAPITAL]]&gt;0,FINANCIACION[[#This Row],[$ CAPITAL]])</f>
        <v>0</v>
      </c>
      <c r="J24" s="49">
        <f>+IF(FINANCIACION[[#This Row],[$ CAPITAL]]&gt;=0,FINANCIACION[[#This Row],[$ CAPITAL]]+FINANCIACION[[#This Row],[$ INTERESES]],0)</f>
        <v>400000</v>
      </c>
    </row>
    <row r="25" spans="1:10" ht="24" hidden="1" customHeight="1" x14ac:dyDescent="0.25">
      <c r="A25" s="10">
        <v>44480</v>
      </c>
      <c r="B25" s="85" t="s">
        <v>785</v>
      </c>
      <c r="C25" s="7"/>
      <c r="D25" s="7">
        <v>400000</v>
      </c>
      <c r="E25" s="7">
        <f>+IF(FINANCIACION[[#This Row],[$ CAPITAL]]&gt;=0,FINANCIACION[[#This Row],[$ CAPITAL]]+FINANCIACION[[#This Row],[$ INTERESES]],"")</f>
        <v>400000</v>
      </c>
      <c r="F25" s="7">
        <f>+SUMIFS(FINANCIACION[$ CAPITAL],FINANCIACION[Fecha],"&lt;="&amp;FINANCIACION[[#This Row],[Fecha]],FINANCIACION[PRESTAMO],FINANCIACION[[#This Row],[PRESTAMO]])</f>
        <v>-40000000</v>
      </c>
      <c r="G25" s="91" t="s">
        <v>861</v>
      </c>
      <c r="H25" s="11"/>
      <c r="I25" s="7" t="b">
        <f>+IF(FINANCIACION[[#This Row],[$ CAPITAL]]&gt;0,FINANCIACION[[#This Row],[$ CAPITAL]])</f>
        <v>0</v>
      </c>
      <c r="J25" s="49">
        <f>+IF(FINANCIACION[[#This Row],[$ CAPITAL]]&gt;=0,FINANCIACION[[#This Row],[$ CAPITAL]]+FINANCIACION[[#This Row],[$ INTERESES]],0)</f>
        <v>400000</v>
      </c>
    </row>
    <row r="26" spans="1:10" ht="24" hidden="1" customHeight="1" x14ac:dyDescent="0.25">
      <c r="A26" s="10">
        <v>44510</v>
      </c>
      <c r="B26" s="85" t="s">
        <v>785</v>
      </c>
      <c r="C26" s="7"/>
      <c r="D26" s="7">
        <v>400000</v>
      </c>
      <c r="E26" s="7">
        <f>+IF(FINANCIACION[[#This Row],[$ CAPITAL]]&gt;=0,FINANCIACION[[#This Row],[$ CAPITAL]]+FINANCIACION[[#This Row],[$ INTERESES]],"")</f>
        <v>400000</v>
      </c>
      <c r="F26" s="7">
        <f>+SUMIFS(FINANCIACION[$ CAPITAL],FINANCIACION[Fecha],"&lt;="&amp;FINANCIACION[[#This Row],[Fecha]],FINANCIACION[PRESTAMO],FINANCIACION[[#This Row],[PRESTAMO]])</f>
        <v>-40000000</v>
      </c>
      <c r="G26" s="91"/>
      <c r="H26" s="11"/>
      <c r="I26" s="7" t="b">
        <f>+IF(FINANCIACION[[#This Row],[$ CAPITAL]]&gt;0,FINANCIACION[[#This Row],[$ CAPITAL]])</f>
        <v>0</v>
      </c>
      <c r="J26" s="49">
        <f>+IF(FINANCIACION[[#This Row],[$ CAPITAL]]&gt;=0,FINANCIACION[[#This Row],[$ CAPITAL]]+FINANCIACION[[#This Row],[$ INTERESES]],0)</f>
        <v>400000</v>
      </c>
    </row>
    <row r="27" spans="1:10" ht="24" hidden="1" customHeight="1" x14ac:dyDescent="0.25">
      <c r="A27" s="10">
        <v>44539</v>
      </c>
      <c r="B27" s="85" t="s">
        <v>785</v>
      </c>
      <c r="C27" s="7"/>
      <c r="D27" s="7">
        <v>400000</v>
      </c>
      <c r="E27" s="7">
        <f>+IF(FINANCIACION[[#This Row],[$ CAPITAL]]&gt;=0,FINANCIACION[[#This Row],[$ CAPITAL]]+FINANCIACION[[#This Row],[$ INTERESES]],"")</f>
        <v>400000</v>
      </c>
      <c r="F27" s="7">
        <f>+SUMIFS(FINANCIACION[$ CAPITAL],FINANCIACION[Fecha],"&lt;="&amp;FINANCIACION[[#This Row],[Fecha]],FINANCIACION[PRESTAMO],FINANCIACION[[#This Row],[PRESTAMO]])</f>
        <v>-40000000</v>
      </c>
      <c r="G27" s="91"/>
      <c r="H27" s="11"/>
      <c r="I27" s="7" t="b">
        <f>+IF(FINANCIACION[[#This Row],[$ CAPITAL]]&gt;0,FINANCIACION[[#This Row],[$ CAPITAL]])</f>
        <v>0</v>
      </c>
      <c r="J27" s="49">
        <f>+IF(FINANCIACION[[#This Row],[$ CAPITAL]]&gt;=0,FINANCIACION[[#This Row],[$ CAPITAL]]+FINANCIACION[[#This Row],[$ INTERESES]],0)</f>
        <v>400000</v>
      </c>
    </row>
    <row r="28" spans="1:10" ht="24" hidden="1" customHeight="1" x14ac:dyDescent="0.25">
      <c r="A28" s="10">
        <v>43074</v>
      </c>
      <c r="B28" s="85" t="s">
        <v>443</v>
      </c>
      <c r="C28" s="7">
        <v>-94935167</v>
      </c>
      <c r="D28" s="7"/>
      <c r="E28" s="7" t="str">
        <f>+IF(FINANCIACION[[#This Row],[$ CAPITAL]]&gt;=0,FINANCIACION[[#This Row],[$ CAPITAL]]+FINANCIACION[[#This Row],[$ INTERESES]],"")</f>
        <v/>
      </c>
      <c r="F28" s="7">
        <f>+SUMIFS(FINANCIACION[$ CAPITAL],FINANCIACION[Fecha],"&lt;="&amp;FINANCIACION[[#This Row],[Fecha]],FINANCIACION[PRESTAMO],FINANCIACION[[#This Row],[PRESTAMO]])</f>
        <v>-94935167</v>
      </c>
      <c r="G28" s="11"/>
      <c r="H28" s="11"/>
      <c r="I28" s="7" t="b">
        <f>+IF(FINANCIACION[[#This Row],[$ CAPITAL]]&gt;0,FINANCIACION[[#This Row],[$ CAPITAL]])</f>
        <v>0</v>
      </c>
      <c r="J28" s="49">
        <f>+IF(FINANCIACION[[#This Row],[$ CAPITAL]]&gt;=0,FINANCIACION[[#This Row],[$ CAPITAL]]+FINANCIACION[[#This Row],[$ INTERESES]],0)</f>
        <v>0</v>
      </c>
    </row>
    <row r="29" spans="1:10" ht="24" hidden="1" customHeight="1" x14ac:dyDescent="0.25">
      <c r="A29" s="10">
        <v>43475</v>
      </c>
      <c r="B29" s="85" t="s">
        <v>443</v>
      </c>
      <c r="C29" s="7"/>
      <c r="D29" s="7">
        <v>950000</v>
      </c>
      <c r="E29" s="7">
        <f>+IF(FINANCIACION[[#This Row],[$ CAPITAL]]&gt;=0,FINANCIACION[[#This Row],[$ CAPITAL]]+FINANCIACION[[#This Row],[$ INTERESES]],"")</f>
        <v>950000</v>
      </c>
      <c r="F29" s="7">
        <f>+SUMIFS(FINANCIACION[$ CAPITAL],FINANCIACION[Fecha],"&lt;="&amp;FINANCIACION[[#This Row],[Fecha]],FINANCIACION[PRESTAMO],FINANCIACION[[#This Row],[PRESTAMO]])</f>
        <v>-94935167</v>
      </c>
      <c r="G29" s="11"/>
      <c r="H29" s="11"/>
      <c r="I29" s="7" t="b">
        <f>+IF(FINANCIACION[[#This Row],[$ CAPITAL]]&gt;0,FINANCIACION[[#This Row],[$ CAPITAL]])</f>
        <v>0</v>
      </c>
      <c r="J29" s="49">
        <f>+IF(FINANCIACION[[#This Row],[$ CAPITAL]]&gt;=0,FINANCIACION[[#This Row],[$ CAPITAL]]+FINANCIACION[[#This Row],[$ INTERESES]],0)</f>
        <v>950000</v>
      </c>
    </row>
    <row r="30" spans="1:10" ht="24" hidden="1" customHeight="1" x14ac:dyDescent="0.25">
      <c r="A30" s="10">
        <v>43506</v>
      </c>
      <c r="B30" s="85" t="s">
        <v>443</v>
      </c>
      <c r="C30" s="7"/>
      <c r="D30" s="7">
        <v>950000</v>
      </c>
      <c r="E30" s="7">
        <f>+IF(FINANCIACION[[#This Row],[$ CAPITAL]]&gt;=0,FINANCIACION[[#This Row],[$ CAPITAL]]+FINANCIACION[[#This Row],[$ INTERESES]],"")</f>
        <v>950000</v>
      </c>
      <c r="F30" s="7">
        <f>+SUMIFS(FINANCIACION[$ CAPITAL],FINANCIACION[Fecha],"&lt;="&amp;FINANCIACION[[#This Row],[Fecha]],FINANCIACION[PRESTAMO],FINANCIACION[[#This Row],[PRESTAMO]])</f>
        <v>-94935167</v>
      </c>
      <c r="G30" s="11"/>
      <c r="H30" s="11"/>
      <c r="I30" s="7" t="b">
        <f>+IF(FINANCIACION[[#This Row],[$ CAPITAL]]&gt;0,FINANCIACION[[#This Row],[$ CAPITAL]])</f>
        <v>0</v>
      </c>
      <c r="J30" s="49">
        <f>+IF(FINANCIACION[[#This Row],[$ CAPITAL]]&gt;=0,FINANCIACION[[#This Row],[$ CAPITAL]]+FINANCIACION[[#This Row],[$ INTERESES]],0)</f>
        <v>950000</v>
      </c>
    </row>
    <row r="31" spans="1:10" ht="24" hidden="1" customHeight="1" x14ac:dyDescent="0.25">
      <c r="A31" s="10">
        <v>43534</v>
      </c>
      <c r="B31" s="85" t="s">
        <v>443</v>
      </c>
      <c r="C31" s="7"/>
      <c r="D31" s="7">
        <v>950000</v>
      </c>
      <c r="E31" s="7">
        <f>+IF(FINANCIACION[[#This Row],[$ CAPITAL]]&gt;=0,FINANCIACION[[#This Row],[$ CAPITAL]]+FINANCIACION[[#This Row],[$ INTERESES]],"")</f>
        <v>950000</v>
      </c>
      <c r="F31" s="7">
        <f>+SUMIFS(FINANCIACION[$ CAPITAL],FINANCIACION[Fecha],"&lt;="&amp;FINANCIACION[[#This Row],[Fecha]],FINANCIACION[PRESTAMO],FINANCIACION[[#This Row],[PRESTAMO]])</f>
        <v>-94935167</v>
      </c>
      <c r="G31" s="11"/>
      <c r="H31" s="11"/>
      <c r="I31" s="7" t="b">
        <f>+IF(FINANCIACION[[#This Row],[$ CAPITAL]]&gt;0,FINANCIACION[[#This Row],[$ CAPITAL]])</f>
        <v>0</v>
      </c>
      <c r="J31" s="49">
        <f>+IF(FINANCIACION[[#This Row],[$ CAPITAL]]&gt;=0,FINANCIACION[[#This Row],[$ CAPITAL]]+FINANCIACION[[#This Row],[$ INTERESES]],0)</f>
        <v>950000</v>
      </c>
    </row>
    <row r="32" spans="1:10" ht="24" hidden="1" customHeight="1" x14ac:dyDescent="0.25">
      <c r="A32" s="10">
        <v>43565</v>
      </c>
      <c r="B32" s="85" t="s">
        <v>443</v>
      </c>
      <c r="C32" s="7"/>
      <c r="D32" s="7">
        <v>950000</v>
      </c>
      <c r="E32" s="7">
        <f>+IF(FINANCIACION[[#This Row],[$ CAPITAL]]&gt;=0,FINANCIACION[[#This Row],[$ CAPITAL]]+FINANCIACION[[#This Row],[$ INTERESES]],"")</f>
        <v>950000</v>
      </c>
      <c r="F32" s="7">
        <f>+SUMIFS(FINANCIACION[$ CAPITAL],FINANCIACION[Fecha],"&lt;="&amp;FINANCIACION[[#This Row],[Fecha]],FINANCIACION[PRESTAMO],FINANCIACION[[#This Row],[PRESTAMO]])</f>
        <v>-94935167</v>
      </c>
      <c r="G32" s="11"/>
      <c r="H32" s="11"/>
      <c r="I32" s="7" t="b">
        <f>+IF(FINANCIACION[[#This Row],[$ CAPITAL]]&gt;0,FINANCIACION[[#This Row],[$ CAPITAL]])</f>
        <v>0</v>
      </c>
      <c r="J32" s="49">
        <f>+IF(FINANCIACION[[#This Row],[$ CAPITAL]]&gt;=0,FINANCIACION[[#This Row],[$ CAPITAL]]+FINANCIACION[[#This Row],[$ INTERESES]],0)</f>
        <v>950000</v>
      </c>
    </row>
    <row r="33" spans="1:10" ht="24" hidden="1" customHeight="1" x14ac:dyDescent="0.25">
      <c r="A33" s="10">
        <v>43595</v>
      </c>
      <c r="B33" s="85" t="s">
        <v>443</v>
      </c>
      <c r="C33" s="7"/>
      <c r="D33" s="7">
        <v>950000</v>
      </c>
      <c r="E33" s="7">
        <f>+IF(FINANCIACION[[#This Row],[$ CAPITAL]]&gt;=0,FINANCIACION[[#This Row],[$ CAPITAL]]+FINANCIACION[[#This Row],[$ INTERESES]],"")</f>
        <v>950000</v>
      </c>
      <c r="F33" s="7">
        <f>+SUMIFS(FINANCIACION[$ CAPITAL],FINANCIACION[Fecha],"&lt;="&amp;FINANCIACION[[#This Row],[Fecha]],FINANCIACION[PRESTAMO],FINANCIACION[[#This Row],[PRESTAMO]])</f>
        <v>-94935167</v>
      </c>
      <c r="G33" s="11"/>
      <c r="H33" s="11"/>
      <c r="I33" s="7" t="b">
        <f>+IF(FINANCIACION[[#This Row],[$ CAPITAL]]&gt;0,FINANCIACION[[#This Row],[$ CAPITAL]])</f>
        <v>0</v>
      </c>
      <c r="J33" s="49">
        <f>+IF(FINANCIACION[[#This Row],[$ CAPITAL]]&gt;=0,FINANCIACION[[#This Row],[$ CAPITAL]]+FINANCIACION[[#This Row],[$ INTERESES]],0)</f>
        <v>950000</v>
      </c>
    </row>
    <row r="34" spans="1:10" ht="24" hidden="1" customHeight="1" x14ac:dyDescent="0.25">
      <c r="A34" s="10">
        <v>43626</v>
      </c>
      <c r="B34" s="85" t="s">
        <v>443</v>
      </c>
      <c r="C34" s="7"/>
      <c r="D34" s="7">
        <v>950000</v>
      </c>
      <c r="E34" s="7">
        <f>+IF(FINANCIACION[[#This Row],[$ CAPITAL]]&gt;=0,FINANCIACION[[#This Row],[$ CAPITAL]]+FINANCIACION[[#This Row],[$ INTERESES]],"")</f>
        <v>950000</v>
      </c>
      <c r="F34" s="7">
        <f>+SUMIFS(FINANCIACION[$ CAPITAL],FINANCIACION[Fecha],"&lt;="&amp;FINANCIACION[[#This Row],[Fecha]],FINANCIACION[PRESTAMO],FINANCIACION[[#This Row],[PRESTAMO]])</f>
        <v>-94935167</v>
      </c>
      <c r="G34" s="11"/>
      <c r="H34" s="11"/>
      <c r="I34" s="7" t="b">
        <f>+IF(FINANCIACION[[#This Row],[$ CAPITAL]]&gt;0,FINANCIACION[[#This Row],[$ CAPITAL]])</f>
        <v>0</v>
      </c>
      <c r="J34" s="49">
        <f>+IF(FINANCIACION[[#This Row],[$ CAPITAL]]&gt;=0,FINANCIACION[[#This Row],[$ CAPITAL]]+FINANCIACION[[#This Row],[$ INTERESES]],0)</f>
        <v>950000</v>
      </c>
    </row>
    <row r="35" spans="1:10" ht="24" hidden="1" customHeight="1" x14ac:dyDescent="0.25">
      <c r="A35" s="10">
        <v>43656</v>
      </c>
      <c r="B35" s="85" t="s">
        <v>443</v>
      </c>
      <c r="C35" s="7"/>
      <c r="D35" s="7">
        <v>950000</v>
      </c>
      <c r="E35" s="7">
        <f>+IF(FINANCIACION[[#This Row],[$ CAPITAL]]&gt;=0,FINANCIACION[[#This Row],[$ CAPITAL]]+FINANCIACION[[#This Row],[$ INTERESES]],"")</f>
        <v>950000</v>
      </c>
      <c r="F35" s="7">
        <f>+SUMIFS(FINANCIACION[$ CAPITAL],FINANCIACION[Fecha],"&lt;="&amp;FINANCIACION[[#This Row],[Fecha]],FINANCIACION[PRESTAMO],FINANCIACION[[#This Row],[PRESTAMO]])</f>
        <v>-94935167</v>
      </c>
      <c r="G35" s="11"/>
      <c r="H35" s="11"/>
      <c r="I35" s="7" t="b">
        <f>+IF(FINANCIACION[[#This Row],[$ CAPITAL]]&gt;0,FINANCIACION[[#This Row],[$ CAPITAL]])</f>
        <v>0</v>
      </c>
      <c r="J35" s="49">
        <f>+IF(FINANCIACION[[#This Row],[$ CAPITAL]]&gt;=0,FINANCIACION[[#This Row],[$ CAPITAL]]+FINANCIACION[[#This Row],[$ INTERESES]],0)</f>
        <v>950000</v>
      </c>
    </row>
    <row r="36" spans="1:10" ht="24" hidden="1" customHeight="1" x14ac:dyDescent="0.25">
      <c r="A36" s="10">
        <v>43687</v>
      </c>
      <c r="B36" s="85" t="s">
        <v>443</v>
      </c>
      <c r="C36" s="7"/>
      <c r="D36" s="7">
        <v>950000</v>
      </c>
      <c r="E36" s="7">
        <f>+IF(FINANCIACION[[#This Row],[$ CAPITAL]]&gt;=0,FINANCIACION[[#This Row],[$ CAPITAL]]+FINANCIACION[[#This Row],[$ INTERESES]],"")</f>
        <v>950000</v>
      </c>
      <c r="F36" s="7">
        <f>+SUMIFS(FINANCIACION[$ CAPITAL],FINANCIACION[Fecha],"&lt;="&amp;FINANCIACION[[#This Row],[Fecha]],FINANCIACION[PRESTAMO],FINANCIACION[[#This Row],[PRESTAMO]])</f>
        <v>-94935167</v>
      </c>
      <c r="G36" s="11"/>
      <c r="H36" s="11"/>
      <c r="I36" s="7" t="b">
        <f>+IF(FINANCIACION[[#This Row],[$ CAPITAL]]&gt;0,FINANCIACION[[#This Row],[$ CAPITAL]])</f>
        <v>0</v>
      </c>
      <c r="J36" s="49">
        <f>+IF(FINANCIACION[[#This Row],[$ CAPITAL]]&gt;=0,FINANCIACION[[#This Row],[$ CAPITAL]]+FINANCIACION[[#This Row],[$ INTERESES]],0)</f>
        <v>950000</v>
      </c>
    </row>
    <row r="37" spans="1:10" ht="24" hidden="1" customHeight="1" x14ac:dyDescent="0.25">
      <c r="A37" s="10">
        <v>43718</v>
      </c>
      <c r="B37" s="85" t="s">
        <v>443</v>
      </c>
      <c r="C37" s="7"/>
      <c r="D37" s="7">
        <v>950000</v>
      </c>
      <c r="E37" s="7">
        <f>+IF(FINANCIACION[[#This Row],[$ CAPITAL]]&gt;=0,FINANCIACION[[#This Row],[$ CAPITAL]]+FINANCIACION[[#This Row],[$ INTERESES]],"")</f>
        <v>950000</v>
      </c>
      <c r="F37" s="7">
        <f>+SUMIFS(FINANCIACION[$ CAPITAL],FINANCIACION[Fecha],"&lt;="&amp;FINANCIACION[[#This Row],[Fecha]],FINANCIACION[PRESTAMO],FINANCIACION[[#This Row],[PRESTAMO]])</f>
        <v>-94935167</v>
      </c>
      <c r="G37" s="11"/>
      <c r="H37" s="11"/>
      <c r="I37" s="7" t="b">
        <f>+IF(FINANCIACION[[#This Row],[$ CAPITAL]]&gt;0,FINANCIACION[[#This Row],[$ CAPITAL]])</f>
        <v>0</v>
      </c>
      <c r="J37" s="49">
        <f>+IF(FINANCIACION[[#This Row],[$ CAPITAL]]&gt;=0,FINANCIACION[[#This Row],[$ CAPITAL]]+FINANCIACION[[#This Row],[$ INTERESES]],0)</f>
        <v>950000</v>
      </c>
    </row>
    <row r="38" spans="1:10" ht="24" hidden="1" customHeight="1" x14ac:dyDescent="0.25">
      <c r="A38" s="10">
        <v>43748</v>
      </c>
      <c r="B38" s="85" t="s">
        <v>443</v>
      </c>
      <c r="C38" s="7"/>
      <c r="D38" s="7">
        <v>950000</v>
      </c>
      <c r="E38" s="7">
        <f>+IF(FINANCIACION[[#This Row],[$ CAPITAL]]&gt;=0,FINANCIACION[[#This Row],[$ CAPITAL]]+FINANCIACION[[#This Row],[$ INTERESES]],"")</f>
        <v>950000</v>
      </c>
      <c r="F38" s="7">
        <f>+SUMIFS(FINANCIACION[$ CAPITAL],FINANCIACION[Fecha],"&lt;="&amp;FINANCIACION[[#This Row],[Fecha]],FINANCIACION[PRESTAMO],FINANCIACION[[#This Row],[PRESTAMO]])</f>
        <v>-94935167</v>
      </c>
      <c r="G38" s="11"/>
      <c r="H38" s="11"/>
      <c r="I38" s="7" t="b">
        <f>+IF(FINANCIACION[[#This Row],[$ CAPITAL]]&gt;0,FINANCIACION[[#This Row],[$ CAPITAL]])</f>
        <v>0</v>
      </c>
      <c r="J38" s="49">
        <f>+IF(FINANCIACION[[#This Row],[$ CAPITAL]]&gt;=0,FINANCIACION[[#This Row],[$ CAPITAL]]+FINANCIACION[[#This Row],[$ INTERESES]],0)</f>
        <v>950000</v>
      </c>
    </row>
    <row r="39" spans="1:10" ht="24" hidden="1" customHeight="1" x14ac:dyDescent="0.25">
      <c r="A39" s="10">
        <v>43779</v>
      </c>
      <c r="B39" s="85" t="s">
        <v>443</v>
      </c>
      <c r="C39" s="7"/>
      <c r="D39" s="7">
        <v>950000</v>
      </c>
      <c r="E39" s="7">
        <f>+IF(FINANCIACION[[#This Row],[$ CAPITAL]]&gt;=0,FINANCIACION[[#This Row],[$ CAPITAL]]+FINANCIACION[[#This Row],[$ INTERESES]],"")</f>
        <v>950000</v>
      </c>
      <c r="F39" s="7">
        <f>+SUMIFS(FINANCIACION[$ CAPITAL],FINANCIACION[Fecha],"&lt;="&amp;FINANCIACION[[#This Row],[Fecha]],FINANCIACION[PRESTAMO],FINANCIACION[[#This Row],[PRESTAMO]])</f>
        <v>-94935167</v>
      </c>
      <c r="G39" s="11"/>
      <c r="H39" s="11"/>
      <c r="I39" s="7" t="b">
        <f>+IF(FINANCIACION[[#This Row],[$ CAPITAL]]&gt;0,FINANCIACION[[#This Row],[$ CAPITAL]])</f>
        <v>0</v>
      </c>
      <c r="J39" s="49">
        <f>+IF(FINANCIACION[[#This Row],[$ CAPITAL]]&gt;=0,FINANCIACION[[#This Row],[$ CAPITAL]]+FINANCIACION[[#This Row],[$ INTERESES]],0)</f>
        <v>950000</v>
      </c>
    </row>
    <row r="40" spans="1:10" ht="24" hidden="1" customHeight="1" x14ac:dyDescent="0.25">
      <c r="A40" s="10">
        <v>43809</v>
      </c>
      <c r="B40" s="85" t="s">
        <v>443</v>
      </c>
      <c r="C40" s="7"/>
      <c r="D40" s="7">
        <v>950000</v>
      </c>
      <c r="E40" s="7">
        <f>+IF(FINANCIACION[[#This Row],[$ CAPITAL]]&gt;=0,FINANCIACION[[#This Row],[$ CAPITAL]]+FINANCIACION[[#This Row],[$ INTERESES]],"")</f>
        <v>950000</v>
      </c>
      <c r="F40" s="7">
        <f>+SUMIFS(FINANCIACION[$ CAPITAL],FINANCIACION[Fecha],"&lt;="&amp;FINANCIACION[[#This Row],[Fecha]],FINANCIACION[PRESTAMO],FINANCIACION[[#This Row],[PRESTAMO]])</f>
        <v>-94935167</v>
      </c>
      <c r="G40" s="11"/>
      <c r="H40" s="11"/>
      <c r="I40" s="7" t="b">
        <f>+IF(FINANCIACION[[#This Row],[$ CAPITAL]]&gt;0,FINANCIACION[[#This Row],[$ CAPITAL]])</f>
        <v>0</v>
      </c>
      <c r="J40" s="49">
        <f>+IF(FINANCIACION[[#This Row],[$ CAPITAL]]&gt;=0,FINANCIACION[[#This Row],[$ CAPITAL]]+FINANCIACION[[#This Row],[$ INTERESES]],0)</f>
        <v>950000</v>
      </c>
    </row>
    <row r="41" spans="1:10" ht="24" hidden="1" customHeight="1" x14ac:dyDescent="0.25">
      <c r="A41" s="10">
        <v>43840</v>
      </c>
      <c r="B41" s="85" t="s">
        <v>443</v>
      </c>
      <c r="C41" s="7"/>
      <c r="D41" s="7">
        <v>950000</v>
      </c>
      <c r="E41" s="7">
        <f>+IF(FINANCIACION[[#This Row],[$ CAPITAL]]&gt;=0,FINANCIACION[[#This Row],[$ CAPITAL]]+FINANCIACION[[#This Row],[$ INTERESES]],"")</f>
        <v>950000</v>
      </c>
      <c r="F41" s="7">
        <f>+SUMIFS(FINANCIACION[$ CAPITAL],FINANCIACION[Fecha],"&lt;="&amp;FINANCIACION[[#This Row],[Fecha]],FINANCIACION[PRESTAMO],FINANCIACION[[#This Row],[PRESTAMO]])</f>
        <v>-94935167</v>
      </c>
      <c r="G41" s="11"/>
      <c r="H41" s="11"/>
      <c r="I41" s="7" t="b">
        <f>+IF(FINANCIACION[[#This Row],[$ CAPITAL]]&gt;0,FINANCIACION[[#This Row],[$ CAPITAL]])</f>
        <v>0</v>
      </c>
      <c r="J41" s="49">
        <f>+IF(FINANCIACION[[#This Row],[$ CAPITAL]]&gt;=0,FINANCIACION[[#This Row],[$ CAPITAL]]+FINANCIACION[[#This Row],[$ INTERESES]],0)</f>
        <v>950000</v>
      </c>
    </row>
    <row r="42" spans="1:10" ht="24" hidden="1" customHeight="1" x14ac:dyDescent="0.25">
      <c r="A42" s="10">
        <v>43871</v>
      </c>
      <c r="B42" s="85" t="s">
        <v>443</v>
      </c>
      <c r="C42" s="7"/>
      <c r="D42" s="7">
        <v>950000</v>
      </c>
      <c r="E42" s="7">
        <f>+IF(FINANCIACION[[#This Row],[$ CAPITAL]]&gt;=0,FINANCIACION[[#This Row],[$ CAPITAL]]+FINANCIACION[[#This Row],[$ INTERESES]],"")</f>
        <v>950000</v>
      </c>
      <c r="F42" s="7">
        <f>+SUMIFS(FINANCIACION[$ CAPITAL],FINANCIACION[Fecha],"&lt;="&amp;FINANCIACION[[#This Row],[Fecha]],FINANCIACION[PRESTAMO],FINANCIACION[[#This Row],[PRESTAMO]])</f>
        <v>-94935167</v>
      </c>
      <c r="G42" s="11"/>
      <c r="H42" s="11"/>
      <c r="I42" s="7" t="b">
        <f>+IF(FINANCIACION[[#This Row],[$ CAPITAL]]&gt;0,FINANCIACION[[#This Row],[$ CAPITAL]])</f>
        <v>0</v>
      </c>
      <c r="J42" s="49">
        <f>+IF(FINANCIACION[[#This Row],[$ CAPITAL]]&gt;=0,FINANCIACION[[#This Row],[$ CAPITAL]]+FINANCIACION[[#This Row],[$ INTERESES]],0)</f>
        <v>950000</v>
      </c>
    </row>
    <row r="43" spans="1:10" ht="24" hidden="1" customHeight="1" x14ac:dyDescent="0.25">
      <c r="A43" s="10">
        <v>44083</v>
      </c>
      <c r="B43" s="85" t="s">
        <v>443</v>
      </c>
      <c r="C43" s="7"/>
      <c r="D43" s="7">
        <v>950000</v>
      </c>
      <c r="E43" s="7">
        <f>+IF(FINANCIACION[[#This Row],[$ CAPITAL]]&gt;=0,FINANCIACION[[#This Row],[$ CAPITAL]]+FINANCIACION[[#This Row],[$ INTERESES]],"")</f>
        <v>950000</v>
      </c>
      <c r="F43" s="7">
        <f>+SUMIFS(FINANCIACION[$ CAPITAL],FINANCIACION[Fecha],"&lt;="&amp;FINANCIACION[[#This Row],[Fecha]],FINANCIACION[PRESTAMO],FINANCIACION[[#This Row],[PRESTAMO]])</f>
        <v>-94935167</v>
      </c>
      <c r="G43" s="11"/>
      <c r="H43" s="11"/>
      <c r="I43" s="7" t="b">
        <f>+IF(FINANCIACION[[#This Row],[$ CAPITAL]]&gt;0,FINANCIACION[[#This Row],[$ CAPITAL]])</f>
        <v>0</v>
      </c>
      <c r="J43" s="49">
        <f>+IF(FINANCIACION[[#This Row],[$ CAPITAL]]&gt;=0,FINANCIACION[[#This Row],[$ CAPITAL]]+FINANCIACION[[#This Row],[$ INTERESES]],0)</f>
        <v>950000</v>
      </c>
    </row>
    <row r="44" spans="1:10" ht="24" hidden="1" customHeight="1" x14ac:dyDescent="0.25">
      <c r="A44" s="10">
        <v>44109</v>
      </c>
      <c r="B44" s="85" t="s">
        <v>443</v>
      </c>
      <c r="C44" s="7"/>
      <c r="D44" s="7">
        <v>950000</v>
      </c>
      <c r="E44" s="7">
        <f>+IF(FINANCIACION[[#This Row],[$ CAPITAL]]&gt;=0,FINANCIACION[[#This Row],[$ CAPITAL]]+FINANCIACION[[#This Row],[$ INTERESES]],"")</f>
        <v>950000</v>
      </c>
      <c r="F44" s="7">
        <f>+SUMIFS(FINANCIACION[$ CAPITAL],FINANCIACION[Fecha],"&lt;="&amp;FINANCIACION[[#This Row],[Fecha]],FINANCIACION[PRESTAMO],FINANCIACION[[#This Row],[PRESTAMO]])</f>
        <v>-94935167</v>
      </c>
      <c r="G44" s="11"/>
      <c r="H44" s="11"/>
      <c r="I44" s="7" t="b">
        <f>+IF(FINANCIACION[[#This Row],[$ CAPITAL]]&gt;0,FINANCIACION[[#This Row],[$ CAPITAL]])</f>
        <v>0</v>
      </c>
      <c r="J44" s="49">
        <f>+IF(FINANCIACION[[#This Row],[$ CAPITAL]]&gt;=0,FINANCIACION[[#This Row],[$ CAPITAL]]+FINANCIACION[[#This Row],[$ INTERESES]],0)</f>
        <v>950000</v>
      </c>
    </row>
    <row r="45" spans="1:10" ht="24" hidden="1" customHeight="1" x14ac:dyDescent="0.25">
      <c r="A45" s="10">
        <v>44142</v>
      </c>
      <c r="B45" s="85" t="s">
        <v>443</v>
      </c>
      <c r="C45" s="7"/>
      <c r="D45" s="7">
        <v>950000</v>
      </c>
      <c r="E45" s="7">
        <f>+IF(FINANCIACION[[#This Row],[$ CAPITAL]]&gt;=0,FINANCIACION[[#This Row],[$ CAPITAL]]+FINANCIACION[[#This Row],[$ INTERESES]],"")</f>
        <v>950000</v>
      </c>
      <c r="F45" s="7">
        <f>+SUMIFS(FINANCIACION[$ CAPITAL],FINANCIACION[Fecha],"&lt;="&amp;FINANCIACION[[#This Row],[Fecha]],FINANCIACION[PRESTAMO],FINANCIACION[[#This Row],[PRESTAMO]])</f>
        <v>-94935167</v>
      </c>
      <c r="G45" s="11"/>
      <c r="H45" s="11"/>
      <c r="I45" s="7" t="b">
        <f>+IF(FINANCIACION[[#This Row],[$ CAPITAL]]&gt;0,FINANCIACION[[#This Row],[$ CAPITAL]])</f>
        <v>0</v>
      </c>
      <c r="J45" s="49">
        <f>+IF(FINANCIACION[[#This Row],[$ CAPITAL]]&gt;=0,FINANCIACION[[#This Row],[$ CAPITAL]]+FINANCIACION[[#This Row],[$ INTERESES]],0)</f>
        <v>950000</v>
      </c>
    </row>
    <row r="46" spans="1:10" ht="24" hidden="1" customHeight="1" x14ac:dyDescent="0.25">
      <c r="A46" s="10">
        <v>44144</v>
      </c>
      <c r="B46" s="85" t="s">
        <v>443</v>
      </c>
      <c r="C46" s="7">
        <v>3917000</v>
      </c>
      <c r="D46" s="7"/>
      <c r="E46" s="7">
        <f>+IF(FINANCIACION[[#This Row],[$ CAPITAL]]&gt;=0,FINANCIACION[[#This Row],[$ CAPITAL]]+FINANCIACION[[#This Row],[$ INTERESES]],"")</f>
        <v>3917000</v>
      </c>
      <c r="F46" s="7">
        <f>+SUMIFS(FINANCIACION[$ CAPITAL],FINANCIACION[Fecha],"&lt;="&amp;FINANCIACION[[#This Row],[Fecha]],FINANCIACION[PRESTAMO],FINANCIACION[[#This Row],[PRESTAMO]])</f>
        <v>-91018167</v>
      </c>
      <c r="G46" s="11"/>
      <c r="H46" s="11"/>
      <c r="I46" s="7">
        <f>+IF(FINANCIACION[[#This Row],[$ CAPITAL]]&gt;0,FINANCIACION[[#This Row],[$ CAPITAL]])</f>
        <v>3917000</v>
      </c>
      <c r="J46" s="49">
        <f>+IF(FINANCIACION[[#This Row],[$ CAPITAL]]&gt;=0,FINANCIACION[[#This Row],[$ CAPITAL]]+FINANCIACION[[#This Row],[$ INTERESES]],0)</f>
        <v>3917000</v>
      </c>
    </row>
    <row r="47" spans="1:10" ht="24" hidden="1" customHeight="1" x14ac:dyDescent="0.25">
      <c r="A47" s="10">
        <v>44175</v>
      </c>
      <c r="B47" s="85" t="s">
        <v>443</v>
      </c>
      <c r="C47" s="7">
        <v>1655718.33</v>
      </c>
      <c r="D47" s="7">
        <v>910181.67</v>
      </c>
      <c r="E47" s="7">
        <f>+IF(FINANCIACION[[#This Row],[$ CAPITAL]]&gt;=0,FINANCIACION[[#This Row],[$ CAPITAL]]+FINANCIACION[[#This Row],[$ INTERESES]],"")</f>
        <v>2565900</v>
      </c>
      <c r="F47" s="7">
        <f>+SUMIFS(FINANCIACION[$ CAPITAL],FINANCIACION[Fecha],"&lt;="&amp;FINANCIACION[[#This Row],[Fecha]],FINANCIACION[PRESTAMO],FINANCIACION[[#This Row],[PRESTAMO]])</f>
        <v>-89362448.670000002</v>
      </c>
      <c r="G47" s="11"/>
      <c r="H47" s="11"/>
      <c r="I47" s="7">
        <f>+IF(FINANCIACION[[#This Row],[$ CAPITAL]]&gt;0,FINANCIACION[[#This Row],[$ CAPITAL]])</f>
        <v>1655718.33</v>
      </c>
      <c r="J47" s="49">
        <f>+IF(FINANCIACION[[#This Row],[$ CAPITAL]]&gt;=0,FINANCIACION[[#This Row],[$ CAPITAL]]+FINANCIACION[[#This Row],[$ INTERESES]],0)</f>
        <v>2565900</v>
      </c>
    </row>
    <row r="48" spans="1:10" ht="24" hidden="1" customHeight="1" x14ac:dyDescent="0.25">
      <c r="A48" s="10">
        <v>44204</v>
      </c>
      <c r="B48" s="85" t="s">
        <v>443</v>
      </c>
      <c r="C48" s="7">
        <v>1672275.5133</v>
      </c>
      <c r="D48" s="7">
        <v>893624.48670000001</v>
      </c>
      <c r="E48" s="7">
        <f>+IF(FINANCIACION[[#This Row],[$ CAPITAL]]&gt;=0,FINANCIACION[[#This Row],[$ CAPITAL]]+FINANCIACION[[#This Row],[$ INTERESES]],"")</f>
        <v>2565900</v>
      </c>
      <c r="F48" s="7">
        <f>+SUMIFS(FINANCIACION[$ CAPITAL],FINANCIACION[Fecha],"&lt;="&amp;FINANCIACION[[#This Row],[Fecha]],FINANCIACION[PRESTAMO],FINANCIACION[[#This Row],[PRESTAMO]])</f>
        <v>-87690173.1567</v>
      </c>
      <c r="G48" s="11"/>
      <c r="H48" s="11"/>
      <c r="I48" s="7">
        <f>+IF(FINANCIACION[[#This Row],[$ CAPITAL]]&gt;0,FINANCIACION[[#This Row],[$ CAPITAL]])</f>
        <v>1672275.5133</v>
      </c>
      <c r="J48" s="49">
        <f>+IF(FINANCIACION[[#This Row],[$ CAPITAL]]&gt;=0,FINANCIACION[[#This Row],[$ CAPITAL]]+FINANCIACION[[#This Row],[$ INTERESES]],0)</f>
        <v>2565900</v>
      </c>
    </row>
    <row r="49" spans="1:10" ht="24" hidden="1" customHeight="1" x14ac:dyDescent="0.25">
      <c r="A49" s="10">
        <v>44237</v>
      </c>
      <c r="B49" s="85" t="s">
        <v>443</v>
      </c>
      <c r="C49" s="7">
        <v>1672275.5133</v>
      </c>
      <c r="D49" s="7">
        <v>893624.48670000001</v>
      </c>
      <c r="E49" s="7">
        <f>+IF(FINANCIACION[[#This Row],[$ CAPITAL]]&gt;=0,FINANCIACION[[#This Row],[$ CAPITAL]]+FINANCIACION[[#This Row],[$ INTERESES]],"")</f>
        <v>2565900</v>
      </c>
      <c r="F49" s="7">
        <f>+SUMIFS(FINANCIACION[$ CAPITAL],FINANCIACION[Fecha],"&lt;="&amp;FINANCIACION[[#This Row],[Fecha]],FINANCIACION[PRESTAMO],FINANCIACION[[#This Row],[PRESTAMO]])</f>
        <v>-86017897.643399999</v>
      </c>
      <c r="G49" s="11"/>
      <c r="H49" s="11"/>
      <c r="I49" s="7">
        <f>+IF(FINANCIACION[[#This Row],[$ CAPITAL]]&gt;0,FINANCIACION[[#This Row],[$ CAPITAL]])</f>
        <v>1672275.5133</v>
      </c>
      <c r="J49" s="49">
        <f>+IF(FINANCIACION[[#This Row],[$ CAPITAL]]&gt;=0,FINANCIACION[[#This Row],[$ CAPITAL]]+FINANCIACION[[#This Row],[$ INTERESES]],0)</f>
        <v>2565900</v>
      </c>
    </row>
    <row r="50" spans="1:10" ht="24" hidden="1" customHeight="1" x14ac:dyDescent="0.25">
      <c r="A50" s="10">
        <v>44264</v>
      </c>
      <c r="B50" s="85" t="s">
        <v>443</v>
      </c>
      <c r="C50" s="7">
        <v>1705721.0235660002</v>
      </c>
      <c r="D50" s="7">
        <v>860178.97643399995</v>
      </c>
      <c r="E50" s="7">
        <f>+IF(FINANCIACION[[#This Row],[$ CAPITAL]]&gt;=0,FINANCIACION[[#This Row],[$ CAPITAL]]+FINANCIACION[[#This Row],[$ INTERESES]],"")</f>
        <v>2565900</v>
      </c>
      <c r="F50" s="7">
        <f>+SUMIFS(FINANCIACION[$ CAPITAL],FINANCIACION[Fecha],"&lt;="&amp;FINANCIACION[[#This Row],[Fecha]],FINANCIACION[PRESTAMO],FINANCIACION[[#This Row],[PRESTAMO]])</f>
        <v>-84312176.619834006</v>
      </c>
      <c r="G50" s="11"/>
      <c r="H50" s="91"/>
      <c r="I50" s="7">
        <f>+IF(FINANCIACION[[#This Row],[$ CAPITAL]]&gt;0,FINANCIACION[[#This Row],[$ CAPITAL]])</f>
        <v>1705721.0235660002</v>
      </c>
      <c r="J50" s="12">
        <f>+IF(FINANCIACION[[#This Row],[$ CAPITAL]]&gt;=0,FINANCIACION[[#This Row],[$ CAPITAL]]+FINANCIACION[[#This Row],[$ INTERESES]],0)</f>
        <v>2565900</v>
      </c>
    </row>
    <row r="51" spans="1:10" ht="24" hidden="1" customHeight="1" x14ac:dyDescent="0.25">
      <c r="A51" s="10">
        <v>44299</v>
      </c>
      <c r="B51" s="85" t="s">
        <v>443</v>
      </c>
      <c r="C51" s="7">
        <v>1722778.2338016599</v>
      </c>
      <c r="D51" s="7">
        <v>843121.7661983401</v>
      </c>
      <c r="E51" s="7">
        <f>+IF(FINANCIACION[[#This Row],[$ CAPITAL]]&gt;=0,FINANCIACION[[#This Row],[$ CAPITAL]]+FINANCIACION[[#This Row],[$ INTERESES]],"")</f>
        <v>2565900</v>
      </c>
      <c r="F51" s="7">
        <f>+SUMIFS(FINANCIACION[$ CAPITAL],FINANCIACION[Fecha],"&lt;="&amp;FINANCIACION[[#This Row],[Fecha]],FINANCIACION[PRESTAMO],FINANCIACION[[#This Row],[PRESTAMO]])</f>
        <v>-82589398.386032343</v>
      </c>
      <c r="G51" s="11"/>
      <c r="H51" s="91"/>
      <c r="I51" s="7">
        <f>+IF(FINANCIACION[[#This Row],[$ CAPITAL]]&gt;0,FINANCIACION[[#This Row],[$ CAPITAL]])</f>
        <v>1722778.2338016599</v>
      </c>
      <c r="J51" s="12">
        <f>+IF(FINANCIACION[[#This Row],[$ CAPITAL]]&gt;=0,FINANCIACION[[#This Row],[$ CAPITAL]]+FINANCIACION[[#This Row],[$ INTERESES]],0)</f>
        <v>2565900</v>
      </c>
    </row>
    <row r="52" spans="1:10" ht="24" hidden="1" customHeight="1" x14ac:dyDescent="0.25">
      <c r="A52" s="10">
        <v>44357</v>
      </c>
      <c r="B52" s="85" t="s">
        <v>443</v>
      </c>
      <c r="C52" s="7">
        <f>2677400-FINANCIACION[[#This Row],[$ INTERESES]]</f>
        <v>1851506.0161396766</v>
      </c>
      <c r="D52" s="7">
        <v>825893.98386032344</v>
      </c>
      <c r="E52" s="7">
        <f>+IF(FINANCIACION[[#This Row],[$ CAPITAL]]&gt;=0,FINANCIACION[[#This Row],[$ CAPITAL]]+FINANCIACION[[#This Row],[$ INTERESES]],"")</f>
        <v>2677400</v>
      </c>
      <c r="F52" s="7">
        <f>+SUMIFS(FINANCIACION[$ CAPITAL],FINANCIACION[Fecha],"&lt;="&amp;FINANCIACION[[#This Row],[Fecha]],FINANCIACION[PRESTAMO],FINANCIACION[[#This Row],[PRESTAMO]])</f>
        <v>-80737892.369892672</v>
      </c>
      <c r="G52" s="91"/>
      <c r="H52" s="11"/>
      <c r="I52" s="7">
        <f>+IF(FINANCIACION[[#This Row],[$ CAPITAL]]&gt;0,FINANCIACION[[#This Row],[$ CAPITAL]])</f>
        <v>1851506.0161396766</v>
      </c>
      <c r="J52" s="49">
        <f>+IF(FINANCIACION[[#This Row],[$ CAPITAL]]&gt;=0,FINANCIACION[[#This Row],[$ CAPITAL]]+FINANCIACION[[#This Row],[$ INTERESES]],0)</f>
        <v>2677400</v>
      </c>
    </row>
    <row r="53" spans="1:10" ht="24" hidden="1" customHeight="1" x14ac:dyDescent="0.25">
      <c r="A53" s="10">
        <v>44390</v>
      </c>
      <c r="B53" s="85" t="s">
        <v>443</v>
      </c>
      <c r="C53" s="7">
        <v>1859999.0763010732</v>
      </c>
      <c r="D53" s="7">
        <v>807378.92369892669</v>
      </c>
      <c r="E53" s="7">
        <f>+IF(FINANCIACION[[#This Row],[$ CAPITAL]]&gt;=0,FINANCIACION[[#This Row],[$ CAPITAL]]+FINANCIACION[[#This Row],[$ INTERESES]],"")</f>
        <v>2667378</v>
      </c>
      <c r="F53" s="7">
        <f>+SUMIFS(FINANCIACION[$ CAPITAL],FINANCIACION[Fecha],"&lt;="&amp;FINANCIACION[[#This Row],[Fecha]],FINANCIACION[PRESTAMO],FINANCIACION[[#This Row],[PRESTAMO]])</f>
        <v>-78877893.293591604</v>
      </c>
      <c r="G53" s="91"/>
      <c r="H53" s="11"/>
      <c r="I53" s="7">
        <f>+IF(FINANCIACION[[#This Row],[$ CAPITAL]]&gt;0,FINANCIACION[[#This Row],[$ CAPITAL]])</f>
        <v>1859999.0763010732</v>
      </c>
      <c r="J53" s="49">
        <f>+IF(FINANCIACION[[#This Row],[$ CAPITAL]]&gt;=0,FINANCIACION[[#This Row],[$ CAPITAL]]+FINANCIACION[[#This Row],[$ INTERESES]],0)</f>
        <v>2667378</v>
      </c>
    </row>
    <row r="54" spans="1:10" ht="24" hidden="1" customHeight="1" x14ac:dyDescent="0.25">
      <c r="A54" s="10">
        <v>44422</v>
      </c>
      <c r="B54" s="85" t="s">
        <v>443</v>
      </c>
      <c r="C54" s="7">
        <v>1878599.0670640841</v>
      </c>
      <c r="D54" s="7">
        <v>788778.932935916</v>
      </c>
      <c r="E54" s="7">
        <f>+IF(FINANCIACION[[#This Row],[$ CAPITAL]]&gt;=0,FINANCIACION[[#This Row],[$ CAPITAL]]+FINANCIACION[[#This Row],[$ INTERESES]],"")</f>
        <v>2667378</v>
      </c>
      <c r="F54" s="7">
        <f>+SUMIFS(FINANCIACION[$ CAPITAL],FINANCIACION[Fecha],"&lt;="&amp;FINANCIACION[[#This Row],[Fecha]],FINANCIACION[PRESTAMO],FINANCIACION[[#This Row],[PRESTAMO]])</f>
        <v>-76999294.226527512</v>
      </c>
      <c r="G54" s="91"/>
      <c r="H54" s="11"/>
      <c r="I54" s="7">
        <f>+IF(FINANCIACION[[#This Row],[$ CAPITAL]]&gt;0,FINANCIACION[[#This Row],[$ CAPITAL]])</f>
        <v>1878599.0670640841</v>
      </c>
      <c r="J54" s="49">
        <f>+IF(FINANCIACION[[#This Row],[$ CAPITAL]]&gt;=0,FINANCIACION[[#This Row],[$ CAPITAL]]+FINANCIACION[[#This Row],[$ INTERESES]],0)</f>
        <v>2667378</v>
      </c>
    </row>
    <row r="55" spans="1:10" ht="24" hidden="1" customHeight="1" x14ac:dyDescent="0.25">
      <c r="A55" s="10">
        <v>44450</v>
      </c>
      <c r="B55" s="85" t="s">
        <v>443</v>
      </c>
      <c r="C55" s="7">
        <v>1907385.0577347248</v>
      </c>
      <c r="D55" s="7">
        <v>769992.94226527517</v>
      </c>
      <c r="E55" s="7">
        <f>+IF(FINANCIACION[[#This Row],[$ CAPITAL]]&gt;=0,FINANCIACION[[#This Row],[$ CAPITAL]]+FINANCIACION[[#This Row],[$ INTERESES]],"")</f>
        <v>2677378</v>
      </c>
      <c r="F55" s="7">
        <f>+SUMIFS(FINANCIACION[$ CAPITAL],FINANCIACION[Fecha],"&lt;="&amp;FINANCIACION[[#This Row],[Fecha]],FINANCIACION[PRESTAMO],FINANCIACION[[#This Row],[PRESTAMO]])</f>
        <v>-75091909.168792784</v>
      </c>
      <c r="G55" s="91"/>
      <c r="H55" s="11"/>
      <c r="I55" s="7">
        <f>+IF(FINANCIACION[[#This Row],[$ CAPITAL]]&gt;0,FINANCIACION[[#This Row],[$ CAPITAL]])</f>
        <v>1907385.0577347248</v>
      </c>
      <c r="J55" s="49">
        <f>+IF(FINANCIACION[[#This Row],[$ CAPITAL]]&gt;=0,FINANCIACION[[#This Row],[$ CAPITAL]]+FINANCIACION[[#This Row],[$ INTERESES]],0)</f>
        <v>2677378</v>
      </c>
    </row>
    <row r="56" spans="1:10" ht="24" hidden="1" customHeight="1" x14ac:dyDescent="0.25">
      <c r="A56" s="10">
        <v>44477</v>
      </c>
      <c r="B56" s="85" t="s">
        <v>443</v>
      </c>
      <c r="C56" s="7">
        <v>1926458.90831207</v>
      </c>
      <c r="D56" s="7">
        <v>750919.09168792795</v>
      </c>
      <c r="E56" s="7">
        <f>+IF(FINANCIACION[[#This Row],[$ CAPITAL]]&gt;=0,FINANCIACION[[#This Row],[$ CAPITAL]]+FINANCIACION[[#This Row],[$ INTERESES]],"")</f>
        <v>2677377.9999999981</v>
      </c>
      <c r="F56" s="7">
        <f>+SUMIFS(FINANCIACION[$ CAPITAL],FINANCIACION[Fecha],"&lt;="&amp;FINANCIACION[[#This Row],[Fecha]],FINANCIACION[PRESTAMO],FINANCIACION[[#This Row],[PRESTAMO]])</f>
        <v>-73165450.260480717</v>
      </c>
      <c r="G56" s="91"/>
      <c r="H56" s="11"/>
      <c r="I56" s="7">
        <f>+IF(FINANCIACION[[#This Row],[$ CAPITAL]]&gt;0,FINANCIACION[[#This Row],[$ CAPITAL]])</f>
        <v>1926458.90831207</v>
      </c>
      <c r="J56" s="49">
        <f>+IF(FINANCIACION[[#This Row],[$ CAPITAL]]&gt;=0,FINANCIACION[[#This Row],[$ CAPITAL]]+FINANCIACION[[#This Row],[$ INTERESES]],0)</f>
        <v>2677377.9999999981</v>
      </c>
    </row>
    <row r="57" spans="1:10" ht="24" hidden="1" customHeight="1" x14ac:dyDescent="0.25">
      <c r="A57" s="10">
        <v>44510</v>
      </c>
      <c r="B57" s="85" t="s">
        <v>443</v>
      </c>
      <c r="C57" s="7">
        <v>1945723.4973951909</v>
      </c>
      <c r="D57" s="7">
        <v>731654.50260480714</v>
      </c>
      <c r="E57" s="7">
        <f>+IF(FINANCIACION[[#This Row],[$ CAPITAL]]&gt;=0,FINANCIACION[[#This Row],[$ CAPITAL]]+FINANCIACION[[#This Row],[$ INTERESES]],"")</f>
        <v>2677377.9999999981</v>
      </c>
      <c r="F57" s="7">
        <f>+SUMIFS(FINANCIACION[$ CAPITAL],FINANCIACION[Fecha],"&lt;="&amp;FINANCIACION[[#This Row],[Fecha]],FINANCIACION[PRESTAMO],FINANCIACION[[#This Row],[PRESTAMO]])</f>
        <v>-71219726.763085529</v>
      </c>
      <c r="G57" s="91"/>
      <c r="H57" s="11"/>
      <c r="I57" s="7">
        <f>+IF(FINANCIACION[[#This Row],[$ CAPITAL]]&gt;0,FINANCIACION[[#This Row],[$ CAPITAL]])</f>
        <v>1945723.4973951909</v>
      </c>
      <c r="J57" s="49">
        <f>+IF(FINANCIACION[[#This Row],[$ CAPITAL]]&gt;=0,FINANCIACION[[#This Row],[$ CAPITAL]]+FINANCIACION[[#This Row],[$ INTERESES]],0)</f>
        <v>2677377.9999999981</v>
      </c>
    </row>
    <row r="58" spans="1:10" ht="24" hidden="1" customHeight="1" x14ac:dyDescent="0.25">
      <c r="A58" s="10">
        <v>44539</v>
      </c>
      <c r="B58" s="85" t="s">
        <v>443</v>
      </c>
      <c r="C58" s="7">
        <v>1965180.7323691447</v>
      </c>
      <c r="D58" s="7">
        <v>712197.26763085532</v>
      </c>
      <c r="E58" s="7">
        <f>+IF(FINANCIACION[[#This Row],[$ CAPITAL]]&gt;=0,FINANCIACION[[#This Row],[$ CAPITAL]]+FINANCIACION[[#This Row],[$ INTERESES]],"")</f>
        <v>2677378</v>
      </c>
      <c r="F58" s="7">
        <f>+SUMIFS(FINANCIACION[$ CAPITAL],FINANCIACION[Fecha],"&lt;="&amp;FINANCIACION[[#This Row],[Fecha]],FINANCIACION[PRESTAMO],FINANCIACION[[#This Row],[PRESTAMO]])</f>
        <v>-69254546.030716389</v>
      </c>
      <c r="G58" s="91"/>
      <c r="H58" s="11"/>
      <c r="I58" s="7">
        <f>+IF(FINANCIACION[[#This Row],[$ CAPITAL]]&gt;0,FINANCIACION[[#This Row],[$ CAPITAL]])</f>
        <v>1965180.7323691447</v>
      </c>
      <c r="J58" s="49">
        <f>+IF(FINANCIACION[[#This Row],[$ CAPITAL]]&gt;=0,FINANCIACION[[#This Row],[$ CAPITAL]]+FINANCIACION[[#This Row],[$ INTERESES]],0)</f>
        <v>2677378</v>
      </c>
    </row>
    <row r="59" spans="1:10" ht="24" customHeight="1" x14ac:dyDescent="0.25">
      <c r="A59" s="10">
        <v>44166</v>
      </c>
      <c r="B59" s="85" t="s">
        <v>444</v>
      </c>
      <c r="C59" s="7">
        <v>-20000000</v>
      </c>
      <c r="D59" s="7"/>
      <c r="E59" s="7" t="str">
        <f>+IF(FINANCIACION[[#This Row],[$ CAPITAL]]&gt;=0,FINANCIACION[[#This Row],[$ CAPITAL]]+FINANCIACION[[#This Row],[$ INTERESES]],"")</f>
        <v/>
      </c>
      <c r="F59" s="7">
        <f>+SUMIFS(FINANCIACION[$ CAPITAL],FINANCIACION[Fecha],"&lt;="&amp;FINANCIACION[[#This Row],[Fecha]],FINANCIACION[PRESTAMO],FINANCIACION[[#This Row],[PRESTAMO]])</f>
        <v>-20000000</v>
      </c>
      <c r="G59" s="11"/>
      <c r="H59" s="11"/>
      <c r="I59" s="7" t="b">
        <f>+IF(FINANCIACION[[#This Row],[$ CAPITAL]]&gt;0,FINANCIACION[[#This Row],[$ CAPITAL]])</f>
        <v>0</v>
      </c>
      <c r="J59" s="49">
        <f>+IF(FINANCIACION[[#This Row],[$ CAPITAL]]&gt;=0,FINANCIACION[[#This Row],[$ CAPITAL]]+FINANCIACION[[#This Row],[$ INTERESES]],0)</f>
        <v>0</v>
      </c>
    </row>
    <row r="60" spans="1:10" ht="24" customHeight="1" x14ac:dyDescent="0.25">
      <c r="A60" s="10">
        <v>44210</v>
      </c>
      <c r="B60" s="85" t="s">
        <v>444</v>
      </c>
      <c r="C60" s="7">
        <v>7000000</v>
      </c>
      <c r="D60" s="7"/>
      <c r="E60" s="7">
        <f>+IF(FINANCIACION[[#This Row],[$ CAPITAL]]&gt;=0,FINANCIACION[[#This Row],[$ CAPITAL]]+FINANCIACION[[#This Row],[$ INTERESES]],"")</f>
        <v>7000000</v>
      </c>
      <c r="F60" s="7">
        <f>+SUMIFS(FINANCIACION[$ CAPITAL],FINANCIACION[Fecha],"&lt;="&amp;FINANCIACION[[#This Row],[Fecha]],FINANCIACION[PRESTAMO],FINANCIACION[[#This Row],[PRESTAMO]])</f>
        <v>-13000000</v>
      </c>
      <c r="G60" s="11"/>
      <c r="H60" s="11"/>
      <c r="I60" s="7">
        <f>+IF(FINANCIACION[[#This Row],[$ CAPITAL]]&gt;0,FINANCIACION[[#This Row],[$ CAPITAL]])</f>
        <v>7000000</v>
      </c>
      <c r="J60" s="49">
        <f>+IF(FINANCIACION[[#This Row],[$ CAPITAL]]&gt;=0,FINANCIACION[[#This Row],[$ CAPITAL]]+FINANCIACION[[#This Row],[$ INTERESES]],0)</f>
        <v>7000000</v>
      </c>
    </row>
    <row r="61" spans="1:10" ht="24" customHeight="1" x14ac:dyDescent="0.25">
      <c r="A61" s="10">
        <v>44216</v>
      </c>
      <c r="B61" s="85" t="s">
        <v>444</v>
      </c>
      <c r="C61" s="7">
        <v>10000000</v>
      </c>
      <c r="D61" s="7"/>
      <c r="E61" s="7">
        <f>+IF(FINANCIACION[[#This Row],[$ CAPITAL]]&gt;=0,FINANCIACION[[#This Row],[$ CAPITAL]]+FINANCIACION[[#This Row],[$ INTERESES]],"")</f>
        <v>10000000</v>
      </c>
      <c r="F61" s="7">
        <f>+SUMIFS(FINANCIACION[$ CAPITAL],FINANCIACION[Fecha],"&lt;="&amp;FINANCIACION[[#This Row],[Fecha]],FINANCIACION[PRESTAMO],FINANCIACION[[#This Row],[PRESTAMO]])</f>
        <v>-3000000</v>
      </c>
      <c r="G61" s="11"/>
      <c r="H61" s="11"/>
      <c r="I61" s="7">
        <f>+IF(FINANCIACION[[#This Row],[$ CAPITAL]]&gt;0,FINANCIACION[[#This Row],[$ CAPITAL]])</f>
        <v>10000000</v>
      </c>
      <c r="J61" s="49">
        <f>+IF(FINANCIACION[[#This Row],[$ CAPITAL]]&gt;=0,FINANCIACION[[#This Row],[$ CAPITAL]]+FINANCIACION[[#This Row],[$ INTERESES]],0)</f>
        <v>10000000</v>
      </c>
    </row>
    <row r="62" spans="1:10" ht="24" customHeight="1" x14ac:dyDescent="0.25">
      <c r="A62" s="10">
        <v>44235</v>
      </c>
      <c r="B62" s="85" t="s">
        <v>444</v>
      </c>
      <c r="C62" s="7">
        <v>3000000</v>
      </c>
      <c r="D62" s="7">
        <v>400000</v>
      </c>
      <c r="E62" s="7">
        <f>+IF(FINANCIACION[[#This Row],[$ CAPITAL]]&gt;=0,FINANCIACION[[#This Row],[$ CAPITAL]]+FINANCIACION[[#This Row],[$ INTERESES]],"")</f>
        <v>3400000</v>
      </c>
      <c r="F62" s="7">
        <f>+SUMIFS(FINANCIACION[$ CAPITAL],FINANCIACION[Fecha],"&lt;="&amp;FINANCIACION[[#This Row],[Fecha]],FINANCIACION[PRESTAMO],FINANCIACION[[#This Row],[PRESTAMO]])</f>
        <v>0</v>
      </c>
      <c r="G62" s="11"/>
      <c r="H62" s="11"/>
      <c r="I62" s="7">
        <f>+IF(FINANCIACION[[#This Row],[$ CAPITAL]]&gt;0,FINANCIACION[[#This Row],[$ CAPITAL]])</f>
        <v>3000000</v>
      </c>
      <c r="J62" s="49">
        <f>+IF(FINANCIACION[[#This Row],[$ CAPITAL]]&gt;=0,FINANCIACION[[#This Row],[$ CAPITAL]]+FINANCIACION[[#This Row],[$ INTERESES]],0)</f>
        <v>3400000</v>
      </c>
    </row>
    <row r="63" spans="1:10" ht="24" customHeight="1" x14ac:dyDescent="0.25">
      <c r="A63" s="10">
        <v>44301</v>
      </c>
      <c r="B63" s="85" t="s">
        <v>444</v>
      </c>
      <c r="C63" s="7">
        <v>-22000000</v>
      </c>
      <c r="D63" s="7"/>
      <c r="E63" s="7" t="str">
        <f>+IF(FINANCIACION[[#This Row],[$ CAPITAL]]&gt;=0,FINANCIACION[[#This Row],[$ CAPITAL]]+FINANCIACION[[#This Row],[$ INTERESES]],"")</f>
        <v/>
      </c>
      <c r="F63" s="7">
        <f>+SUMIFS(FINANCIACION[$ CAPITAL],FINANCIACION[Fecha],"&lt;="&amp;FINANCIACION[[#This Row],[Fecha]],FINANCIACION[PRESTAMO],FINANCIACION[[#This Row],[PRESTAMO]])</f>
        <v>-22000000</v>
      </c>
      <c r="G63" s="11"/>
      <c r="H63" s="91"/>
      <c r="I63" s="7" t="b">
        <f>+IF(FINANCIACION[[#This Row],[$ CAPITAL]]&gt;0,FINANCIACION[[#This Row],[$ CAPITAL]])</f>
        <v>0</v>
      </c>
      <c r="J63" s="12">
        <f>+IF(FINANCIACION[[#This Row],[$ CAPITAL]]&gt;=0,FINANCIACION[[#This Row],[$ CAPITAL]]+FINANCIACION[[#This Row],[$ INTERESES]],0)</f>
        <v>0</v>
      </c>
    </row>
    <row r="64" spans="1:10" ht="24" customHeight="1" x14ac:dyDescent="0.25">
      <c r="A64" s="10">
        <v>44420</v>
      </c>
      <c r="B64" s="85" t="s">
        <v>444</v>
      </c>
      <c r="C64" s="7">
        <v>22000000</v>
      </c>
      <c r="D64" s="7"/>
      <c r="E64" s="7">
        <f>+IF(FINANCIACION[[#This Row],[$ CAPITAL]]&gt;=0,FINANCIACION[[#This Row],[$ CAPITAL]]+FINANCIACION[[#This Row],[$ INTERESES]],"")</f>
        <v>22000000</v>
      </c>
      <c r="F64" s="7">
        <f>+SUMIFS(FINANCIACION[$ CAPITAL],FINANCIACION[Fecha],"&lt;="&amp;FINANCIACION[[#This Row],[Fecha]],FINANCIACION[PRESTAMO],FINANCIACION[[#This Row],[PRESTAMO]])</f>
        <v>0</v>
      </c>
      <c r="G64" s="91"/>
      <c r="H64" s="11"/>
      <c r="I64" s="7">
        <f>+IF(FINANCIACION[[#This Row],[$ CAPITAL]]&gt;0,FINANCIACION[[#This Row],[$ CAPITAL]])</f>
        <v>22000000</v>
      </c>
      <c r="J64" s="49">
        <f>+IF(FINANCIACION[[#This Row],[$ CAPITAL]]&gt;=0,FINANCIACION[[#This Row],[$ CAPITAL]]+FINANCIACION[[#This Row],[$ INTERESES]],0)</f>
        <v>22000000</v>
      </c>
    </row>
    <row r="65" spans="1:10" ht="24" customHeight="1" x14ac:dyDescent="0.25">
      <c r="A65" s="10">
        <v>44531</v>
      </c>
      <c r="B65" s="85" t="s">
        <v>444</v>
      </c>
      <c r="C65" s="7">
        <v>-30000000</v>
      </c>
      <c r="D65" s="7"/>
      <c r="E65" s="7" t="str">
        <f>+IF(FINANCIACION[[#This Row],[$ CAPITAL]]&gt;=0,FINANCIACION[[#This Row],[$ CAPITAL]]+FINANCIACION[[#This Row],[$ INTERESES]],"")</f>
        <v/>
      </c>
      <c r="F65" s="7">
        <f>+SUMIFS(FINANCIACION[$ CAPITAL],FINANCIACION[Fecha],"&lt;="&amp;FINANCIACION[[#This Row],[Fecha]],FINANCIACION[PRESTAMO],FINANCIACION[[#This Row],[PRESTAMO]])</f>
        <v>-30000000</v>
      </c>
      <c r="G65" s="91"/>
      <c r="H65" s="11"/>
      <c r="I65" s="7" t="b">
        <f>+IF(FINANCIACION[[#This Row],[$ CAPITAL]]&gt;0,FINANCIACION[[#This Row],[$ CAPITAL]])</f>
        <v>0</v>
      </c>
      <c r="J65" s="49">
        <f>+IF(FINANCIACION[[#This Row],[$ CAPITAL]]&gt;=0,FINANCIACION[[#This Row],[$ CAPITAL]]+FINANCIACION[[#This Row],[$ INTERESES]],0)</f>
        <v>0</v>
      </c>
    </row>
    <row r="66" spans="1:10" ht="24" customHeight="1" x14ac:dyDescent="0.25">
      <c r="A66" s="10">
        <v>44565</v>
      </c>
      <c r="B66" s="85" t="s">
        <v>444</v>
      </c>
      <c r="C66" s="7">
        <v>30000000</v>
      </c>
      <c r="D66" s="7">
        <v>465000</v>
      </c>
      <c r="E66" s="7">
        <f>+IF(FINANCIACION[[#This Row],[$ CAPITAL]]&gt;=0,FINANCIACION[[#This Row],[$ CAPITAL]]+FINANCIACION[[#This Row],[$ INTERESES]],"")</f>
        <v>30465000</v>
      </c>
      <c r="F66" s="7">
        <f>+SUMIFS(FINANCIACION[$ CAPITAL],FINANCIACION[Fecha],"&lt;="&amp;FINANCIACION[[#This Row],[Fecha]],FINANCIACION[PRESTAMO],FINANCIACION[[#This Row],[PRESTAMO]])</f>
        <v>0</v>
      </c>
      <c r="G66" s="91"/>
      <c r="H66" s="11"/>
      <c r="I66" s="7">
        <f>+IF(FINANCIACION[[#This Row],[$ CAPITAL]]&gt;0,FINANCIACION[[#This Row],[$ CAPITAL]])</f>
        <v>30000000</v>
      </c>
      <c r="J66" s="49">
        <f>+IF(FINANCIACION[[#This Row],[$ CAPITAL]]&gt;=0,FINANCIACION[[#This Row],[$ CAPITAL]]+FINANCIACION[[#This Row],[$ INTERESES]],0)</f>
        <v>30465000</v>
      </c>
    </row>
    <row r="67" spans="1:10" ht="24" hidden="1" customHeight="1" x14ac:dyDescent="0.25">
      <c r="A67" s="10">
        <v>44522</v>
      </c>
      <c r="B67" s="85" t="s">
        <v>544</v>
      </c>
      <c r="C67" s="7">
        <v>-4500000</v>
      </c>
      <c r="D67" s="7"/>
      <c r="E67" s="7" t="str">
        <f>+IF(FINANCIACION[[#This Row],[$ CAPITAL]]&gt;=0,FINANCIACION[[#This Row],[$ CAPITAL]]+FINANCIACION[[#This Row],[$ INTERESES]],"")</f>
        <v/>
      </c>
      <c r="F67" s="7">
        <f>+SUMIFS(FINANCIACION[$ CAPITAL],FINANCIACION[Fecha],"&lt;="&amp;FINANCIACION[[#This Row],[Fecha]],FINANCIACION[PRESTAMO],FINANCIACION[[#This Row],[PRESTAMO]])</f>
        <v>-4500000</v>
      </c>
      <c r="G67" s="91" t="s">
        <v>974</v>
      </c>
      <c r="H67" s="11"/>
      <c r="I67" s="7" t="b">
        <f>+IF(FINANCIACION[[#This Row],[$ CAPITAL]]&gt;0,FINANCIACION[[#This Row],[$ CAPITAL]])</f>
        <v>0</v>
      </c>
      <c r="J67" s="49">
        <f>+IF(FINANCIACION[[#This Row],[$ CAPITAL]]&gt;=0,FINANCIACION[[#This Row],[$ CAPITAL]]+FINANCIACION[[#This Row],[$ INTERESES]],0)</f>
        <v>0</v>
      </c>
    </row>
    <row r="68" spans="1:10" ht="24" hidden="1" customHeight="1" x14ac:dyDescent="0.25">
      <c r="A68" s="10">
        <v>43340</v>
      </c>
      <c r="B68" s="85" t="s">
        <v>445</v>
      </c>
      <c r="C68" s="7">
        <v>-10000000</v>
      </c>
      <c r="D68" s="7"/>
      <c r="E68" s="7" t="str">
        <f>+IF(FINANCIACION[[#This Row],[$ CAPITAL]]&gt;=0,FINANCIACION[[#This Row],[$ CAPITAL]]+FINANCIACION[[#This Row],[$ INTERESES]],"")</f>
        <v/>
      </c>
      <c r="F68" s="7">
        <f>+SUMIFS(FINANCIACION[$ CAPITAL],FINANCIACION[Fecha],"&lt;="&amp;FINANCIACION[[#This Row],[Fecha]],FINANCIACION[PRESTAMO],FINANCIACION[[#This Row],[PRESTAMO]])</f>
        <v>-10000000</v>
      </c>
      <c r="G68" s="11"/>
      <c r="H68" s="11"/>
      <c r="I68" s="7" t="b">
        <f>+IF(FINANCIACION[[#This Row],[$ CAPITAL]]&gt;0,FINANCIACION[[#This Row],[$ CAPITAL]])</f>
        <v>0</v>
      </c>
      <c r="J68" s="49">
        <f>+IF(FINANCIACION[[#This Row],[$ CAPITAL]]&gt;=0,FINANCIACION[[#This Row],[$ CAPITAL]]+FINANCIACION[[#This Row],[$ INTERESES]],0)</f>
        <v>0</v>
      </c>
    </row>
    <row r="69" spans="1:10" ht="24" hidden="1" customHeight="1" x14ac:dyDescent="0.25">
      <c r="A69" s="10">
        <v>43430</v>
      </c>
      <c r="B69" s="85" t="s">
        <v>445</v>
      </c>
      <c r="C69" s="7">
        <v>2000000</v>
      </c>
      <c r="D69" s="7">
        <v>300000</v>
      </c>
      <c r="E69" s="7">
        <f>+IF(FINANCIACION[[#This Row],[$ CAPITAL]]&gt;=0,FINANCIACION[[#This Row],[$ CAPITAL]]+FINANCIACION[[#This Row],[$ INTERESES]],"")</f>
        <v>2300000</v>
      </c>
      <c r="F69" s="7">
        <f>+SUMIFS(FINANCIACION[$ CAPITAL],FINANCIACION[Fecha],"&lt;="&amp;FINANCIACION[[#This Row],[Fecha]],FINANCIACION[PRESTAMO],FINANCIACION[[#This Row],[PRESTAMO]])</f>
        <v>-8000000</v>
      </c>
      <c r="G69" s="11"/>
      <c r="H69" s="11"/>
      <c r="I69" s="7">
        <f>+IF(FINANCIACION[[#This Row],[$ CAPITAL]]&gt;0,FINANCIACION[[#This Row],[$ CAPITAL]])</f>
        <v>2000000</v>
      </c>
      <c r="J69" s="49">
        <f>+IF(FINANCIACION[[#This Row],[$ CAPITAL]]&gt;=0,FINANCIACION[[#This Row],[$ CAPITAL]]+FINANCIACION[[#This Row],[$ INTERESES]],0)</f>
        <v>2300000</v>
      </c>
    </row>
    <row r="70" spans="1:10" ht="24" hidden="1" customHeight="1" x14ac:dyDescent="0.25">
      <c r="A70" s="10">
        <v>43534</v>
      </c>
      <c r="B70" s="85" t="s">
        <v>445</v>
      </c>
      <c r="C70" s="7"/>
      <c r="D70" s="7">
        <v>160000</v>
      </c>
      <c r="E70" s="7">
        <f>+IF(FINANCIACION[[#This Row],[$ CAPITAL]]&gt;=0,FINANCIACION[[#This Row],[$ CAPITAL]]+FINANCIACION[[#This Row],[$ INTERESES]],"")</f>
        <v>160000</v>
      </c>
      <c r="F70" s="7">
        <f>+SUMIFS(FINANCIACION[$ CAPITAL],FINANCIACION[Fecha],"&lt;="&amp;FINANCIACION[[#This Row],[Fecha]],FINANCIACION[PRESTAMO],FINANCIACION[[#This Row],[PRESTAMO]])</f>
        <v>-8000000</v>
      </c>
      <c r="G70" s="11"/>
      <c r="H70" s="11"/>
      <c r="I70" s="7" t="b">
        <f>+IF(FINANCIACION[[#This Row],[$ CAPITAL]]&gt;0,FINANCIACION[[#This Row],[$ CAPITAL]])</f>
        <v>0</v>
      </c>
      <c r="J70" s="49">
        <f>+IF(FINANCIACION[[#This Row],[$ CAPITAL]]&gt;=0,FINANCIACION[[#This Row],[$ CAPITAL]]+FINANCIACION[[#This Row],[$ INTERESES]],0)</f>
        <v>160000</v>
      </c>
    </row>
    <row r="71" spans="1:10" ht="24" hidden="1" customHeight="1" x14ac:dyDescent="0.25">
      <c r="A71" s="10">
        <v>43595</v>
      </c>
      <c r="B71" s="85" t="s">
        <v>445</v>
      </c>
      <c r="C71" s="7"/>
      <c r="D71" s="7">
        <v>140000</v>
      </c>
      <c r="E71" s="7">
        <f>+IF(FINANCIACION[[#This Row],[$ CAPITAL]]&gt;=0,FINANCIACION[[#This Row],[$ CAPITAL]]+FINANCIACION[[#This Row],[$ INTERESES]],"")</f>
        <v>140000</v>
      </c>
      <c r="F71" s="7">
        <f>+SUMIFS(FINANCIACION[$ CAPITAL],FINANCIACION[Fecha],"&lt;="&amp;FINANCIACION[[#This Row],[Fecha]],FINANCIACION[PRESTAMO],FINANCIACION[[#This Row],[PRESTAMO]])</f>
        <v>-8000000</v>
      </c>
      <c r="G71" s="11"/>
      <c r="H71" s="11"/>
      <c r="I71" s="7" t="b">
        <f>+IF(FINANCIACION[[#This Row],[$ CAPITAL]]&gt;0,FINANCIACION[[#This Row],[$ CAPITAL]])</f>
        <v>0</v>
      </c>
      <c r="J71" s="49">
        <f>+IF(FINANCIACION[[#This Row],[$ CAPITAL]]&gt;=0,FINANCIACION[[#This Row],[$ CAPITAL]]+FINANCIACION[[#This Row],[$ INTERESES]],0)</f>
        <v>140000</v>
      </c>
    </row>
    <row r="72" spans="1:10" ht="24" hidden="1" customHeight="1" x14ac:dyDescent="0.25">
      <c r="A72" s="10">
        <v>43646</v>
      </c>
      <c r="B72" s="85" t="s">
        <v>445</v>
      </c>
      <c r="C72" s="7">
        <v>1000000</v>
      </c>
      <c r="D72" s="7"/>
      <c r="E72" s="7">
        <f>+IF(FINANCIACION[[#This Row],[$ CAPITAL]]&gt;=0,FINANCIACION[[#This Row],[$ CAPITAL]]+FINANCIACION[[#This Row],[$ INTERESES]],"")</f>
        <v>1000000</v>
      </c>
      <c r="F72" s="7">
        <f>+SUMIFS(FINANCIACION[$ CAPITAL],FINANCIACION[Fecha],"&lt;="&amp;FINANCIACION[[#This Row],[Fecha]],FINANCIACION[PRESTAMO],FINANCIACION[[#This Row],[PRESTAMO]])</f>
        <v>-7000000</v>
      </c>
      <c r="G72" s="11"/>
      <c r="H72" s="11"/>
      <c r="I72" s="7">
        <f>+IF(FINANCIACION[[#This Row],[$ CAPITAL]]&gt;0,FINANCIACION[[#This Row],[$ CAPITAL]])</f>
        <v>1000000</v>
      </c>
      <c r="J72" s="49">
        <f>+IF(FINANCIACION[[#This Row],[$ CAPITAL]]&gt;=0,FINANCIACION[[#This Row],[$ CAPITAL]]+FINANCIACION[[#This Row],[$ INTERESES]],0)</f>
        <v>1000000</v>
      </c>
    </row>
    <row r="73" spans="1:10" ht="24" hidden="1" customHeight="1" x14ac:dyDescent="0.25">
      <c r="A73" s="10">
        <v>43656</v>
      </c>
      <c r="B73" s="85" t="s">
        <v>445</v>
      </c>
      <c r="C73" s="7"/>
      <c r="D73" s="7">
        <v>140000</v>
      </c>
      <c r="E73" s="7">
        <f>+IF(FINANCIACION[[#This Row],[$ CAPITAL]]&gt;=0,FINANCIACION[[#This Row],[$ CAPITAL]]+FINANCIACION[[#This Row],[$ INTERESES]],"")</f>
        <v>140000</v>
      </c>
      <c r="F73" s="7">
        <f>+SUMIFS(FINANCIACION[$ CAPITAL],FINANCIACION[Fecha],"&lt;="&amp;FINANCIACION[[#This Row],[Fecha]],FINANCIACION[PRESTAMO],FINANCIACION[[#This Row],[PRESTAMO]])</f>
        <v>-7000000</v>
      </c>
      <c r="G73" s="11"/>
      <c r="H73" s="11"/>
      <c r="I73" s="7" t="b">
        <f>+IF(FINANCIACION[[#This Row],[$ CAPITAL]]&gt;0,FINANCIACION[[#This Row],[$ CAPITAL]])</f>
        <v>0</v>
      </c>
      <c r="J73" s="49">
        <f>+IF(FINANCIACION[[#This Row],[$ CAPITAL]]&gt;=0,FINANCIACION[[#This Row],[$ CAPITAL]]+FINANCIACION[[#This Row],[$ INTERESES]],0)</f>
        <v>140000</v>
      </c>
    </row>
    <row r="74" spans="1:10" ht="24" hidden="1" customHeight="1" x14ac:dyDescent="0.25">
      <c r="A74" s="10">
        <v>43738</v>
      </c>
      <c r="B74" s="85" t="s">
        <v>445</v>
      </c>
      <c r="C74" s="7"/>
      <c r="D74" s="7">
        <v>140000</v>
      </c>
      <c r="E74" s="7">
        <f>+IF(FINANCIACION[[#This Row],[$ CAPITAL]]&gt;=0,FINANCIACION[[#This Row],[$ CAPITAL]]+FINANCIACION[[#This Row],[$ INTERESES]],"")</f>
        <v>140000</v>
      </c>
      <c r="F74" s="7">
        <f>+SUMIFS(FINANCIACION[$ CAPITAL],FINANCIACION[Fecha],"&lt;="&amp;FINANCIACION[[#This Row],[Fecha]],FINANCIACION[PRESTAMO],FINANCIACION[[#This Row],[PRESTAMO]])</f>
        <v>-7000000</v>
      </c>
      <c r="G74" s="11"/>
      <c r="H74" s="11"/>
      <c r="I74" s="7" t="b">
        <f>+IF(FINANCIACION[[#This Row],[$ CAPITAL]]&gt;0,FINANCIACION[[#This Row],[$ CAPITAL]])</f>
        <v>0</v>
      </c>
      <c r="J74" s="49">
        <f>+IF(FINANCIACION[[#This Row],[$ CAPITAL]]&gt;=0,FINANCIACION[[#This Row],[$ CAPITAL]]+FINANCIACION[[#This Row],[$ INTERESES]],0)</f>
        <v>140000</v>
      </c>
    </row>
    <row r="75" spans="1:10" ht="24" hidden="1" customHeight="1" x14ac:dyDescent="0.25">
      <c r="A75" s="10">
        <v>43890</v>
      </c>
      <c r="B75" s="85" t="s">
        <v>445</v>
      </c>
      <c r="C75" s="7"/>
      <c r="D75" s="7">
        <v>140000</v>
      </c>
      <c r="E75" s="7">
        <f>+IF(FINANCIACION[[#This Row],[$ CAPITAL]]&gt;=0,FINANCIACION[[#This Row],[$ CAPITAL]]+FINANCIACION[[#This Row],[$ INTERESES]],"")</f>
        <v>140000</v>
      </c>
      <c r="F75" s="7">
        <f>+SUMIFS(FINANCIACION[$ CAPITAL],FINANCIACION[Fecha],"&lt;="&amp;FINANCIACION[[#This Row],[Fecha]],FINANCIACION[PRESTAMO],FINANCIACION[[#This Row],[PRESTAMO]])</f>
        <v>-7000000</v>
      </c>
      <c r="G75" s="11"/>
      <c r="H75" s="11"/>
      <c r="I75" s="7" t="b">
        <f>+IF(FINANCIACION[[#This Row],[$ CAPITAL]]&gt;0,FINANCIACION[[#This Row],[$ CAPITAL]])</f>
        <v>0</v>
      </c>
      <c r="J75" s="49">
        <f>+IF(FINANCIACION[[#This Row],[$ CAPITAL]]&gt;=0,FINANCIACION[[#This Row],[$ CAPITAL]]+FINANCIACION[[#This Row],[$ INTERESES]],0)</f>
        <v>140000</v>
      </c>
    </row>
    <row r="76" spans="1:10" ht="24" hidden="1" customHeight="1" x14ac:dyDescent="0.25">
      <c r="A76" s="10">
        <v>43941</v>
      </c>
      <c r="B76" s="85" t="s">
        <v>445</v>
      </c>
      <c r="C76" s="7">
        <v>1000000</v>
      </c>
      <c r="D76" s="7">
        <v>140000</v>
      </c>
      <c r="E76" s="7">
        <f>+IF(FINANCIACION[[#This Row],[$ CAPITAL]]&gt;=0,FINANCIACION[[#This Row],[$ CAPITAL]]+FINANCIACION[[#This Row],[$ INTERESES]],"")</f>
        <v>1140000</v>
      </c>
      <c r="F76" s="7">
        <f>+SUMIFS(FINANCIACION[$ CAPITAL],FINANCIACION[Fecha],"&lt;="&amp;FINANCIACION[[#This Row],[Fecha]],FINANCIACION[PRESTAMO],FINANCIACION[[#This Row],[PRESTAMO]])</f>
        <v>-6000000</v>
      </c>
      <c r="G76" s="11"/>
      <c r="H76" s="11"/>
      <c r="I76" s="7">
        <f>+IF(FINANCIACION[[#This Row],[$ CAPITAL]]&gt;0,FINANCIACION[[#This Row],[$ CAPITAL]])</f>
        <v>1000000</v>
      </c>
      <c r="J76" s="49">
        <f>+IF(FINANCIACION[[#This Row],[$ CAPITAL]]&gt;=0,FINANCIACION[[#This Row],[$ CAPITAL]]+FINANCIACION[[#This Row],[$ INTERESES]],0)</f>
        <v>1140000</v>
      </c>
    </row>
    <row r="77" spans="1:10" ht="24" hidden="1" customHeight="1" x14ac:dyDescent="0.25">
      <c r="A77" s="10">
        <v>44020</v>
      </c>
      <c r="B77" s="85" t="s">
        <v>445</v>
      </c>
      <c r="C77" s="7">
        <v>4000000</v>
      </c>
      <c r="D77" s="7">
        <v>160000</v>
      </c>
      <c r="E77" s="7">
        <f>+IF(FINANCIACION[[#This Row],[$ CAPITAL]]&gt;=0,FINANCIACION[[#This Row],[$ CAPITAL]]+FINANCIACION[[#This Row],[$ INTERESES]],"")</f>
        <v>4160000</v>
      </c>
      <c r="F77" s="7">
        <f>+SUMIFS(FINANCIACION[$ CAPITAL],FINANCIACION[Fecha],"&lt;="&amp;FINANCIACION[[#This Row],[Fecha]],FINANCIACION[PRESTAMO],FINANCIACION[[#This Row],[PRESTAMO]])</f>
        <v>-2000000</v>
      </c>
      <c r="G77" s="11"/>
      <c r="H77" s="11"/>
      <c r="I77" s="7">
        <f>+IF(FINANCIACION[[#This Row],[$ CAPITAL]]&gt;0,FINANCIACION[[#This Row],[$ CAPITAL]])</f>
        <v>4000000</v>
      </c>
      <c r="J77" s="49">
        <f>+IF(FINANCIACION[[#This Row],[$ CAPITAL]]&gt;=0,FINANCIACION[[#This Row],[$ CAPITAL]]+FINANCIACION[[#This Row],[$ INTERESES]],0)</f>
        <v>4160000</v>
      </c>
    </row>
    <row r="78" spans="1:10" ht="24" hidden="1" customHeight="1" x14ac:dyDescent="0.25">
      <c r="A78" s="10">
        <v>44021</v>
      </c>
      <c r="B78" s="85" t="s">
        <v>445</v>
      </c>
      <c r="C78" s="7">
        <v>2000000</v>
      </c>
      <c r="D78" s="7"/>
      <c r="E78" s="7">
        <f>+IF(FINANCIACION[[#This Row],[$ CAPITAL]]&gt;=0,FINANCIACION[[#This Row],[$ CAPITAL]]+FINANCIACION[[#This Row],[$ INTERESES]],"")</f>
        <v>2000000</v>
      </c>
      <c r="F78" s="7">
        <f>+SUMIFS(FINANCIACION[$ CAPITAL],FINANCIACION[Fecha],"&lt;="&amp;FINANCIACION[[#This Row],[Fecha]],FINANCIACION[PRESTAMO],FINANCIACION[[#This Row],[PRESTAMO]])</f>
        <v>0</v>
      </c>
      <c r="G78" s="11"/>
      <c r="H78" s="11"/>
      <c r="I78" s="7">
        <f>+IF(FINANCIACION[[#This Row],[$ CAPITAL]]&gt;0,FINANCIACION[[#This Row],[$ CAPITAL]])</f>
        <v>2000000</v>
      </c>
      <c r="J78" s="49">
        <f>+IF(FINANCIACION[[#This Row],[$ CAPITAL]]&gt;=0,FINANCIACION[[#This Row],[$ CAPITAL]]+FINANCIACION[[#This Row],[$ INTERESES]],0)</f>
        <v>2000000</v>
      </c>
    </row>
    <row r="79" spans="1:10" ht="24" hidden="1" customHeight="1" x14ac:dyDescent="0.25">
      <c r="A79" s="10">
        <v>43642</v>
      </c>
      <c r="B79" s="85" t="s">
        <v>446</v>
      </c>
      <c r="C79" s="7">
        <v>-28000000</v>
      </c>
      <c r="D79" s="7"/>
      <c r="E79" s="7" t="str">
        <f>+IF(FINANCIACION[[#This Row],[$ CAPITAL]]&gt;=0,FINANCIACION[[#This Row],[$ CAPITAL]]+FINANCIACION[[#This Row],[$ INTERESES]],"")</f>
        <v/>
      </c>
      <c r="F79" s="7">
        <f>+SUMIFS(FINANCIACION[$ CAPITAL],FINANCIACION[Fecha],"&lt;="&amp;FINANCIACION[[#This Row],[Fecha]],FINANCIACION[PRESTAMO],FINANCIACION[[#This Row],[PRESTAMO]])</f>
        <v>-28000000</v>
      </c>
      <c r="G79" s="11"/>
      <c r="H79" s="11"/>
      <c r="I79" s="7" t="b">
        <f>+IF(FINANCIACION[[#This Row],[$ CAPITAL]]&gt;0,FINANCIACION[[#This Row],[$ CAPITAL]])</f>
        <v>0</v>
      </c>
      <c r="J79" s="49">
        <f>+IF(FINANCIACION[[#This Row],[$ CAPITAL]]&gt;=0,FINANCIACION[[#This Row],[$ CAPITAL]]+FINANCIACION[[#This Row],[$ INTERESES]],0)</f>
        <v>0</v>
      </c>
    </row>
    <row r="80" spans="1:10" ht="24" hidden="1" customHeight="1" x14ac:dyDescent="0.25">
      <c r="A80" s="10">
        <v>43643</v>
      </c>
      <c r="B80" s="85" t="s">
        <v>446</v>
      </c>
      <c r="C80" s="7">
        <v>-10000000</v>
      </c>
      <c r="D80" s="7"/>
      <c r="E80" s="7" t="str">
        <f>+IF(FINANCIACION[[#This Row],[$ CAPITAL]]&gt;=0,FINANCIACION[[#This Row],[$ CAPITAL]]+FINANCIACION[[#This Row],[$ INTERESES]],"")</f>
        <v/>
      </c>
      <c r="F80" s="7">
        <f>+SUMIFS(FINANCIACION[$ CAPITAL],FINANCIACION[Fecha],"&lt;="&amp;FINANCIACION[[#This Row],[Fecha]],FINANCIACION[PRESTAMO],FINANCIACION[[#This Row],[PRESTAMO]])</f>
        <v>-48000000</v>
      </c>
      <c r="G80" s="11"/>
      <c r="H80" s="11"/>
      <c r="I80" s="7" t="b">
        <f>+IF(FINANCIACION[[#This Row],[$ CAPITAL]]&gt;0,FINANCIACION[[#This Row],[$ CAPITAL]])</f>
        <v>0</v>
      </c>
      <c r="J80" s="49">
        <f>+IF(FINANCIACION[[#This Row],[$ CAPITAL]]&gt;=0,FINANCIACION[[#This Row],[$ CAPITAL]]+FINANCIACION[[#This Row],[$ INTERESES]],0)</f>
        <v>0</v>
      </c>
    </row>
    <row r="81" spans="1:10" ht="24" hidden="1" customHeight="1" x14ac:dyDescent="0.25">
      <c r="A81" s="10">
        <v>43643</v>
      </c>
      <c r="B81" s="85" t="s">
        <v>446</v>
      </c>
      <c r="C81" s="7">
        <v>-5000000</v>
      </c>
      <c r="D81" s="7"/>
      <c r="E81" s="7" t="str">
        <f>+IF(FINANCIACION[[#This Row],[$ CAPITAL]]&gt;=0,FINANCIACION[[#This Row],[$ CAPITAL]]+FINANCIACION[[#This Row],[$ INTERESES]],"")</f>
        <v/>
      </c>
      <c r="F81" s="7">
        <f>+SUMIFS(FINANCIACION[$ CAPITAL],FINANCIACION[Fecha],"&lt;="&amp;FINANCIACION[[#This Row],[Fecha]],FINANCIACION[PRESTAMO],FINANCIACION[[#This Row],[PRESTAMO]])</f>
        <v>-48000000</v>
      </c>
      <c r="G81" s="11"/>
      <c r="H81" s="11"/>
      <c r="I81" s="7" t="b">
        <f>+IF(FINANCIACION[[#This Row],[$ CAPITAL]]&gt;0,FINANCIACION[[#This Row],[$ CAPITAL]])</f>
        <v>0</v>
      </c>
      <c r="J81" s="49">
        <f>+IF(FINANCIACION[[#This Row],[$ CAPITAL]]&gt;=0,FINANCIACION[[#This Row],[$ CAPITAL]]+FINANCIACION[[#This Row],[$ INTERESES]],0)</f>
        <v>0</v>
      </c>
    </row>
    <row r="82" spans="1:10" ht="24" hidden="1" customHeight="1" x14ac:dyDescent="0.25">
      <c r="A82" s="10">
        <v>43643</v>
      </c>
      <c r="B82" s="85" t="s">
        <v>446</v>
      </c>
      <c r="C82" s="7">
        <v>-5000000</v>
      </c>
      <c r="D82" s="7"/>
      <c r="E82" s="7" t="str">
        <f>+IF(FINANCIACION[[#This Row],[$ CAPITAL]]&gt;=0,FINANCIACION[[#This Row],[$ CAPITAL]]+FINANCIACION[[#This Row],[$ INTERESES]],"")</f>
        <v/>
      </c>
      <c r="F82" s="7">
        <f>+SUMIFS(FINANCIACION[$ CAPITAL],FINANCIACION[Fecha],"&lt;="&amp;FINANCIACION[[#This Row],[Fecha]],FINANCIACION[PRESTAMO],FINANCIACION[[#This Row],[PRESTAMO]])</f>
        <v>-48000000</v>
      </c>
      <c r="G82" s="11"/>
      <c r="H82" s="11"/>
      <c r="I82" s="7" t="b">
        <f>+IF(FINANCIACION[[#This Row],[$ CAPITAL]]&gt;0,FINANCIACION[[#This Row],[$ CAPITAL]])</f>
        <v>0</v>
      </c>
      <c r="J82" s="49">
        <f>+IF(FINANCIACION[[#This Row],[$ CAPITAL]]&gt;=0,FINANCIACION[[#This Row],[$ CAPITAL]]+FINANCIACION[[#This Row],[$ INTERESES]],0)</f>
        <v>0</v>
      </c>
    </row>
    <row r="83" spans="1:10" ht="24" hidden="1" customHeight="1" x14ac:dyDescent="0.25">
      <c r="A83" s="10">
        <v>43650</v>
      </c>
      <c r="B83" s="85" t="s">
        <v>446</v>
      </c>
      <c r="C83" s="7">
        <v>-3000000</v>
      </c>
      <c r="D83" s="7"/>
      <c r="E83" s="7" t="str">
        <f>+IF(FINANCIACION[[#This Row],[$ CAPITAL]]&gt;=0,FINANCIACION[[#This Row],[$ CAPITAL]]+FINANCIACION[[#This Row],[$ INTERESES]],"")</f>
        <v/>
      </c>
      <c r="F83" s="7">
        <f>+SUMIFS(FINANCIACION[$ CAPITAL],FINANCIACION[Fecha],"&lt;="&amp;FINANCIACION[[#This Row],[Fecha]],FINANCIACION[PRESTAMO],FINANCIACION[[#This Row],[PRESTAMO]])</f>
        <v>-51000000</v>
      </c>
      <c r="G83" s="11"/>
      <c r="H83" s="11"/>
      <c r="I83" s="7" t="b">
        <f>+IF(FINANCIACION[[#This Row],[$ CAPITAL]]&gt;0,FINANCIACION[[#This Row],[$ CAPITAL]])</f>
        <v>0</v>
      </c>
      <c r="J83" s="49">
        <f>+IF(FINANCIACION[[#This Row],[$ CAPITAL]]&gt;=0,FINANCIACION[[#This Row],[$ CAPITAL]]+FINANCIACION[[#This Row],[$ INTERESES]],0)</f>
        <v>0</v>
      </c>
    </row>
    <row r="84" spans="1:10" ht="24" hidden="1" customHeight="1" x14ac:dyDescent="0.25">
      <c r="A84" s="10">
        <v>43651</v>
      </c>
      <c r="B84" s="85" t="s">
        <v>446</v>
      </c>
      <c r="C84" s="7">
        <v>-5000000</v>
      </c>
      <c r="D84" s="7"/>
      <c r="E84" s="7" t="str">
        <f>+IF(FINANCIACION[[#This Row],[$ CAPITAL]]&gt;=0,FINANCIACION[[#This Row],[$ CAPITAL]]+FINANCIACION[[#This Row],[$ INTERESES]],"")</f>
        <v/>
      </c>
      <c r="F84" s="7">
        <f>+SUMIFS(FINANCIACION[$ CAPITAL],FINANCIACION[Fecha],"&lt;="&amp;FINANCIACION[[#This Row],[Fecha]],FINANCIACION[PRESTAMO],FINANCIACION[[#This Row],[PRESTAMO]])</f>
        <v>-61000000</v>
      </c>
      <c r="G84" s="11"/>
      <c r="H84" s="11"/>
      <c r="I84" s="7" t="b">
        <f>+IF(FINANCIACION[[#This Row],[$ CAPITAL]]&gt;0,FINANCIACION[[#This Row],[$ CAPITAL]])</f>
        <v>0</v>
      </c>
      <c r="J84" s="49">
        <f>+IF(FINANCIACION[[#This Row],[$ CAPITAL]]&gt;=0,FINANCIACION[[#This Row],[$ CAPITAL]]+FINANCIACION[[#This Row],[$ INTERESES]],0)</f>
        <v>0</v>
      </c>
    </row>
    <row r="85" spans="1:10" ht="24" hidden="1" customHeight="1" x14ac:dyDescent="0.25">
      <c r="A85" s="10">
        <v>43651</v>
      </c>
      <c r="B85" s="85" t="s">
        <v>446</v>
      </c>
      <c r="C85" s="7">
        <v>-5000000</v>
      </c>
      <c r="D85" s="7"/>
      <c r="E85" s="7" t="str">
        <f>+IF(FINANCIACION[[#This Row],[$ CAPITAL]]&gt;=0,FINANCIACION[[#This Row],[$ CAPITAL]]+FINANCIACION[[#This Row],[$ INTERESES]],"")</f>
        <v/>
      </c>
      <c r="F85" s="7">
        <f>+SUMIFS(FINANCIACION[$ CAPITAL],FINANCIACION[Fecha],"&lt;="&amp;FINANCIACION[[#This Row],[Fecha]],FINANCIACION[PRESTAMO],FINANCIACION[[#This Row],[PRESTAMO]])</f>
        <v>-61000000</v>
      </c>
      <c r="G85" s="11"/>
      <c r="H85" s="11"/>
      <c r="I85" s="7" t="b">
        <f>+IF(FINANCIACION[[#This Row],[$ CAPITAL]]&gt;0,FINANCIACION[[#This Row],[$ CAPITAL]])</f>
        <v>0</v>
      </c>
      <c r="J85" s="49">
        <f>+IF(FINANCIACION[[#This Row],[$ CAPITAL]]&gt;=0,FINANCIACION[[#This Row],[$ CAPITAL]]+FINANCIACION[[#This Row],[$ INTERESES]],0)</f>
        <v>0</v>
      </c>
    </row>
    <row r="86" spans="1:10" ht="24" hidden="1" customHeight="1" x14ac:dyDescent="0.25">
      <c r="A86" s="10">
        <v>43654</v>
      </c>
      <c r="B86" s="85" t="s">
        <v>446</v>
      </c>
      <c r="C86" s="7">
        <v>-5000000</v>
      </c>
      <c r="D86" s="7"/>
      <c r="E86" s="7" t="str">
        <f>+IF(FINANCIACION[[#This Row],[$ CAPITAL]]&gt;=0,FINANCIACION[[#This Row],[$ CAPITAL]]+FINANCIACION[[#This Row],[$ INTERESES]],"")</f>
        <v/>
      </c>
      <c r="F86" s="7">
        <f>+SUMIFS(FINANCIACION[$ CAPITAL],FINANCIACION[Fecha],"&lt;="&amp;FINANCIACION[[#This Row],[Fecha]],FINANCIACION[PRESTAMO],FINANCIACION[[#This Row],[PRESTAMO]])</f>
        <v>-66000000</v>
      </c>
      <c r="G86" s="11"/>
      <c r="H86" s="11"/>
      <c r="I86" s="7" t="b">
        <f>+IF(FINANCIACION[[#This Row],[$ CAPITAL]]&gt;0,FINANCIACION[[#This Row],[$ CAPITAL]])</f>
        <v>0</v>
      </c>
      <c r="J86" s="49">
        <f>+IF(FINANCIACION[[#This Row],[$ CAPITAL]]&gt;=0,FINANCIACION[[#This Row],[$ CAPITAL]]+FINANCIACION[[#This Row],[$ INTERESES]],0)</f>
        <v>0</v>
      </c>
    </row>
    <row r="87" spans="1:10" ht="24" hidden="1" customHeight="1" x14ac:dyDescent="0.25">
      <c r="A87" s="10">
        <v>43677</v>
      </c>
      <c r="B87" s="85" t="s">
        <v>446</v>
      </c>
      <c r="C87" s="7">
        <v>-8000000</v>
      </c>
      <c r="D87" s="7"/>
      <c r="E87" s="7" t="str">
        <f>+IF(FINANCIACION[[#This Row],[$ CAPITAL]]&gt;=0,FINANCIACION[[#This Row],[$ CAPITAL]]+FINANCIACION[[#This Row],[$ INTERESES]],"")</f>
        <v/>
      </c>
      <c r="F87" s="7">
        <f>+SUMIFS(FINANCIACION[$ CAPITAL],FINANCIACION[Fecha],"&lt;="&amp;FINANCIACION[[#This Row],[Fecha]],FINANCIACION[PRESTAMO],FINANCIACION[[#This Row],[PRESTAMO]])</f>
        <v>-74000000</v>
      </c>
      <c r="G87" s="11"/>
      <c r="H87" s="11"/>
      <c r="I87" s="7" t="b">
        <f>+IF(FINANCIACION[[#This Row],[$ CAPITAL]]&gt;0,FINANCIACION[[#This Row],[$ CAPITAL]])</f>
        <v>0</v>
      </c>
      <c r="J87" s="49">
        <f>+IF(FINANCIACION[[#This Row],[$ CAPITAL]]&gt;=0,FINANCIACION[[#This Row],[$ CAPITAL]]+FINANCIACION[[#This Row],[$ INTERESES]],0)</f>
        <v>0</v>
      </c>
    </row>
    <row r="88" spans="1:10" ht="24" hidden="1" customHeight="1" x14ac:dyDescent="0.25">
      <c r="A88" s="10">
        <v>43705</v>
      </c>
      <c r="B88" s="85" t="s">
        <v>446</v>
      </c>
      <c r="C88" s="7"/>
      <c r="D88" s="7">
        <v>740000</v>
      </c>
      <c r="E88" s="7">
        <f>+IF(FINANCIACION[[#This Row],[$ CAPITAL]]&gt;=0,FINANCIACION[[#This Row],[$ CAPITAL]]+FINANCIACION[[#This Row],[$ INTERESES]],"")</f>
        <v>740000</v>
      </c>
      <c r="F88" s="7">
        <f>+SUMIFS(FINANCIACION[$ CAPITAL],FINANCIACION[Fecha],"&lt;="&amp;FINANCIACION[[#This Row],[Fecha]],FINANCIACION[PRESTAMO],FINANCIACION[[#This Row],[PRESTAMO]])</f>
        <v>-74000000</v>
      </c>
      <c r="G88" s="11"/>
      <c r="H88" s="11"/>
      <c r="I88" s="7" t="b">
        <f>+IF(FINANCIACION[[#This Row],[$ CAPITAL]]&gt;0,FINANCIACION[[#This Row],[$ CAPITAL]])</f>
        <v>0</v>
      </c>
      <c r="J88" s="49">
        <f>+IF(FINANCIACION[[#This Row],[$ CAPITAL]]&gt;=0,FINANCIACION[[#This Row],[$ CAPITAL]]+FINANCIACION[[#This Row],[$ INTERESES]],0)</f>
        <v>740000</v>
      </c>
    </row>
    <row r="89" spans="1:10" ht="24" hidden="1" customHeight="1" x14ac:dyDescent="0.25">
      <c r="A89" s="10">
        <v>43717</v>
      </c>
      <c r="B89" s="85" t="s">
        <v>446</v>
      </c>
      <c r="C89" s="7">
        <v>-10000000</v>
      </c>
      <c r="D89" s="7"/>
      <c r="E89" s="7" t="str">
        <f>+IF(FINANCIACION[[#This Row],[$ CAPITAL]]&gt;=0,FINANCIACION[[#This Row],[$ CAPITAL]]+FINANCIACION[[#This Row],[$ INTERESES]],"")</f>
        <v/>
      </c>
      <c r="F89" s="7">
        <f>+SUMIFS(FINANCIACION[$ CAPITAL],FINANCIACION[Fecha],"&lt;="&amp;FINANCIACION[[#This Row],[Fecha]],FINANCIACION[PRESTAMO],FINANCIACION[[#This Row],[PRESTAMO]])</f>
        <v>-84000000</v>
      </c>
      <c r="G89" s="11"/>
      <c r="H89" s="11"/>
      <c r="I89" s="7" t="b">
        <f>+IF(FINANCIACION[[#This Row],[$ CAPITAL]]&gt;0,FINANCIACION[[#This Row],[$ CAPITAL]])</f>
        <v>0</v>
      </c>
      <c r="J89" s="49">
        <f>+IF(FINANCIACION[[#This Row],[$ CAPITAL]]&gt;=0,FINANCIACION[[#This Row],[$ CAPITAL]]+FINANCIACION[[#This Row],[$ INTERESES]],0)</f>
        <v>0</v>
      </c>
    </row>
    <row r="90" spans="1:10" ht="24" hidden="1" customHeight="1" x14ac:dyDescent="0.25">
      <c r="A90" s="10">
        <v>43769</v>
      </c>
      <c r="B90" s="85" t="s">
        <v>446</v>
      </c>
      <c r="C90" s="7"/>
      <c r="D90" s="7">
        <v>840000</v>
      </c>
      <c r="E90" s="7">
        <f>+IF(FINANCIACION[[#This Row],[$ CAPITAL]]&gt;=0,FINANCIACION[[#This Row],[$ CAPITAL]]+FINANCIACION[[#This Row],[$ INTERESES]],"")</f>
        <v>840000</v>
      </c>
      <c r="F90" s="7">
        <f>+SUMIFS(FINANCIACION[$ CAPITAL],FINANCIACION[Fecha],"&lt;="&amp;FINANCIACION[[#This Row],[Fecha]],FINANCIACION[PRESTAMO],FINANCIACION[[#This Row],[PRESTAMO]])</f>
        <v>-84000000</v>
      </c>
      <c r="G90" s="11"/>
      <c r="H90" s="11"/>
      <c r="I90" s="7" t="b">
        <f>+IF(FINANCIACION[[#This Row],[$ CAPITAL]]&gt;0,FINANCIACION[[#This Row],[$ CAPITAL]])</f>
        <v>0</v>
      </c>
      <c r="J90" s="49">
        <f>+IF(FINANCIACION[[#This Row],[$ CAPITAL]]&gt;=0,FINANCIACION[[#This Row],[$ CAPITAL]]+FINANCIACION[[#This Row],[$ INTERESES]],0)</f>
        <v>840000</v>
      </c>
    </row>
    <row r="91" spans="1:10" ht="24" hidden="1" customHeight="1" x14ac:dyDescent="0.25">
      <c r="A91" s="10">
        <v>43799</v>
      </c>
      <c r="B91" s="85" t="s">
        <v>446</v>
      </c>
      <c r="C91" s="7"/>
      <c r="D91" s="7">
        <v>840000</v>
      </c>
      <c r="E91" s="7">
        <f>+IF(FINANCIACION[[#This Row],[$ CAPITAL]]&gt;=0,FINANCIACION[[#This Row],[$ CAPITAL]]+FINANCIACION[[#This Row],[$ INTERESES]],"")</f>
        <v>840000</v>
      </c>
      <c r="F91" s="7">
        <f>+SUMIFS(FINANCIACION[$ CAPITAL],FINANCIACION[Fecha],"&lt;="&amp;FINANCIACION[[#This Row],[Fecha]],FINANCIACION[PRESTAMO],FINANCIACION[[#This Row],[PRESTAMO]])</f>
        <v>-84000000</v>
      </c>
      <c r="G91" s="11"/>
      <c r="H91" s="11"/>
      <c r="I91" s="7" t="b">
        <f>+IF(FINANCIACION[[#This Row],[$ CAPITAL]]&gt;0,FINANCIACION[[#This Row],[$ CAPITAL]])</f>
        <v>0</v>
      </c>
      <c r="J91" s="49">
        <f>+IF(FINANCIACION[[#This Row],[$ CAPITAL]]&gt;=0,FINANCIACION[[#This Row],[$ CAPITAL]]+FINANCIACION[[#This Row],[$ INTERESES]],0)</f>
        <v>840000</v>
      </c>
    </row>
    <row r="92" spans="1:10" ht="24" hidden="1" customHeight="1" x14ac:dyDescent="0.25">
      <c r="A92" s="10">
        <v>43829</v>
      </c>
      <c r="B92" s="85" t="s">
        <v>446</v>
      </c>
      <c r="C92" s="7"/>
      <c r="D92" s="7">
        <v>840000</v>
      </c>
      <c r="E92" s="7">
        <f>+IF(FINANCIACION[[#This Row],[$ CAPITAL]]&gt;=0,FINANCIACION[[#This Row],[$ CAPITAL]]+FINANCIACION[[#This Row],[$ INTERESES]],"")</f>
        <v>840000</v>
      </c>
      <c r="F92" s="7">
        <f>+SUMIFS(FINANCIACION[$ CAPITAL],FINANCIACION[Fecha],"&lt;="&amp;FINANCIACION[[#This Row],[Fecha]],FINANCIACION[PRESTAMO],FINANCIACION[[#This Row],[PRESTAMO]])</f>
        <v>-84000000</v>
      </c>
      <c r="G92" s="11"/>
      <c r="H92" s="11"/>
      <c r="I92" s="7" t="b">
        <f>+IF(FINANCIACION[[#This Row],[$ CAPITAL]]&gt;0,FINANCIACION[[#This Row],[$ CAPITAL]])</f>
        <v>0</v>
      </c>
      <c r="J92" s="49">
        <f>+IF(FINANCIACION[[#This Row],[$ CAPITAL]]&gt;=0,FINANCIACION[[#This Row],[$ CAPITAL]]+FINANCIACION[[#This Row],[$ INTERESES]],0)</f>
        <v>840000</v>
      </c>
    </row>
    <row r="93" spans="1:10" ht="24" hidden="1" customHeight="1" x14ac:dyDescent="0.25">
      <c r="A93" s="10">
        <v>43840</v>
      </c>
      <c r="B93" s="85" t="s">
        <v>446</v>
      </c>
      <c r="C93" s="7"/>
      <c r="D93" s="7">
        <v>200000</v>
      </c>
      <c r="E93" s="7">
        <f>+IF(FINANCIACION[[#This Row],[$ CAPITAL]]&gt;=0,FINANCIACION[[#This Row],[$ CAPITAL]]+FINANCIACION[[#This Row],[$ INTERESES]],"")</f>
        <v>200000</v>
      </c>
      <c r="F93" s="7">
        <f>+SUMIFS(FINANCIACION[$ CAPITAL],FINANCIACION[Fecha],"&lt;="&amp;FINANCIACION[[#This Row],[Fecha]],FINANCIACION[PRESTAMO],FINANCIACION[[#This Row],[PRESTAMO]])</f>
        <v>-84000000</v>
      </c>
      <c r="G93" s="11"/>
      <c r="H93" s="11"/>
      <c r="I93" s="7" t="b">
        <f>+IF(FINANCIACION[[#This Row],[$ CAPITAL]]&gt;0,FINANCIACION[[#This Row],[$ CAPITAL]])</f>
        <v>0</v>
      </c>
      <c r="J93" s="49">
        <f>+IF(FINANCIACION[[#This Row],[$ CAPITAL]]&gt;=0,FINANCIACION[[#This Row],[$ CAPITAL]]+FINANCIACION[[#This Row],[$ INTERESES]],0)</f>
        <v>200000</v>
      </c>
    </row>
    <row r="94" spans="1:10" ht="24" hidden="1" customHeight="1" x14ac:dyDescent="0.25">
      <c r="A94" s="10">
        <v>43858</v>
      </c>
      <c r="B94" s="85" t="s">
        <v>446</v>
      </c>
      <c r="C94" s="7"/>
      <c r="D94" s="7">
        <v>640000</v>
      </c>
      <c r="E94" s="7">
        <f>+IF(FINANCIACION[[#This Row],[$ CAPITAL]]&gt;=0,FINANCIACION[[#This Row],[$ CAPITAL]]+FINANCIACION[[#This Row],[$ INTERESES]],"")</f>
        <v>640000</v>
      </c>
      <c r="F94" s="7">
        <f>+SUMIFS(FINANCIACION[$ CAPITAL],FINANCIACION[Fecha],"&lt;="&amp;FINANCIACION[[#This Row],[Fecha]],FINANCIACION[PRESTAMO],FINANCIACION[[#This Row],[PRESTAMO]])</f>
        <v>-84000000</v>
      </c>
      <c r="G94" s="11"/>
      <c r="H94" s="11"/>
      <c r="I94" s="7" t="b">
        <f>+IF(FINANCIACION[[#This Row],[$ CAPITAL]]&gt;0,FINANCIACION[[#This Row],[$ CAPITAL]])</f>
        <v>0</v>
      </c>
      <c r="J94" s="49">
        <f>+IF(FINANCIACION[[#This Row],[$ CAPITAL]]&gt;=0,FINANCIACION[[#This Row],[$ CAPITAL]]+FINANCIACION[[#This Row],[$ INTERESES]],0)</f>
        <v>640000</v>
      </c>
    </row>
    <row r="95" spans="1:10" ht="24" hidden="1" customHeight="1" x14ac:dyDescent="0.25">
      <c r="A95" s="10">
        <v>43890</v>
      </c>
      <c r="B95" s="85" t="s">
        <v>446</v>
      </c>
      <c r="C95" s="7"/>
      <c r="D95" s="7">
        <v>840000</v>
      </c>
      <c r="E95" s="7">
        <f>+IF(FINANCIACION[[#This Row],[$ CAPITAL]]&gt;=0,FINANCIACION[[#This Row],[$ CAPITAL]]+FINANCIACION[[#This Row],[$ INTERESES]],"")</f>
        <v>840000</v>
      </c>
      <c r="F95" s="7">
        <f>+SUMIFS(FINANCIACION[$ CAPITAL],FINANCIACION[Fecha],"&lt;="&amp;FINANCIACION[[#This Row],[Fecha]],FINANCIACION[PRESTAMO],FINANCIACION[[#This Row],[PRESTAMO]])</f>
        <v>-84000000</v>
      </c>
      <c r="G95" s="11"/>
      <c r="H95" s="11"/>
      <c r="I95" s="7" t="b">
        <f>+IF(FINANCIACION[[#This Row],[$ CAPITAL]]&gt;0,FINANCIACION[[#This Row],[$ CAPITAL]])</f>
        <v>0</v>
      </c>
      <c r="J95" s="49">
        <f>+IF(FINANCIACION[[#This Row],[$ CAPITAL]]&gt;=0,FINANCIACION[[#This Row],[$ CAPITAL]]+FINANCIACION[[#This Row],[$ INTERESES]],0)</f>
        <v>840000</v>
      </c>
    </row>
    <row r="96" spans="1:10" ht="24" hidden="1" customHeight="1" x14ac:dyDescent="0.25">
      <c r="A96" s="10">
        <v>43971</v>
      </c>
      <c r="B96" s="85" t="s">
        <v>446</v>
      </c>
      <c r="C96" s="7"/>
      <c r="D96" s="7">
        <v>840000</v>
      </c>
      <c r="E96" s="7">
        <f>+IF(FINANCIACION[[#This Row],[$ CAPITAL]]&gt;=0,FINANCIACION[[#This Row],[$ CAPITAL]]+FINANCIACION[[#This Row],[$ INTERESES]],"")</f>
        <v>840000</v>
      </c>
      <c r="F96" s="7">
        <f>+SUMIFS(FINANCIACION[$ CAPITAL],FINANCIACION[Fecha],"&lt;="&amp;FINANCIACION[[#This Row],[Fecha]],FINANCIACION[PRESTAMO],FINANCIACION[[#This Row],[PRESTAMO]])</f>
        <v>-84000000</v>
      </c>
      <c r="G96" s="11"/>
      <c r="H96" s="11"/>
      <c r="I96" s="7" t="b">
        <f>+IF(FINANCIACION[[#This Row],[$ CAPITAL]]&gt;0,FINANCIACION[[#This Row],[$ CAPITAL]])</f>
        <v>0</v>
      </c>
      <c r="J96" s="49">
        <f>+IF(FINANCIACION[[#This Row],[$ CAPITAL]]&gt;=0,FINANCIACION[[#This Row],[$ CAPITAL]]+FINANCIACION[[#This Row],[$ INTERESES]],0)</f>
        <v>840000</v>
      </c>
    </row>
    <row r="97" spans="1:10" ht="24" hidden="1" customHeight="1" x14ac:dyDescent="0.25">
      <c r="A97" s="10">
        <v>44000</v>
      </c>
      <c r="B97" s="85" t="s">
        <v>446</v>
      </c>
      <c r="C97" s="7"/>
      <c r="D97" s="7">
        <v>840000</v>
      </c>
      <c r="E97" s="7">
        <f>+IF(FINANCIACION[[#This Row],[$ CAPITAL]]&gt;=0,FINANCIACION[[#This Row],[$ CAPITAL]]+FINANCIACION[[#This Row],[$ INTERESES]],"")</f>
        <v>840000</v>
      </c>
      <c r="F97" s="7">
        <f>+SUMIFS(FINANCIACION[$ CAPITAL],FINANCIACION[Fecha],"&lt;="&amp;FINANCIACION[[#This Row],[Fecha]],FINANCIACION[PRESTAMO],FINANCIACION[[#This Row],[PRESTAMO]])</f>
        <v>-84000000</v>
      </c>
      <c r="G97" s="11"/>
      <c r="H97" s="11"/>
      <c r="I97" s="7" t="b">
        <f>+IF(FINANCIACION[[#This Row],[$ CAPITAL]]&gt;0,FINANCIACION[[#This Row],[$ CAPITAL]])</f>
        <v>0</v>
      </c>
      <c r="J97" s="49">
        <f>+IF(FINANCIACION[[#This Row],[$ CAPITAL]]&gt;=0,FINANCIACION[[#This Row],[$ CAPITAL]]+FINANCIACION[[#This Row],[$ INTERESES]],0)</f>
        <v>840000</v>
      </c>
    </row>
    <row r="98" spans="1:10" ht="24" hidden="1" customHeight="1" x14ac:dyDescent="0.25">
      <c r="A98" s="10">
        <v>44013</v>
      </c>
      <c r="B98" s="85" t="s">
        <v>446</v>
      </c>
      <c r="C98" s="7">
        <v>69000000</v>
      </c>
      <c r="D98" s="7">
        <v>840000</v>
      </c>
      <c r="E98" s="7">
        <f>+IF(FINANCIACION[[#This Row],[$ CAPITAL]]&gt;=0,FINANCIACION[[#This Row],[$ CAPITAL]]+FINANCIACION[[#This Row],[$ INTERESES]],"")</f>
        <v>69840000</v>
      </c>
      <c r="F98" s="7">
        <f>+SUMIFS(FINANCIACION[$ CAPITAL],FINANCIACION[Fecha],"&lt;="&amp;FINANCIACION[[#This Row],[Fecha]],FINANCIACION[PRESTAMO],FINANCIACION[[#This Row],[PRESTAMO]])</f>
        <v>-15000000</v>
      </c>
      <c r="G98" s="11"/>
      <c r="H98" s="11"/>
      <c r="I98" s="7">
        <f>+IF(FINANCIACION[[#This Row],[$ CAPITAL]]&gt;0,FINANCIACION[[#This Row],[$ CAPITAL]])</f>
        <v>69000000</v>
      </c>
      <c r="J98" s="49">
        <f>+IF(FINANCIACION[[#This Row],[$ CAPITAL]]&gt;=0,FINANCIACION[[#This Row],[$ CAPITAL]]+FINANCIACION[[#This Row],[$ INTERESES]],0)</f>
        <v>69840000</v>
      </c>
    </row>
    <row r="99" spans="1:10" ht="24" hidden="1" customHeight="1" x14ac:dyDescent="0.25">
      <c r="A99" s="10">
        <v>44043</v>
      </c>
      <c r="B99" s="85" t="s">
        <v>446</v>
      </c>
      <c r="C99" s="7"/>
      <c r="D99" s="7">
        <v>150000</v>
      </c>
      <c r="E99" s="7">
        <f>+IF(FINANCIACION[[#This Row],[$ CAPITAL]]&gt;=0,FINANCIACION[[#This Row],[$ CAPITAL]]+FINANCIACION[[#This Row],[$ INTERESES]],"")</f>
        <v>150000</v>
      </c>
      <c r="F99" s="7">
        <f>+SUMIFS(FINANCIACION[$ CAPITAL],FINANCIACION[Fecha],"&lt;="&amp;FINANCIACION[[#This Row],[Fecha]],FINANCIACION[PRESTAMO],FINANCIACION[[#This Row],[PRESTAMO]])</f>
        <v>-15000000</v>
      </c>
      <c r="G99" s="11"/>
      <c r="H99" s="11"/>
      <c r="I99" s="7" t="b">
        <f>+IF(FINANCIACION[[#This Row],[$ CAPITAL]]&gt;0,FINANCIACION[[#This Row],[$ CAPITAL]])</f>
        <v>0</v>
      </c>
      <c r="J99" s="49">
        <f>+IF(FINANCIACION[[#This Row],[$ CAPITAL]]&gt;=0,FINANCIACION[[#This Row],[$ CAPITAL]]+FINANCIACION[[#This Row],[$ INTERESES]],0)</f>
        <v>150000</v>
      </c>
    </row>
    <row r="100" spans="1:10" ht="24" hidden="1" customHeight="1" x14ac:dyDescent="0.25">
      <c r="A100" s="10">
        <v>44078</v>
      </c>
      <c r="B100" s="85" t="s">
        <v>446</v>
      </c>
      <c r="C100" s="7"/>
      <c r="D100" s="7">
        <v>150000</v>
      </c>
      <c r="E100" s="7">
        <f>+IF(FINANCIACION[[#This Row],[$ CAPITAL]]&gt;=0,FINANCIACION[[#This Row],[$ CAPITAL]]+FINANCIACION[[#This Row],[$ INTERESES]],"")</f>
        <v>150000</v>
      </c>
      <c r="F100" s="7">
        <f>+SUMIFS(FINANCIACION[$ CAPITAL],FINANCIACION[Fecha],"&lt;="&amp;FINANCIACION[[#This Row],[Fecha]],FINANCIACION[PRESTAMO],FINANCIACION[[#This Row],[PRESTAMO]])</f>
        <v>-15000000</v>
      </c>
      <c r="G100" s="11"/>
      <c r="H100" s="11"/>
      <c r="I100" s="7" t="b">
        <f>+IF(FINANCIACION[[#This Row],[$ CAPITAL]]&gt;0,FINANCIACION[[#This Row],[$ CAPITAL]])</f>
        <v>0</v>
      </c>
      <c r="J100" s="49">
        <f>+IF(FINANCIACION[[#This Row],[$ CAPITAL]]&gt;=0,FINANCIACION[[#This Row],[$ CAPITAL]]+FINANCIACION[[#This Row],[$ INTERESES]],0)</f>
        <v>150000</v>
      </c>
    </row>
    <row r="101" spans="1:10" ht="24" hidden="1" customHeight="1" x14ac:dyDescent="0.25">
      <c r="A101" s="10">
        <v>44106</v>
      </c>
      <c r="B101" s="85" t="s">
        <v>446</v>
      </c>
      <c r="C101" s="7">
        <v>850000</v>
      </c>
      <c r="D101" s="7">
        <v>150000</v>
      </c>
      <c r="E101" s="7">
        <f>+IF(FINANCIACION[[#This Row],[$ CAPITAL]]&gt;=0,FINANCIACION[[#This Row],[$ CAPITAL]]+FINANCIACION[[#This Row],[$ INTERESES]],"")</f>
        <v>1000000</v>
      </c>
      <c r="F101" s="7">
        <f>+SUMIFS(FINANCIACION[$ CAPITAL],FINANCIACION[Fecha],"&lt;="&amp;FINANCIACION[[#This Row],[Fecha]],FINANCIACION[PRESTAMO],FINANCIACION[[#This Row],[PRESTAMO]])</f>
        <v>-14150000</v>
      </c>
      <c r="G101" s="11"/>
      <c r="H101" s="11"/>
      <c r="I101" s="7">
        <f>+IF(FINANCIACION[[#This Row],[$ CAPITAL]]&gt;0,FINANCIACION[[#This Row],[$ CAPITAL]])</f>
        <v>850000</v>
      </c>
      <c r="J101" s="49">
        <f>+IF(FINANCIACION[[#This Row],[$ CAPITAL]]&gt;=0,FINANCIACION[[#This Row],[$ CAPITAL]]+FINANCIACION[[#This Row],[$ INTERESES]],0)</f>
        <v>1000000</v>
      </c>
    </row>
    <row r="102" spans="1:10" ht="24" hidden="1" customHeight="1" x14ac:dyDescent="0.25">
      <c r="A102" s="10">
        <v>44142</v>
      </c>
      <c r="B102" s="85" t="s">
        <v>446</v>
      </c>
      <c r="C102" s="7">
        <v>858500</v>
      </c>
      <c r="D102" s="7">
        <v>141500</v>
      </c>
      <c r="E102" s="7">
        <f>+IF(FINANCIACION[[#This Row],[$ CAPITAL]]&gt;=0,FINANCIACION[[#This Row],[$ CAPITAL]]+FINANCIACION[[#This Row],[$ INTERESES]],"")</f>
        <v>1000000</v>
      </c>
      <c r="F102" s="7">
        <f>+SUMIFS(FINANCIACION[$ CAPITAL],FINANCIACION[Fecha],"&lt;="&amp;FINANCIACION[[#This Row],[Fecha]],FINANCIACION[PRESTAMO],FINANCIACION[[#This Row],[PRESTAMO]])</f>
        <v>-13291500</v>
      </c>
      <c r="G102" s="11"/>
      <c r="H102" s="11"/>
      <c r="I102" s="7">
        <f>+IF(FINANCIACION[[#This Row],[$ CAPITAL]]&gt;0,FINANCIACION[[#This Row],[$ CAPITAL]])</f>
        <v>858500</v>
      </c>
      <c r="J102" s="49">
        <f>+IF(FINANCIACION[[#This Row],[$ CAPITAL]]&gt;=0,FINANCIACION[[#This Row],[$ CAPITAL]]+FINANCIACION[[#This Row],[$ INTERESES]],0)</f>
        <v>1000000</v>
      </c>
    </row>
    <row r="103" spans="1:10" ht="24" hidden="1" customHeight="1" x14ac:dyDescent="0.25">
      <c r="A103" s="10">
        <v>44175</v>
      </c>
      <c r="B103" s="85" t="s">
        <v>446</v>
      </c>
      <c r="C103" s="7">
        <v>867085</v>
      </c>
      <c r="D103" s="7">
        <v>132915</v>
      </c>
      <c r="E103" s="7">
        <f>+IF(FINANCIACION[[#This Row],[$ CAPITAL]]&gt;=0,FINANCIACION[[#This Row],[$ CAPITAL]]+FINANCIACION[[#This Row],[$ INTERESES]],"")</f>
        <v>1000000</v>
      </c>
      <c r="F103" s="7">
        <f>+SUMIFS(FINANCIACION[$ CAPITAL],FINANCIACION[Fecha],"&lt;="&amp;FINANCIACION[[#This Row],[Fecha]],FINANCIACION[PRESTAMO],FINANCIACION[[#This Row],[PRESTAMO]])</f>
        <v>-12424415</v>
      </c>
      <c r="G103" s="11"/>
      <c r="H103" s="11"/>
      <c r="I103" s="7">
        <f>+IF(FINANCIACION[[#This Row],[$ CAPITAL]]&gt;0,FINANCIACION[[#This Row],[$ CAPITAL]])</f>
        <v>867085</v>
      </c>
      <c r="J103" s="49">
        <f>+IF(FINANCIACION[[#This Row],[$ CAPITAL]]&gt;=0,FINANCIACION[[#This Row],[$ CAPITAL]]+FINANCIACION[[#This Row],[$ INTERESES]],0)</f>
        <v>1000000</v>
      </c>
    </row>
    <row r="104" spans="1:10" ht="24" hidden="1" customHeight="1" x14ac:dyDescent="0.25">
      <c r="A104" s="10">
        <v>44208</v>
      </c>
      <c r="B104" s="85" t="s">
        <v>446</v>
      </c>
      <c r="C104" s="7">
        <v>875755.85</v>
      </c>
      <c r="D104" s="7">
        <v>124244.15000000001</v>
      </c>
      <c r="E104" s="7">
        <f>+IF(FINANCIACION[[#This Row],[$ CAPITAL]]&gt;=0,FINANCIACION[[#This Row],[$ CAPITAL]]+FINANCIACION[[#This Row],[$ INTERESES]],"")</f>
        <v>1000000</v>
      </c>
      <c r="F104" s="7">
        <f>+SUMIFS(FINANCIACION[$ CAPITAL],FINANCIACION[Fecha],"&lt;="&amp;FINANCIACION[[#This Row],[Fecha]],FINANCIACION[PRESTAMO],FINANCIACION[[#This Row],[PRESTAMO]])</f>
        <v>-11548659.15</v>
      </c>
      <c r="G104" s="11"/>
      <c r="H104" s="11"/>
      <c r="I104" s="7">
        <f>+IF(FINANCIACION[[#This Row],[$ CAPITAL]]&gt;0,FINANCIACION[[#This Row],[$ CAPITAL]])</f>
        <v>875755.85</v>
      </c>
      <c r="J104" s="49">
        <f>+IF(FINANCIACION[[#This Row],[$ CAPITAL]]&gt;=0,FINANCIACION[[#This Row],[$ CAPITAL]]+FINANCIACION[[#This Row],[$ INTERESES]],0)</f>
        <v>1000000</v>
      </c>
    </row>
    <row r="105" spans="1:10" ht="24" hidden="1" customHeight="1" x14ac:dyDescent="0.25">
      <c r="A105" s="10">
        <v>44237</v>
      </c>
      <c r="B105" s="85" t="s">
        <v>446</v>
      </c>
      <c r="C105" s="7">
        <v>875755.85</v>
      </c>
      <c r="D105" s="7">
        <v>124244.15000000001</v>
      </c>
      <c r="E105" s="7">
        <f>+IF(FINANCIACION[[#This Row],[$ CAPITAL]]&gt;=0,FINANCIACION[[#This Row],[$ CAPITAL]]+FINANCIACION[[#This Row],[$ INTERESES]],"")</f>
        <v>1000000</v>
      </c>
      <c r="F105" s="7">
        <f>+SUMIFS(FINANCIACION[$ CAPITAL],FINANCIACION[Fecha],"&lt;="&amp;FINANCIACION[[#This Row],[Fecha]],FINANCIACION[PRESTAMO],FINANCIACION[[#This Row],[PRESTAMO]])</f>
        <v>-10672903.300000001</v>
      </c>
      <c r="G105" s="11"/>
      <c r="H105" s="11"/>
      <c r="I105" s="7">
        <f>+IF(FINANCIACION[[#This Row],[$ CAPITAL]]&gt;0,FINANCIACION[[#This Row],[$ CAPITAL]])</f>
        <v>875755.85</v>
      </c>
      <c r="J105" s="49">
        <f>+IF(FINANCIACION[[#This Row],[$ CAPITAL]]&gt;=0,FINANCIACION[[#This Row],[$ CAPITAL]]+FINANCIACION[[#This Row],[$ INTERESES]],0)</f>
        <v>1000000</v>
      </c>
    </row>
    <row r="106" spans="1:10" ht="24" hidden="1" customHeight="1" x14ac:dyDescent="0.25">
      <c r="A106" s="10">
        <v>44245</v>
      </c>
      <c r="B106" s="85" t="s">
        <v>446</v>
      </c>
      <c r="C106" s="7">
        <v>-50000000</v>
      </c>
      <c r="D106" s="7"/>
      <c r="E106" s="7" t="str">
        <f>+IF(FINANCIACION[[#This Row],[$ CAPITAL]]&gt;=0,FINANCIACION[[#This Row],[$ CAPITAL]]+FINANCIACION[[#This Row],[$ INTERESES]],"")</f>
        <v/>
      </c>
      <c r="F106" s="7">
        <f>+SUMIFS(FINANCIACION[$ CAPITAL],FINANCIACION[Fecha],"&lt;="&amp;FINANCIACION[[#This Row],[Fecha]],FINANCIACION[PRESTAMO],FINANCIACION[[#This Row],[PRESTAMO]])</f>
        <v>-60672903.299999997</v>
      </c>
      <c r="G106" s="11"/>
      <c r="H106" s="11"/>
      <c r="I106" s="7" t="b">
        <f>+IF(FINANCIACION[[#This Row],[$ CAPITAL]]&gt;0,FINANCIACION[[#This Row],[$ CAPITAL]])</f>
        <v>0</v>
      </c>
      <c r="J106" s="12">
        <f>+IF(FINANCIACION[[#This Row],[$ CAPITAL]]&gt;=0,FINANCIACION[[#This Row],[$ CAPITAL]]+FINANCIACION[[#This Row],[$ INTERESES]],0)</f>
        <v>0</v>
      </c>
    </row>
    <row r="107" spans="1:10" ht="24" hidden="1" customHeight="1" x14ac:dyDescent="0.25">
      <c r="A107" s="10">
        <v>44265</v>
      </c>
      <c r="B107" s="85" t="s">
        <v>446</v>
      </c>
      <c r="C107" s="7">
        <v>277743.10809999995</v>
      </c>
      <c r="D107" s="7">
        <v>922256.89190000005</v>
      </c>
      <c r="E107" s="7">
        <f>+IF(FINANCIACION[[#This Row],[$ CAPITAL]]&gt;=0,FINANCIACION[[#This Row],[$ CAPITAL]]+FINANCIACION[[#This Row],[$ INTERESES]],"")</f>
        <v>1200000</v>
      </c>
      <c r="F107" s="7">
        <f>+SUMIFS(FINANCIACION[$ CAPITAL],FINANCIACION[Fecha],"&lt;="&amp;FINANCIACION[[#This Row],[Fecha]],FINANCIACION[PRESTAMO],FINANCIACION[[#This Row],[PRESTAMO]])</f>
        <v>-60395160.1919</v>
      </c>
      <c r="G107" s="11"/>
      <c r="H107" s="91"/>
      <c r="I107" s="7">
        <f>+IF(FINANCIACION[[#This Row],[$ CAPITAL]]&gt;0,FINANCIACION[[#This Row],[$ CAPITAL]])</f>
        <v>277743.10809999995</v>
      </c>
      <c r="J107" s="12">
        <f>+IF(FINANCIACION[[#This Row],[$ CAPITAL]]&gt;=0,FINANCIACION[[#This Row],[$ CAPITAL]]+FINANCIACION[[#This Row],[$ INTERESES]],0)</f>
        <v>1200000</v>
      </c>
    </row>
    <row r="108" spans="1:10" ht="24" hidden="1" customHeight="1" x14ac:dyDescent="0.25">
      <c r="A108" s="10">
        <v>44266</v>
      </c>
      <c r="B108" s="85" t="s">
        <v>446</v>
      </c>
      <c r="C108" s="7">
        <v>315160.19189999998</v>
      </c>
      <c r="D108" s="7"/>
      <c r="E108" s="7">
        <f>+IF(FINANCIACION[[#This Row],[$ CAPITAL]]&gt;=0,FINANCIACION[[#This Row],[$ CAPITAL]]+FINANCIACION[[#This Row],[$ INTERESES]],"")</f>
        <v>315160.19189999998</v>
      </c>
      <c r="F108" s="7">
        <f>+SUMIFS(FINANCIACION[$ CAPITAL],FINANCIACION[Fecha],"&lt;="&amp;FINANCIACION[[#This Row],[Fecha]],FINANCIACION[PRESTAMO],FINANCIACION[[#This Row],[PRESTAMO]])</f>
        <v>-60080000</v>
      </c>
      <c r="G108" s="11" t="s">
        <v>527</v>
      </c>
      <c r="H108" s="91"/>
      <c r="I108" s="7">
        <f>+IF(FINANCIACION[[#This Row],[$ CAPITAL]]&gt;0,FINANCIACION[[#This Row],[$ CAPITAL]])</f>
        <v>315160.19189999998</v>
      </c>
      <c r="J108" s="12">
        <f>+IF(FINANCIACION[[#This Row],[$ CAPITAL]]&gt;=0,FINANCIACION[[#This Row],[$ CAPITAL]]+FINANCIACION[[#This Row],[$ INTERESES]],0)</f>
        <v>315160.19189999998</v>
      </c>
    </row>
    <row r="109" spans="1:10" ht="24" hidden="1" customHeight="1" x14ac:dyDescent="0.25">
      <c r="A109" s="10">
        <v>44299</v>
      </c>
      <c r="B109" s="85" t="s">
        <v>446</v>
      </c>
      <c r="C109" s="7">
        <v>699200</v>
      </c>
      <c r="D109" s="7">
        <v>600800</v>
      </c>
      <c r="E109" s="7">
        <f>+IF(FINANCIACION[[#This Row],[$ CAPITAL]]&gt;=0,FINANCIACION[[#This Row],[$ CAPITAL]]+FINANCIACION[[#This Row],[$ INTERESES]],"")</f>
        <v>1300000</v>
      </c>
      <c r="F109" s="7">
        <f>+SUMIFS(FINANCIACION[$ CAPITAL],FINANCIACION[Fecha],"&lt;="&amp;FINANCIACION[[#This Row],[Fecha]],FINANCIACION[PRESTAMO],FINANCIACION[[#This Row],[PRESTAMO]])</f>
        <v>-59380800</v>
      </c>
      <c r="G109" s="11"/>
      <c r="H109" s="91"/>
      <c r="I109" s="7">
        <f>+IF(FINANCIACION[[#This Row],[$ CAPITAL]]&gt;0,FINANCIACION[[#This Row],[$ CAPITAL]])</f>
        <v>699200</v>
      </c>
      <c r="J109" s="12">
        <f>+IF(FINANCIACION[[#This Row],[$ CAPITAL]]&gt;=0,FINANCIACION[[#This Row],[$ CAPITAL]]+FINANCIACION[[#This Row],[$ INTERESES]],0)</f>
        <v>1300000</v>
      </c>
    </row>
    <row r="110" spans="1:10" ht="24" hidden="1" customHeight="1" x14ac:dyDescent="0.25">
      <c r="A110" s="10">
        <v>44344</v>
      </c>
      <c r="B110" s="85" t="s">
        <v>446</v>
      </c>
      <c r="C110" s="7">
        <f>1300000-FINANCIACION[[#This Row],[$ INTERESES]]</f>
        <v>706192</v>
      </c>
      <c r="D110" s="7">
        <v>593808</v>
      </c>
      <c r="E110" s="7">
        <f>+IF(FINANCIACION[[#This Row],[$ CAPITAL]]&gt;=0,FINANCIACION[[#This Row],[$ CAPITAL]]+FINANCIACION[[#This Row],[$ INTERESES]],"")</f>
        <v>1300000</v>
      </c>
      <c r="F110" s="7">
        <f>+SUMIFS(FINANCIACION[$ CAPITAL],FINANCIACION[Fecha],"&lt;="&amp;FINANCIACION[[#This Row],[Fecha]],FINANCIACION[PRESTAMO],FINANCIACION[[#This Row],[PRESTAMO]])</f>
        <v>-58674608</v>
      </c>
      <c r="G110" s="91"/>
      <c r="H110" s="11"/>
      <c r="I110" s="7">
        <f>+IF(FINANCIACION[[#This Row],[$ CAPITAL]]&gt;0,FINANCIACION[[#This Row],[$ CAPITAL]])</f>
        <v>706192</v>
      </c>
      <c r="J110" s="49">
        <f>+IF(FINANCIACION[[#This Row],[$ CAPITAL]]&gt;=0,FINANCIACION[[#This Row],[$ CAPITAL]]+FINANCIACION[[#This Row],[$ INTERESES]],0)</f>
        <v>1300000</v>
      </c>
    </row>
    <row r="111" spans="1:10" ht="24" hidden="1" customHeight="1" x14ac:dyDescent="0.25">
      <c r="A111" s="10">
        <v>44358</v>
      </c>
      <c r="B111" s="85" t="s">
        <v>446</v>
      </c>
      <c r="C111" s="7">
        <f>1300000-FINANCIACION[[#This Row],[$ INTERESES]]</f>
        <v>713253.92</v>
      </c>
      <c r="D111" s="7">
        <v>586746.07999999996</v>
      </c>
      <c r="E111" s="7">
        <f>+IF(FINANCIACION[[#This Row],[$ CAPITAL]]&gt;=0,FINANCIACION[[#This Row],[$ CAPITAL]]+FINANCIACION[[#This Row],[$ INTERESES]],"")</f>
        <v>1300000</v>
      </c>
      <c r="F111" s="7">
        <f>+SUMIFS(FINANCIACION[$ CAPITAL],FINANCIACION[Fecha],"&lt;="&amp;FINANCIACION[[#This Row],[Fecha]],FINANCIACION[PRESTAMO],FINANCIACION[[#This Row],[PRESTAMO]])</f>
        <v>-57961354.079999998</v>
      </c>
      <c r="G111" s="91"/>
      <c r="H111" s="11"/>
      <c r="I111" s="7">
        <f>+IF(FINANCIACION[[#This Row],[$ CAPITAL]]&gt;0,FINANCIACION[[#This Row],[$ CAPITAL]])</f>
        <v>713253.92</v>
      </c>
      <c r="J111" s="49">
        <f>+IF(FINANCIACION[[#This Row],[$ CAPITAL]]&gt;=0,FINANCIACION[[#This Row],[$ CAPITAL]]+FINANCIACION[[#This Row],[$ INTERESES]],0)</f>
        <v>1300000</v>
      </c>
    </row>
    <row r="112" spans="1:10" ht="24" hidden="1" customHeight="1" x14ac:dyDescent="0.25">
      <c r="A112" s="10">
        <v>44390</v>
      </c>
      <c r="B112" s="85" t="s">
        <v>446</v>
      </c>
      <c r="C112" s="7">
        <v>720386.45920000004</v>
      </c>
      <c r="D112" s="7">
        <v>579613.54079999996</v>
      </c>
      <c r="E112" s="7">
        <f>+IF(FINANCIACION[[#This Row],[$ CAPITAL]]&gt;=0,FINANCIACION[[#This Row],[$ CAPITAL]]+FINANCIACION[[#This Row],[$ INTERESES]],"")</f>
        <v>1300000</v>
      </c>
      <c r="F112" s="7">
        <f>+SUMIFS(FINANCIACION[$ CAPITAL],FINANCIACION[Fecha],"&lt;="&amp;FINANCIACION[[#This Row],[Fecha]],FINANCIACION[PRESTAMO],FINANCIACION[[#This Row],[PRESTAMO]])</f>
        <v>-57240967.620799996</v>
      </c>
      <c r="G112" s="91"/>
      <c r="H112" s="11"/>
      <c r="I112" s="7">
        <f>+IF(FINANCIACION[[#This Row],[$ CAPITAL]]&gt;0,FINANCIACION[[#This Row],[$ CAPITAL]])</f>
        <v>720386.45920000004</v>
      </c>
      <c r="J112" s="49">
        <f>+IF(FINANCIACION[[#This Row],[$ CAPITAL]]&gt;=0,FINANCIACION[[#This Row],[$ CAPITAL]]+FINANCIACION[[#This Row],[$ INTERESES]],0)</f>
        <v>1300000</v>
      </c>
    </row>
    <row r="113" spans="1:10" ht="24" hidden="1" customHeight="1" x14ac:dyDescent="0.25">
      <c r="A113" s="10">
        <v>44425</v>
      </c>
      <c r="B113" s="85" t="s">
        <v>446</v>
      </c>
      <c r="C113" s="7">
        <v>727590.32379200007</v>
      </c>
      <c r="D113" s="7">
        <v>572409.67620799993</v>
      </c>
      <c r="E113" s="7">
        <f>+IF(FINANCIACION[[#This Row],[$ CAPITAL]]&gt;=0,FINANCIACION[[#This Row],[$ CAPITAL]]+FINANCIACION[[#This Row],[$ INTERESES]],"")</f>
        <v>1300000</v>
      </c>
      <c r="F113" s="7">
        <f>+SUMIFS(FINANCIACION[$ CAPITAL],FINANCIACION[Fecha],"&lt;="&amp;FINANCIACION[[#This Row],[Fecha]],FINANCIACION[PRESTAMO],FINANCIACION[[#This Row],[PRESTAMO]])</f>
        <v>-56513377.297007993</v>
      </c>
      <c r="G113" s="91"/>
      <c r="H113" s="11"/>
      <c r="I113" s="7">
        <f>+IF(FINANCIACION[[#This Row],[$ CAPITAL]]&gt;0,FINANCIACION[[#This Row],[$ CAPITAL]])</f>
        <v>727590.32379200007</v>
      </c>
      <c r="J113" s="49">
        <f>+IF(FINANCIACION[[#This Row],[$ CAPITAL]]&gt;=0,FINANCIACION[[#This Row],[$ CAPITAL]]+FINANCIACION[[#This Row],[$ INTERESES]],0)</f>
        <v>1300000</v>
      </c>
    </row>
    <row r="114" spans="1:10" ht="24" hidden="1" customHeight="1" x14ac:dyDescent="0.25">
      <c r="A114" s="10">
        <v>44450</v>
      </c>
      <c r="B114" s="85" t="s">
        <v>446</v>
      </c>
      <c r="C114" s="7">
        <v>734866.22702992009</v>
      </c>
      <c r="D114" s="7">
        <v>565133.77297007991</v>
      </c>
      <c r="E114" s="7">
        <f>+IF(FINANCIACION[[#This Row],[$ CAPITAL]]&gt;=0,FINANCIACION[[#This Row],[$ CAPITAL]]+FINANCIACION[[#This Row],[$ INTERESES]],"")</f>
        <v>1300000</v>
      </c>
      <c r="F114" s="7">
        <f>+SUMIFS(FINANCIACION[$ CAPITAL],FINANCIACION[Fecha],"&lt;="&amp;FINANCIACION[[#This Row],[Fecha]],FINANCIACION[PRESTAMO],FINANCIACION[[#This Row],[PRESTAMO]])</f>
        <v>-55778511.069978073</v>
      </c>
      <c r="G114" s="91"/>
      <c r="H114" s="11"/>
      <c r="I114" s="7">
        <f>+IF(FINANCIACION[[#This Row],[$ CAPITAL]]&gt;0,FINANCIACION[[#This Row],[$ CAPITAL]])</f>
        <v>734866.22702992009</v>
      </c>
      <c r="J114" s="49">
        <f>+IF(FINANCIACION[[#This Row],[$ CAPITAL]]&gt;=0,FINANCIACION[[#This Row],[$ CAPITAL]]+FINANCIACION[[#This Row],[$ INTERESES]],0)</f>
        <v>1300000</v>
      </c>
    </row>
    <row r="115" spans="1:10" ht="24" hidden="1" customHeight="1" x14ac:dyDescent="0.25">
      <c r="A115" s="10">
        <v>44480</v>
      </c>
      <c r="B115" s="85" t="s">
        <v>446</v>
      </c>
      <c r="C115" s="7">
        <v>742214.88930021925</v>
      </c>
      <c r="D115" s="7">
        <v>557785.11069978075</v>
      </c>
      <c r="E115" s="7">
        <f>+IF(FINANCIACION[[#This Row],[$ CAPITAL]]&gt;=0,FINANCIACION[[#This Row],[$ CAPITAL]]+FINANCIACION[[#This Row],[$ INTERESES]],"")</f>
        <v>1300000</v>
      </c>
      <c r="F115" s="7">
        <f>+SUMIFS(FINANCIACION[$ CAPITAL],FINANCIACION[Fecha],"&lt;="&amp;FINANCIACION[[#This Row],[Fecha]],FINANCIACION[PRESTAMO],FINANCIACION[[#This Row],[PRESTAMO]])</f>
        <v>-55036296.180677854</v>
      </c>
      <c r="G115" s="91"/>
      <c r="H115" s="11"/>
      <c r="I115" s="7">
        <f>+IF(FINANCIACION[[#This Row],[$ CAPITAL]]&gt;0,FINANCIACION[[#This Row],[$ CAPITAL]])</f>
        <v>742214.88930021925</v>
      </c>
      <c r="J115" s="49">
        <f>+IF(FINANCIACION[[#This Row],[$ CAPITAL]]&gt;=0,FINANCIACION[[#This Row],[$ CAPITAL]]+FINANCIACION[[#This Row],[$ INTERESES]],0)</f>
        <v>1300000</v>
      </c>
    </row>
    <row r="116" spans="1:10" ht="24" hidden="1" customHeight="1" x14ac:dyDescent="0.25">
      <c r="A116" s="10">
        <v>44510</v>
      </c>
      <c r="B116" s="85" t="s">
        <v>446</v>
      </c>
      <c r="C116" s="7">
        <v>749637</v>
      </c>
      <c r="D116" s="7">
        <v>550363</v>
      </c>
      <c r="E116" s="7">
        <f>+IF(FINANCIACION[[#This Row],[$ CAPITAL]]&gt;=0,FINANCIACION[[#This Row],[$ CAPITAL]]+FINANCIACION[[#This Row],[$ INTERESES]],"")</f>
        <v>1300000</v>
      </c>
      <c r="F116" s="7">
        <f>+SUMIFS(FINANCIACION[$ CAPITAL],FINANCIACION[Fecha],"&lt;="&amp;FINANCIACION[[#This Row],[Fecha]],FINANCIACION[PRESTAMO],FINANCIACION[[#This Row],[PRESTAMO]])</f>
        <v>-54286659.180677854</v>
      </c>
      <c r="G116" s="91"/>
      <c r="H116" s="11"/>
      <c r="I116" s="7">
        <f>+IF(FINANCIACION[[#This Row],[$ CAPITAL]]&gt;0,FINANCIACION[[#This Row],[$ CAPITAL]])</f>
        <v>749637</v>
      </c>
      <c r="J116" s="49">
        <f>+IF(FINANCIACION[[#This Row],[$ CAPITAL]]&gt;=0,FINANCIACION[[#This Row],[$ CAPITAL]]+FINANCIACION[[#This Row],[$ INTERESES]],0)</f>
        <v>1300000</v>
      </c>
    </row>
    <row r="117" spans="1:10" ht="24" hidden="1" customHeight="1" x14ac:dyDescent="0.25">
      <c r="A117" s="10">
        <v>44539</v>
      </c>
      <c r="B117" s="85" t="s">
        <v>446</v>
      </c>
      <c r="C117" s="7">
        <v>757133.40857515368</v>
      </c>
      <c r="D117" s="7">
        <v>542866.59142484632</v>
      </c>
      <c r="E117" s="7">
        <f>+IF(FINANCIACION[[#This Row],[$ CAPITAL]]&gt;=0,FINANCIACION[[#This Row],[$ CAPITAL]]+FINANCIACION[[#This Row],[$ INTERESES]],"")</f>
        <v>1300000</v>
      </c>
      <c r="F117" s="7">
        <f>+SUMIFS(FINANCIACION[$ CAPITAL],FINANCIACION[Fecha],"&lt;="&amp;FINANCIACION[[#This Row],[Fecha]],FINANCIACION[PRESTAMO],FINANCIACION[[#This Row],[PRESTAMO]])</f>
        <v>-53529525.772102699</v>
      </c>
      <c r="G117" s="91"/>
      <c r="H117" s="11"/>
      <c r="I117" s="7">
        <f>+IF(FINANCIACION[[#This Row],[$ CAPITAL]]&gt;0,FINANCIACION[[#This Row],[$ CAPITAL]])</f>
        <v>757133.40857515368</v>
      </c>
      <c r="J117" s="49">
        <f>+IF(FINANCIACION[[#This Row],[$ CAPITAL]]&gt;=0,FINANCIACION[[#This Row],[$ CAPITAL]]+FINANCIACION[[#This Row],[$ INTERESES]],0)</f>
        <v>1300000</v>
      </c>
    </row>
    <row r="118" spans="1:10" ht="24" hidden="1" customHeight="1" x14ac:dyDescent="0.25">
      <c r="A118" s="10">
        <v>43084</v>
      </c>
      <c r="B118" s="85" t="s">
        <v>447</v>
      </c>
      <c r="C118" s="7">
        <v>-61629154</v>
      </c>
      <c r="D118" s="7"/>
      <c r="E118" s="7" t="str">
        <f>+IF(FINANCIACION[[#This Row],[$ CAPITAL]]&gt;=0,FINANCIACION[[#This Row],[$ CAPITAL]]+FINANCIACION[[#This Row],[$ INTERESES]],"")</f>
        <v/>
      </c>
      <c r="F118" s="7">
        <f>+SUMIFS(FINANCIACION[$ CAPITAL],FINANCIACION[Fecha],"&lt;="&amp;FINANCIACION[[#This Row],[Fecha]],FINANCIACION[PRESTAMO],FINANCIACION[[#This Row],[PRESTAMO]])</f>
        <v>-61629154</v>
      </c>
      <c r="G118" s="11"/>
      <c r="H118" s="11"/>
      <c r="I118" s="7" t="b">
        <f>+IF(FINANCIACION[[#This Row],[$ CAPITAL]]&gt;0,FINANCIACION[[#This Row],[$ CAPITAL]])</f>
        <v>0</v>
      </c>
      <c r="J118" s="49">
        <f>+IF(FINANCIACION[[#This Row],[$ CAPITAL]]&gt;=0,FINANCIACION[[#This Row],[$ CAPITAL]]+FINANCIACION[[#This Row],[$ INTERESES]],0)</f>
        <v>0</v>
      </c>
    </row>
    <row r="119" spans="1:10" ht="24" hidden="1" customHeight="1" x14ac:dyDescent="0.25">
      <c r="A119" s="10">
        <v>43485</v>
      </c>
      <c r="B119" s="85" t="s">
        <v>447</v>
      </c>
      <c r="C119" s="7">
        <v>260000</v>
      </c>
      <c r="D119" s="7">
        <v>740000</v>
      </c>
      <c r="E119" s="7">
        <f>+IF(FINANCIACION[[#This Row],[$ CAPITAL]]&gt;=0,FINANCIACION[[#This Row],[$ CAPITAL]]+FINANCIACION[[#This Row],[$ INTERESES]],"")</f>
        <v>1000000</v>
      </c>
      <c r="F119" s="7">
        <f>+SUMIFS(FINANCIACION[$ CAPITAL],FINANCIACION[Fecha],"&lt;="&amp;FINANCIACION[[#This Row],[Fecha]],FINANCIACION[PRESTAMO],FINANCIACION[[#This Row],[PRESTAMO]])</f>
        <v>-61369154</v>
      </c>
      <c r="G119" s="11"/>
      <c r="H119" s="11"/>
      <c r="I119" s="7">
        <f>+IF(FINANCIACION[[#This Row],[$ CAPITAL]]&gt;0,FINANCIACION[[#This Row],[$ CAPITAL]])</f>
        <v>260000</v>
      </c>
      <c r="J119" s="49">
        <f>+IF(FINANCIACION[[#This Row],[$ CAPITAL]]&gt;=0,FINANCIACION[[#This Row],[$ CAPITAL]]+FINANCIACION[[#This Row],[$ INTERESES]],0)</f>
        <v>1000000</v>
      </c>
    </row>
    <row r="120" spans="1:10" ht="24" hidden="1" customHeight="1" x14ac:dyDescent="0.25">
      <c r="A120" s="10">
        <v>43516</v>
      </c>
      <c r="B120" s="85" t="s">
        <v>447</v>
      </c>
      <c r="C120" s="7">
        <v>260000</v>
      </c>
      <c r="D120" s="7">
        <v>740000</v>
      </c>
      <c r="E120" s="7">
        <f>+IF(FINANCIACION[[#This Row],[$ CAPITAL]]&gt;=0,FINANCIACION[[#This Row],[$ CAPITAL]]+FINANCIACION[[#This Row],[$ INTERESES]],"")</f>
        <v>1000000</v>
      </c>
      <c r="F120" s="7">
        <f>+SUMIFS(FINANCIACION[$ CAPITAL],FINANCIACION[Fecha],"&lt;="&amp;FINANCIACION[[#This Row],[Fecha]],FINANCIACION[PRESTAMO],FINANCIACION[[#This Row],[PRESTAMO]])</f>
        <v>-61109154</v>
      </c>
      <c r="G120" s="11"/>
      <c r="H120" s="11"/>
      <c r="I120" s="7">
        <f>+IF(FINANCIACION[[#This Row],[$ CAPITAL]]&gt;0,FINANCIACION[[#This Row],[$ CAPITAL]])</f>
        <v>260000</v>
      </c>
      <c r="J120" s="49">
        <f>+IF(FINANCIACION[[#This Row],[$ CAPITAL]]&gt;=0,FINANCIACION[[#This Row],[$ CAPITAL]]+FINANCIACION[[#This Row],[$ INTERESES]],0)</f>
        <v>1000000</v>
      </c>
    </row>
    <row r="121" spans="1:10" ht="24" hidden="1" customHeight="1" x14ac:dyDescent="0.25">
      <c r="A121" s="10">
        <v>43544</v>
      </c>
      <c r="B121" s="85" t="s">
        <v>447</v>
      </c>
      <c r="C121" s="7">
        <v>260000</v>
      </c>
      <c r="D121" s="7">
        <v>740000</v>
      </c>
      <c r="E121" s="7">
        <f>+IF(FINANCIACION[[#This Row],[$ CAPITAL]]&gt;=0,FINANCIACION[[#This Row],[$ CAPITAL]]+FINANCIACION[[#This Row],[$ INTERESES]],"")</f>
        <v>1000000</v>
      </c>
      <c r="F121" s="7">
        <f>+SUMIFS(FINANCIACION[$ CAPITAL],FINANCIACION[Fecha],"&lt;="&amp;FINANCIACION[[#This Row],[Fecha]],FINANCIACION[PRESTAMO],FINANCIACION[[#This Row],[PRESTAMO]])</f>
        <v>-60849154</v>
      </c>
      <c r="G121" s="11"/>
      <c r="H121" s="11"/>
      <c r="I121" s="7">
        <f>+IF(FINANCIACION[[#This Row],[$ CAPITAL]]&gt;0,FINANCIACION[[#This Row],[$ CAPITAL]])</f>
        <v>260000</v>
      </c>
      <c r="J121" s="49">
        <f>+IF(FINANCIACION[[#This Row],[$ CAPITAL]]&gt;=0,FINANCIACION[[#This Row],[$ CAPITAL]]+FINANCIACION[[#This Row],[$ INTERESES]],0)</f>
        <v>1000000</v>
      </c>
    </row>
    <row r="122" spans="1:10" ht="24" hidden="1" customHeight="1" x14ac:dyDescent="0.25">
      <c r="A122" s="10">
        <v>43575</v>
      </c>
      <c r="B122" s="85" t="s">
        <v>447</v>
      </c>
      <c r="C122" s="7">
        <v>260000</v>
      </c>
      <c r="D122" s="7">
        <v>740000</v>
      </c>
      <c r="E122" s="7">
        <f>+IF(FINANCIACION[[#This Row],[$ CAPITAL]]&gt;=0,FINANCIACION[[#This Row],[$ CAPITAL]]+FINANCIACION[[#This Row],[$ INTERESES]],"")</f>
        <v>1000000</v>
      </c>
      <c r="F122" s="7">
        <f>+SUMIFS(FINANCIACION[$ CAPITAL],FINANCIACION[Fecha],"&lt;="&amp;FINANCIACION[[#This Row],[Fecha]],FINANCIACION[PRESTAMO],FINANCIACION[[#This Row],[PRESTAMO]])</f>
        <v>-60589154</v>
      </c>
      <c r="G122" s="11"/>
      <c r="H122" s="11"/>
      <c r="I122" s="7">
        <f>+IF(FINANCIACION[[#This Row],[$ CAPITAL]]&gt;0,FINANCIACION[[#This Row],[$ CAPITAL]])</f>
        <v>260000</v>
      </c>
      <c r="J122" s="49">
        <f>+IF(FINANCIACION[[#This Row],[$ CAPITAL]]&gt;=0,FINANCIACION[[#This Row],[$ CAPITAL]]+FINANCIACION[[#This Row],[$ INTERESES]],0)</f>
        <v>1000000</v>
      </c>
    </row>
    <row r="123" spans="1:10" ht="24" hidden="1" customHeight="1" x14ac:dyDescent="0.25">
      <c r="A123" s="10">
        <v>43605</v>
      </c>
      <c r="B123" s="85" t="s">
        <v>447</v>
      </c>
      <c r="C123" s="7">
        <v>260000</v>
      </c>
      <c r="D123" s="7">
        <v>740000</v>
      </c>
      <c r="E123" s="7">
        <f>+IF(FINANCIACION[[#This Row],[$ CAPITAL]]&gt;=0,FINANCIACION[[#This Row],[$ CAPITAL]]+FINANCIACION[[#This Row],[$ INTERESES]],"")</f>
        <v>1000000</v>
      </c>
      <c r="F123" s="7">
        <f>+SUMIFS(FINANCIACION[$ CAPITAL],FINANCIACION[Fecha],"&lt;="&amp;FINANCIACION[[#This Row],[Fecha]],FINANCIACION[PRESTAMO],FINANCIACION[[#This Row],[PRESTAMO]])</f>
        <v>-60329154</v>
      </c>
      <c r="G123" s="11"/>
      <c r="H123" s="11"/>
      <c r="I123" s="7">
        <f>+IF(FINANCIACION[[#This Row],[$ CAPITAL]]&gt;0,FINANCIACION[[#This Row],[$ CAPITAL]])</f>
        <v>260000</v>
      </c>
      <c r="J123" s="49">
        <f>+IF(FINANCIACION[[#This Row],[$ CAPITAL]]&gt;=0,FINANCIACION[[#This Row],[$ CAPITAL]]+FINANCIACION[[#This Row],[$ INTERESES]],0)</f>
        <v>1000000</v>
      </c>
    </row>
    <row r="124" spans="1:10" ht="24" hidden="1" customHeight="1" x14ac:dyDescent="0.25">
      <c r="A124" s="10">
        <v>43636</v>
      </c>
      <c r="B124" s="85" t="s">
        <v>447</v>
      </c>
      <c r="C124" s="7">
        <v>260000</v>
      </c>
      <c r="D124" s="7">
        <v>740000</v>
      </c>
      <c r="E124" s="7">
        <f>+IF(FINANCIACION[[#This Row],[$ CAPITAL]]&gt;=0,FINANCIACION[[#This Row],[$ CAPITAL]]+FINANCIACION[[#This Row],[$ INTERESES]],"")</f>
        <v>1000000</v>
      </c>
      <c r="F124" s="7">
        <f>+SUMIFS(FINANCIACION[$ CAPITAL],FINANCIACION[Fecha],"&lt;="&amp;FINANCIACION[[#This Row],[Fecha]],FINANCIACION[PRESTAMO],FINANCIACION[[#This Row],[PRESTAMO]])</f>
        <v>-60069154</v>
      </c>
      <c r="G124" s="11"/>
      <c r="H124" s="11"/>
      <c r="I124" s="7">
        <f>+IF(FINANCIACION[[#This Row],[$ CAPITAL]]&gt;0,FINANCIACION[[#This Row],[$ CAPITAL]])</f>
        <v>260000</v>
      </c>
      <c r="J124" s="49">
        <f>+IF(FINANCIACION[[#This Row],[$ CAPITAL]]&gt;=0,FINANCIACION[[#This Row],[$ CAPITAL]]+FINANCIACION[[#This Row],[$ INTERESES]],0)</f>
        <v>1000000</v>
      </c>
    </row>
    <row r="125" spans="1:10" ht="24" hidden="1" customHeight="1" x14ac:dyDescent="0.25">
      <c r="A125" s="10">
        <v>43666</v>
      </c>
      <c r="B125" s="85" t="s">
        <v>447</v>
      </c>
      <c r="C125" s="7">
        <v>260000</v>
      </c>
      <c r="D125" s="7">
        <v>740000</v>
      </c>
      <c r="E125" s="7">
        <f>+IF(FINANCIACION[[#This Row],[$ CAPITAL]]&gt;=0,FINANCIACION[[#This Row],[$ CAPITAL]]+FINANCIACION[[#This Row],[$ INTERESES]],"")</f>
        <v>1000000</v>
      </c>
      <c r="F125" s="7">
        <f>+SUMIFS(FINANCIACION[$ CAPITAL],FINANCIACION[Fecha],"&lt;="&amp;FINANCIACION[[#This Row],[Fecha]],FINANCIACION[PRESTAMO],FINANCIACION[[#This Row],[PRESTAMO]])</f>
        <v>-59809154</v>
      </c>
      <c r="G125" s="11"/>
      <c r="H125" s="11"/>
      <c r="I125" s="7">
        <f>+IF(FINANCIACION[[#This Row],[$ CAPITAL]]&gt;0,FINANCIACION[[#This Row],[$ CAPITAL]])</f>
        <v>260000</v>
      </c>
      <c r="J125" s="49">
        <f>+IF(FINANCIACION[[#This Row],[$ CAPITAL]]&gt;=0,FINANCIACION[[#This Row],[$ CAPITAL]]+FINANCIACION[[#This Row],[$ INTERESES]],0)</f>
        <v>1000000</v>
      </c>
    </row>
    <row r="126" spans="1:10" ht="24" hidden="1" customHeight="1" x14ac:dyDescent="0.25">
      <c r="A126" s="10">
        <v>43697</v>
      </c>
      <c r="B126" s="85" t="s">
        <v>447</v>
      </c>
      <c r="C126" s="7">
        <v>260000</v>
      </c>
      <c r="D126" s="7">
        <v>740000</v>
      </c>
      <c r="E126" s="7">
        <f>+IF(FINANCIACION[[#This Row],[$ CAPITAL]]&gt;=0,FINANCIACION[[#This Row],[$ CAPITAL]]+FINANCIACION[[#This Row],[$ INTERESES]],"")</f>
        <v>1000000</v>
      </c>
      <c r="F126" s="7">
        <f>+SUMIFS(FINANCIACION[$ CAPITAL],FINANCIACION[Fecha],"&lt;="&amp;FINANCIACION[[#This Row],[Fecha]],FINANCIACION[PRESTAMO],FINANCIACION[[#This Row],[PRESTAMO]])</f>
        <v>-59549154</v>
      </c>
      <c r="G126" s="11"/>
      <c r="H126" s="11"/>
      <c r="I126" s="7">
        <f>+IF(FINANCIACION[[#This Row],[$ CAPITAL]]&gt;0,FINANCIACION[[#This Row],[$ CAPITAL]])</f>
        <v>260000</v>
      </c>
      <c r="J126" s="49">
        <f>+IF(FINANCIACION[[#This Row],[$ CAPITAL]]&gt;=0,FINANCIACION[[#This Row],[$ CAPITAL]]+FINANCIACION[[#This Row],[$ INTERESES]],0)</f>
        <v>1000000</v>
      </c>
    </row>
    <row r="127" spans="1:10" ht="24" hidden="1" customHeight="1" x14ac:dyDescent="0.25">
      <c r="A127" s="10">
        <v>43728</v>
      </c>
      <c r="B127" s="85" t="s">
        <v>447</v>
      </c>
      <c r="C127" s="7">
        <v>260000</v>
      </c>
      <c r="D127" s="7">
        <v>740000</v>
      </c>
      <c r="E127" s="7">
        <f>+IF(FINANCIACION[[#This Row],[$ CAPITAL]]&gt;=0,FINANCIACION[[#This Row],[$ CAPITAL]]+FINANCIACION[[#This Row],[$ INTERESES]],"")</f>
        <v>1000000</v>
      </c>
      <c r="F127" s="7">
        <f>+SUMIFS(FINANCIACION[$ CAPITAL],FINANCIACION[Fecha],"&lt;="&amp;FINANCIACION[[#This Row],[Fecha]],FINANCIACION[PRESTAMO],FINANCIACION[[#This Row],[PRESTAMO]])</f>
        <v>-59289154</v>
      </c>
      <c r="G127" s="11"/>
      <c r="H127" s="11"/>
      <c r="I127" s="7">
        <f>+IF(FINANCIACION[[#This Row],[$ CAPITAL]]&gt;0,FINANCIACION[[#This Row],[$ CAPITAL]])</f>
        <v>260000</v>
      </c>
      <c r="J127" s="49">
        <f>+IF(FINANCIACION[[#This Row],[$ CAPITAL]]&gt;=0,FINANCIACION[[#This Row],[$ CAPITAL]]+FINANCIACION[[#This Row],[$ INTERESES]],0)</f>
        <v>1000000</v>
      </c>
    </row>
    <row r="128" spans="1:10" ht="24" hidden="1" customHeight="1" x14ac:dyDescent="0.25">
      <c r="A128" s="10">
        <v>43759</v>
      </c>
      <c r="B128" s="85" t="s">
        <v>447</v>
      </c>
      <c r="C128" s="7">
        <v>260000</v>
      </c>
      <c r="D128" s="7">
        <v>740000</v>
      </c>
      <c r="E128" s="7">
        <f>+IF(FINANCIACION[[#This Row],[$ CAPITAL]]&gt;=0,FINANCIACION[[#This Row],[$ CAPITAL]]+FINANCIACION[[#This Row],[$ INTERESES]],"")</f>
        <v>1000000</v>
      </c>
      <c r="F128" s="7">
        <f>+SUMIFS(FINANCIACION[$ CAPITAL],FINANCIACION[Fecha],"&lt;="&amp;FINANCIACION[[#This Row],[Fecha]],FINANCIACION[PRESTAMO],FINANCIACION[[#This Row],[PRESTAMO]])</f>
        <v>-59029154</v>
      </c>
      <c r="G128" s="11"/>
      <c r="H128" s="11"/>
      <c r="I128" s="7">
        <f>+IF(FINANCIACION[[#This Row],[$ CAPITAL]]&gt;0,FINANCIACION[[#This Row],[$ CAPITAL]])</f>
        <v>260000</v>
      </c>
      <c r="J128" s="49">
        <f>+IF(FINANCIACION[[#This Row],[$ CAPITAL]]&gt;=0,FINANCIACION[[#This Row],[$ CAPITAL]]+FINANCIACION[[#This Row],[$ INTERESES]],0)</f>
        <v>1000000</v>
      </c>
    </row>
    <row r="129" spans="1:10" ht="24" hidden="1" customHeight="1" x14ac:dyDescent="0.25">
      <c r="A129" s="10">
        <v>43789</v>
      </c>
      <c r="B129" s="85" t="s">
        <v>447</v>
      </c>
      <c r="C129" s="7">
        <v>260000</v>
      </c>
      <c r="D129" s="7">
        <v>740000</v>
      </c>
      <c r="E129" s="7">
        <f>+IF(FINANCIACION[[#This Row],[$ CAPITAL]]&gt;=0,FINANCIACION[[#This Row],[$ CAPITAL]]+FINANCIACION[[#This Row],[$ INTERESES]],"")</f>
        <v>1000000</v>
      </c>
      <c r="F129" s="7">
        <f>+SUMIFS(FINANCIACION[$ CAPITAL],FINANCIACION[Fecha],"&lt;="&amp;FINANCIACION[[#This Row],[Fecha]],FINANCIACION[PRESTAMO],FINANCIACION[[#This Row],[PRESTAMO]])</f>
        <v>-58769154</v>
      </c>
      <c r="G129" s="11"/>
      <c r="H129" s="11"/>
      <c r="I129" s="7">
        <f>+IF(FINANCIACION[[#This Row],[$ CAPITAL]]&gt;0,FINANCIACION[[#This Row],[$ CAPITAL]])</f>
        <v>260000</v>
      </c>
      <c r="J129" s="49">
        <f>+IF(FINANCIACION[[#This Row],[$ CAPITAL]]&gt;=0,FINANCIACION[[#This Row],[$ CAPITAL]]+FINANCIACION[[#This Row],[$ INTERESES]],0)</f>
        <v>1000000</v>
      </c>
    </row>
    <row r="130" spans="1:10" ht="24" hidden="1" customHeight="1" x14ac:dyDescent="0.25">
      <c r="A130" s="10">
        <v>43805</v>
      </c>
      <c r="B130" s="85" t="s">
        <v>447</v>
      </c>
      <c r="C130" s="7">
        <v>-9000000</v>
      </c>
      <c r="D130" s="7"/>
      <c r="E130" s="7" t="str">
        <f>+IF(FINANCIACION[[#This Row],[$ CAPITAL]]&gt;=0,FINANCIACION[[#This Row],[$ CAPITAL]]+FINANCIACION[[#This Row],[$ INTERESES]],"")</f>
        <v/>
      </c>
      <c r="F130" s="7">
        <f>+SUMIFS(FINANCIACION[$ CAPITAL],FINANCIACION[Fecha],"&lt;="&amp;FINANCIACION[[#This Row],[Fecha]],FINANCIACION[PRESTAMO],FINANCIACION[[#This Row],[PRESTAMO]])</f>
        <v>-67769154</v>
      </c>
      <c r="G130" s="11"/>
      <c r="H130" s="11"/>
      <c r="I130" s="7" t="b">
        <f>+IF(FINANCIACION[[#This Row],[$ CAPITAL]]&gt;0,FINANCIACION[[#This Row],[$ CAPITAL]])</f>
        <v>0</v>
      </c>
      <c r="J130" s="49">
        <f>+IF(FINANCIACION[[#This Row],[$ CAPITAL]]&gt;=0,FINANCIACION[[#This Row],[$ CAPITAL]]+FINANCIACION[[#This Row],[$ INTERESES]],0)</f>
        <v>0</v>
      </c>
    </row>
    <row r="131" spans="1:10" ht="24" hidden="1" customHeight="1" x14ac:dyDescent="0.25">
      <c r="A131" s="10">
        <v>43819</v>
      </c>
      <c r="B131" s="85" t="s">
        <v>447</v>
      </c>
      <c r="C131" s="7">
        <v>260000</v>
      </c>
      <c r="D131" s="7">
        <v>740000</v>
      </c>
      <c r="E131" s="7">
        <f>+IF(FINANCIACION[[#This Row],[$ CAPITAL]]&gt;=0,FINANCIACION[[#This Row],[$ CAPITAL]]+FINANCIACION[[#This Row],[$ INTERESES]],"")</f>
        <v>1000000</v>
      </c>
      <c r="F131" s="7">
        <f>+SUMIFS(FINANCIACION[$ CAPITAL],FINANCIACION[Fecha],"&lt;="&amp;FINANCIACION[[#This Row],[Fecha]],FINANCIACION[PRESTAMO],FINANCIACION[[#This Row],[PRESTAMO]])</f>
        <v>-67509154</v>
      </c>
      <c r="G131" s="11"/>
      <c r="H131" s="11"/>
      <c r="I131" s="7">
        <f>+IF(FINANCIACION[[#This Row],[$ CAPITAL]]&gt;0,FINANCIACION[[#This Row],[$ CAPITAL]])</f>
        <v>260000</v>
      </c>
      <c r="J131" s="49">
        <f>+IF(FINANCIACION[[#This Row],[$ CAPITAL]]&gt;=0,FINANCIACION[[#This Row],[$ CAPITAL]]+FINANCIACION[[#This Row],[$ INTERESES]],0)</f>
        <v>1000000</v>
      </c>
    </row>
    <row r="132" spans="1:10" ht="24" hidden="1" customHeight="1" x14ac:dyDescent="0.25">
      <c r="A132" s="10">
        <v>43844</v>
      </c>
      <c r="B132" s="85" t="s">
        <v>447</v>
      </c>
      <c r="C132" s="7">
        <v>310000</v>
      </c>
      <c r="D132" s="7">
        <v>90000</v>
      </c>
      <c r="E132" s="7">
        <f>+IF(FINANCIACION[[#This Row],[$ CAPITAL]]&gt;=0,FINANCIACION[[#This Row],[$ CAPITAL]]+FINANCIACION[[#This Row],[$ INTERESES]],"")</f>
        <v>400000</v>
      </c>
      <c r="F132" s="7">
        <f>+SUMIFS(FINANCIACION[$ CAPITAL],FINANCIACION[Fecha],"&lt;="&amp;FINANCIACION[[#This Row],[Fecha]],FINANCIACION[PRESTAMO],FINANCIACION[[#This Row],[PRESTAMO]])</f>
        <v>-67199154</v>
      </c>
      <c r="G132" s="11"/>
      <c r="H132" s="11"/>
      <c r="I132" s="7">
        <f>+IF(FINANCIACION[[#This Row],[$ CAPITAL]]&gt;0,FINANCIACION[[#This Row],[$ CAPITAL]])</f>
        <v>310000</v>
      </c>
      <c r="J132" s="49">
        <f>+IF(FINANCIACION[[#This Row],[$ CAPITAL]]&gt;=0,FINANCIACION[[#This Row],[$ CAPITAL]]+FINANCIACION[[#This Row],[$ INTERESES]],0)</f>
        <v>400000</v>
      </c>
    </row>
    <row r="133" spans="1:10" ht="24" hidden="1" customHeight="1" x14ac:dyDescent="0.25">
      <c r="A133" s="10">
        <v>43850</v>
      </c>
      <c r="B133" s="85" t="s">
        <v>447</v>
      </c>
      <c r="C133" s="7">
        <v>260000</v>
      </c>
      <c r="D133" s="7">
        <v>740000</v>
      </c>
      <c r="E133" s="7">
        <f>+IF(FINANCIACION[[#This Row],[$ CAPITAL]]&gt;=0,FINANCIACION[[#This Row],[$ CAPITAL]]+FINANCIACION[[#This Row],[$ INTERESES]],"")</f>
        <v>1000000</v>
      </c>
      <c r="F133" s="7">
        <f>+SUMIFS(FINANCIACION[$ CAPITAL],FINANCIACION[Fecha],"&lt;="&amp;FINANCIACION[[#This Row],[Fecha]],FINANCIACION[PRESTAMO],FINANCIACION[[#This Row],[PRESTAMO]])</f>
        <v>-66939154</v>
      </c>
      <c r="G133" s="11"/>
      <c r="H133" s="11"/>
      <c r="I133" s="7">
        <f>+IF(FINANCIACION[[#This Row],[$ CAPITAL]]&gt;0,FINANCIACION[[#This Row],[$ CAPITAL]])</f>
        <v>260000</v>
      </c>
      <c r="J133" s="49">
        <f>+IF(FINANCIACION[[#This Row],[$ CAPITAL]]&gt;=0,FINANCIACION[[#This Row],[$ CAPITAL]]+FINANCIACION[[#This Row],[$ INTERESES]],0)</f>
        <v>1000000</v>
      </c>
    </row>
    <row r="134" spans="1:10" ht="24" hidden="1" customHeight="1" x14ac:dyDescent="0.25">
      <c r="A134" s="10">
        <v>43881</v>
      </c>
      <c r="B134" s="85" t="s">
        <v>447</v>
      </c>
      <c r="C134" s="7">
        <v>260000</v>
      </c>
      <c r="D134" s="7">
        <v>740000</v>
      </c>
      <c r="E134" s="7">
        <f>+IF(FINANCIACION[[#This Row],[$ CAPITAL]]&gt;=0,FINANCIACION[[#This Row],[$ CAPITAL]]+FINANCIACION[[#This Row],[$ INTERESES]],"")</f>
        <v>1000000</v>
      </c>
      <c r="F134" s="7">
        <f>+SUMIFS(FINANCIACION[$ CAPITAL],FINANCIACION[Fecha],"&lt;="&amp;FINANCIACION[[#This Row],[Fecha]],FINANCIACION[PRESTAMO],FINANCIACION[[#This Row],[PRESTAMO]])</f>
        <v>-66369154</v>
      </c>
      <c r="G134" s="11"/>
      <c r="H134" s="11"/>
      <c r="I134" s="7">
        <f>+IF(FINANCIACION[[#This Row],[$ CAPITAL]]&gt;0,FINANCIACION[[#This Row],[$ CAPITAL]])</f>
        <v>260000</v>
      </c>
      <c r="J134" s="49">
        <f>+IF(FINANCIACION[[#This Row],[$ CAPITAL]]&gt;=0,FINANCIACION[[#This Row],[$ CAPITAL]]+FINANCIACION[[#This Row],[$ INTERESES]],0)</f>
        <v>1000000</v>
      </c>
    </row>
    <row r="135" spans="1:10" ht="24" hidden="1" customHeight="1" x14ac:dyDescent="0.25">
      <c r="A135" s="10">
        <v>43881</v>
      </c>
      <c r="B135" s="85" t="s">
        <v>447</v>
      </c>
      <c r="C135" s="7">
        <v>310000</v>
      </c>
      <c r="D135" s="7">
        <v>86900</v>
      </c>
      <c r="E135" s="7">
        <f>+IF(FINANCIACION[[#This Row],[$ CAPITAL]]&gt;=0,FINANCIACION[[#This Row],[$ CAPITAL]]+FINANCIACION[[#This Row],[$ INTERESES]],"")</f>
        <v>396900</v>
      </c>
      <c r="F135" s="7">
        <f>+SUMIFS(FINANCIACION[$ CAPITAL],FINANCIACION[Fecha],"&lt;="&amp;FINANCIACION[[#This Row],[Fecha]],FINANCIACION[PRESTAMO],FINANCIACION[[#This Row],[PRESTAMO]])</f>
        <v>-66369154</v>
      </c>
      <c r="G135" s="11"/>
      <c r="H135" s="11"/>
      <c r="I135" s="7">
        <f>+IF(FINANCIACION[[#This Row],[$ CAPITAL]]&gt;0,FINANCIACION[[#This Row],[$ CAPITAL]])</f>
        <v>310000</v>
      </c>
      <c r="J135" s="49">
        <f>+IF(FINANCIACION[[#This Row],[$ CAPITAL]]&gt;=0,FINANCIACION[[#This Row],[$ CAPITAL]]+FINANCIACION[[#This Row],[$ INTERESES]],0)</f>
        <v>396900</v>
      </c>
    </row>
    <row r="136" spans="1:10" ht="24" hidden="1" customHeight="1" x14ac:dyDescent="0.25">
      <c r="A136" s="10">
        <v>43890</v>
      </c>
      <c r="B136" s="85" t="s">
        <v>447</v>
      </c>
      <c r="C136" s="7">
        <v>-829906</v>
      </c>
      <c r="D136" s="7"/>
      <c r="E136" s="7" t="str">
        <f>+IF(FINANCIACION[[#This Row],[$ CAPITAL]]&gt;=0,FINANCIACION[[#This Row],[$ CAPITAL]]+FINANCIACION[[#This Row],[$ INTERESES]],"")</f>
        <v/>
      </c>
      <c r="F136" s="7">
        <f>+SUMIFS(FINANCIACION[$ CAPITAL],FINANCIACION[Fecha],"&lt;="&amp;FINANCIACION[[#This Row],[Fecha]],FINANCIACION[PRESTAMO],FINANCIACION[[#This Row],[PRESTAMO]])</f>
        <v>-67199060</v>
      </c>
      <c r="G136" s="11"/>
      <c r="H136" s="11"/>
      <c r="I136" s="7" t="b">
        <f>+IF(FINANCIACION[[#This Row],[$ CAPITAL]]&gt;0,FINANCIACION[[#This Row],[$ CAPITAL]])</f>
        <v>0</v>
      </c>
      <c r="J136" s="49">
        <f>+IF(FINANCIACION[[#This Row],[$ CAPITAL]]&gt;=0,FINANCIACION[[#This Row],[$ CAPITAL]]+FINANCIACION[[#This Row],[$ INTERESES]],0)</f>
        <v>0</v>
      </c>
    </row>
    <row r="137" spans="1:10" ht="24" hidden="1" customHeight="1" x14ac:dyDescent="0.25">
      <c r="A137" s="10">
        <v>44000</v>
      </c>
      <c r="B137" s="85" t="s">
        <v>447</v>
      </c>
      <c r="C137" s="7">
        <v>260000</v>
      </c>
      <c r="D137" s="7">
        <v>740000</v>
      </c>
      <c r="E137" s="7">
        <f>+IF(FINANCIACION[[#This Row],[$ CAPITAL]]&gt;=0,FINANCIACION[[#This Row],[$ CAPITAL]]+FINANCIACION[[#This Row],[$ INTERESES]],"")</f>
        <v>1000000</v>
      </c>
      <c r="F137" s="7">
        <f>+SUMIFS(FINANCIACION[$ CAPITAL],FINANCIACION[Fecha],"&lt;="&amp;FINANCIACION[[#This Row],[Fecha]],FINANCIACION[PRESTAMO],FINANCIACION[[#This Row],[PRESTAMO]])</f>
        <v>-66939060</v>
      </c>
      <c r="G137" s="11"/>
      <c r="H137" s="11"/>
      <c r="I137" s="7">
        <f>+IF(FINANCIACION[[#This Row],[$ CAPITAL]]&gt;0,FINANCIACION[[#This Row],[$ CAPITAL]])</f>
        <v>260000</v>
      </c>
      <c r="J137" s="49">
        <f>+IF(FINANCIACION[[#This Row],[$ CAPITAL]]&gt;=0,FINANCIACION[[#This Row],[$ CAPITAL]]+FINANCIACION[[#This Row],[$ INTERESES]],0)</f>
        <v>1000000</v>
      </c>
    </row>
    <row r="138" spans="1:10" ht="24" hidden="1" customHeight="1" x14ac:dyDescent="0.25">
      <c r="A138" s="10">
        <v>44041</v>
      </c>
      <c r="B138" s="85" t="s">
        <v>447</v>
      </c>
      <c r="C138" s="7">
        <v>360000</v>
      </c>
      <c r="D138" s="7">
        <v>740000</v>
      </c>
      <c r="E138" s="7">
        <f>+IF(FINANCIACION[[#This Row],[$ CAPITAL]]&gt;=0,FINANCIACION[[#This Row],[$ CAPITAL]]+FINANCIACION[[#This Row],[$ INTERESES]],"")</f>
        <v>1100000</v>
      </c>
      <c r="F138" s="7">
        <f>+SUMIFS(FINANCIACION[$ CAPITAL],FINANCIACION[Fecha],"&lt;="&amp;FINANCIACION[[#This Row],[Fecha]],FINANCIACION[PRESTAMO],FINANCIACION[[#This Row],[PRESTAMO]])</f>
        <v>-66579060</v>
      </c>
      <c r="G138" s="11"/>
      <c r="H138" s="11"/>
      <c r="I138" s="7">
        <f>+IF(FINANCIACION[[#This Row],[$ CAPITAL]]&gt;0,FINANCIACION[[#This Row],[$ CAPITAL]])</f>
        <v>360000</v>
      </c>
      <c r="J138" s="49">
        <f>+IF(FINANCIACION[[#This Row],[$ CAPITAL]]&gt;=0,FINANCIACION[[#This Row],[$ CAPITAL]]+FINANCIACION[[#This Row],[$ INTERESES]],0)</f>
        <v>1100000</v>
      </c>
    </row>
    <row r="139" spans="1:10" ht="24" hidden="1" customHeight="1" x14ac:dyDescent="0.25">
      <c r="A139" s="10">
        <v>44078</v>
      </c>
      <c r="B139" s="85" t="s">
        <v>447</v>
      </c>
      <c r="C139" s="7">
        <v>334200</v>
      </c>
      <c r="D139" s="7">
        <v>665800</v>
      </c>
      <c r="E139" s="7">
        <f>+IF(FINANCIACION[[#This Row],[$ CAPITAL]]&gt;=0,FINANCIACION[[#This Row],[$ CAPITAL]]+FINANCIACION[[#This Row],[$ INTERESES]],"")</f>
        <v>1000000</v>
      </c>
      <c r="F139" s="7">
        <f>+SUMIFS(FINANCIACION[$ CAPITAL],FINANCIACION[Fecha],"&lt;="&amp;FINANCIACION[[#This Row],[Fecha]],FINANCIACION[PRESTAMO],FINANCIACION[[#This Row],[PRESTAMO]])</f>
        <v>-66244860</v>
      </c>
      <c r="G139" s="11"/>
      <c r="H139" s="11"/>
      <c r="I139" s="7">
        <f>+IF(FINANCIACION[[#This Row],[$ CAPITAL]]&gt;0,FINANCIACION[[#This Row],[$ CAPITAL]])</f>
        <v>334200</v>
      </c>
      <c r="J139" s="49">
        <f>+IF(FINANCIACION[[#This Row],[$ CAPITAL]]&gt;=0,FINANCIACION[[#This Row],[$ CAPITAL]]+FINANCIACION[[#This Row],[$ INTERESES]],0)</f>
        <v>1000000</v>
      </c>
    </row>
    <row r="140" spans="1:10" ht="24" hidden="1" customHeight="1" x14ac:dyDescent="0.25">
      <c r="A140" s="10">
        <v>44106</v>
      </c>
      <c r="B140" s="85" t="s">
        <v>447</v>
      </c>
      <c r="C140" s="7">
        <v>537550</v>
      </c>
      <c r="D140" s="7">
        <v>662450</v>
      </c>
      <c r="E140" s="7">
        <f>+IF(FINANCIACION[[#This Row],[$ CAPITAL]]&gt;=0,FINANCIACION[[#This Row],[$ CAPITAL]]+FINANCIACION[[#This Row],[$ INTERESES]],"")</f>
        <v>1200000</v>
      </c>
      <c r="F140" s="7">
        <f>+SUMIFS(FINANCIACION[$ CAPITAL],FINANCIACION[Fecha],"&lt;="&amp;FINANCIACION[[#This Row],[Fecha]],FINANCIACION[PRESTAMO],FINANCIACION[[#This Row],[PRESTAMO]])</f>
        <v>-65707310</v>
      </c>
      <c r="G140" s="11"/>
      <c r="H140" s="11"/>
      <c r="I140" s="7">
        <f>+IF(FINANCIACION[[#This Row],[$ CAPITAL]]&gt;0,FINANCIACION[[#This Row],[$ CAPITAL]])</f>
        <v>537550</v>
      </c>
      <c r="J140" s="49">
        <f>+IF(FINANCIACION[[#This Row],[$ CAPITAL]]&gt;=0,FINANCIACION[[#This Row],[$ CAPITAL]]+FINANCIACION[[#This Row],[$ INTERESES]],0)</f>
        <v>1200000</v>
      </c>
    </row>
    <row r="141" spans="1:10" ht="24" hidden="1" customHeight="1" x14ac:dyDescent="0.25">
      <c r="A141" s="10">
        <v>44142</v>
      </c>
      <c r="B141" s="85" t="s">
        <v>447</v>
      </c>
      <c r="C141" s="7">
        <v>542926.9</v>
      </c>
      <c r="D141" s="7">
        <v>657073.1</v>
      </c>
      <c r="E141" s="7">
        <f>+IF(FINANCIACION[[#This Row],[$ CAPITAL]]&gt;=0,FINANCIACION[[#This Row],[$ CAPITAL]]+FINANCIACION[[#This Row],[$ INTERESES]],"")</f>
        <v>1200000</v>
      </c>
      <c r="F141" s="7">
        <f>+SUMIFS(FINANCIACION[$ CAPITAL],FINANCIACION[Fecha],"&lt;="&amp;FINANCIACION[[#This Row],[Fecha]],FINANCIACION[PRESTAMO],FINANCIACION[[#This Row],[PRESTAMO]])</f>
        <v>-65164383.100000001</v>
      </c>
      <c r="G141" s="11"/>
      <c r="H141" s="11"/>
      <c r="I141" s="7">
        <f>+IF(FINANCIACION[[#This Row],[$ CAPITAL]]&gt;0,FINANCIACION[[#This Row],[$ CAPITAL]])</f>
        <v>542926.9</v>
      </c>
      <c r="J141" s="49">
        <f>+IF(FINANCIACION[[#This Row],[$ CAPITAL]]&gt;=0,FINANCIACION[[#This Row],[$ CAPITAL]]+FINANCIACION[[#This Row],[$ INTERESES]],0)</f>
        <v>1200000</v>
      </c>
    </row>
    <row r="142" spans="1:10" ht="24" hidden="1" customHeight="1" x14ac:dyDescent="0.25">
      <c r="A142" s="10">
        <v>44175</v>
      </c>
      <c r="B142" s="85" t="s">
        <v>447</v>
      </c>
      <c r="C142" s="7">
        <v>548356.17000000004</v>
      </c>
      <c r="D142" s="7">
        <v>651643.82999999996</v>
      </c>
      <c r="E142" s="7">
        <f>+IF(FINANCIACION[[#This Row],[$ CAPITAL]]&gt;=0,FINANCIACION[[#This Row],[$ CAPITAL]]+FINANCIACION[[#This Row],[$ INTERESES]],"")</f>
        <v>1200000</v>
      </c>
      <c r="F142" s="7">
        <f>+SUMIFS(FINANCIACION[$ CAPITAL],FINANCIACION[Fecha],"&lt;="&amp;FINANCIACION[[#This Row],[Fecha]],FINANCIACION[PRESTAMO],FINANCIACION[[#This Row],[PRESTAMO]])</f>
        <v>-64616026.93</v>
      </c>
      <c r="G142" s="11"/>
      <c r="H142" s="11"/>
      <c r="I142" s="7">
        <f>+IF(FINANCIACION[[#This Row],[$ CAPITAL]]&gt;0,FINANCIACION[[#This Row],[$ CAPITAL]])</f>
        <v>548356.17000000004</v>
      </c>
      <c r="J142" s="49">
        <f>+IF(FINANCIACION[[#This Row],[$ CAPITAL]]&gt;=0,FINANCIACION[[#This Row],[$ CAPITAL]]+FINANCIACION[[#This Row],[$ INTERESES]],0)</f>
        <v>1200000</v>
      </c>
    </row>
    <row r="143" spans="1:10" ht="24" hidden="1" customHeight="1" x14ac:dyDescent="0.25">
      <c r="A143" s="10">
        <v>44196</v>
      </c>
      <c r="B143" s="85" t="s">
        <v>447</v>
      </c>
      <c r="C143" s="7">
        <v>-2349404.9287070036</v>
      </c>
      <c r="D143" s="7"/>
      <c r="E143" s="7" t="str">
        <f>+IF(FINANCIACION[[#This Row],[$ CAPITAL]]&gt;=0,FINANCIACION[[#This Row],[$ CAPITAL]]+FINANCIACION[[#This Row],[$ INTERESES]],"")</f>
        <v/>
      </c>
      <c r="F143" s="7">
        <f>+SUMIFS(FINANCIACION[$ CAPITAL],FINANCIACION[Fecha],"&lt;="&amp;FINANCIACION[[#This Row],[Fecha]],FINANCIACION[PRESTAMO],FINANCIACION[[#This Row],[PRESTAMO]])</f>
        <v>-66965431.858707003</v>
      </c>
      <c r="G143" s="11" t="s">
        <v>526</v>
      </c>
      <c r="H143" s="91"/>
      <c r="I143" s="7" t="b">
        <f>+IF(FINANCIACION[[#This Row],[$ CAPITAL]]&gt;0,FINANCIACION[[#This Row],[$ CAPITAL]])</f>
        <v>0</v>
      </c>
      <c r="J143" s="12">
        <f>+IF(FINANCIACION[[#This Row],[$ CAPITAL]]&gt;=0,FINANCIACION[[#This Row],[$ CAPITAL]]+FINANCIACION[[#This Row],[$ INTERESES]],0)</f>
        <v>0</v>
      </c>
    </row>
    <row r="144" spans="1:10" ht="24" hidden="1" customHeight="1" x14ac:dyDescent="0.25">
      <c r="A144" s="10">
        <v>44208</v>
      </c>
      <c r="B144" s="85" t="s">
        <v>447</v>
      </c>
      <c r="C144" s="7">
        <v>553839.73069999996</v>
      </c>
      <c r="D144" s="7">
        <v>646160.26930000004</v>
      </c>
      <c r="E144" s="7">
        <f>+IF(FINANCIACION[[#This Row],[$ CAPITAL]]&gt;=0,FINANCIACION[[#This Row],[$ CAPITAL]]+FINANCIACION[[#This Row],[$ INTERESES]],"")</f>
        <v>1200000</v>
      </c>
      <c r="F144" s="7">
        <f>+SUMIFS(FINANCIACION[$ CAPITAL],FINANCIACION[Fecha],"&lt;="&amp;FINANCIACION[[#This Row],[Fecha]],FINANCIACION[PRESTAMO],FINANCIACION[[#This Row],[PRESTAMO]])</f>
        <v>-66411592.128007002</v>
      </c>
      <c r="G144" s="11"/>
      <c r="H144" s="11"/>
      <c r="I144" s="7">
        <f>+IF(FINANCIACION[[#This Row],[$ CAPITAL]]&gt;0,FINANCIACION[[#This Row],[$ CAPITAL]])</f>
        <v>553839.73069999996</v>
      </c>
      <c r="J144" s="49">
        <f>+IF(FINANCIACION[[#This Row],[$ CAPITAL]]&gt;=0,FINANCIACION[[#This Row],[$ CAPITAL]]+FINANCIACION[[#This Row],[$ INTERESES]],0)</f>
        <v>1200000</v>
      </c>
    </row>
    <row r="145" spans="1:10" ht="24" hidden="1" customHeight="1" x14ac:dyDescent="0.25">
      <c r="A145" s="10">
        <v>44237</v>
      </c>
      <c r="B145" s="85" t="s">
        <v>447</v>
      </c>
      <c r="C145" s="7">
        <v>559378.12800699996</v>
      </c>
      <c r="D145" s="7">
        <v>640621.87199300004</v>
      </c>
      <c r="E145" s="7">
        <f>+IF(FINANCIACION[[#This Row],[$ CAPITAL]]&gt;=0,FINANCIACION[[#This Row],[$ CAPITAL]]+FINANCIACION[[#This Row],[$ INTERESES]],"")</f>
        <v>1200000</v>
      </c>
      <c r="F145" s="7">
        <f>+SUMIFS(FINANCIACION[$ CAPITAL],FINANCIACION[Fecha],"&lt;="&amp;FINANCIACION[[#This Row],[Fecha]],FINANCIACION[PRESTAMO],FINANCIACION[[#This Row],[PRESTAMO]])</f>
        <v>-65852214</v>
      </c>
      <c r="G145" s="91"/>
      <c r="H145" s="11"/>
      <c r="I145" s="7">
        <f>+IF(FINANCIACION[[#This Row],[$ CAPITAL]]&gt;0,FINANCIACION[[#This Row],[$ CAPITAL]])</f>
        <v>559378.12800699996</v>
      </c>
      <c r="J145" s="49">
        <f>+IF(FINANCIACION[[#This Row],[$ CAPITAL]]&gt;=0,FINANCIACION[[#This Row],[$ CAPITAL]]+FINANCIACION[[#This Row],[$ INTERESES]],0)</f>
        <v>1200000</v>
      </c>
    </row>
    <row r="146" spans="1:10" ht="24" hidden="1" customHeight="1" x14ac:dyDescent="0.25">
      <c r="A146" s="10">
        <v>44248</v>
      </c>
      <c r="B146" s="85" t="s">
        <v>447</v>
      </c>
      <c r="C146" s="7">
        <v>-8879000</v>
      </c>
      <c r="D146" s="7"/>
      <c r="E146" s="7" t="str">
        <f>+IF(FINANCIACION[[#This Row],[$ CAPITAL]]&gt;=0,FINANCIACION[[#This Row],[$ CAPITAL]]+FINANCIACION[[#This Row],[$ INTERESES]],"")</f>
        <v/>
      </c>
      <c r="F146" s="7">
        <f>+SUMIFS(FINANCIACION[$ CAPITAL],FINANCIACION[Fecha],"&lt;="&amp;FINANCIACION[[#This Row],[Fecha]],FINANCIACION[PRESTAMO],FINANCIACION[[#This Row],[PRESTAMO]])</f>
        <v>-74731214</v>
      </c>
      <c r="G146" s="11"/>
      <c r="H146" s="91"/>
      <c r="I146" s="7" t="b">
        <f>+IF(FINANCIACION[[#This Row],[$ CAPITAL]]&gt;0,FINANCIACION[[#This Row],[$ CAPITAL]])</f>
        <v>0</v>
      </c>
      <c r="J146" s="12">
        <f>+IF(FINANCIACION[[#This Row],[$ CAPITAL]]&gt;=0,FINANCIACION[[#This Row],[$ CAPITAL]]+FINANCIACION[[#This Row],[$ INTERESES]],0)</f>
        <v>0</v>
      </c>
    </row>
    <row r="147" spans="1:10" ht="24" hidden="1" customHeight="1" x14ac:dyDescent="0.25">
      <c r="A147" s="10">
        <v>44265</v>
      </c>
      <c r="B147" s="85" t="s">
        <v>447</v>
      </c>
      <c r="C147" s="7">
        <v>552687.86</v>
      </c>
      <c r="D147" s="7">
        <v>747312.14</v>
      </c>
      <c r="E147" s="7">
        <f>+IF(FINANCIACION[[#This Row],[$ CAPITAL]]&gt;=0,FINANCIACION[[#This Row],[$ CAPITAL]]+FINANCIACION[[#This Row],[$ INTERESES]],"")</f>
        <v>1300000</v>
      </c>
      <c r="F147" s="7">
        <f>+SUMIFS(FINANCIACION[$ CAPITAL],FINANCIACION[Fecha],"&lt;="&amp;FINANCIACION[[#This Row],[Fecha]],FINANCIACION[PRESTAMO],FINANCIACION[[#This Row],[PRESTAMO]])</f>
        <v>-74178526.140000001</v>
      </c>
      <c r="G147" s="11"/>
      <c r="H147" s="91"/>
      <c r="I147" s="7">
        <f>+IF(FINANCIACION[[#This Row],[$ CAPITAL]]&gt;0,FINANCIACION[[#This Row],[$ CAPITAL]])</f>
        <v>552687.86</v>
      </c>
      <c r="J147" s="12">
        <f>+IF(FINANCIACION[[#This Row],[$ CAPITAL]]&gt;=0,FINANCIACION[[#This Row],[$ CAPITAL]]+FINANCIACION[[#This Row],[$ INTERESES]],0)</f>
        <v>1300000</v>
      </c>
    </row>
    <row r="148" spans="1:10" ht="24" hidden="1" customHeight="1" x14ac:dyDescent="0.25">
      <c r="A148" s="10">
        <v>44340</v>
      </c>
      <c r="B148" s="85" t="s">
        <v>447</v>
      </c>
      <c r="C148" s="7">
        <f>1200000-FINANCIACION[[#This Row],[$ INTERESES]]</f>
        <v>458214.73859999992</v>
      </c>
      <c r="D148" s="7">
        <v>741785.26140000008</v>
      </c>
      <c r="E148" s="7">
        <f>+IF(FINANCIACION[[#This Row],[$ CAPITAL]]&gt;=0,FINANCIACION[[#This Row],[$ CAPITAL]]+FINANCIACION[[#This Row],[$ INTERESES]],"")</f>
        <v>1200000</v>
      </c>
      <c r="F148" s="7">
        <f>+SUMIFS(FINANCIACION[$ CAPITAL],FINANCIACION[Fecha],"&lt;="&amp;FINANCIACION[[#This Row],[Fecha]],FINANCIACION[PRESTAMO],FINANCIACION[[#This Row],[PRESTAMO]])</f>
        <v>-73720311.4014</v>
      </c>
      <c r="G148" s="91"/>
      <c r="H148" s="11"/>
      <c r="I148" s="7">
        <f>+IF(FINANCIACION[[#This Row],[$ CAPITAL]]&gt;0,FINANCIACION[[#This Row],[$ CAPITAL]])</f>
        <v>458214.73859999992</v>
      </c>
      <c r="J148" s="49">
        <f>+IF(FINANCIACION[[#This Row],[$ CAPITAL]]&gt;=0,FINANCIACION[[#This Row],[$ CAPITAL]]+FINANCIACION[[#This Row],[$ INTERESES]],0)</f>
        <v>1200000</v>
      </c>
    </row>
    <row r="149" spans="1:10" ht="24" hidden="1" customHeight="1" x14ac:dyDescent="0.25">
      <c r="A149" s="10">
        <v>44358</v>
      </c>
      <c r="B149" s="85" t="s">
        <v>447</v>
      </c>
      <c r="C149" s="7">
        <f>1200000-FINANCIACION[[#This Row],[$ INTERESES]]</f>
        <v>462796.88598599995</v>
      </c>
      <c r="D149" s="7">
        <v>737203.11401400005</v>
      </c>
      <c r="E149" s="7">
        <f>+IF(FINANCIACION[[#This Row],[$ CAPITAL]]&gt;=0,FINANCIACION[[#This Row],[$ CAPITAL]]+FINANCIACION[[#This Row],[$ INTERESES]],"")</f>
        <v>1200000</v>
      </c>
      <c r="F149" s="7">
        <f>+SUMIFS(FINANCIACION[$ CAPITAL],FINANCIACION[Fecha],"&lt;="&amp;FINANCIACION[[#This Row],[Fecha]],FINANCIACION[PRESTAMO],FINANCIACION[[#This Row],[PRESTAMO]])</f>
        <v>-73257514.515414</v>
      </c>
      <c r="G149" s="91"/>
      <c r="H149" s="11"/>
      <c r="I149" s="7">
        <f>+IF(FINANCIACION[[#This Row],[$ CAPITAL]]&gt;0,FINANCIACION[[#This Row],[$ CAPITAL]])</f>
        <v>462796.88598599995</v>
      </c>
      <c r="J149" s="49">
        <f>+IF(FINANCIACION[[#This Row],[$ CAPITAL]]&gt;=0,FINANCIACION[[#This Row],[$ CAPITAL]]+FINANCIACION[[#This Row],[$ INTERESES]],0)</f>
        <v>1200000</v>
      </c>
    </row>
    <row r="150" spans="1:10" ht="24" hidden="1" customHeight="1" x14ac:dyDescent="0.25">
      <c r="A150" s="10">
        <v>44362</v>
      </c>
      <c r="B150" s="85" t="s">
        <v>447</v>
      </c>
      <c r="C150" s="7">
        <v>-3000000</v>
      </c>
      <c r="D150" s="7"/>
      <c r="E150" s="7" t="str">
        <f>+IF(FINANCIACION[[#This Row],[$ CAPITAL]]&gt;=0,FINANCIACION[[#This Row],[$ CAPITAL]]+FINANCIACION[[#This Row],[$ INTERESES]],"")</f>
        <v/>
      </c>
      <c r="F150" s="7">
        <f>+SUMIFS(FINANCIACION[$ CAPITAL],FINANCIACION[Fecha],"&lt;="&amp;FINANCIACION[[#This Row],[Fecha]],FINANCIACION[PRESTAMO],FINANCIACION[[#This Row],[PRESTAMO]])</f>
        <v>-76257514.515414</v>
      </c>
      <c r="G150" s="91" t="s">
        <v>748</v>
      </c>
      <c r="H150" s="11"/>
      <c r="I150" s="7" t="b">
        <f>+IF(FINANCIACION[[#This Row],[$ CAPITAL]]&gt;0,FINANCIACION[[#This Row],[$ CAPITAL]])</f>
        <v>0</v>
      </c>
      <c r="J150" s="49">
        <f>+IF(FINANCIACION[[#This Row],[$ CAPITAL]]&gt;=0,FINANCIACION[[#This Row],[$ CAPITAL]]+FINANCIACION[[#This Row],[$ INTERESES]],0)</f>
        <v>0</v>
      </c>
    </row>
    <row r="151" spans="1:10" ht="24" hidden="1" customHeight="1" x14ac:dyDescent="0.25">
      <c r="A151" s="10">
        <v>44389</v>
      </c>
      <c r="B151" s="85" t="s">
        <v>447</v>
      </c>
      <c r="C151" s="7">
        <v>3000000</v>
      </c>
      <c r="D151" s="7"/>
      <c r="E151" s="7">
        <f>+IF(FINANCIACION[[#This Row],[$ CAPITAL]]&gt;=0,FINANCIACION[[#This Row],[$ CAPITAL]]+FINANCIACION[[#This Row],[$ INTERESES]],"")</f>
        <v>3000000</v>
      </c>
      <c r="F151" s="7">
        <f>+SUMIFS(FINANCIACION[$ CAPITAL],FINANCIACION[Fecha],"&lt;="&amp;FINANCIACION[[#This Row],[Fecha]],FINANCIACION[PRESTAMO],FINANCIACION[[#This Row],[PRESTAMO]])</f>
        <v>-73257514.515414</v>
      </c>
      <c r="G151" s="91"/>
      <c r="H151" s="11"/>
      <c r="I151" s="7">
        <f>+IF(FINANCIACION[[#This Row],[$ CAPITAL]]&gt;0,FINANCIACION[[#This Row],[$ CAPITAL]])</f>
        <v>3000000</v>
      </c>
      <c r="J151" s="49">
        <f>+IF(FINANCIACION[[#This Row],[$ CAPITAL]]&gt;=0,FINANCIACION[[#This Row],[$ CAPITAL]]+FINANCIACION[[#This Row],[$ INTERESES]],0)</f>
        <v>3000000</v>
      </c>
    </row>
    <row r="152" spans="1:10" ht="24" hidden="1" customHeight="1" x14ac:dyDescent="0.25">
      <c r="A152" s="10">
        <v>44390</v>
      </c>
      <c r="B152" s="85" t="s">
        <v>447</v>
      </c>
      <c r="C152" s="7">
        <v>467424.85484586004</v>
      </c>
      <c r="D152" s="7">
        <v>732575.14515413996</v>
      </c>
      <c r="E152" s="7">
        <f>+IF(FINANCIACION[[#This Row],[$ CAPITAL]]&gt;=0,FINANCIACION[[#This Row],[$ CAPITAL]]+FINANCIACION[[#This Row],[$ INTERESES]],"")</f>
        <v>1200000</v>
      </c>
      <c r="F152" s="7">
        <f>+SUMIFS(FINANCIACION[$ CAPITAL],FINANCIACION[Fecha],"&lt;="&amp;FINANCIACION[[#This Row],[Fecha]],FINANCIACION[PRESTAMO],FINANCIACION[[#This Row],[PRESTAMO]])</f>
        <v>-72790089.660568133</v>
      </c>
      <c r="G152" s="91"/>
      <c r="H152" s="11"/>
      <c r="I152" s="7">
        <f>+IF(FINANCIACION[[#This Row],[$ CAPITAL]]&gt;0,FINANCIACION[[#This Row],[$ CAPITAL]])</f>
        <v>467424.85484586004</v>
      </c>
      <c r="J152" s="49">
        <f>+IF(FINANCIACION[[#This Row],[$ CAPITAL]]&gt;=0,FINANCIACION[[#This Row],[$ CAPITAL]]+FINANCIACION[[#This Row],[$ INTERESES]],0)</f>
        <v>1200000</v>
      </c>
    </row>
    <row r="153" spans="1:10" ht="24" hidden="1" customHeight="1" x14ac:dyDescent="0.25">
      <c r="A153" s="10">
        <v>44425</v>
      </c>
      <c r="B153" s="85" t="s">
        <v>447</v>
      </c>
      <c r="C153" s="7">
        <v>472099.1033943186</v>
      </c>
      <c r="D153" s="7">
        <v>727900.8966056814</v>
      </c>
      <c r="E153" s="7">
        <f>+IF(FINANCIACION[[#This Row],[$ CAPITAL]]&gt;=0,FINANCIACION[[#This Row],[$ CAPITAL]]+FINANCIACION[[#This Row],[$ INTERESES]],"")</f>
        <v>1200000</v>
      </c>
      <c r="F153" s="7">
        <f>+SUMIFS(FINANCIACION[$ CAPITAL],FINANCIACION[Fecha],"&lt;="&amp;FINANCIACION[[#This Row],[Fecha]],FINANCIACION[PRESTAMO],FINANCIACION[[#This Row],[PRESTAMO]])</f>
        <v>-72317990.557173818</v>
      </c>
      <c r="G153" s="91"/>
      <c r="H153" s="11"/>
      <c r="I153" s="7">
        <f>+IF(FINANCIACION[[#This Row],[$ CAPITAL]]&gt;0,FINANCIACION[[#This Row],[$ CAPITAL]])</f>
        <v>472099.1033943186</v>
      </c>
      <c r="J153" s="49">
        <f>+IF(FINANCIACION[[#This Row],[$ CAPITAL]]&gt;=0,FINANCIACION[[#This Row],[$ CAPITAL]]+FINANCIACION[[#This Row],[$ INTERESES]],0)</f>
        <v>1200000</v>
      </c>
    </row>
    <row r="154" spans="1:10" ht="24" hidden="1" customHeight="1" x14ac:dyDescent="0.25">
      <c r="A154" s="10">
        <v>44450</v>
      </c>
      <c r="B154" s="85" t="s">
        <v>447</v>
      </c>
      <c r="C154" s="7">
        <v>476820.09442826186</v>
      </c>
      <c r="D154" s="7">
        <v>723179.90557173814</v>
      </c>
      <c r="E154" s="7">
        <f>+IF(FINANCIACION[[#This Row],[$ CAPITAL]]&gt;=0,FINANCIACION[[#This Row],[$ CAPITAL]]+FINANCIACION[[#This Row],[$ INTERESES]],"")</f>
        <v>1200000</v>
      </c>
      <c r="F154" s="7">
        <f>+SUMIFS(FINANCIACION[$ CAPITAL],FINANCIACION[Fecha],"&lt;="&amp;FINANCIACION[[#This Row],[Fecha]],FINANCIACION[PRESTAMO],FINANCIACION[[#This Row],[PRESTAMO]])</f>
        <v>-71841170.462745562</v>
      </c>
      <c r="G154" s="91"/>
      <c r="H154" s="11"/>
      <c r="I154" s="7">
        <f>+IF(FINANCIACION[[#This Row],[$ CAPITAL]]&gt;0,FINANCIACION[[#This Row],[$ CAPITAL]])</f>
        <v>476820.09442826186</v>
      </c>
      <c r="J154" s="49">
        <f>+IF(FINANCIACION[[#This Row],[$ CAPITAL]]&gt;=0,FINANCIACION[[#This Row],[$ CAPITAL]]+FINANCIACION[[#This Row],[$ INTERESES]],0)</f>
        <v>1200000</v>
      </c>
    </row>
    <row r="155" spans="1:10" ht="24" hidden="1" customHeight="1" x14ac:dyDescent="0.25">
      <c r="A155" s="10">
        <v>44480</v>
      </c>
      <c r="B155" s="85" t="s">
        <v>447</v>
      </c>
      <c r="C155" s="7">
        <v>481588.29537254432</v>
      </c>
      <c r="D155" s="7">
        <v>718411.70462745568</v>
      </c>
      <c r="E155" s="7">
        <f>+IF(FINANCIACION[[#This Row],[$ CAPITAL]]&gt;=0,FINANCIACION[[#This Row],[$ CAPITAL]]+FINANCIACION[[#This Row],[$ INTERESES]],"")</f>
        <v>1200000</v>
      </c>
      <c r="F155" s="7">
        <f>+SUMIFS(FINANCIACION[$ CAPITAL],FINANCIACION[Fecha],"&lt;="&amp;FINANCIACION[[#This Row],[Fecha]],FINANCIACION[PRESTAMO],FINANCIACION[[#This Row],[PRESTAMO]])</f>
        <v>-71359582.167373016</v>
      </c>
      <c r="G155" s="91"/>
      <c r="H155" s="11"/>
      <c r="I155" s="7">
        <f>+IF(FINANCIACION[[#This Row],[$ CAPITAL]]&gt;0,FINANCIACION[[#This Row],[$ CAPITAL]])</f>
        <v>481588.29537254432</v>
      </c>
      <c r="J155" s="49">
        <f>+IF(FINANCIACION[[#This Row],[$ CAPITAL]]&gt;=0,FINANCIACION[[#This Row],[$ CAPITAL]]+FINANCIACION[[#This Row],[$ INTERESES]],0)</f>
        <v>1200000</v>
      </c>
    </row>
    <row r="156" spans="1:10" ht="24" hidden="1" customHeight="1" x14ac:dyDescent="0.25">
      <c r="A156" s="10">
        <v>44510</v>
      </c>
      <c r="B156" s="85" t="s">
        <v>447</v>
      </c>
      <c r="C156" s="7">
        <f>+E121-FINANCIACION[[#This Row],[$ INTERESES]]</f>
        <v>391508.45999999996</v>
      </c>
      <c r="D156" s="7">
        <f>+F121*-0.01</f>
        <v>608491.54</v>
      </c>
      <c r="E156" s="7">
        <f>+IF(FINANCIACION[[#This Row],[$ CAPITAL]]&gt;=0,FINANCIACION[[#This Row],[$ CAPITAL]]+FINANCIACION[[#This Row],[$ INTERESES]],"")</f>
        <v>1000000</v>
      </c>
      <c r="F156" s="7">
        <f>+SUMIFS(FINANCIACION[$ CAPITAL],FINANCIACION[Fecha],"&lt;="&amp;FINANCIACION[[#This Row],[Fecha]],FINANCIACION[PRESTAMO],FINANCIACION[[#This Row],[PRESTAMO]])</f>
        <v>-70968073.707373023</v>
      </c>
      <c r="G156" s="91"/>
      <c r="H156" s="11"/>
      <c r="I156" s="7">
        <f>+IF(FINANCIACION[[#This Row],[$ CAPITAL]]&gt;0,FINANCIACION[[#This Row],[$ CAPITAL]])</f>
        <v>391508.45999999996</v>
      </c>
      <c r="J156" s="49">
        <f>+IF(FINANCIACION[[#This Row],[$ CAPITAL]]&gt;=0,FINANCIACION[[#This Row],[$ CAPITAL]]+FINANCIACION[[#This Row],[$ INTERESES]],0)</f>
        <v>1000000</v>
      </c>
    </row>
    <row r="157" spans="1:10" ht="24" hidden="1" customHeight="1" x14ac:dyDescent="0.25">
      <c r="A157" s="10">
        <v>44539</v>
      </c>
      <c r="B157" s="85" t="s">
        <v>447</v>
      </c>
      <c r="C157" s="7">
        <v>491268.22010953247</v>
      </c>
      <c r="D157" s="7">
        <v>708731.77989046753</v>
      </c>
      <c r="E157" s="7">
        <f>+IF(FINANCIACION[[#This Row],[$ CAPITAL]]&gt;=0,FINANCIACION[[#This Row],[$ CAPITAL]]+FINANCIACION[[#This Row],[$ INTERESES]],"")</f>
        <v>1200000</v>
      </c>
      <c r="F157" s="7">
        <f>+SUMIFS(FINANCIACION[$ CAPITAL],FINANCIACION[Fecha],"&lt;="&amp;FINANCIACION[[#This Row],[Fecha]],FINANCIACION[PRESTAMO],FINANCIACION[[#This Row],[PRESTAMO]])</f>
        <v>-70476805.487263486</v>
      </c>
      <c r="G157" s="91"/>
      <c r="H157" s="11"/>
      <c r="I157" s="7">
        <f>+IF(FINANCIACION[[#This Row],[$ CAPITAL]]&gt;0,FINANCIACION[[#This Row],[$ CAPITAL]])</f>
        <v>491268.22010953247</v>
      </c>
      <c r="J157" s="49">
        <f>+IF(FINANCIACION[[#This Row],[$ CAPITAL]]&gt;=0,FINANCIACION[[#This Row],[$ CAPITAL]]+FINANCIACION[[#This Row],[$ INTERESES]],0)</f>
        <v>1200000</v>
      </c>
    </row>
    <row r="158" spans="1:10" ht="24" hidden="1" customHeight="1" x14ac:dyDescent="0.25">
      <c r="A158" s="10">
        <v>42895</v>
      </c>
      <c r="B158" s="85" t="s">
        <v>448</v>
      </c>
      <c r="C158" s="7">
        <v>-20000000</v>
      </c>
      <c r="D158" s="7"/>
      <c r="E158" s="7" t="str">
        <f>+IF(FINANCIACION[[#This Row],[$ CAPITAL]]&gt;=0,FINANCIACION[[#This Row],[$ CAPITAL]]+FINANCIACION[[#This Row],[$ INTERESES]],"")</f>
        <v/>
      </c>
      <c r="F158" s="7">
        <f>+SUMIFS(FINANCIACION[$ CAPITAL],FINANCIACION[Fecha],"&lt;="&amp;FINANCIACION[[#This Row],[Fecha]],FINANCIACION[PRESTAMO],FINANCIACION[[#This Row],[PRESTAMO]])</f>
        <v>-20000000</v>
      </c>
      <c r="G158" s="11"/>
      <c r="H158" s="11"/>
      <c r="I158" s="7" t="b">
        <f>+IF(FINANCIACION[[#This Row],[$ CAPITAL]]&gt;0,FINANCIACION[[#This Row],[$ CAPITAL]])</f>
        <v>0</v>
      </c>
      <c r="J158" s="49">
        <f>+IF(FINANCIACION[[#This Row],[$ CAPITAL]]&gt;=0,FINANCIACION[[#This Row],[$ CAPITAL]]+FINANCIACION[[#This Row],[$ INTERESES]],0)</f>
        <v>0</v>
      </c>
    </row>
    <row r="159" spans="1:10" ht="24" hidden="1" customHeight="1" x14ac:dyDescent="0.25">
      <c r="A159" s="10">
        <v>43475</v>
      </c>
      <c r="B159" s="85" t="s">
        <v>448</v>
      </c>
      <c r="C159" s="7"/>
      <c r="D159" s="7">
        <v>300000</v>
      </c>
      <c r="E159" s="7">
        <f>+IF(FINANCIACION[[#This Row],[$ CAPITAL]]&gt;=0,FINANCIACION[[#This Row],[$ CAPITAL]]+FINANCIACION[[#This Row],[$ INTERESES]],"")</f>
        <v>300000</v>
      </c>
      <c r="F159" s="7">
        <f>+SUMIFS(FINANCIACION[$ CAPITAL],FINANCIACION[Fecha],"&lt;="&amp;FINANCIACION[[#This Row],[Fecha]],FINANCIACION[PRESTAMO],FINANCIACION[[#This Row],[PRESTAMO]])</f>
        <v>-20000000</v>
      </c>
      <c r="G159" s="11"/>
      <c r="H159" s="11"/>
      <c r="I159" s="7" t="b">
        <f>+IF(FINANCIACION[[#This Row],[$ CAPITAL]]&gt;0,FINANCIACION[[#This Row],[$ CAPITAL]])</f>
        <v>0</v>
      </c>
      <c r="J159" s="49">
        <f>+IF(FINANCIACION[[#This Row],[$ CAPITAL]]&gt;=0,FINANCIACION[[#This Row],[$ CAPITAL]]+FINANCIACION[[#This Row],[$ INTERESES]],0)</f>
        <v>300000</v>
      </c>
    </row>
    <row r="160" spans="1:10" ht="24" hidden="1" customHeight="1" x14ac:dyDescent="0.25">
      <c r="A160" s="10">
        <v>43506</v>
      </c>
      <c r="B160" s="85" t="s">
        <v>448</v>
      </c>
      <c r="C160" s="7"/>
      <c r="D160" s="7">
        <v>300000</v>
      </c>
      <c r="E160" s="7">
        <f>+IF(FINANCIACION[[#This Row],[$ CAPITAL]]&gt;=0,FINANCIACION[[#This Row],[$ CAPITAL]]+FINANCIACION[[#This Row],[$ INTERESES]],"")</f>
        <v>300000</v>
      </c>
      <c r="F160" s="7">
        <f>+SUMIFS(FINANCIACION[$ CAPITAL],FINANCIACION[Fecha],"&lt;="&amp;FINANCIACION[[#This Row],[Fecha]],FINANCIACION[PRESTAMO],FINANCIACION[[#This Row],[PRESTAMO]])</f>
        <v>-20000000</v>
      </c>
      <c r="G160" s="11"/>
      <c r="H160" s="11"/>
      <c r="I160" s="7" t="b">
        <f>+IF(FINANCIACION[[#This Row],[$ CAPITAL]]&gt;0,FINANCIACION[[#This Row],[$ CAPITAL]])</f>
        <v>0</v>
      </c>
      <c r="J160" s="49">
        <f>+IF(FINANCIACION[[#This Row],[$ CAPITAL]]&gt;=0,FINANCIACION[[#This Row],[$ CAPITAL]]+FINANCIACION[[#This Row],[$ INTERESES]],0)</f>
        <v>300000</v>
      </c>
    </row>
    <row r="161" spans="1:10" ht="24" hidden="1" customHeight="1" x14ac:dyDescent="0.25">
      <c r="A161" s="10">
        <v>43534</v>
      </c>
      <c r="B161" s="85" t="s">
        <v>448</v>
      </c>
      <c r="C161" s="7"/>
      <c r="D161" s="7">
        <v>300000</v>
      </c>
      <c r="E161" s="7">
        <f>+IF(FINANCIACION[[#This Row],[$ CAPITAL]]&gt;=0,FINANCIACION[[#This Row],[$ CAPITAL]]+FINANCIACION[[#This Row],[$ INTERESES]],"")</f>
        <v>300000</v>
      </c>
      <c r="F161" s="7">
        <f>+SUMIFS(FINANCIACION[$ CAPITAL],FINANCIACION[Fecha],"&lt;="&amp;FINANCIACION[[#This Row],[Fecha]],FINANCIACION[PRESTAMO],FINANCIACION[[#This Row],[PRESTAMO]])</f>
        <v>-20000000</v>
      </c>
      <c r="G161" s="11"/>
      <c r="H161" s="11"/>
      <c r="I161" s="7" t="b">
        <f>+IF(FINANCIACION[[#This Row],[$ CAPITAL]]&gt;0,FINANCIACION[[#This Row],[$ CAPITAL]])</f>
        <v>0</v>
      </c>
      <c r="J161" s="49">
        <f>+IF(FINANCIACION[[#This Row],[$ CAPITAL]]&gt;=0,FINANCIACION[[#This Row],[$ CAPITAL]]+FINANCIACION[[#This Row],[$ INTERESES]],0)</f>
        <v>300000</v>
      </c>
    </row>
    <row r="162" spans="1:10" ht="24" hidden="1" customHeight="1" x14ac:dyDescent="0.25">
      <c r="A162" s="10">
        <v>43565</v>
      </c>
      <c r="B162" s="85" t="s">
        <v>448</v>
      </c>
      <c r="C162" s="7"/>
      <c r="D162" s="7">
        <v>300000</v>
      </c>
      <c r="E162" s="7">
        <f>+IF(FINANCIACION[[#This Row],[$ CAPITAL]]&gt;=0,FINANCIACION[[#This Row],[$ CAPITAL]]+FINANCIACION[[#This Row],[$ INTERESES]],"")</f>
        <v>300000</v>
      </c>
      <c r="F162" s="7">
        <f>+SUMIFS(FINANCIACION[$ CAPITAL],FINANCIACION[Fecha],"&lt;="&amp;FINANCIACION[[#This Row],[Fecha]],FINANCIACION[PRESTAMO],FINANCIACION[[#This Row],[PRESTAMO]])</f>
        <v>-20000000</v>
      </c>
      <c r="G162" s="11"/>
      <c r="H162" s="11"/>
      <c r="I162" s="7" t="b">
        <f>+IF(FINANCIACION[[#This Row],[$ CAPITAL]]&gt;0,FINANCIACION[[#This Row],[$ CAPITAL]])</f>
        <v>0</v>
      </c>
      <c r="J162" s="49">
        <f>+IF(FINANCIACION[[#This Row],[$ CAPITAL]]&gt;=0,FINANCIACION[[#This Row],[$ CAPITAL]]+FINANCIACION[[#This Row],[$ INTERESES]],0)</f>
        <v>300000</v>
      </c>
    </row>
    <row r="163" spans="1:10" ht="24" hidden="1" customHeight="1" x14ac:dyDescent="0.25">
      <c r="A163" s="10">
        <v>43595</v>
      </c>
      <c r="B163" s="85" t="s">
        <v>448</v>
      </c>
      <c r="C163" s="7"/>
      <c r="D163" s="7">
        <v>300000</v>
      </c>
      <c r="E163" s="7">
        <f>+IF(FINANCIACION[[#This Row],[$ CAPITAL]]&gt;=0,FINANCIACION[[#This Row],[$ CAPITAL]]+FINANCIACION[[#This Row],[$ INTERESES]],"")</f>
        <v>300000</v>
      </c>
      <c r="F163" s="7">
        <f>+SUMIFS(FINANCIACION[$ CAPITAL],FINANCIACION[Fecha],"&lt;="&amp;FINANCIACION[[#This Row],[Fecha]],FINANCIACION[PRESTAMO],FINANCIACION[[#This Row],[PRESTAMO]])</f>
        <v>-20000000</v>
      </c>
      <c r="G163" s="11"/>
      <c r="H163" s="11"/>
      <c r="I163" s="7" t="b">
        <f>+IF(FINANCIACION[[#This Row],[$ CAPITAL]]&gt;0,FINANCIACION[[#This Row],[$ CAPITAL]])</f>
        <v>0</v>
      </c>
      <c r="J163" s="49">
        <f>+IF(FINANCIACION[[#This Row],[$ CAPITAL]]&gt;=0,FINANCIACION[[#This Row],[$ CAPITAL]]+FINANCIACION[[#This Row],[$ INTERESES]],0)</f>
        <v>300000</v>
      </c>
    </row>
    <row r="164" spans="1:10" ht="24" hidden="1" customHeight="1" x14ac:dyDescent="0.25">
      <c r="A164" s="10">
        <v>43626</v>
      </c>
      <c r="B164" s="85" t="s">
        <v>448</v>
      </c>
      <c r="C164" s="7"/>
      <c r="D164" s="7">
        <v>300000</v>
      </c>
      <c r="E164" s="7">
        <f>+IF(FINANCIACION[[#This Row],[$ CAPITAL]]&gt;=0,FINANCIACION[[#This Row],[$ CAPITAL]]+FINANCIACION[[#This Row],[$ INTERESES]],"")</f>
        <v>300000</v>
      </c>
      <c r="F164" s="7">
        <f>+SUMIFS(FINANCIACION[$ CAPITAL],FINANCIACION[Fecha],"&lt;="&amp;FINANCIACION[[#This Row],[Fecha]],FINANCIACION[PRESTAMO],FINANCIACION[[#This Row],[PRESTAMO]])</f>
        <v>-20000000</v>
      </c>
      <c r="G164" s="11"/>
      <c r="H164" s="11"/>
      <c r="I164" s="7" t="b">
        <f>+IF(FINANCIACION[[#This Row],[$ CAPITAL]]&gt;0,FINANCIACION[[#This Row],[$ CAPITAL]])</f>
        <v>0</v>
      </c>
      <c r="J164" s="49">
        <f>+IF(FINANCIACION[[#This Row],[$ CAPITAL]]&gt;=0,FINANCIACION[[#This Row],[$ CAPITAL]]+FINANCIACION[[#This Row],[$ INTERESES]],0)</f>
        <v>300000</v>
      </c>
    </row>
    <row r="165" spans="1:10" ht="24" hidden="1" customHeight="1" x14ac:dyDescent="0.25">
      <c r="A165" s="10">
        <v>43656</v>
      </c>
      <c r="B165" s="85" t="s">
        <v>448</v>
      </c>
      <c r="C165" s="7"/>
      <c r="D165" s="7">
        <v>300000</v>
      </c>
      <c r="E165" s="7">
        <f>+IF(FINANCIACION[[#This Row],[$ CAPITAL]]&gt;=0,FINANCIACION[[#This Row],[$ CAPITAL]]+FINANCIACION[[#This Row],[$ INTERESES]],"")</f>
        <v>300000</v>
      </c>
      <c r="F165" s="7">
        <f>+SUMIFS(FINANCIACION[$ CAPITAL],FINANCIACION[Fecha],"&lt;="&amp;FINANCIACION[[#This Row],[Fecha]],FINANCIACION[PRESTAMO],FINANCIACION[[#This Row],[PRESTAMO]])</f>
        <v>-20000000</v>
      </c>
      <c r="G165" s="11"/>
      <c r="H165" s="11"/>
      <c r="I165" s="7" t="b">
        <f>+IF(FINANCIACION[[#This Row],[$ CAPITAL]]&gt;0,FINANCIACION[[#This Row],[$ CAPITAL]])</f>
        <v>0</v>
      </c>
      <c r="J165" s="49">
        <f>+IF(FINANCIACION[[#This Row],[$ CAPITAL]]&gt;=0,FINANCIACION[[#This Row],[$ CAPITAL]]+FINANCIACION[[#This Row],[$ INTERESES]],0)</f>
        <v>300000</v>
      </c>
    </row>
    <row r="166" spans="1:10" ht="24" hidden="1" customHeight="1" x14ac:dyDescent="0.25">
      <c r="A166" s="10">
        <v>43687</v>
      </c>
      <c r="B166" s="85" t="s">
        <v>448</v>
      </c>
      <c r="C166" s="7"/>
      <c r="D166" s="7">
        <v>300000</v>
      </c>
      <c r="E166" s="7">
        <f>+IF(FINANCIACION[[#This Row],[$ CAPITAL]]&gt;=0,FINANCIACION[[#This Row],[$ CAPITAL]]+FINANCIACION[[#This Row],[$ INTERESES]],"")</f>
        <v>300000</v>
      </c>
      <c r="F166" s="7">
        <f>+SUMIFS(FINANCIACION[$ CAPITAL],FINANCIACION[Fecha],"&lt;="&amp;FINANCIACION[[#This Row],[Fecha]],FINANCIACION[PRESTAMO],FINANCIACION[[#This Row],[PRESTAMO]])</f>
        <v>-20000000</v>
      </c>
      <c r="G166" s="11"/>
      <c r="H166" s="11"/>
      <c r="I166" s="7" t="b">
        <f>+IF(FINANCIACION[[#This Row],[$ CAPITAL]]&gt;0,FINANCIACION[[#This Row],[$ CAPITAL]])</f>
        <v>0</v>
      </c>
      <c r="J166" s="49">
        <f>+IF(FINANCIACION[[#This Row],[$ CAPITAL]]&gt;=0,FINANCIACION[[#This Row],[$ CAPITAL]]+FINANCIACION[[#This Row],[$ INTERESES]],0)</f>
        <v>300000</v>
      </c>
    </row>
    <row r="167" spans="1:10" ht="24" hidden="1" customHeight="1" x14ac:dyDescent="0.25">
      <c r="A167" s="10">
        <v>43718</v>
      </c>
      <c r="B167" s="85" t="s">
        <v>448</v>
      </c>
      <c r="C167" s="7"/>
      <c r="D167" s="7">
        <v>300000</v>
      </c>
      <c r="E167" s="7">
        <f>+IF(FINANCIACION[[#This Row],[$ CAPITAL]]&gt;=0,FINANCIACION[[#This Row],[$ CAPITAL]]+FINANCIACION[[#This Row],[$ INTERESES]],"")</f>
        <v>300000</v>
      </c>
      <c r="F167" s="7">
        <f>+SUMIFS(FINANCIACION[$ CAPITAL],FINANCIACION[Fecha],"&lt;="&amp;FINANCIACION[[#This Row],[Fecha]],FINANCIACION[PRESTAMO],FINANCIACION[[#This Row],[PRESTAMO]])</f>
        <v>-20000000</v>
      </c>
      <c r="G167" s="11"/>
      <c r="H167" s="11"/>
      <c r="I167" s="7" t="b">
        <f>+IF(FINANCIACION[[#This Row],[$ CAPITAL]]&gt;0,FINANCIACION[[#This Row],[$ CAPITAL]])</f>
        <v>0</v>
      </c>
      <c r="J167" s="49">
        <f>+IF(FINANCIACION[[#This Row],[$ CAPITAL]]&gt;=0,FINANCIACION[[#This Row],[$ CAPITAL]]+FINANCIACION[[#This Row],[$ INTERESES]],0)</f>
        <v>300000</v>
      </c>
    </row>
    <row r="168" spans="1:10" ht="24" hidden="1" customHeight="1" x14ac:dyDescent="0.25">
      <c r="A168" s="10">
        <v>43748</v>
      </c>
      <c r="B168" s="85" t="s">
        <v>448</v>
      </c>
      <c r="C168" s="7"/>
      <c r="D168" s="7">
        <v>300000</v>
      </c>
      <c r="E168" s="7">
        <f>+IF(FINANCIACION[[#This Row],[$ CAPITAL]]&gt;=0,FINANCIACION[[#This Row],[$ CAPITAL]]+FINANCIACION[[#This Row],[$ INTERESES]],"")</f>
        <v>300000</v>
      </c>
      <c r="F168" s="7">
        <f>+SUMIFS(FINANCIACION[$ CAPITAL],FINANCIACION[Fecha],"&lt;="&amp;FINANCIACION[[#This Row],[Fecha]],FINANCIACION[PRESTAMO],FINANCIACION[[#This Row],[PRESTAMO]])</f>
        <v>-20000000</v>
      </c>
      <c r="G168" s="11"/>
      <c r="H168" s="11"/>
      <c r="I168" s="7" t="b">
        <f>+IF(FINANCIACION[[#This Row],[$ CAPITAL]]&gt;0,FINANCIACION[[#This Row],[$ CAPITAL]])</f>
        <v>0</v>
      </c>
      <c r="J168" s="49">
        <f>+IF(FINANCIACION[[#This Row],[$ CAPITAL]]&gt;=0,FINANCIACION[[#This Row],[$ CAPITAL]]+FINANCIACION[[#This Row],[$ INTERESES]],0)</f>
        <v>300000</v>
      </c>
    </row>
    <row r="169" spans="1:10" ht="24" hidden="1" customHeight="1" x14ac:dyDescent="0.25">
      <c r="A169" s="10">
        <v>43779</v>
      </c>
      <c r="B169" s="85" t="s">
        <v>448</v>
      </c>
      <c r="C169" s="7"/>
      <c r="D169" s="7">
        <v>300000</v>
      </c>
      <c r="E169" s="7">
        <f>+IF(FINANCIACION[[#This Row],[$ CAPITAL]]&gt;=0,FINANCIACION[[#This Row],[$ CAPITAL]]+FINANCIACION[[#This Row],[$ INTERESES]],"")</f>
        <v>300000</v>
      </c>
      <c r="F169" s="7">
        <f>+SUMIFS(FINANCIACION[$ CAPITAL],FINANCIACION[Fecha],"&lt;="&amp;FINANCIACION[[#This Row],[Fecha]],FINANCIACION[PRESTAMO],FINANCIACION[[#This Row],[PRESTAMO]])</f>
        <v>-20000000</v>
      </c>
      <c r="G169" s="11"/>
      <c r="H169" s="11"/>
      <c r="I169" s="7" t="b">
        <f>+IF(FINANCIACION[[#This Row],[$ CAPITAL]]&gt;0,FINANCIACION[[#This Row],[$ CAPITAL]])</f>
        <v>0</v>
      </c>
      <c r="J169" s="49">
        <f>+IF(FINANCIACION[[#This Row],[$ CAPITAL]]&gt;=0,FINANCIACION[[#This Row],[$ CAPITAL]]+FINANCIACION[[#This Row],[$ INTERESES]],0)</f>
        <v>300000</v>
      </c>
    </row>
    <row r="170" spans="1:10" ht="24" hidden="1" customHeight="1" x14ac:dyDescent="0.25">
      <c r="A170" s="10">
        <v>43809</v>
      </c>
      <c r="B170" s="85" t="s">
        <v>448</v>
      </c>
      <c r="C170" s="7"/>
      <c r="D170" s="7">
        <v>400000</v>
      </c>
      <c r="E170" s="7">
        <f>+IF(FINANCIACION[[#This Row],[$ CAPITAL]]&gt;=0,FINANCIACION[[#This Row],[$ CAPITAL]]+FINANCIACION[[#This Row],[$ INTERESES]],"")</f>
        <v>400000</v>
      </c>
      <c r="F170" s="7">
        <f>+SUMIFS(FINANCIACION[$ CAPITAL],FINANCIACION[Fecha],"&lt;="&amp;FINANCIACION[[#This Row],[Fecha]],FINANCIACION[PRESTAMO],FINANCIACION[[#This Row],[PRESTAMO]])</f>
        <v>-20000000</v>
      </c>
      <c r="G170" s="11"/>
      <c r="H170" s="11"/>
      <c r="I170" s="7" t="b">
        <f>+IF(FINANCIACION[[#This Row],[$ CAPITAL]]&gt;0,FINANCIACION[[#This Row],[$ CAPITAL]])</f>
        <v>0</v>
      </c>
      <c r="J170" s="49">
        <f>+IF(FINANCIACION[[#This Row],[$ CAPITAL]]&gt;=0,FINANCIACION[[#This Row],[$ CAPITAL]]+FINANCIACION[[#This Row],[$ INTERESES]],0)</f>
        <v>400000</v>
      </c>
    </row>
    <row r="171" spans="1:10" ht="24" hidden="1" customHeight="1" x14ac:dyDescent="0.25">
      <c r="A171" s="10">
        <v>43844</v>
      </c>
      <c r="B171" s="85" t="s">
        <v>448</v>
      </c>
      <c r="C171" s="7"/>
      <c r="D171" s="7">
        <v>200000</v>
      </c>
      <c r="E171" s="7">
        <f>+IF(FINANCIACION[[#This Row],[$ CAPITAL]]&gt;=0,FINANCIACION[[#This Row],[$ CAPITAL]]+FINANCIACION[[#This Row],[$ INTERESES]],"")</f>
        <v>200000</v>
      </c>
      <c r="F171" s="7">
        <f>+SUMIFS(FINANCIACION[$ CAPITAL],FINANCIACION[Fecha],"&lt;="&amp;FINANCIACION[[#This Row],[Fecha]],FINANCIACION[PRESTAMO],FINANCIACION[[#This Row],[PRESTAMO]])</f>
        <v>-20000000</v>
      </c>
      <c r="G171" s="11"/>
      <c r="H171" s="11"/>
      <c r="I171" s="7" t="b">
        <f>+IF(FINANCIACION[[#This Row],[$ CAPITAL]]&gt;0,FINANCIACION[[#This Row],[$ CAPITAL]])</f>
        <v>0</v>
      </c>
      <c r="J171" s="49">
        <f>+IF(FINANCIACION[[#This Row],[$ CAPITAL]]&gt;=0,FINANCIACION[[#This Row],[$ CAPITAL]]+FINANCIACION[[#This Row],[$ INTERESES]],0)</f>
        <v>200000</v>
      </c>
    </row>
    <row r="172" spans="1:10" ht="24" hidden="1" customHeight="1" x14ac:dyDescent="0.25">
      <c r="A172" s="10">
        <v>43871</v>
      </c>
      <c r="B172" s="85" t="s">
        <v>448</v>
      </c>
      <c r="C172" s="7"/>
      <c r="D172" s="7">
        <v>300000</v>
      </c>
      <c r="E172" s="7">
        <f>+IF(FINANCIACION[[#This Row],[$ CAPITAL]]&gt;=0,FINANCIACION[[#This Row],[$ CAPITAL]]+FINANCIACION[[#This Row],[$ INTERESES]],"")</f>
        <v>300000</v>
      </c>
      <c r="F172" s="7">
        <f>+SUMIFS(FINANCIACION[$ CAPITAL],FINANCIACION[Fecha],"&lt;="&amp;FINANCIACION[[#This Row],[Fecha]],FINANCIACION[PRESTAMO],FINANCIACION[[#This Row],[PRESTAMO]])</f>
        <v>-20000000</v>
      </c>
      <c r="G172" s="11"/>
      <c r="H172" s="11"/>
      <c r="I172" s="7" t="b">
        <f>+IF(FINANCIACION[[#This Row],[$ CAPITAL]]&gt;0,FINANCIACION[[#This Row],[$ CAPITAL]])</f>
        <v>0</v>
      </c>
      <c r="J172" s="49">
        <f>+IF(FINANCIACION[[#This Row],[$ CAPITAL]]&gt;=0,FINANCIACION[[#This Row],[$ CAPITAL]]+FINANCIACION[[#This Row],[$ INTERESES]],0)</f>
        <v>300000</v>
      </c>
    </row>
    <row r="173" spans="1:10" ht="24" hidden="1" customHeight="1" x14ac:dyDescent="0.25">
      <c r="A173" s="10">
        <v>43992</v>
      </c>
      <c r="B173" s="85" t="s">
        <v>448</v>
      </c>
      <c r="C173" s="7"/>
      <c r="D173" s="7">
        <v>300000</v>
      </c>
      <c r="E173" s="7">
        <f>+IF(FINANCIACION[[#This Row],[$ CAPITAL]]&gt;=0,FINANCIACION[[#This Row],[$ CAPITAL]]+FINANCIACION[[#This Row],[$ INTERESES]],"")</f>
        <v>300000</v>
      </c>
      <c r="F173" s="7">
        <f>+SUMIFS(FINANCIACION[$ CAPITAL],FINANCIACION[Fecha],"&lt;="&amp;FINANCIACION[[#This Row],[Fecha]],FINANCIACION[PRESTAMO],FINANCIACION[[#This Row],[PRESTAMO]])</f>
        <v>-20000000</v>
      </c>
      <c r="G173" s="11"/>
      <c r="H173" s="11"/>
      <c r="I173" s="7" t="b">
        <f>+IF(FINANCIACION[[#This Row],[$ CAPITAL]]&gt;0,FINANCIACION[[#This Row],[$ CAPITAL]])</f>
        <v>0</v>
      </c>
      <c r="J173" s="49">
        <f>+IF(FINANCIACION[[#This Row],[$ CAPITAL]]&gt;=0,FINANCIACION[[#This Row],[$ CAPITAL]]+FINANCIACION[[#This Row],[$ INTERESES]],0)</f>
        <v>300000</v>
      </c>
    </row>
    <row r="174" spans="1:10" ht="24" hidden="1" customHeight="1" x14ac:dyDescent="0.25">
      <c r="A174" s="10">
        <v>44015</v>
      </c>
      <c r="B174" s="85" t="s">
        <v>448</v>
      </c>
      <c r="C174" s="7">
        <v>20000000</v>
      </c>
      <c r="D174" s="7">
        <v>300000</v>
      </c>
      <c r="E174" s="7">
        <f>+IF(FINANCIACION[[#This Row],[$ CAPITAL]]&gt;=0,FINANCIACION[[#This Row],[$ CAPITAL]]+FINANCIACION[[#This Row],[$ INTERESES]],"")</f>
        <v>20300000</v>
      </c>
      <c r="F174" s="7">
        <f>+SUMIFS(FINANCIACION[$ CAPITAL],FINANCIACION[Fecha],"&lt;="&amp;FINANCIACION[[#This Row],[Fecha]],FINANCIACION[PRESTAMO],FINANCIACION[[#This Row],[PRESTAMO]])</f>
        <v>0</v>
      </c>
      <c r="G174" s="11"/>
      <c r="H174" s="11"/>
      <c r="I174" s="7">
        <f>+IF(FINANCIACION[[#This Row],[$ CAPITAL]]&gt;0,FINANCIACION[[#This Row],[$ CAPITAL]])</f>
        <v>20000000</v>
      </c>
      <c r="J174" s="49">
        <f>+IF(FINANCIACION[[#This Row],[$ CAPITAL]]&gt;=0,FINANCIACION[[#This Row],[$ CAPITAL]]+FINANCIACION[[#This Row],[$ INTERESES]],0)</f>
        <v>20300000</v>
      </c>
    </row>
    <row r="175" spans="1:10" ht="24" hidden="1" customHeight="1" x14ac:dyDescent="0.25">
      <c r="A175" s="10">
        <v>44301</v>
      </c>
      <c r="B175" s="85" t="s">
        <v>660</v>
      </c>
      <c r="C175" s="7">
        <v>-6000000</v>
      </c>
      <c r="D175" s="7"/>
      <c r="E175" s="7" t="str">
        <f>+IF(FINANCIACION[[#This Row],[$ CAPITAL]]&gt;=0,FINANCIACION[[#This Row],[$ CAPITAL]]+FINANCIACION[[#This Row],[$ INTERESES]],"")</f>
        <v/>
      </c>
      <c r="F175" s="7">
        <f>+SUMIFS(FINANCIACION[$ CAPITAL],FINANCIACION[Fecha],"&lt;="&amp;FINANCIACION[[#This Row],[Fecha]],FINANCIACION[PRESTAMO],FINANCIACION[[#This Row],[PRESTAMO]])</f>
        <v>-6000000</v>
      </c>
      <c r="G175" s="11"/>
      <c r="H175" s="91"/>
      <c r="I175" s="7" t="b">
        <f>+IF(FINANCIACION[[#This Row],[$ CAPITAL]]&gt;0,FINANCIACION[[#This Row],[$ CAPITAL]])</f>
        <v>0</v>
      </c>
      <c r="J175" s="12">
        <f>+IF(FINANCIACION[[#This Row],[$ CAPITAL]]&gt;=0,FINANCIACION[[#This Row],[$ CAPITAL]]+FINANCIACION[[#This Row],[$ INTERESES]],0)</f>
        <v>0</v>
      </c>
    </row>
    <row r="176" spans="1:10" ht="24" hidden="1" customHeight="1" x14ac:dyDescent="0.25">
      <c r="A176" s="10">
        <v>44326</v>
      </c>
      <c r="B176" s="85" t="s">
        <v>660</v>
      </c>
      <c r="C176" s="7">
        <v>6000000</v>
      </c>
      <c r="D176" s="7"/>
      <c r="E176" s="7">
        <f>+IF(FINANCIACION[[#This Row],[$ CAPITAL]]&gt;=0,FINANCIACION[[#This Row],[$ CAPITAL]]+FINANCIACION[[#This Row],[$ INTERESES]],"")</f>
        <v>6000000</v>
      </c>
      <c r="F176" s="7">
        <f>+SUMIFS(FINANCIACION[$ CAPITAL],FINANCIACION[Fecha],"&lt;="&amp;FINANCIACION[[#This Row],[Fecha]],FINANCIACION[PRESTAMO],FINANCIACION[[#This Row],[PRESTAMO]])</f>
        <v>0</v>
      </c>
      <c r="G176" s="91"/>
      <c r="H176" s="11"/>
      <c r="I176" s="7">
        <f>+IF(FINANCIACION[[#This Row],[$ CAPITAL]]&gt;0,FINANCIACION[[#This Row],[$ CAPITAL]])</f>
        <v>6000000</v>
      </c>
      <c r="J176" s="49">
        <f>+IF(FINANCIACION[[#This Row],[$ CAPITAL]]&gt;=0,FINANCIACION[[#This Row],[$ CAPITAL]]+FINANCIACION[[#This Row],[$ INTERESES]],0)</f>
        <v>6000000</v>
      </c>
    </row>
    <row r="177" spans="1:10" ht="24" hidden="1" customHeight="1" x14ac:dyDescent="0.25">
      <c r="A177" s="10">
        <v>43465</v>
      </c>
      <c r="B177" s="85" t="s">
        <v>449</v>
      </c>
      <c r="C177" s="7">
        <v>-30000000</v>
      </c>
      <c r="D177" s="7"/>
      <c r="E177" s="7" t="str">
        <f>+IF(FINANCIACION[[#This Row],[$ CAPITAL]]&gt;=0,FINANCIACION[[#This Row],[$ CAPITAL]]+FINANCIACION[[#This Row],[$ INTERESES]],"")</f>
        <v/>
      </c>
      <c r="F177" s="7">
        <f>+SUMIFS(FINANCIACION[$ CAPITAL],FINANCIACION[Fecha],"&lt;="&amp;FINANCIACION[[#This Row],[Fecha]],FINANCIACION[PRESTAMO],FINANCIACION[[#This Row],[PRESTAMO]])</f>
        <v>-30000000</v>
      </c>
      <c r="G177" s="11"/>
      <c r="H177" s="11"/>
      <c r="I177" s="7" t="b">
        <f>+IF(FINANCIACION[[#This Row],[$ CAPITAL]]&gt;0,FINANCIACION[[#This Row],[$ CAPITAL]])</f>
        <v>0</v>
      </c>
      <c r="J177" s="49">
        <f>+IF(FINANCIACION[[#This Row],[$ CAPITAL]]&gt;=0,FINANCIACION[[#This Row],[$ CAPITAL]]+FINANCIACION[[#This Row],[$ INTERESES]],0)</f>
        <v>0</v>
      </c>
    </row>
    <row r="178" spans="1:10" ht="24" hidden="1" customHeight="1" x14ac:dyDescent="0.25">
      <c r="A178" s="10">
        <v>43475</v>
      </c>
      <c r="B178" s="85" t="s">
        <v>449</v>
      </c>
      <c r="C178" s="7"/>
      <c r="D178" s="7">
        <v>300000</v>
      </c>
      <c r="E178" s="7">
        <f>+IF(FINANCIACION[[#This Row],[$ CAPITAL]]&gt;=0,FINANCIACION[[#This Row],[$ CAPITAL]]+FINANCIACION[[#This Row],[$ INTERESES]],"")</f>
        <v>300000</v>
      </c>
      <c r="F178" s="7">
        <f>+SUMIFS(FINANCIACION[$ CAPITAL],FINANCIACION[Fecha],"&lt;="&amp;FINANCIACION[[#This Row],[Fecha]],FINANCIACION[PRESTAMO],FINANCIACION[[#This Row],[PRESTAMO]])</f>
        <v>-30000000</v>
      </c>
      <c r="G178" s="11"/>
      <c r="H178" s="11"/>
      <c r="I178" s="7" t="b">
        <f>+IF(FINANCIACION[[#This Row],[$ CAPITAL]]&gt;0,FINANCIACION[[#This Row],[$ CAPITAL]])</f>
        <v>0</v>
      </c>
      <c r="J178" s="49">
        <f>+IF(FINANCIACION[[#This Row],[$ CAPITAL]]&gt;=0,FINANCIACION[[#This Row],[$ CAPITAL]]+FINANCIACION[[#This Row],[$ INTERESES]],0)</f>
        <v>300000</v>
      </c>
    </row>
    <row r="179" spans="1:10" ht="24" hidden="1" customHeight="1" x14ac:dyDescent="0.25">
      <c r="A179" s="10">
        <v>43506</v>
      </c>
      <c r="B179" s="85" t="s">
        <v>449</v>
      </c>
      <c r="C179" s="7"/>
      <c r="D179" s="7">
        <v>300000</v>
      </c>
      <c r="E179" s="7">
        <f>+IF(FINANCIACION[[#This Row],[$ CAPITAL]]&gt;=0,FINANCIACION[[#This Row],[$ CAPITAL]]+FINANCIACION[[#This Row],[$ INTERESES]],"")</f>
        <v>300000</v>
      </c>
      <c r="F179" s="7">
        <f>+SUMIFS(FINANCIACION[$ CAPITAL],FINANCIACION[Fecha],"&lt;="&amp;FINANCIACION[[#This Row],[Fecha]],FINANCIACION[PRESTAMO],FINANCIACION[[#This Row],[PRESTAMO]])</f>
        <v>-30000000</v>
      </c>
      <c r="G179" s="11"/>
      <c r="H179" s="11"/>
      <c r="I179" s="7" t="b">
        <f>+IF(FINANCIACION[[#This Row],[$ CAPITAL]]&gt;0,FINANCIACION[[#This Row],[$ CAPITAL]])</f>
        <v>0</v>
      </c>
      <c r="J179" s="49">
        <f>+IF(FINANCIACION[[#This Row],[$ CAPITAL]]&gt;=0,FINANCIACION[[#This Row],[$ CAPITAL]]+FINANCIACION[[#This Row],[$ INTERESES]],0)</f>
        <v>300000</v>
      </c>
    </row>
    <row r="180" spans="1:10" ht="24" hidden="1" customHeight="1" x14ac:dyDescent="0.25">
      <c r="A180" s="10">
        <v>43534</v>
      </c>
      <c r="B180" s="85" t="s">
        <v>449</v>
      </c>
      <c r="C180" s="7"/>
      <c r="D180" s="7">
        <v>300000</v>
      </c>
      <c r="E180" s="7">
        <f>+IF(FINANCIACION[[#This Row],[$ CAPITAL]]&gt;=0,FINANCIACION[[#This Row],[$ CAPITAL]]+FINANCIACION[[#This Row],[$ INTERESES]],"")</f>
        <v>300000</v>
      </c>
      <c r="F180" s="7">
        <f>+SUMIFS(FINANCIACION[$ CAPITAL],FINANCIACION[Fecha],"&lt;="&amp;FINANCIACION[[#This Row],[Fecha]],FINANCIACION[PRESTAMO],FINANCIACION[[#This Row],[PRESTAMO]])</f>
        <v>-30000000</v>
      </c>
      <c r="G180" s="11"/>
      <c r="H180" s="11"/>
      <c r="I180" s="7" t="b">
        <f>+IF(FINANCIACION[[#This Row],[$ CAPITAL]]&gt;0,FINANCIACION[[#This Row],[$ CAPITAL]])</f>
        <v>0</v>
      </c>
      <c r="J180" s="49">
        <f>+IF(FINANCIACION[[#This Row],[$ CAPITAL]]&gt;=0,FINANCIACION[[#This Row],[$ CAPITAL]]+FINANCIACION[[#This Row],[$ INTERESES]],0)</f>
        <v>300000</v>
      </c>
    </row>
    <row r="181" spans="1:10" ht="24" hidden="1" customHeight="1" x14ac:dyDescent="0.25">
      <c r="A181" s="10">
        <v>43565</v>
      </c>
      <c r="B181" s="85" t="s">
        <v>449</v>
      </c>
      <c r="C181" s="7"/>
      <c r="D181" s="7">
        <v>300000</v>
      </c>
      <c r="E181" s="7">
        <f>+IF(FINANCIACION[[#This Row],[$ CAPITAL]]&gt;=0,FINANCIACION[[#This Row],[$ CAPITAL]]+FINANCIACION[[#This Row],[$ INTERESES]],"")</f>
        <v>300000</v>
      </c>
      <c r="F181" s="7">
        <f>+SUMIFS(FINANCIACION[$ CAPITAL],FINANCIACION[Fecha],"&lt;="&amp;FINANCIACION[[#This Row],[Fecha]],FINANCIACION[PRESTAMO],FINANCIACION[[#This Row],[PRESTAMO]])</f>
        <v>-30000000</v>
      </c>
      <c r="G181" s="11"/>
      <c r="H181" s="11"/>
      <c r="I181" s="7" t="b">
        <f>+IF(FINANCIACION[[#This Row],[$ CAPITAL]]&gt;0,FINANCIACION[[#This Row],[$ CAPITAL]])</f>
        <v>0</v>
      </c>
      <c r="J181" s="49">
        <f>+IF(FINANCIACION[[#This Row],[$ CAPITAL]]&gt;=0,FINANCIACION[[#This Row],[$ CAPITAL]]+FINANCIACION[[#This Row],[$ INTERESES]],0)</f>
        <v>300000</v>
      </c>
    </row>
    <row r="182" spans="1:10" ht="24" hidden="1" customHeight="1" x14ac:dyDescent="0.25">
      <c r="A182" s="10">
        <v>43593</v>
      </c>
      <c r="B182" s="85" t="s">
        <v>449</v>
      </c>
      <c r="C182" s="7">
        <v>-20000000</v>
      </c>
      <c r="D182" s="7"/>
      <c r="E182" s="7" t="str">
        <f>+IF(FINANCIACION[[#This Row],[$ CAPITAL]]&gt;=0,FINANCIACION[[#This Row],[$ CAPITAL]]+FINANCIACION[[#This Row],[$ INTERESES]],"")</f>
        <v/>
      </c>
      <c r="F182" s="7">
        <f>+SUMIFS(FINANCIACION[$ CAPITAL],FINANCIACION[Fecha],"&lt;="&amp;FINANCIACION[[#This Row],[Fecha]],FINANCIACION[PRESTAMO],FINANCIACION[[#This Row],[PRESTAMO]])</f>
        <v>-50000000</v>
      </c>
      <c r="G182" s="11"/>
      <c r="H182" s="11"/>
      <c r="I182" s="7" t="b">
        <f>+IF(FINANCIACION[[#This Row],[$ CAPITAL]]&gt;0,FINANCIACION[[#This Row],[$ CAPITAL]])</f>
        <v>0</v>
      </c>
      <c r="J182" s="49">
        <f>+IF(FINANCIACION[[#This Row],[$ CAPITAL]]&gt;=0,FINANCIACION[[#This Row],[$ CAPITAL]]+FINANCIACION[[#This Row],[$ INTERESES]],0)</f>
        <v>0</v>
      </c>
    </row>
    <row r="183" spans="1:10" ht="24" hidden="1" customHeight="1" x14ac:dyDescent="0.25">
      <c r="A183" s="10">
        <v>43595</v>
      </c>
      <c r="B183" s="85" t="s">
        <v>449</v>
      </c>
      <c r="C183" s="7"/>
      <c r="D183" s="7">
        <v>500000</v>
      </c>
      <c r="E183" s="7">
        <f>+IF(FINANCIACION[[#This Row],[$ CAPITAL]]&gt;=0,FINANCIACION[[#This Row],[$ CAPITAL]]+FINANCIACION[[#This Row],[$ INTERESES]],"")</f>
        <v>500000</v>
      </c>
      <c r="F183" s="7">
        <f>+SUMIFS(FINANCIACION[$ CAPITAL],FINANCIACION[Fecha],"&lt;="&amp;FINANCIACION[[#This Row],[Fecha]],FINANCIACION[PRESTAMO],FINANCIACION[[#This Row],[PRESTAMO]])</f>
        <v>-50000000</v>
      </c>
      <c r="G183" s="11"/>
      <c r="H183" s="11"/>
      <c r="I183" s="7" t="b">
        <f>+IF(FINANCIACION[[#This Row],[$ CAPITAL]]&gt;0,FINANCIACION[[#This Row],[$ CAPITAL]])</f>
        <v>0</v>
      </c>
      <c r="J183" s="49">
        <f>+IF(FINANCIACION[[#This Row],[$ CAPITAL]]&gt;=0,FINANCIACION[[#This Row],[$ CAPITAL]]+FINANCIACION[[#This Row],[$ INTERESES]],0)</f>
        <v>500000</v>
      </c>
    </row>
    <row r="184" spans="1:10" ht="24" hidden="1" customHeight="1" x14ac:dyDescent="0.25">
      <c r="A184" s="10">
        <v>43626</v>
      </c>
      <c r="B184" s="85" t="s">
        <v>449</v>
      </c>
      <c r="C184" s="7"/>
      <c r="D184" s="7">
        <v>500000</v>
      </c>
      <c r="E184" s="7">
        <f>+IF(FINANCIACION[[#This Row],[$ CAPITAL]]&gt;=0,FINANCIACION[[#This Row],[$ CAPITAL]]+FINANCIACION[[#This Row],[$ INTERESES]],"")</f>
        <v>500000</v>
      </c>
      <c r="F184" s="7">
        <f>+SUMIFS(FINANCIACION[$ CAPITAL],FINANCIACION[Fecha],"&lt;="&amp;FINANCIACION[[#This Row],[Fecha]],FINANCIACION[PRESTAMO],FINANCIACION[[#This Row],[PRESTAMO]])</f>
        <v>-50000000</v>
      </c>
      <c r="G184" s="11"/>
      <c r="H184" s="11"/>
      <c r="I184" s="7" t="b">
        <f>+IF(FINANCIACION[[#This Row],[$ CAPITAL]]&gt;0,FINANCIACION[[#This Row],[$ CAPITAL]])</f>
        <v>0</v>
      </c>
      <c r="J184" s="49">
        <f>+IF(FINANCIACION[[#This Row],[$ CAPITAL]]&gt;=0,FINANCIACION[[#This Row],[$ CAPITAL]]+FINANCIACION[[#This Row],[$ INTERESES]],0)</f>
        <v>500000</v>
      </c>
    </row>
    <row r="185" spans="1:10" ht="24" hidden="1" customHeight="1" x14ac:dyDescent="0.25">
      <c r="A185" s="10">
        <v>43642</v>
      </c>
      <c r="B185" s="85" t="s">
        <v>449</v>
      </c>
      <c r="C185" s="7">
        <v>-30000000</v>
      </c>
      <c r="D185" s="7"/>
      <c r="E185" s="7" t="str">
        <f>+IF(FINANCIACION[[#This Row],[$ CAPITAL]]&gt;=0,FINANCIACION[[#This Row],[$ CAPITAL]]+FINANCIACION[[#This Row],[$ INTERESES]],"")</f>
        <v/>
      </c>
      <c r="F185" s="7">
        <f>+SUMIFS(FINANCIACION[$ CAPITAL],FINANCIACION[Fecha],"&lt;="&amp;FINANCIACION[[#This Row],[Fecha]],FINANCIACION[PRESTAMO],FINANCIACION[[#This Row],[PRESTAMO]])</f>
        <v>-80000000</v>
      </c>
      <c r="G185" s="11"/>
      <c r="H185" s="11"/>
      <c r="I185" s="7" t="b">
        <f>+IF(FINANCIACION[[#This Row],[$ CAPITAL]]&gt;0,FINANCIACION[[#This Row],[$ CAPITAL]])</f>
        <v>0</v>
      </c>
      <c r="J185" s="49">
        <f>+IF(FINANCIACION[[#This Row],[$ CAPITAL]]&gt;=0,FINANCIACION[[#This Row],[$ CAPITAL]]+FINANCIACION[[#This Row],[$ INTERESES]],0)</f>
        <v>0</v>
      </c>
    </row>
    <row r="186" spans="1:10" ht="24" hidden="1" customHeight="1" x14ac:dyDescent="0.25">
      <c r="A186" s="10">
        <v>43674</v>
      </c>
      <c r="B186" s="85" t="s">
        <v>449</v>
      </c>
      <c r="C186" s="7"/>
      <c r="D186" s="7">
        <v>800000</v>
      </c>
      <c r="E186" s="7">
        <f>+IF(FINANCIACION[[#This Row],[$ CAPITAL]]&gt;=0,FINANCIACION[[#This Row],[$ CAPITAL]]+FINANCIACION[[#This Row],[$ INTERESES]],"")</f>
        <v>800000</v>
      </c>
      <c r="F186" s="7">
        <f>+SUMIFS(FINANCIACION[$ CAPITAL],FINANCIACION[Fecha],"&lt;="&amp;FINANCIACION[[#This Row],[Fecha]],FINANCIACION[PRESTAMO],FINANCIACION[[#This Row],[PRESTAMO]])</f>
        <v>-80000000</v>
      </c>
      <c r="G186" s="11"/>
      <c r="H186" s="11"/>
      <c r="I186" s="7" t="b">
        <f>+IF(FINANCIACION[[#This Row],[$ CAPITAL]]&gt;0,FINANCIACION[[#This Row],[$ CAPITAL]])</f>
        <v>0</v>
      </c>
      <c r="J186" s="49">
        <f>+IF(FINANCIACION[[#This Row],[$ CAPITAL]]&gt;=0,FINANCIACION[[#This Row],[$ CAPITAL]]+FINANCIACION[[#This Row],[$ INTERESES]],0)</f>
        <v>800000</v>
      </c>
    </row>
    <row r="187" spans="1:10" ht="24" hidden="1" customHeight="1" x14ac:dyDescent="0.25">
      <c r="A187" s="10">
        <v>43717</v>
      </c>
      <c r="B187" s="85" t="s">
        <v>449</v>
      </c>
      <c r="C187" s="7">
        <v>-12000000</v>
      </c>
      <c r="D187" s="7"/>
      <c r="E187" s="7" t="str">
        <f>+IF(FINANCIACION[[#This Row],[$ CAPITAL]]&gt;=0,FINANCIACION[[#This Row],[$ CAPITAL]]+FINANCIACION[[#This Row],[$ INTERESES]],"")</f>
        <v/>
      </c>
      <c r="F187" s="7">
        <f>+SUMIFS(FINANCIACION[$ CAPITAL],FINANCIACION[Fecha],"&lt;="&amp;FINANCIACION[[#This Row],[Fecha]],FINANCIACION[PRESTAMO],FINANCIACION[[#This Row],[PRESTAMO]])</f>
        <v>-92000000</v>
      </c>
      <c r="G187" s="11"/>
      <c r="H187" s="11"/>
      <c r="I187" s="7" t="b">
        <f>+IF(FINANCIACION[[#This Row],[$ CAPITAL]]&gt;0,FINANCIACION[[#This Row],[$ CAPITAL]])</f>
        <v>0</v>
      </c>
      <c r="J187" s="49">
        <f>+IF(FINANCIACION[[#This Row],[$ CAPITAL]]&gt;=0,FINANCIACION[[#This Row],[$ CAPITAL]]+FINANCIACION[[#This Row],[$ INTERESES]],0)</f>
        <v>0</v>
      </c>
    </row>
    <row r="188" spans="1:10" ht="24" hidden="1" customHeight="1" x14ac:dyDescent="0.25">
      <c r="A188" s="10">
        <v>43724</v>
      </c>
      <c r="B188" s="85" t="s">
        <v>449</v>
      </c>
      <c r="C188" s="7">
        <v>-15000000</v>
      </c>
      <c r="D188" s="7"/>
      <c r="E188" s="7" t="str">
        <f>+IF(FINANCIACION[[#This Row],[$ CAPITAL]]&gt;=0,FINANCIACION[[#This Row],[$ CAPITAL]]+FINANCIACION[[#This Row],[$ INTERESES]],"")</f>
        <v/>
      </c>
      <c r="F188" s="7">
        <f>+SUMIFS(FINANCIACION[$ CAPITAL],FINANCIACION[Fecha],"&lt;="&amp;FINANCIACION[[#This Row],[Fecha]],FINANCIACION[PRESTAMO],FINANCIACION[[#This Row],[PRESTAMO]])</f>
        <v>-107000000</v>
      </c>
      <c r="G188" s="11"/>
      <c r="H188" s="11"/>
      <c r="I188" s="7" t="b">
        <f>+IF(FINANCIACION[[#This Row],[$ CAPITAL]]&gt;0,FINANCIACION[[#This Row],[$ CAPITAL]])</f>
        <v>0</v>
      </c>
      <c r="J188" s="49">
        <f>+IF(FINANCIACION[[#This Row],[$ CAPITAL]]&gt;=0,FINANCIACION[[#This Row],[$ CAPITAL]]+FINANCIACION[[#This Row],[$ INTERESES]],0)</f>
        <v>0</v>
      </c>
    </row>
    <row r="189" spans="1:10" ht="24" hidden="1" customHeight="1" x14ac:dyDescent="0.25">
      <c r="A189" s="10">
        <v>43769</v>
      </c>
      <c r="B189" s="85" t="s">
        <v>449</v>
      </c>
      <c r="C189" s="7"/>
      <c r="D189" s="7">
        <v>1070000</v>
      </c>
      <c r="E189" s="7">
        <f>+IF(FINANCIACION[[#This Row],[$ CAPITAL]]&gt;=0,FINANCIACION[[#This Row],[$ CAPITAL]]+FINANCIACION[[#This Row],[$ INTERESES]],"")</f>
        <v>1070000</v>
      </c>
      <c r="F189" s="7">
        <f>+SUMIFS(FINANCIACION[$ CAPITAL],FINANCIACION[Fecha],"&lt;="&amp;FINANCIACION[[#This Row],[Fecha]],FINANCIACION[PRESTAMO],FINANCIACION[[#This Row],[PRESTAMO]])</f>
        <v>-107000000</v>
      </c>
      <c r="G189" s="11"/>
      <c r="H189" s="11"/>
      <c r="I189" s="7" t="b">
        <f>+IF(FINANCIACION[[#This Row],[$ CAPITAL]]&gt;0,FINANCIACION[[#This Row],[$ CAPITAL]])</f>
        <v>0</v>
      </c>
      <c r="J189" s="49">
        <f>+IF(FINANCIACION[[#This Row],[$ CAPITAL]]&gt;=0,FINANCIACION[[#This Row],[$ CAPITAL]]+FINANCIACION[[#This Row],[$ INTERESES]],0)</f>
        <v>1070000</v>
      </c>
    </row>
    <row r="190" spans="1:10" ht="24" hidden="1" customHeight="1" x14ac:dyDescent="0.25">
      <c r="A190" s="10">
        <v>43795</v>
      </c>
      <c r="B190" s="85" t="s">
        <v>449</v>
      </c>
      <c r="C190" s="7">
        <v>60000000</v>
      </c>
      <c r="D190" s="7"/>
      <c r="E190" s="7">
        <f>+IF(FINANCIACION[[#This Row],[$ CAPITAL]]&gt;=0,FINANCIACION[[#This Row],[$ CAPITAL]]+FINANCIACION[[#This Row],[$ INTERESES]],"")</f>
        <v>60000000</v>
      </c>
      <c r="F190" s="7">
        <f>+SUMIFS(FINANCIACION[$ CAPITAL],FINANCIACION[Fecha],"&lt;="&amp;FINANCIACION[[#This Row],[Fecha]],FINANCIACION[PRESTAMO],FINANCIACION[[#This Row],[PRESTAMO]])</f>
        <v>-47000000</v>
      </c>
      <c r="G190" s="11"/>
      <c r="H190" s="11"/>
      <c r="I190" s="7">
        <f>+IF(FINANCIACION[[#This Row],[$ CAPITAL]]&gt;0,FINANCIACION[[#This Row],[$ CAPITAL]])</f>
        <v>60000000</v>
      </c>
      <c r="J190" s="49">
        <f>+IF(FINANCIACION[[#This Row],[$ CAPITAL]]&gt;=0,FINANCIACION[[#This Row],[$ CAPITAL]]+FINANCIACION[[#This Row],[$ INTERESES]],0)</f>
        <v>60000000</v>
      </c>
    </row>
    <row r="191" spans="1:10" ht="24" hidden="1" customHeight="1" x14ac:dyDescent="0.25">
      <c r="A191" s="10">
        <v>43810</v>
      </c>
      <c r="B191" s="85" t="s">
        <v>449</v>
      </c>
      <c r="C191" s="7"/>
      <c r="D191" s="7">
        <v>1070000</v>
      </c>
      <c r="E191" s="7">
        <f>+IF(FINANCIACION[[#This Row],[$ CAPITAL]]&gt;=0,FINANCIACION[[#This Row],[$ CAPITAL]]+FINANCIACION[[#This Row],[$ INTERESES]],"")</f>
        <v>1070000</v>
      </c>
      <c r="F191" s="7">
        <f>+SUMIFS(FINANCIACION[$ CAPITAL],FINANCIACION[Fecha],"&lt;="&amp;FINANCIACION[[#This Row],[Fecha]],FINANCIACION[PRESTAMO],FINANCIACION[[#This Row],[PRESTAMO]])</f>
        <v>-47000000</v>
      </c>
      <c r="G191" s="11"/>
      <c r="H191" s="11"/>
      <c r="I191" s="7" t="b">
        <f>+IF(FINANCIACION[[#This Row],[$ CAPITAL]]&gt;0,FINANCIACION[[#This Row],[$ CAPITAL]])</f>
        <v>0</v>
      </c>
      <c r="J191" s="49">
        <f>+IF(FINANCIACION[[#This Row],[$ CAPITAL]]&gt;=0,FINANCIACION[[#This Row],[$ CAPITAL]]+FINANCIACION[[#This Row],[$ INTERESES]],0)</f>
        <v>1070000</v>
      </c>
    </row>
    <row r="192" spans="1:10" ht="24" hidden="1" customHeight="1" x14ac:dyDescent="0.25">
      <c r="A192" s="10">
        <v>43830</v>
      </c>
      <c r="B192" s="85" t="s">
        <v>449</v>
      </c>
      <c r="C192" s="7"/>
      <c r="D192" s="7">
        <v>470000</v>
      </c>
      <c r="E192" s="7">
        <f>+IF(FINANCIACION[[#This Row],[$ CAPITAL]]&gt;=0,FINANCIACION[[#This Row],[$ CAPITAL]]+FINANCIACION[[#This Row],[$ INTERESES]],"")</f>
        <v>470000</v>
      </c>
      <c r="F192" s="7">
        <f>+SUMIFS(FINANCIACION[$ CAPITAL],FINANCIACION[Fecha],"&lt;="&amp;FINANCIACION[[#This Row],[Fecha]],FINANCIACION[PRESTAMO],FINANCIACION[[#This Row],[PRESTAMO]])</f>
        <v>-47000000</v>
      </c>
      <c r="G192" s="11"/>
      <c r="H192" s="11"/>
      <c r="I192" s="7" t="b">
        <f>+IF(FINANCIACION[[#This Row],[$ CAPITAL]]&gt;0,FINANCIACION[[#This Row],[$ CAPITAL]])</f>
        <v>0</v>
      </c>
      <c r="J192" s="49">
        <f>+IF(FINANCIACION[[#This Row],[$ CAPITAL]]&gt;=0,FINANCIACION[[#This Row],[$ CAPITAL]]+FINANCIACION[[#This Row],[$ INTERESES]],0)</f>
        <v>470000</v>
      </c>
    </row>
    <row r="193" spans="1:10" ht="24" hidden="1" customHeight="1" x14ac:dyDescent="0.25">
      <c r="A193" s="10">
        <v>43861</v>
      </c>
      <c r="B193" s="85" t="s">
        <v>449</v>
      </c>
      <c r="C193" s="7"/>
      <c r="D193" s="7">
        <v>470000</v>
      </c>
      <c r="E193" s="7">
        <f>+IF(FINANCIACION[[#This Row],[$ CAPITAL]]&gt;=0,FINANCIACION[[#This Row],[$ CAPITAL]]+FINANCIACION[[#This Row],[$ INTERESES]],"")</f>
        <v>470000</v>
      </c>
      <c r="F193" s="7">
        <f>+SUMIFS(FINANCIACION[$ CAPITAL],FINANCIACION[Fecha],"&lt;="&amp;FINANCIACION[[#This Row],[Fecha]],FINANCIACION[PRESTAMO],FINANCIACION[[#This Row],[PRESTAMO]])</f>
        <v>-47000000</v>
      </c>
      <c r="G193" s="11"/>
      <c r="H193" s="11"/>
      <c r="I193" s="7" t="b">
        <f>+IF(FINANCIACION[[#This Row],[$ CAPITAL]]&gt;0,FINANCIACION[[#This Row],[$ CAPITAL]])</f>
        <v>0</v>
      </c>
      <c r="J193" s="49">
        <f>+IF(FINANCIACION[[#This Row],[$ CAPITAL]]&gt;=0,FINANCIACION[[#This Row],[$ CAPITAL]]+FINANCIACION[[#This Row],[$ INTERESES]],0)</f>
        <v>470000</v>
      </c>
    </row>
    <row r="194" spans="1:10" ht="24" hidden="1" customHeight="1" x14ac:dyDescent="0.25">
      <c r="A194" s="10">
        <v>43890</v>
      </c>
      <c r="B194" s="85" t="s">
        <v>449</v>
      </c>
      <c r="C194" s="7"/>
      <c r="D194" s="7">
        <v>470000</v>
      </c>
      <c r="E194" s="7">
        <f>+IF(FINANCIACION[[#This Row],[$ CAPITAL]]&gt;=0,FINANCIACION[[#This Row],[$ CAPITAL]]+FINANCIACION[[#This Row],[$ INTERESES]],"")</f>
        <v>470000</v>
      </c>
      <c r="F194" s="7">
        <f>+SUMIFS(FINANCIACION[$ CAPITAL],FINANCIACION[Fecha],"&lt;="&amp;FINANCIACION[[#This Row],[Fecha]],FINANCIACION[PRESTAMO],FINANCIACION[[#This Row],[PRESTAMO]])</f>
        <v>-67000000</v>
      </c>
      <c r="G194" s="11"/>
      <c r="H194" s="11"/>
      <c r="I194" s="7" t="b">
        <f>+IF(FINANCIACION[[#This Row],[$ CAPITAL]]&gt;0,FINANCIACION[[#This Row],[$ CAPITAL]])</f>
        <v>0</v>
      </c>
      <c r="J194" s="49">
        <f>+IF(FINANCIACION[[#This Row],[$ CAPITAL]]&gt;=0,FINANCIACION[[#This Row],[$ CAPITAL]]+FINANCIACION[[#This Row],[$ INTERESES]],0)</f>
        <v>470000</v>
      </c>
    </row>
    <row r="195" spans="1:10" ht="24" hidden="1" customHeight="1" x14ac:dyDescent="0.25">
      <c r="A195" s="10">
        <v>43890</v>
      </c>
      <c r="B195" s="85" t="s">
        <v>449</v>
      </c>
      <c r="C195" s="7">
        <v>-20000000</v>
      </c>
      <c r="D195" s="7"/>
      <c r="E195" s="7" t="str">
        <f>+IF(FINANCIACION[[#This Row],[$ CAPITAL]]&gt;=0,FINANCIACION[[#This Row],[$ CAPITAL]]+FINANCIACION[[#This Row],[$ INTERESES]],"")</f>
        <v/>
      </c>
      <c r="F195" s="7">
        <f>+SUMIFS(FINANCIACION[$ CAPITAL],FINANCIACION[Fecha],"&lt;="&amp;FINANCIACION[[#This Row],[Fecha]],FINANCIACION[PRESTAMO],FINANCIACION[[#This Row],[PRESTAMO]])</f>
        <v>-67000000</v>
      </c>
      <c r="G195" s="11"/>
      <c r="H195" s="11"/>
      <c r="I195" s="7" t="b">
        <f>+IF(FINANCIACION[[#This Row],[$ CAPITAL]]&gt;0,FINANCIACION[[#This Row],[$ CAPITAL]])</f>
        <v>0</v>
      </c>
      <c r="J195" s="49">
        <f>+IF(FINANCIACION[[#This Row],[$ CAPITAL]]&gt;=0,FINANCIACION[[#This Row],[$ CAPITAL]]+FINANCIACION[[#This Row],[$ INTERESES]],0)</f>
        <v>0</v>
      </c>
    </row>
    <row r="196" spans="1:10" ht="24" hidden="1" customHeight="1" x14ac:dyDescent="0.25">
      <c r="A196" s="10">
        <v>43901</v>
      </c>
      <c r="B196" s="85" t="s">
        <v>449</v>
      </c>
      <c r="C196" s="7">
        <v>-9050000</v>
      </c>
      <c r="D196" s="7"/>
      <c r="E196" s="7" t="str">
        <f>+IF(FINANCIACION[[#This Row],[$ CAPITAL]]&gt;=0,FINANCIACION[[#This Row],[$ CAPITAL]]+FINANCIACION[[#This Row],[$ INTERESES]],"")</f>
        <v/>
      </c>
      <c r="F196" s="7">
        <f>+SUMIFS(FINANCIACION[$ CAPITAL],FINANCIACION[Fecha],"&lt;="&amp;FINANCIACION[[#This Row],[Fecha]],FINANCIACION[PRESTAMO],FINANCIACION[[#This Row],[PRESTAMO]])</f>
        <v>-76050000</v>
      </c>
      <c r="G196" s="11"/>
      <c r="H196" s="11"/>
      <c r="I196" s="7" t="b">
        <f>+IF(FINANCIACION[[#This Row],[$ CAPITAL]]&gt;0,FINANCIACION[[#This Row],[$ CAPITAL]])</f>
        <v>0</v>
      </c>
      <c r="J196" s="49">
        <f>+IF(FINANCIACION[[#This Row],[$ CAPITAL]]&gt;=0,FINANCIACION[[#This Row],[$ CAPITAL]]+FINANCIACION[[#This Row],[$ INTERESES]],0)</f>
        <v>0</v>
      </c>
    </row>
    <row r="197" spans="1:10" ht="24" hidden="1" customHeight="1" x14ac:dyDescent="0.25">
      <c r="A197" s="10">
        <v>43921</v>
      </c>
      <c r="B197" s="85" t="s">
        <v>449</v>
      </c>
      <c r="C197" s="7">
        <v>-30000000</v>
      </c>
      <c r="D197" s="7"/>
      <c r="E197" s="7" t="str">
        <f>+IF(FINANCIACION[[#This Row],[$ CAPITAL]]&gt;=0,FINANCIACION[[#This Row],[$ CAPITAL]]+FINANCIACION[[#This Row],[$ INTERESES]],"")</f>
        <v/>
      </c>
      <c r="F197" s="7">
        <f>+SUMIFS(FINANCIACION[$ CAPITAL],FINANCIACION[Fecha],"&lt;="&amp;FINANCIACION[[#This Row],[Fecha]],FINANCIACION[PRESTAMO],FINANCIACION[[#This Row],[PRESTAMO]])</f>
        <v>-110000000</v>
      </c>
      <c r="G197" s="11"/>
      <c r="H197" s="11"/>
      <c r="I197" s="7" t="b">
        <f>+IF(FINANCIACION[[#This Row],[$ CAPITAL]]&gt;0,FINANCIACION[[#This Row],[$ CAPITAL]])</f>
        <v>0</v>
      </c>
      <c r="J197" s="49">
        <f>+IF(FINANCIACION[[#This Row],[$ CAPITAL]]&gt;=0,FINANCIACION[[#This Row],[$ CAPITAL]]+FINANCIACION[[#This Row],[$ INTERESES]],0)</f>
        <v>0</v>
      </c>
    </row>
    <row r="198" spans="1:10" ht="24" hidden="1" customHeight="1" x14ac:dyDescent="0.25">
      <c r="A198" s="10">
        <v>43921</v>
      </c>
      <c r="B198" s="85" t="s">
        <v>449</v>
      </c>
      <c r="C198" s="7">
        <v>-3950000</v>
      </c>
      <c r="D198" s="7"/>
      <c r="E198" s="7" t="str">
        <f>+IF(FINANCIACION[[#This Row],[$ CAPITAL]]&gt;=0,FINANCIACION[[#This Row],[$ CAPITAL]]+FINANCIACION[[#This Row],[$ INTERESES]],"")</f>
        <v/>
      </c>
      <c r="F198" s="7">
        <f>+SUMIFS(FINANCIACION[$ CAPITAL],FINANCIACION[Fecha],"&lt;="&amp;FINANCIACION[[#This Row],[Fecha]],FINANCIACION[PRESTAMO],FINANCIACION[[#This Row],[PRESTAMO]])</f>
        <v>-110000000</v>
      </c>
      <c r="G198" s="11"/>
      <c r="H198" s="11"/>
      <c r="I198" s="7" t="b">
        <f>+IF(FINANCIACION[[#This Row],[$ CAPITAL]]&gt;0,FINANCIACION[[#This Row],[$ CAPITAL]])</f>
        <v>0</v>
      </c>
      <c r="J198" s="49">
        <f>+IF(FINANCIACION[[#This Row],[$ CAPITAL]]&gt;=0,FINANCIACION[[#This Row],[$ CAPITAL]]+FINANCIACION[[#This Row],[$ INTERESES]],0)</f>
        <v>0</v>
      </c>
    </row>
    <row r="199" spans="1:10" ht="24" hidden="1" customHeight="1" x14ac:dyDescent="0.25">
      <c r="A199" s="10">
        <v>44001</v>
      </c>
      <c r="B199" s="85" t="s">
        <v>449</v>
      </c>
      <c r="C199" s="7"/>
      <c r="D199" s="7">
        <v>1100000</v>
      </c>
      <c r="E199" s="7">
        <f>+IF(FINANCIACION[[#This Row],[$ CAPITAL]]&gt;=0,FINANCIACION[[#This Row],[$ CAPITAL]]+FINANCIACION[[#This Row],[$ INTERESES]],"")</f>
        <v>1100000</v>
      </c>
      <c r="F199" s="7">
        <f>+SUMIFS(FINANCIACION[$ CAPITAL],FINANCIACION[Fecha],"&lt;="&amp;FINANCIACION[[#This Row],[Fecha]],FINANCIACION[PRESTAMO],FINANCIACION[[#This Row],[PRESTAMO]])</f>
        <v>-110000000</v>
      </c>
      <c r="G199" s="11"/>
      <c r="H199" s="11"/>
      <c r="I199" s="7" t="b">
        <f>+IF(FINANCIACION[[#This Row],[$ CAPITAL]]&gt;0,FINANCIACION[[#This Row],[$ CAPITAL]])</f>
        <v>0</v>
      </c>
      <c r="J199" s="49">
        <f>+IF(FINANCIACION[[#This Row],[$ CAPITAL]]&gt;=0,FINANCIACION[[#This Row],[$ CAPITAL]]+FINANCIACION[[#This Row],[$ INTERESES]],0)</f>
        <v>1100000</v>
      </c>
    </row>
    <row r="200" spans="1:10" ht="24" hidden="1" customHeight="1" x14ac:dyDescent="0.25">
      <c r="A200" s="10">
        <v>44081</v>
      </c>
      <c r="B200" s="85" t="s">
        <v>449</v>
      </c>
      <c r="C200" s="7"/>
      <c r="D200" s="7">
        <v>1100000</v>
      </c>
      <c r="E200" s="7">
        <f>+IF(FINANCIACION[[#This Row],[$ CAPITAL]]&gt;=0,FINANCIACION[[#This Row],[$ CAPITAL]]+FINANCIACION[[#This Row],[$ INTERESES]],"")</f>
        <v>1100000</v>
      </c>
      <c r="F200" s="7">
        <f>+SUMIFS(FINANCIACION[$ CAPITAL],FINANCIACION[Fecha],"&lt;="&amp;FINANCIACION[[#This Row],[Fecha]],FINANCIACION[PRESTAMO],FINANCIACION[[#This Row],[PRESTAMO]])</f>
        <v>-110000000</v>
      </c>
      <c r="G200" s="11"/>
      <c r="H200" s="11"/>
      <c r="I200" s="7" t="b">
        <f>+IF(FINANCIACION[[#This Row],[$ CAPITAL]]&gt;0,FINANCIACION[[#This Row],[$ CAPITAL]])</f>
        <v>0</v>
      </c>
      <c r="J200" s="49">
        <f>+IF(FINANCIACION[[#This Row],[$ CAPITAL]]&gt;=0,FINANCIACION[[#This Row],[$ CAPITAL]]+FINANCIACION[[#This Row],[$ INTERESES]],0)</f>
        <v>1100000</v>
      </c>
    </row>
    <row r="201" spans="1:10" ht="24" hidden="1" customHeight="1" x14ac:dyDescent="0.25">
      <c r="A201" s="10">
        <v>44109</v>
      </c>
      <c r="B201" s="85" t="s">
        <v>449</v>
      </c>
      <c r="C201" s="7"/>
      <c r="D201" s="7">
        <v>1100000</v>
      </c>
      <c r="E201" s="7">
        <f>+IF(FINANCIACION[[#This Row],[$ CAPITAL]]&gt;=0,FINANCIACION[[#This Row],[$ CAPITAL]]+FINANCIACION[[#This Row],[$ INTERESES]],"")</f>
        <v>1100000</v>
      </c>
      <c r="F201" s="7">
        <f>+SUMIFS(FINANCIACION[$ CAPITAL],FINANCIACION[Fecha],"&lt;="&amp;FINANCIACION[[#This Row],[Fecha]],FINANCIACION[PRESTAMO],FINANCIACION[[#This Row],[PRESTAMO]])</f>
        <v>-110000000</v>
      </c>
      <c r="G201" s="11"/>
      <c r="H201" s="11"/>
      <c r="I201" s="7" t="b">
        <f>+IF(FINANCIACION[[#This Row],[$ CAPITAL]]&gt;0,FINANCIACION[[#This Row],[$ CAPITAL]])</f>
        <v>0</v>
      </c>
      <c r="J201" s="49">
        <f>+IF(FINANCIACION[[#This Row],[$ CAPITAL]]&gt;=0,FINANCIACION[[#This Row],[$ CAPITAL]]+FINANCIACION[[#This Row],[$ INTERESES]],0)</f>
        <v>1100000</v>
      </c>
    </row>
    <row r="202" spans="1:10" ht="24" hidden="1" customHeight="1" x14ac:dyDescent="0.25">
      <c r="A202" s="10">
        <v>44146</v>
      </c>
      <c r="B202" s="85" t="s">
        <v>449</v>
      </c>
      <c r="C202" s="7"/>
      <c r="D202" s="7">
        <v>1100000</v>
      </c>
      <c r="E202" s="7">
        <f>+IF(FINANCIACION[[#This Row],[$ CAPITAL]]&gt;=0,FINANCIACION[[#This Row],[$ CAPITAL]]+FINANCIACION[[#This Row],[$ INTERESES]],"")</f>
        <v>1100000</v>
      </c>
      <c r="F202" s="7">
        <f>+SUMIFS(FINANCIACION[$ CAPITAL],FINANCIACION[Fecha],"&lt;="&amp;FINANCIACION[[#This Row],[Fecha]],FINANCIACION[PRESTAMO],FINANCIACION[[#This Row],[PRESTAMO]])</f>
        <v>-110000000</v>
      </c>
      <c r="G202" s="11"/>
      <c r="H202" s="11"/>
      <c r="I202" s="7" t="b">
        <f>+IF(FINANCIACION[[#This Row],[$ CAPITAL]]&gt;0,FINANCIACION[[#This Row],[$ CAPITAL]])</f>
        <v>0</v>
      </c>
      <c r="J202" s="49">
        <f>+IF(FINANCIACION[[#This Row],[$ CAPITAL]]&gt;=0,FINANCIACION[[#This Row],[$ CAPITAL]]+FINANCIACION[[#This Row],[$ INTERESES]],0)</f>
        <v>1100000</v>
      </c>
    </row>
    <row r="203" spans="1:10" ht="24" hidden="1" customHeight="1" x14ac:dyDescent="0.25">
      <c r="A203" s="10">
        <v>44177</v>
      </c>
      <c r="B203" s="85" t="s">
        <v>449</v>
      </c>
      <c r="C203" s="7"/>
      <c r="D203" s="7">
        <v>1100000</v>
      </c>
      <c r="E203" s="7">
        <f>+IF(FINANCIACION[[#This Row],[$ CAPITAL]]&gt;=0,FINANCIACION[[#This Row],[$ CAPITAL]]+FINANCIACION[[#This Row],[$ INTERESES]],"")</f>
        <v>1100000</v>
      </c>
      <c r="F203" s="7">
        <f>+SUMIFS(FINANCIACION[$ CAPITAL],FINANCIACION[Fecha],"&lt;="&amp;FINANCIACION[[#This Row],[Fecha]],FINANCIACION[PRESTAMO],FINANCIACION[[#This Row],[PRESTAMO]])</f>
        <v>-110000000</v>
      </c>
      <c r="G203" s="11"/>
      <c r="H203" s="11"/>
      <c r="I203" s="7" t="b">
        <f>+IF(FINANCIACION[[#This Row],[$ CAPITAL]]&gt;0,FINANCIACION[[#This Row],[$ CAPITAL]])</f>
        <v>0</v>
      </c>
      <c r="J203" s="49">
        <f>+IF(FINANCIACION[[#This Row],[$ CAPITAL]]&gt;=0,FINANCIACION[[#This Row],[$ CAPITAL]]+FINANCIACION[[#This Row],[$ INTERESES]],0)</f>
        <v>1100000</v>
      </c>
    </row>
    <row r="204" spans="1:10" ht="24" hidden="1" customHeight="1" x14ac:dyDescent="0.25">
      <c r="A204" s="10">
        <v>44210</v>
      </c>
      <c r="B204" s="85" t="s">
        <v>449</v>
      </c>
      <c r="C204" s="7"/>
      <c r="D204" s="7"/>
      <c r="E204" s="7">
        <f>+IF(FINANCIACION[[#This Row],[$ CAPITAL]]&gt;=0,FINANCIACION[[#This Row],[$ CAPITAL]]+FINANCIACION[[#This Row],[$ INTERESES]],"")</f>
        <v>0</v>
      </c>
      <c r="F204" s="7">
        <f>+SUMIFS(FINANCIACION[$ CAPITAL],FINANCIACION[Fecha],"&lt;="&amp;FINANCIACION[[#This Row],[Fecha]],FINANCIACION[PRESTAMO],FINANCIACION[[#This Row],[PRESTAMO]])</f>
        <v>-110000000</v>
      </c>
      <c r="G204" s="11"/>
      <c r="H204" s="11"/>
      <c r="I204" s="7" t="b">
        <f>+IF(FINANCIACION[[#This Row],[$ CAPITAL]]&gt;0,FINANCIACION[[#This Row],[$ CAPITAL]])</f>
        <v>0</v>
      </c>
      <c r="J204" s="49">
        <f>+IF(FINANCIACION[[#This Row],[$ CAPITAL]]&gt;=0,FINANCIACION[[#This Row],[$ CAPITAL]]+FINANCIACION[[#This Row],[$ INTERESES]],0)</f>
        <v>0</v>
      </c>
    </row>
    <row r="205" spans="1:10" ht="24" hidden="1" customHeight="1" x14ac:dyDescent="0.25">
      <c r="A205" s="10">
        <v>44240</v>
      </c>
      <c r="B205" s="85" t="s">
        <v>449</v>
      </c>
      <c r="C205" s="7"/>
      <c r="D205" s="7">
        <v>1100000</v>
      </c>
      <c r="E205" s="7">
        <f>+IF(FINANCIACION[[#This Row],[$ CAPITAL]]&gt;=0,FINANCIACION[[#This Row],[$ CAPITAL]]+FINANCIACION[[#This Row],[$ INTERESES]],"")</f>
        <v>1100000</v>
      </c>
      <c r="F205" s="7">
        <f>+SUMIFS(FINANCIACION[$ CAPITAL],FINANCIACION[Fecha],"&lt;="&amp;FINANCIACION[[#This Row],[Fecha]],FINANCIACION[PRESTAMO],FINANCIACION[[#This Row],[PRESTAMO]])</f>
        <v>-110000000</v>
      </c>
      <c r="G205" s="11"/>
      <c r="H205" s="11"/>
      <c r="I205" s="7" t="b">
        <f>+IF(FINANCIACION[[#This Row],[$ CAPITAL]]&gt;0,FINANCIACION[[#This Row],[$ CAPITAL]])</f>
        <v>0</v>
      </c>
      <c r="J205" s="49">
        <f>+IF(FINANCIACION[[#This Row],[$ CAPITAL]]&gt;=0,FINANCIACION[[#This Row],[$ CAPITAL]]+FINANCIACION[[#This Row],[$ INTERESES]],0)</f>
        <v>1100000</v>
      </c>
    </row>
    <row r="206" spans="1:10" ht="24" hidden="1" customHeight="1" x14ac:dyDescent="0.25">
      <c r="A206" s="10">
        <v>44245</v>
      </c>
      <c r="B206" s="85" t="s">
        <v>449</v>
      </c>
      <c r="C206" s="7">
        <v>50000000</v>
      </c>
      <c r="D206" s="7"/>
      <c r="E206" s="7">
        <f>+IF(FINANCIACION[[#This Row],[$ CAPITAL]]&gt;=0,FINANCIACION[[#This Row],[$ CAPITAL]]+FINANCIACION[[#This Row],[$ INTERESES]],"")</f>
        <v>50000000</v>
      </c>
      <c r="F206" s="7">
        <f>+SUMIFS(FINANCIACION[$ CAPITAL],FINANCIACION[Fecha],"&lt;="&amp;FINANCIACION[[#This Row],[Fecha]],FINANCIACION[PRESTAMO],FINANCIACION[[#This Row],[PRESTAMO]])</f>
        <v>-60000000</v>
      </c>
      <c r="G206" s="11"/>
      <c r="H206" s="11"/>
      <c r="I206" s="7">
        <f>+IF(FINANCIACION[[#This Row],[$ CAPITAL]]&gt;0,FINANCIACION[[#This Row],[$ CAPITAL]])</f>
        <v>50000000</v>
      </c>
      <c r="J206" s="12">
        <f>+IF(FINANCIACION[[#This Row],[$ CAPITAL]]&gt;=0,FINANCIACION[[#This Row],[$ CAPITAL]]+FINANCIACION[[#This Row],[$ INTERESES]],0)</f>
        <v>50000000</v>
      </c>
    </row>
    <row r="207" spans="1:10" ht="24" hidden="1" customHeight="1" x14ac:dyDescent="0.25">
      <c r="A207" s="10">
        <v>44301</v>
      </c>
      <c r="B207" s="85" t="s">
        <v>449</v>
      </c>
      <c r="C207" s="7">
        <v>40000000</v>
      </c>
      <c r="D207" s="7"/>
      <c r="E207" s="7">
        <f>+IF(FINANCIACION[[#This Row],[$ CAPITAL]]&gt;=0,FINANCIACION[[#This Row],[$ CAPITAL]]+FINANCIACION[[#This Row],[$ INTERESES]],"")</f>
        <v>40000000</v>
      </c>
      <c r="F207" s="7">
        <f>+SUMIFS(FINANCIACION[$ CAPITAL],FINANCIACION[Fecha],"&lt;="&amp;FINANCIACION[[#This Row],[Fecha]],FINANCIACION[PRESTAMO],FINANCIACION[[#This Row],[PRESTAMO]])</f>
        <v>-20000000</v>
      </c>
      <c r="G207" s="11"/>
      <c r="H207" s="91"/>
      <c r="I207" s="7">
        <f>+IF(FINANCIACION[[#This Row],[$ CAPITAL]]&gt;0,FINANCIACION[[#This Row],[$ CAPITAL]])</f>
        <v>40000000</v>
      </c>
      <c r="J207" s="12">
        <f>+IF(FINANCIACION[[#This Row],[$ CAPITAL]]&gt;=0,FINANCIACION[[#This Row],[$ CAPITAL]]+FINANCIACION[[#This Row],[$ INTERESES]],0)</f>
        <v>40000000</v>
      </c>
    </row>
    <row r="208" spans="1:10" ht="24" hidden="1" customHeight="1" x14ac:dyDescent="0.25">
      <c r="A208" s="10">
        <v>44336</v>
      </c>
      <c r="B208" s="85" t="s">
        <v>449</v>
      </c>
      <c r="C208" s="7">
        <v>10000000</v>
      </c>
      <c r="D208" s="7"/>
      <c r="E208" s="7">
        <f>+IF(FINANCIACION[[#This Row],[$ CAPITAL]]&gt;=0,FINANCIACION[[#This Row],[$ CAPITAL]]+FINANCIACION[[#This Row],[$ INTERESES]],"")</f>
        <v>10000000</v>
      </c>
      <c r="F208" s="7">
        <f>+SUMIFS(FINANCIACION[$ CAPITAL],FINANCIACION[Fecha],"&lt;="&amp;FINANCIACION[[#This Row],[Fecha]],FINANCIACION[PRESTAMO],FINANCIACION[[#This Row],[PRESTAMO]])</f>
        <v>-10000000</v>
      </c>
      <c r="G208" s="11"/>
      <c r="H208" s="91"/>
      <c r="I208" s="7">
        <f>+IF(FINANCIACION[[#This Row],[$ CAPITAL]]&gt;0,FINANCIACION[[#This Row],[$ CAPITAL]])</f>
        <v>10000000</v>
      </c>
      <c r="J208" s="12">
        <f>+IF(FINANCIACION[[#This Row],[$ CAPITAL]]&gt;=0,FINANCIACION[[#This Row],[$ CAPITAL]]+FINANCIACION[[#This Row],[$ INTERESES]],0)</f>
        <v>10000000</v>
      </c>
    </row>
    <row r="209" spans="1:10" ht="24" hidden="1" customHeight="1" x14ac:dyDescent="0.25">
      <c r="A209" s="10">
        <v>44347</v>
      </c>
      <c r="B209" s="85" t="s">
        <v>449</v>
      </c>
      <c r="C209" s="7">
        <v>10000000</v>
      </c>
      <c r="D209" s="7"/>
      <c r="E209" s="7">
        <f>+IF(FINANCIACION[[#This Row],[$ CAPITAL]]&gt;=0,FINANCIACION[[#This Row],[$ CAPITAL]]+FINANCIACION[[#This Row],[$ INTERESES]],"")</f>
        <v>10000000</v>
      </c>
      <c r="F209" s="7">
        <f>+SUMIFS(FINANCIACION[$ CAPITAL],FINANCIACION[Fecha],"&lt;="&amp;FINANCIACION[[#This Row],[Fecha]],FINANCIACION[PRESTAMO],FINANCIACION[[#This Row],[PRESTAMO]])</f>
        <v>0</v>
      </c>
      <c r="G209" s="91" t="s">
        <v>512</v>
      </c>
      <c r="H209" s="11"/>
      <c r="I209" s="7">
        <f>+IF(FINANCIACION[[#This Row],[$ CAPITAL]]&gt;0,FINANCIACION[[#This Row],[$ CAPITAL]])</f>
        <v>10000000</v>
      </c>
      <c r="J209" s="49">
        <f>+IF(FINANCIACION[[#This Row],[$ CAPITAL]]&gt;=0,FINANCIACION[[#This Row],[$ CAPITAL]]+FINANCIACION[[#This Row],[$ INTERESES]],0)</f>
        <v>10000000</v>
      </c>
    </row>
    <row r="210" spans="1:10" ht="24" hidden="1" customHeight="1" x14ac:dyDescent="0.25">
      <c r="A210" s="10">
        <v>44073</v>
      </c>
      <c r="B210" s="85" t="s">
        <v>450</v>
      </c>
      <c r="C210" s="7">
        <v>-8000000</v>
      </c>
      <c r="D210" s="7"/>
      <c r="E210" s="7" t="str">
        <f>+IF(FINANCIACION[[#This Row],[$ CAPITAL]]&gt;=0,FINANCIACION[[#This Row],[$ CAPITAL]]+FINANCIACION[[#This Row],[$ INTERESES]],"")</f>
        <v/>
      </c>
      <c r="F210" s="7">
        <f>+SUMIFS(FINANCIACION[$ CAPITAL],FINANCIACION[Fecha],"&lt;="&amp;FINANCIACION[[#This Row],[Fecha]],FINANCIACION[PRESTAMO],FINANCIACION[[#This Row],[PRESTAMO]])</f>
        <v>-8000000</v>
      </c>
      <c r="G210" s="11"/>
      <c r="H210" s="11"/>
      <c r="I210" s="7" t="b">
        <f>+IF(FINANCIACION[[#This Row],[$ CAPITAL]]&gt;0,FINANCIACION[[#This Row],[$ CAPITAL]])</f>
        <v>0</v>
      </c>
      <c r="J210" s="49">
        <f>+IF(FINANCIACION[[#This Row],[$ CAPITAL]]&gt;=0,FINANCIACION[[#This Row],[$ CAPITAL]]+FINANCIACION[[#This Row],[$ INTERESES]],0)</f>
        <v>0</v>
      </c>
    </row>
    <row r="211" spans="1:10" ht="24" hidden="1" customHeight="1" x14ac:dyDescent="0.25">
      <c r="A211" s="10">
        <v>44110</v>
      </c>
      <c r="B211" s="85" t="s">
        <v>450</v>
      </c>
      <c r="C211" s="7"/>
      <c r="D211" s="7">
        <v>640000</v>
      </c>
      <c r="E211" s="7">
        <f>+IF(FINANCIACION[[#This Row],[$ CAPITAL]]&gt;=0,FINANCIACION[[#This Row],[$ CAPITAL]]+FINANCIACION[[#This Row],[$ INTERESES]],"")</f>
        <v>640000</v>
      </c>
      <c r="F211" s="7">
        <f>+SUMIFS(FINANCIACION[$ CAPITAL],FINANCIACION[Fecha],"&lt;="&amp;FINANCIACION[[#This Row],[Fecha]],FINANCIACION[PRESTAMO],FINANCIACION[[#This Row],[PRESTAMO]])</f>
        <v>-8000000</v>
      </c>
      <c r="G211" s="11"/>
      <c r="H211" s="11"/>
      <c r="I211" s="7" t="b">
        <f>+IF(FINANCIACION[[#This Row],[$ CAPITAL]]&gt;0,FINANCIACION[[#This Row],[$ CAPITAL]])</f>
        <v>0</v>
      </c>
      <c r="J211" s="49">
        <f>+IF(FINANCIACION[[#This Row],[$ CAPITAL]]&gt;=0,FINANCIACION[[#This Row],[$ CAPITAL]]+FINANCIACION[[#This Row],[$ INTERESES]],0)</f>
        <v>640000</v>
      </c>
    </row>
    <row r="212" spans="1:10" ht="24" hidden="1" customHeight="1" x14ac:dyDescent="0.25">
      <c r="A212" s="10">
        <v>44301</v>
      </c>
      <c r="B212" s="85" t="s">
        <v>659</v>
      </c>
      <c r="C212" s="7">
        <v>-12000000</v>
      </c>
      <c r="D212" s="7"/>
      <c r="E212" s="7" t="str">
        <f>+IF(FINANCIACION[[#This Row],[$ CAPITAL]]&gt;=0,FINANCIACION[[#This Row],[$ CAPITAL]]+FINANCIACION[[#This Row],[$ INTERESES]],"")</f>
        <v/>
      </c>
      <c r="F212" s="7">
        <f>+SUMIFS(FINANCIACION[$ CAPITAL],FINANCIACION[Fecha],"&lt;="&amp;FINANCIACION[[#This Row],[Fecha]],FINANCIACION[PRESTAMO],FINANCIACION[[#This Row],[PRESTAMO]])</f>
        <v>-12000000</v>
      </c>
      <c r="G212" s="11"/>
      <c r="H212" s="91"/>
      <c r="I212" s="7" t="b">
        <f>+IF(FINANCIACION[[#This Row],[$ CAPITAL]]&gt;0,FINANCIACION[[#This Row],[$ CAPITAL]])</f>
        <v>0</v>
      </c>
      <c r="J212" s="12">
        <f>+IF(FINANCIACION[[#This Row],[$ CAPITAL]]&gt;=0,FINANCIACION[[#This Row],[$ CAPITAL]]+FINANCIACION[[#This Row],[$ INTERESES]],0)</f>
        <v>0</v>
      </c>
    </row>
    <row r="213" spans="1:10" ht="24" hidden="1" customHeight="1" x14ac:dyDescent="0.25">
      <c r="A213" s="10">
        <v>44340</v>
      </c>
      <c r="B213" s="85" t="s">
        <v>659</v>
      </c>
      <c r="C213" s="7"/>
      <c r="D213" s="7">
        <v>120000</v>
      </c>
      <c r="E213" s="7">
        <f>+IF(FINANCIACION[[#This Row],[$ CAPITAL]]&gt;=0,FINANCIACION[[#This Row],[$ CAPITAL]]+FINANCIACION[[#This Row],[$ INTERESES]],"")</f>
        <v>120000</v>
      </c>
      <c r="F213" s="7">
        <f>+SUMIFS(FINANCIACION[$ CAPITAL],FINANCIACION[Fecha],"&lt;="&amp;FINANCIACION[[#This Row],[Fecha]],FINANCIACION[PRESTAMO],FINANCIACION[[#This Row],[PRESTAMO]])</f>
        <v>-12000000</v>
      </c>
      <c r="G213" s="91"/>
      <c r="H213" s="11"/>
      <c r="I213" s="7" t="b">
        <f>+IF(FINANCIACION[[#This Row],[$ CAPITAL]]&gt;0,FINANCIACION[[#This Row],[$ CAPITAL]])</f>
        <v>0</v>
      </c>
      <c r="J213" s="49">
        <f>+IF(FINANCIACION[[#This Row],[$ CAPITAL]]&gt;=0,FINANCIACION[[#This Row],[$ CAPITAL]]+FINANCIACION[[#This Row],[$ INTERESES]],0)</f>
        <v>120000</v>
      </c>
    </row>
    <row r="214" spans="1:10" ht="24" hidden="1" customHeight="1" x14ac:dyDescent="0.25">
      <c r="A214" s="10">
        <v>44358</v>
      </c>
      <c r="B214" s="85" t="s">
        <v>659</v>
      </c>
      <c r="C214" s="7"/>
      <c r="D214" s="7">
        <v>120000</v>
      </c>
      <c r="E214" s="7">
        <f>+IF(FINANCIACION[[#This Row],[$ CAPITAL]]&gt;=0,FINANCIACION[[#This Row],[$ CAPITAL]]+FINANCIACION[[#This Row],[$ INTERESES]],"")</f>
        <v>120000</v>
      </c>
      <c r="F214" s="7">
        <f>+SUMIFS(FINANCIACION[$ CAPITAL],FINANCIACION[Fecha],"&lt;="&amp;FINANCIACION[[#This Row],[Fecha]],FINANCIACION[PRESTAMO],FINANCIACION[[#This Row],[PRESTAMO]])</f>
        <v>-12000000</v>
      </c>
      <c r="G214" s="91"/>
      <c r="H214" s="11"/>
      <c r="I214" s="7" t="b">
        <f>+IF(FINANCIACION[[#This Row],[$ CAPITAL]]&gt;0,FINANCIACION[[#This Row],[$ CAPITAL]])</f>
        <v>0</v>
      </c>
      <c r="J214" s="49">
        <f>+IF(FINANCIACION[[#This Row],[$ CAPITAL]]&gt;=0,FINANCIACION[[#This Row],[$ CAPITAL]]+FINANCIACION[[#This Row],[$ INTERESES]],0)</f>
        <v>120000</v>
      </c>
    </row>
    <row r="215" spans="1:10" ht="24" hidden="1" customHeight="1" x14ac:dyDescent="0.25">
      <c r="A215" s="10">
        <v>44390</v>
      </c>
      <c r="B215" s="85" t="s">
        <v>659</v>
      </c>
      <c r="C215" s="7"/>
      <c r="D215" s="7">
        <v>120000</v>
      </c>
      <c r="E215" s="7">
        <f>+IF(FINANCIACION[[#This Row],[$ CAPITAL]]&gt;=0,FINANCIACION[[#This Row],[$ CAPITAL]]+FINANCIACION[[#This Row],[$ INTERESES]],"")</f>
        <v>120000</v>
      </c>
      <c r="F215" s="7">
        <f>+SUMIFS(FINANCIACION[$ CAPITAL],FINANCIACION[Fecha],"&lt;="&amp;FINANCIACION[[#This Row],[Fecha]],FINANCIACION[PRESTAMO],FINANCIACION[[#This Row],[PRESTAMO]])</f>
        <v>-12000000</v>
      </c>
      <c r="G215" s="91"/>
      <c r="H215" s="11"/>
      <c r="I215" s="7" t="b">
        <f>+IF(FINANCIACION[[#This Row],[$ CAPITAL]]&gt;0,FINANCIACION[[#This Row],[$ CAPITAL]])</f>
        <v>0</v>
      </c>
      <c r="J215" s="49">
        <f>+IF(FINANCIACION[[#This Row],[$ CAPITAL]]&gt;=0,FINANCIACION[[#This Row],[$ CAPITAL]]+FINANCIACION[[#This Row],[$ INTERESES]],0)</f>
        <v>120000</v>
      </c>
    </row>
    <row r="216" spans="1:10" ht="24" hidden="1" customHeight="1" x14ac:dyDescent="0.25">
      <c r="A216" s="10">
        <v>44425</v>
      </c>
      <c r="B216" s="85" t="s">
        <v>659</v>
      </c>
      <c r="C216" s="7"/>
      <c r="D216" s="7">
        <v>120000</v>
      </c>
      <c r="E216" s="7">
        <f>+IF(FINANCIACION[[#This Row],[$ CAPITAL]]&gt;=0,FINANCIACION[[#This Row],[$ CAPITAL]]+FINANCIACION[[#This Row],[$ INTERESES]],"")</f>
        <v>120000</v>
      </c>
      <c r="F216" s="7">
        <f>+SUMIFS(FINANCIACION[$ CAPITAL],FINANCIACION[Fecha],"&lt;="&amp;FINANCIACION[[#This Row],[Fecha]],FINANCIACION[PRESTAMO],FINANCIACION[[#This Row],[PRESTAMO]])</f>
        <v>-12000000</v>
      </c>
      <c r="G216" s="91"/>
      <c r="H216" s="11"/>
      <c r="I216" s="7" t="b">
        <f>+IF(FINANCIACION[[#This Row],[$ CAPITAL]]&gt;0,FINANCIACION[[#This Row],[$ CAPITAL]])</f>
        <v>0</v>
      </c>
      <c r="J216" s="49">
        <f>+IF(FINANCIACION[[#This Row],[$ CAPITAL]]&gt;=0,FINANCIACION[[#This Row],[$ CAPITAL]]+FINANCIACION[[#This Row],[$ INTERESES]],0)</f>
        <v>120000</v>
      </c>
    </row>
    <row r="217" spans="1:10" ht="24" hidden="1" customHeight="1" x14ac:dyDescent="0.25">
      <c r="A217" s="10">
        <v>44450</v>
      </c>
      <c r="B217" s="85" t="s">
        <v>659</v>
      </c>
      <c r="C217" s="7"/>
      <c r="D217" s="7">
        <v>120000</v>
      </c>
      <c r="E217" s="7">
        <f>+IF(FINANCIACION[[#This Row],[$ CAPITAL]]&gt;=0,FINANCIACION[[#This Row],[$ CAPITAL]]+FINANCIACION[[#This Row],[$ INTERESES]],"")</f>
        <v>120000</v>
      </c>
      <c r="F217" s="7">
        <f>+SUMIFS(FINANCIACION[$ CAPITAL],FINANCIACION[Fecha],"&lt;="&amp;FINANCIACION[[#This Row],[Fecha]],FINANCIACION[PRESTAMO],FINANCIACION[[#This Row],[PRESTAMO]])</f>
        <v>-12000000</v>
      </c>
      <c r="G217" s="91"/>
      <c r="H217" s="11"/>
      <c r="I217" s="7" t="b">
        <f>+IF(FINANCIACION[[#This Row],[$ CAPITAL]]&gt;0,FINANCIACION[[#This Row],[$ CAPITAL]])</f>
        <v>0</v>
      </c>
      <c r="J217" s="49">
        <f>+IF(FINANCIACION[[#This Row],[$ CAPITAL]]&gt;=0,FINANCIACION[[#This Row],[$ CAPITAL]]+FINANCIACION[[#This Row],[$ INTERESES]],0)</f>
        <v>120000</v>
      </c>
    </row>
    <row r="218" spans="1:10" ht="24" hidden="1" customHeight="1" x14ac:dyDescent="0.25">
      <c r="A218" s="10">
        <v>44480</v>
      </c>
      <c r="B218" s="85" t="s">
        <v>659</v>
      </c>
      <c r="C218" s="7"/>
      <c r="D218" s="7">
        <v>120000</v>
      </c>
      <c r="E218" s="7">
        <f>+IF(FINANCIACION[[#This Row],[$ CAPITAL]]&gt;=0,FINANCIACION[[#This Row],[$ CAPITAL]]+FINANCIACION[[#This Row],[$ INTERESES]],"")</f>
        <v>120000</v>
      </c>
      <c r="F218" s="7">
        <f>+SUMIFS(FINANCIACION[$ CAPITAL],FINANCIACION[Fecha],"&lt;="&amp;FINANCIACION[[#This Row],[Fecha]],FINANCIACION[PRESTAMO],FINANCIACION[[#This Row],[PRESTAMO]])</f>
        <v>-12000000</v>
      </c>
      <c r="G218" s="91"/>
      <c r="H218" s="11"/>
      <c r="I218" s="7" t="b">
        <f>+IF(FINANCIACION[[#This Row],[$ CAPITAL]]&gt;0,FINANCIACION[[#This Row],[$ CAPITAL]])</f>
        <v>0</v>
      </c>
      <c r="J218" s="49">
        <f>+IF(FINANCIACION[[#This Row],[$ CAPITAL]]&gt;=0,FINANCIACION[[#This Row],[$ CAPITAL]]+FINANCIACION[[#This Row],[$ INTERESES]],0)</f>
        <v>120000</v>
      </c>
    </row>
    <row r="219" spans="1:10" ht="24" hidden="1" customHeight="1" x14ac:dyDescent="0.25">
      <c r="A219" s="10">
        <v>44510</v>
      </c>
      <c r="B219" s="85" t="s">
        <v>659</v>
      </c>
      <c r="C219" s="7"/>
      <c r="D219" s="7">
        <v>120000</v>
      </c>
      <c r="E219" s="7">
        <f>+IF(FINANCIACION[[#This Row],[$ CAPITAL]]&gt;=0,FINANCIACION[[#This Row],[$ CAPITAL]]+FINANCIACION[[#This Row],[$ INTERESES]],"")</f>
        <v>120000</v>
      </c>
      <c r="F219" s="7">
        <f>+SUMIFS(FINANCIACION[$ CAPITAL],FINANCIACION[Fecha],"&lt;="&amp;FINANCIACION[[#This Row],[Fecha]],FINANCIACION[PRESTAMO],FINANCIACION[[#This Row],[PRESTAMO]])</f>
        <v>-12000000</v>
      </c>
      <c r="G219" s="91"/>
      <c r="H219" s="11"/>
      <c r="I219" s="7" t="b">
        <f>+IF(FINANCIACION[[#This Row],[$ CAPITAL]]&gt;0,FINANCIACION[[#This Row],[$ CAPITAL]])</f>
        <v>0</v>
      </c>
      <c r="J219" s="49">
        <f>+IF(FINANCIACION[[#This Row],[$ CAPITAL]]&gt;=0,FINANCIACION[[#This Row],[$ CAPITAL]]+FINANCIACION[[#This Row],[$ INTERESES]],0)</f>
        <v>120000</v>
      </c>
    </row>
    <row r="220" spans="1:10" ht="24" hidden="1" customHeight="1" x14ac:dyDescent="0.25">
      <c r="A220" s="10">
        <v>44539</v>
      </c>
      <c r="B220" s="85" t="s">
        <v>659</v>
      </c>
      <c r="C220" s="7"/>
      <c r="D220" s="7">
        <v>120000</v>
      </c>
      <c r="E220" s="7">
        <f>+IF(FINANCIACION[[#This Row],[$ CAPITAL]]&gt;=0,FINANCIACION[[#This Row],[$ CAPITAL]]+FINANCIACION[[#This Row],[$ INTERESES]],"")</f>
        <v>120000</v>
      </c>
      <c r="F220" s="7">
        <f>+SUMIFS(FINANCIACION[$ CAPITAL],FINANCIACION[Fecha],"&lt;="&amp;FINANCIACION[[#This Row],[Fecha]],FINANCIACION[PRESTAMO],FINANCIACION[[#This Row],[PRESTAMO]])</f>
        <v>-12000000</v>
      </c>
      <c r="G220" s="91"/>
      <c r="H220" s="11"/>
      <c r="I220" s="7" t="b">
        <f>+IF(FINANCIACION[[#This Row],[$ CAPITAL]]&gt;0,FINANCIACION[[#This Row],[$ CAPITAL]])</f>
        <v>0</v>
      </c>
      <c r="J220" s="49">
        <f>+IF(FINANCIACION[[#This Row],[$ CAPITAL]]&gt;=0,FINANCIACION[[#This Row],[$ CAPITAL]]+FINANCIACION[[#This Row],[$ INTERESES]],0)</f>
        <v>120000</v>
      </c>
    </row>
    <row r="221" spans="1:10" ht="24" hidden="1" customHeight="1" x14ac:dyDescent="0.25">
      <c r="A221" s="10">
        <v>43497</v>
      </c>
      <c r="B221" s="85" t="s">
        <v>451</v>
      </c>
      <c r="C221" s="7">
        <v>-150000000</v>
      </c>
      <c r="D221" s="7"/>
      <c r="E221" s="7" t="str">
        <f>+IF(FINANCIACION[[#This Row],[$ CAPITAL]]&gt;=0,FINANCIACION[[#This Row],[$ CAPITAL]]+FINANCIACION[[#This Row],[$ INTERESES]],"")</f>
        <v/>
      </c>
      <c r="F221" s="7">
        <f>+SUMIFS(FINANCIACION[$ CAPITAL],FINANCIACION[Fecha],"&lt;="&amp;FINANCIACION[[#This Row],[Fecha]],FINANCIACION[PRESTAMO],FINANCIACION[[#This Row],[PRESTAMO]])</f>
        <v>-150000000</v>
      </c>
      <c r="G221" s="11"/>
      <c r="H221" s="11"/>
      <c r="I221" s="7" t="b">
        <f>+IF(FINANCIACION[[#This Row],[$ CAPITAL]]&gt;0,FINANCIACION[[#This Row],[$ CAPITAL]])</f>
        <v>0</v>
      </c>
      <c r="J221" s="49">
        <f>+IF(FINANCIACION[[#This Row],[$ CAPITAL]]&gt;=0,FINANCIACION[[#This Row],[$ CAPITAL]]+FINANCIACION[[#This Row],[$ INTERESES]],0)</f>
        <v>0</v>
      </c>
    </row>
    <row r="222" spans="1:10" ht="24" hidden="1" customHeight="1" x14ac:dyDescent="0.25">
      <c r="A222" s="10">
        <v>43636</v>
      </c>
      <c r="B222" s="85" t="s">
        <v>451</v>
      </c>
      <c r="C222" s="7">
        <v>30000000</v>
      </c>
      <c r="D222" s="7"/>
      <c r="E222" s="7">
        <f>+IF(FINANCIACION[[#This Row],[$ CAPITAL]]&gt;=0,FINANCIACION[[#This Row],[$ CAPITAL]]+FINANCIACION[[#This Row],[$ INTERESES]],"")</f>
        <v>30000000</v>
      </c>
      <c r="F222" s="7">
        <f>+SUMIFS(FINANCIACION[$ CAPITAL],FINANCIACION[Fecha],"&lt;="&amp;FINANCIACION[[#This Row],[Fecha]],FINANCIACION[PRESTAMO],FINANCIACION[[#This Row],[PRESTAMO]])</f>
        <v>-120000000</v>
      </c>
      <c r="G222" s="11"/>
      <c r="H222" s="11"/>
      <c r="I222" s="7">
        <f>+IF(FINANCIACION[[#This Row],[$ CAPITAL]]&gt;0,FINANCIACION[[#This Row],[$ CAPITAL]])</f>
        <v>30000000</v>
      </c>
      <c r="J222" s="49">
        <f>+IF(FINANCIACION[[#This Row],[$ CAPITAL]]&gt;=0,FINANCIACION[[#This Row],[$ CAPITAL]]+FINANCIACION[[#This Row],[$ INTERESES]],0)</f>
        <v>30000000</v>
      </c>
    </row>
    <row r="223" spans="1:10" ht="24" hidden="1" customHeight="1" x14ac:dyDescent="0.25">
      <c r="A223" s="10">
        <v>43641</v>
      </c>
      <c r="B223" s="85" t="s">
        <v>451</v>
      </c>
      <c r="C223" s="7">
        <v>25000000</v>
      </c>
      <c r="D223" s="7"/>
      <c r="E223" s="7">
        <f>+IF(FINANCIACION[[#This Row],[$ CAPITAL]]&gt;=0,FINANCIACION[[#This Row],[$ CAPITAL]]+FINANCIACION[[#This Row],[$ INTERESES]],"")</f>
        <v>25000000</v>
      </c>
      <c r="F223" s="7">
        <f>+SUMIFS(FINANCIACION[$ CAPITAL],FINANCIACION[Fecha],"&lt;="&amp;FINANCIACION[[#This Row],[Fecha]],FINANCIACION[PRESTAMO],FINANCIACION[[#This Row],[PRESTAMO]])</f>
        <v>-95000000</v>
      </c>
      <c r="G223" s="11"/>
      <c r="H223" s="11"/>
      <c r="I223" s="7">
        <f>+IF(FINANCIACION[[#This Row],[$ CAPITAL]]&gt;0,FINANCIACION[[#This Row],[$ CAPITAL]])</f>
        <v>25000000</v>
      </c>
      <c r="J223" s="49">
        <f>+IF(FINANCIACION[[#This Row],[$ CAPITAL]]&gt;=0,FINANCIACION[[#This Row],[$ CAPITAL]]+FINANCIACION[[#This Row],[$ INTERESES]],0)</f>
        <v>25000000</v>
      </c>
    </row>
    <row r="224" spans="1:10" ht="24" hidden="1" customHeight="1" x14ac:dyDescent="0.25">
      <c r="A224" s="10">
        <v>43642</v>
      </c>
      <c r="B224" s="85" t="s">
        <v>451</v>
      </c>
      <c r="C224" s="7">
        <v>25000000</v>
      </c>
      <c r="D224" s="7"/>
      <c r="E224" s="7">
        <f>+IF(FINANCIACION[[#This Row],[$ CAPITAL]]&gt;=0,FINANCIACION[[#This Row],[$ CAPITAL]]+FINANCIACION[[#This Row],[$ INTERESES]],"")</f>
        <v>25000000</v>
      </c>
      <c r="F224" s="7">
        <f>+SUMIFS(FINANCIACION[$ CAPITAL],FINANCIACION[Fecha],"&lt;="&amp;FINANCIACION[[#This Row],[Fecha]],FINANCIACION[PRESTAMO],FINANCIACION[[#This Row],[PRESTAMO]])</f>
        <v>-42000000</v>
      </c>
      <c r="G224" s="11"/>
      <c r="H224" s="11"/>
      <c r="I224" s="7">
        <f>+IF(FINANCIACION[[#This Row],[$ CAPITAL]]&gt;0,FINANCIACION[[#This Row],[$ CAPITAL]])</f>
        <v>25000000</v>
      </c>
      <c r="J224" s="49">
        <f>+IF(FINANCIACION[[#This Row],[$ CAPITAL]]&gt;=0,FINANCIACION[[#This Row],[$ CAPITAL]]+FINANCIACION[[#This Row],[$ INTERESES]],0)</f>
        <v>25000000</v>
      </c>
    </row>
    <row r="225" spans="1:10" ht="24" hidden="1" customHeight="1" x14ac:dyDescent="0.25">
      <c r="A225" s="10">
        <v>43642</v>
      </c>
      <c r="B225" s="85" t="s">
        <v>451</v>
      </c>
      <c r="C225" s="7">
        <v>28000000</v>
      </c>
      <c r="D225" s="7"/>
      <c r="E225" s="7">
        <f>+IF(FINANCIACION[[#This Row],[$ CAPITAL]]&gt;=0,FINANCIACION[[#This Row],[$ CAPITAL]]+FINANCIACION[[#This Row],[$ INTERESES]],"")</f>
        <v>28000000</v>
      </c>
      <c r="F225" s="7">
        <f>+SUMIFS(FINANCIACION[$ CAPITAL],FINANCIACION[Fecha],"&lt;="&amp;FINANCIACION[[#This Row],[Fecha]],FINANCIACION[PRESTAMO],FINANCIACION[[#This Row],[PRESTAMO]])</f>
        <v>-42000000</v>
      </c>
      <c r="G225" s="11"/>
      <c r="H225" s="11"/>
      <c r="I225" s="7">
        <f>+IF(FINANCIACION[[#This Row],[$ CAPITAL]]&gt;0,FINANCIACION[[#This Row],[$ CAPITAL]])</f>
        <v>28000000</v>
      </c>
      <c r="J225" s="49">
        <f>+IF(FINANCIACION[[#This Row],[$ CAPITAL]]&gt;=0,FINANCIACION[[#This Row],[$ CAPITAL]]+FINANCIACION[[#This Row],[$ INTERESES]],0)</f>
        <v>28000000</v>
      </c>
    </row>
    <row r="226" spans="1:10" ht="24" hidden="1" customHeight="1" x14ac:dyDescent="0.25">
      <c r="A226" s="10">
        <v>43643</v>
      </c>
      <c r="B226" s="85" t="s">
        <v>451</v>
      </c>
      <c r="C226" s="7">
        <v>5000000</v>
      </c>
      <c r="D226" s="7"/>
      <c r="E226" s="7">
        <f>+IF(FINANCIACION[[#This Row],[$ CAPITAL]]&gt;=0,FINANCIACION[[#This Row],[$ CAPITAL]]+FINANCIACION[[#This Row],[$ INTERESES]],"")</f>
        <v>5000000</v>
      </c>
      <c r="F226" s="7">
        <f>+SUMIFS(FINANCIACION[$ CAPITAL],FINANCIACION[Fecha],"&lt;="&amp;FINANCIACION[[#This Row],[Fecha]],FINANCIACION[PRESTAMO],FINANCIACION[[#This Row],[PRESTAMO]])</f>
        <v>-22000000</v>
      </c>
      <c r="G226" s="11"/>
      <c r="H226" s="11"/>
      <c r="I226" s="7">
        <f>+IF(FINANCIACION[[#This Row],[$ CAPITAL]]&gt;0,FINANCIACION[[#This Row],[$ CAPITAL]])</f>
        <v>5000000</v>
      </c>
      <c r="J226" s="49">
        <f>+IF(FINANCIACION[[#This Row],[$ CAPITAL]]&gt;=0,FINANCIACION[[#This Row],[$ CAPITAL]]+FINANCIACION[[#This Row],[$ INTERESES]],0)</f>
        <v>5000000</v>
      </c>
    </row>
    <row r="227" spans="1:10" ht="24" hidden="1" customHeight="1" x14ac:dyDescent="0.25">
      <c r="A227" s="10">
        <v>43643</v>
      </c>
      <c r="B227" s="85" t="s">
        <v>451</v>
      </c>
      <c r="C227" s="7">
        <v>5000000</v>
      </c>
      <c r="D227" s="7"/>
      <c r="E227" s="7">
        <f>+IF(FINANCIACION[[#This Row],[$ CAPITAL]]&gt;=0,FINANCIACION[[#This Row],[$ CAPITAL]]+FINANCIACION[[#This Row],[$ INTERESES]],"")</f>
        <v>5000000</v>
      </c>
      <c r="F227" s="7">
        <f>+SUMIFS(FINANCIACION[$ CAPITAL],FINANCIACION[Fecha],"&lt;="&amp;FINANCIACION[[#This Row],[Fecha]],FINANCIACION[PRESTAMO],FINANCIACION[[#This Row],[PRESTAMO]])</f>
        <v>-22000000</v>
      </c>
      <c r="G227" s="11"/>
      <c r="H227" s="11"/>
      <c r="I227" s="7">
        <f>+IF(FINANCIACION[[#This Row],[$ CAPITAL]]&gt;0,FINANCIACION[[#This Row],[$ CAPITAL]])</f>
        <v>5000000</v>
      </c>
      <c r="J227" s="49">
        <f>+IF(FINANCIACION[[#This Row],[$ CAPITAL]]&gt;=0,FINANCIACION[[#This Row],[$ CAPITAL]]+FINANCIACION[[#This Row],[$ INTERESES]],0)</f>
        <v>5000000</v>
      </c>
    </row>
    <row r="228" spans="1:10" ht="24" hidden="1" customHeight="1" x14ac:dyDescent="0.25">
      <c r="A228" s="10">
        <v>43643</v>
      </c>
      <c r="B228" s="85" t="s">
        <v>451</v>
      </c>
      <c r="C228" s="7">
        <v>10000000</v>
      </c>
      <c r="D228" s="7"/>
      <c r="E228" s="7">
        <f>+IF(FINANCIACION[[#This Row],[$ CAPITAL]]&gt;=0,FINANCIACION[[#This Row],[$ CAPITAL]]+FINANCIACION[[#This Row],[$ INTERESES]],"")</f>
        <v>10000000</v>
      </c>
      <c r="F228" s="7">
        <f>+SUMIFS(FINANCIACION[$ CAPITAL],FINANCIACION[Fecha],"&lt;="&amp;FINANCIACION[[#This Row],[Fecha]],FINANCIACION[PRESTAMO],FINANCIACION[[#This Row],[PRESTAMO]])</f>
        <v>-22000000</v>
      </c>
      <c r="G228" s="11"/>
      <c r="H228" s="11"/>
      <c r="I228" s="7">
        <f>+IF(FINANCIACION[[#This Row],[$ CAPITAL]]&gt;0,FINANCIACION[[#This Row],[$ CAPITAL]])</f>
        <v>10000000</v>
      </c>
      <c r="J228" s="49">
        <f>+IF(FINANCIACION[[#This Row],[$ CAPITAL]]&gt;=0,FINANCIACION[[#This Row],[$ CAPITAL]]+FINANCIACION[[#This Row],[$ INTERESES]],0)</f>
        <v>10000000</v>
      </c>
    </row>
    <row r="229" spans="1:10" ht="24" hidden="1" customHeight="1" x14ac:dyDescent="0.25">
      <c r="A229" s="10">
        <v>43650</v>
      </c>
      <c r="B229" s="85" t="s">
        <v>451</v>
      </c>
      <c r="C229" s="7">
        <v>3000000</v>
      </c>
      <c r="D229" s="7"/>
      <c r="E229" s="7">
        <f>+IF(FINANCIACION[[#This Row],[$ CAPITAL]]&gt;=0,FINANCIACION[[#This Row],[$ CAPITAL]]+FINANCIACION[[#This Row],[$ INTERESES]],"")</f>
        <v>3000000</v>
      </c>
      <c r="F229" s="7">
        <f>+SUMIFS(FINANCIACION[$ CAPITAL],FINANCIACION[Fecha],"&lt;="&amp;FINANCIACION[[#This Row],[Fecha]],FINANCIACION[PRESTAMO],FINANCIACION[[#This Row],[PRESTAMO]])</f>
        <v>-19000000</v>
      </c>
      <c r="G229" s="11"/>
      <c r="H229" s="11"/>
      <c r="I229" s="7">
        <f>+IF(FINANCIACION[[#This Row],[$ CAPITAL]]&gt;0,FINANCIACION[[#This Row],[$ CAPITAL]])</f>
        <v>3000000</v>
      </c>
      <c r="J229" s="49">
        <f>+IF(FINANCIACION[[#This Row],[$ CAPITAL]]&gt;=0,FINANCIACION[[#This Row],[$ CAPITAL]]+FINANCIACION[[#This Row],[$ INTERESES]],0)</f>
        <v>3000000</v>
      </c>
    </row>
    <row r="230" spans="1:10" ht="24" hidden="1" customHeight="1" x14ac:dyDescent="0.25">
      <c r="A230" s="10">
        <v>43651</v>
      </c>
      <c r="B230" s="85" t="s">
        <v>451</v>
      </c>
      <c r="C230" s="7">
        <v>5000000</v>
      </c>
      <c r="D230" s="7"/>
      <c r="E230" s="7">
        <f>+IF(FINANCIACION[[#This Row],[$ CAPITAL]]&gt;=0,FINANCIACION[[#This Row],[$ CAPITAL]]+FINANCIACION[[#This Row],[$ INTERESES]],"")</f>
        <v>5000000</v>
      </c>
      <c r="F230" s="7">
        <f>+SUMIFS(FINANCIACION[$ CAPITAL],FINANCIACION[Fecha],"&lt;="&amp;FINANCIACION[[#This Row],[Fecha]],FINANCIACION[PRESTAMO],FINANCIACION[[#This Row],[PRESTAMO]])</f>
        <v>-9000000</v>
      </c>
      <c r="G230" s="11"/>
      <c r="H230" s="11"/>
      <c r="I230" s="7">
        <f>+IF(FINANCIACION[[#This Row],[$ CAPITAL]]&gt;0,FINANCIACION[[#This Row],[$ CAPITAL]])</f>
        <v>5000000</v>
      </c>
      <c r="J230" s="49">
        <f>+IF(FINANCIACION[[#This Row],[$ CAPITAL]]&gt;=0,FINANCIACION[[#This Row],[$ CAPITAL]]+FINANCIACION[[#This Row],[$ INTERESES]],0)</f>
        <v>5000000</v>
      </c>
    </row>
    <row r="231" spans="1:10" ht="24" hidden="1" customHeight="1" x14ac:dyDescent="0.25">
      <c r="A231" s="10">
        <v>43651</v>
      </c>
      <c r="B231" s="85" t="s">
        <v>451</v>
      </c>
      <c r="C231" s="7">
        <v>5000000</v>
      </c>
      <c r="D231" s="7"/>
      <c r="E231" s="7">
        <f>+IF(FINANCIACION[[#This Row],[$ CAPITAL]]&gt;=0,FINANCIACION[[#This Row],[$ CAPITAL]]+FINANCIACION[[#This Row],[$ INTERESES]],"")</f>
        <v>5000000</v>
      </c>
      <c r="F231" s="7">
        <f>+SUMIFS(FINANCIACION[$ CAPITAL],FINANCIACION[Fecha],"&lt;="&amp;FINANCIACION[[#This Row],[Fecha]],FINANCIACION[PRESTAMO],FINANCIACION[[#This Row],[PRESTAMO]])</f>
        <v>-9000000</v>
      </c>
      <c r="G231" s="11"/>
      <c r="H231" s="11"/>
      <c r="I231" s="7">
        <f>+IF(FINANCIACION[[#This Row],[$ CAPITAL]]&gt;0,FINANCIACION[[#This Row],[$ CAPITAL]])</f>
        <v>5000000</v>
      </c>
      <c r="J231" s="49">
        <f>+IF(FINANCIACION[[#This Row],[$ CAPITAL]]&gt;=0,FINANCIACION[[#This Row],[$ CAPITAL]]+FINANCIACION[[#This Row],[$ INTERESES]],0)</f>
        <v>5000000</v>
      </c>
    </row>
    <row r="232" spans="1:10" ht="24" hidden="1" customHeight="1" x14ac:dyDescent="0.25">
      <c r="A232" s="10">
        <v>43654</v>
      </c>
      <c r="B232" s="85" t="s">
        <v>451</v>
      </c>
      <c r="C232" s="7">
        <v>5000000</v>
      </c>
      <c r="D232" s="7"/>
      <c r="E232" s="7">
        <f>+IF(FINANCIACION[[#This Row],[$ CAPITAL]]&gt;=0,FINANCIACION[[#This Row],[$ CAPITAL]]+FINANCIACION[[#This Row],[$ INTERESES]],"")</f>
        <v>5000000</v>
      </c>
      <c r="F232" s="7">
        <f>+SUMIFS(FINANCIACION[$ CAPITAL],FINANCIACION[Fecha],"&lt;="&amp;FINANCIACION[[#This Row],[Fecha]],FINANCIACION[PRESTAMO],FINANCIACION[[#This Row],[PRESTAMO]])</f>
        <v>-4000000</v>
      </c>
      <c r="G232" s="11"/>
      <c r="H232" s="11"/>
      <c r="I232" s="7">
        <f>+IF(FINANCIACION[[#This Row],[$ CAPITAL]]&gt;0,FINANCIACION[[#This Row],[$ CAPITAL]])</f>
        <v>5000000</v>
      </c>
      <c r="J232" s="49">
        <f>+IF(FINANCIACION[[#This Row],[$ CAPITAL]]&gt;=0,FINANCIACION[[#This Row],[$ CAPITAL]]+FINANCIACION[[#This Row],[$ INTERESES]],0)</f>
        <v>5000000</v>
      </c>
    </row>
    <row r="233" spans="1:10" ht="24" hidden="1" customHeight="1" x14ac:dyDescent="0.25">
      <c r="A233" s="10">
        <v>43665</v>
      </c>
      <c r="B233" s="85" t="s">
        <v>451</v>
      </c>
      <c r="C233" s="7">
        <v>4000000</v>
      </c>
      <c r="D233" s="7">
        <v>727000</v>
      </c>
      <c r="E233" s="7">
        <f>+IF(FINANCIACION[[#This Row],[$ CAPITAL]]&gt;=0,FINANCIACION[[#This Row],[$ CAPITAL]]+FINANCIACION[[#This Row],[$ INTERESES]],"")</f>
        <v>4727000</v>
      </c>
      <c r="F233" s="7">
        <f>+SUMIFS(FINANCIACION[$ CAPITAL],FINANCIACION[Fecha],"&lt;="&amp;FINANCIACION[[#This Row],[Fecha]],FINANCIACION[PRESTAMO],FINANCIACION[[#This Row],[PRESTAMO]])</f>
        <v>0</v>
      </c>
      <c r="G233" s="11"/>
      <c r="H233" s="11"/>
      <c r="I233" s="7">
        <f>+IF(FINANCIACION[[#This Row],[$ CAPITAL]]&gt;0,FINANCIACION[[#This Row],[$ CAPITAL]])</f>
        <v>4000000</v>
      </c>
      <c r="J233" s="49">
        <f>+IF(FINANCIACION[[#This Row],[$ CAPITAL]]&gt;=0,FINANCIACION[[#This Row],[$ CAPITAL]]+FINANCIACION[[#This Row],[$ INTERESES]],0)</f>
        <v>4727000</v>
      </c>
    </row>
    <row r="234" spans="1:10" ht="24" hidden="1" customHeight="1" x14ac:dyDescent="0.25">
      <c r="A234" s="10">
        <v>43677</v>
      </c>
      <c r="B234" s="85" t="s">
        <v>451</v>
      </c>
      <c r="C234" s="7">
        <v>0</v>
      </c>
      <c r="D234" s="7">
        <v>8000000</v>
      </c>
      <c r="E234" s="7">
        <f>+IF(FINANCIACION[[#This Row],[$ CAPITAL]]&gt;=0,FINANCIACION[[#This Row],[$ CAPITAL]]+FINANCIACION[[#This Row],[$ INTERESES]],"")</f>
        <v>8000000</v>
      </c>
      <c r="F234" s="7">
        <f>+SUMIFS(FINANCIACION[$ CAPITAL],FINANCIACION[Fecha],"&lt;="&amp;FINANCIACION[[#This Row],[Fecha]],FINANCIACION[PRESTAMO],FINANCIACION[[#This Row],[PRESTAMO]])</f>
        <v>0</v>
      </c>
      <c r="G234" s="11"/>
      <c r="H234" s="11"/>
      <c r="I234" s="7" t="b">
        <f>+IF(FINANCIACION[[#This Row],[$ CAPITAL]]&gt;0,FINANCIACION[[#This Row],[$ CAPITAL]])</f>
        <v>0</v>
      </c>
      <c r="J234" s="49">
        <f>+IF(FINANCIACION[[#This Row],[$ CAPITAL]]&gt;=0,FINANCIACION[[#This Row],[$ CAPITAL]]+FINANCIACION[[#This Row],[$ INTERESES]],0)</f>
        <v>8000000</v>
      </c>
    </row>
    <row r="235" spans="1:10" ht="24" hidden="1" customHeight="1" x14ac:dyDescent="0.25">
      <c r="A235" s="10">
        <v>43707</v>
      </c>
      <c r="B235" s="85" t="s">
        <v>451</v>
      </c>
      <c r="C235" s="7">
        <v>-40000000</v>
      </c>
      <c r="D235" s="7"/>
      <c r="E235" s="7" t="str">
        <f>+IF(FINANCIACION[[#This Row],[$ CAPITAL]]&gt;=0,FINANCIACION[[#This Row],[$ CAPITAL]]+FINANCIACION[[#This Row],[$ INTERESES]],"")</f>
        <v/>
      </c>
      <c r="F235" s="7">
        <f>+SUMIFS(FINANCIACION[$ CAPITAL],FINANCIACION[Fecha],"&lt;="&amp;FINANCIACION[[#This Row],[Fecha]],FINANCIACION[PRESTAMO],FINANCIACION[[#This Row],[PRESTAMO]])</f>
        <v>-40000000</v>
      </c>
      <c r="G235" s="11"/>
      <c r="H235" s="11"/>
      <c r="I235" s="7" t="b">
        <f>+IF(FINANCIACION[[#This Row],[$ CAPITAL]]&gt;0,FINANCIACION[[#This Row],[$ CAPITAL]])</f>
        <v>0</v>
      </c>
      <c r="J235" s="49">
        <f>+IF(FINANCIACION[[#This Row],[$ CAPITAL]]&gt;=0,FINANCIACION[[#This Row],[$ CAPITAL]]+FINANCIACION[[#This Row],[$ INTERESES]],0)</f>
        <v>0</v>
      </c>
    </row>
    <row r="236" spans="1:10" ht="24" hidden="1" customHeight="1" x14ac:dyDescent="0.25">
      <c r="A236" s="10">
        <v>43784</v>
      </c>
      <c r="B236" s="85" t="s">
        <v>451</v>
      </c>
      <c r="C236" s="7">
        <v>-60000000</v>
      </c>
      <c r="D236" s="7"/>
      <c r="E236" s="7" t="str">
        <f>+IF(FINANCIACION[[#This Row],[$ CAPITAL]]&gt;=0,FINANCIACION[[#This Row],[$ CAPITAL]]+FINANCIACION[[#This Row],[$ INTERESES]],"")</f>
        <v/>
      </c>
      <c r="F236" s="7">
        <f>+SUMIFS(FINANCIACION[$ CAPITAL],FINANCIACION[Fecha],"&lt;="&amp;FINANCIACION[[#This Row],[Fecha]],FINANCIACION[PRESTAMO],FINANCIACION[[#This Row],[PRESTAMO]])</f>
        <v>-100000000</v>
      </c>
      <c r="G236" s="11"/>
      <c r="H236" s="11"/>
      <c r="I236" s="7" t="b">
        <f>+IF(FINANCIACION[[#This Row],[$ CAPITAL]]&gt;0,FINANCIACION[[#This Row],[$ CAPITAL]])</f>
        <v>0</v>
      </c>
      <c r="J236" s="49">
        <f>+IF(FINANCIACION[[#This Row],[$ CAPITAL]]&gt;=0,FINANCIACION[[#This Row],[$ CAPITAL]]+FINANCIACION[[#This Row],[$ INTERESES]],0)</f>
        <v>0</v>
      </c>
    </row>
    <row r="237" spans="1:10" ht="24" hidden="1" customHeight="1" x14ac:dyDescent="0.25">
      <c r="A237" s="10">
        <v>43891</v>
      </c>
      <c r="B237" s="85" t="s">
        <v>451</v>
      </c>
      <c r="C237" s="7">
        <v>40000000</v>
      </c>
      <c r="D237" s="7">
        <v>2500000</v>
      </c>
      <c r="E237" s="7">
        <f>+IF(FINANCIACION[[#This Row],[$ CAPITAL]]&gt;=0,FINANCIACION[[#This Row],[$ CAPITAL]]+FINANCIACION[[#This Row],[$ INTERESES]],"")</f>
        <v>42500000</v>
      </c>
      <c r="F237" s="7">
        <f>+SUMIFS(FINANCIACION[$ CAPITAL],FINANCIACION[Fecha],"&lt;="&amp;FINANCIACION[[#This Row],[Fecha]],FINANCIACION[PRESTAMO],FINANCIACION[[#This Row],[PRESTAMO]])</f>
        <v>-60000000</v>
      </c>
      <c r="G237" s="11"/>
      <c r="H237" s="11"/>
      <c r="I237" s="7">
        <f>+IF(FINANCIACION[[#This Row],[$ CAPITAL]]&gt;0,FINANCIACION[[#This Row],[$ CAPITAL]])</f>
        <v>40000000</v>
      </c>
      <c r="J237" s="49">
        <f>+IF(FINANCIACION[[#This Row],[$ CAPITAL]]&gt;=0,FINANCIACION[[#This Row],[$ CAPITAL]]+FINANCIACION[[#This Row],[$ INTERESES]],0)</f>
        <v>42500000</v>
      </c>
    </row>
    <row r="238" spans="1:10" ht="24" hidden="1" customHeight="1" x14ac:dyDescent="0.25">
      <c r="A238" s="10">
        <v>44015</v>
      </c>
      <c r="B238" s="85" t="s">
        <v>451</v>
      </c>
      <c r="C238" s="7">
        <v>60000000</v>
      </c>
      <c r="D238" s="7">
        <v>4930000</v>
      </c>
      <c r="E238" s="7">
        <f>+IF(FINANCIACION[[#This Row],[$ CAPITAL]]&gt;=0,FINANCIACION[[#This Row],[$ CAPITAL]]+FINANCIACION[[#This Row],[$ INTERESES]],"")</f>
        <v>64930000</v>
      </c>
      <c r="F238" s="7">
        <f>+SUMIFS(FINANCIACION[$ CAPITAL],FINANCIACION[Fecha],"&lt;="&amp;FINANCIACION[[#This Row],[Fecha]],FINANCIACION[PRESTAMO],FINANCIACION[[#This Row],[PRESTAMO]])</f>
        <v>0</v>
      </c>
      <c r="G238" s="11"/>
      <c r="H238" s="11"/>
      <c r="I238" s="7">
        <f>+IF(FINANCIACION[[#This Row],[$ CAPITAL]]&gt;0,FINANCIACION[[#This Row],[$ CAPITAL]])</f>
        <v>60000000</v>
      </c>
      <c r="J238" s="49">
        <f>+IF(FINANCIACION[[#This Row],[$ CAPITAL]]&gt;=0,FINANCIACION[[#This Row],[$ CAPITAL]]+FINANCIACION[[#This Row],[$ INTERESES]],0)</f>
        <v>64930000</v>
      </c>
    </row>
    <row r="239" spans="1:10" ht="24" hidden="1" customHeight="1" x14ac:dyDescent="0.25">
      <c r="A239" s="10">
        <v>43398</v>
      </c>
      <c r="B239" s="85" t="s">
        <v>452</v>
      </c>
      <c r="C239" s="7">
        <v>-45000000</v>
      </c>
      <c r="D239" s="7"/>
      <c r="E239" s="7" t="str">
        <f>+IF(FINANCIACION[[#This Row],[$ CAPITAL]]&gt;=0,FINANCIACION[[#This Row],[$ CAPITAL]]+FINANCIACION[[#This Row],[$ INTERESES]],"")</f>
        <v/>
      </c>
      <c r="F239" s="7">
        <f>+SUMIFS(FINANCIACION[$ CAPITAL],FINANCIACION[Fecha],"&lt;="&amp;FINANCIACION[[#This Row],[Fecha]],FINANCIACION[PRESTAMO],FINANCIACION[[#This Row],[PRESTAMO]])</f>
        <v>-45000000</v>
      </c>
      <c r="G239" s="11"/>
      <c r="H239" s="11"/>
      <c r="I239" s="7" t="b">
        <f>+IF(FINANCIACION[[#This Row],[$ CAPITAL]]&gt;0,FINANCIACION[[#This Row],[$ CAPITAL]])</f>
        <v>0</v>
      </c>
      <c r="J239" s="49">
        <f>+IF(FINANCIACION[[#This Row],[$ CAPITAL]]&gt;=0,FINANCIACION[[#This Row],[$ CAPITAL]]+FINANCIACION[[#This Row],[$ INTERESES]],0)</f>
        <v>0</v>
      </c>
    </row>
    <row r="240" spans="1:10" ht="24" hidden="1" customHeight="1" x14ac:dyDescent="0.25">
      <c r="A240" s="10">
        <v>43465</v>
      </c>
      <c r="B240" s="85" t="s">
        <v>452</v>
      </c>
      <c r="C240" s="7">
        <v>2500000</v>
      </c>
      <c r="D240" s="7"/>
      <c r="E240" s="7">
        <f>+IF(FINANCIACION[[#This Row],[$ CAPITAL]]&gt;=0,FINANCIACION[[#This Row],[$ CAPITAL]]+FINANCIACION[[#This Row],[$ INTERESES]],"")</f>
        <v>2500000</v>
      </c>
      <c r="F240" s="7">
        <f>+SUMIFS(FINANCIACION[$ CAPITAL],FINANCIACION[Fecha],"&lt;="&amp;FINANCIACION[[#This Row],[Fecha]],FINANCIACION[PRESTAMO],FINANCIACION[[#This Row],[PRESTAMO]])</f>
        <v>-42500000</v>
      </c>
      <c r="G240" s="11"/>
      <c r="H240" s="11"/>
      <c r="I240" s="7">
        <f>+IF(FINANCIACION[[#This Row],[$ CAPITAL]]&gt;0,FINANCIACION[[#This Row],[$ CAPITAL]])</f>
        <v>2500000</v>
      </c>
      <c r="J240" s="49">
        <f>+IF(FINANCIACION[[#This Row],[$ CAPITAL]]&gt;=0,FINANCIACION[[#This Row],[$ CAPITAL]]+FINANCIACION[[#This Row],[$ INTERESES]],0)</f>
        <v>2500000</v>
      </c>
    </row>
    <row r="241" spans="1:10" ht="24" hidden="1" customHeight="1" x14ac:dyDescent="0.25">
      <c r="A241" s="10">
        <v>43490</v>
      </c>
      <c r="B241" s="85" t="s">
        <v>452</v>
      </c>
      <c r="C241" s="7">
        <v>1250000</v>
      </c>
      <c r="D241" s="7">
        <v>522218</v>
      </c>
      <c r="E241" s="7">
        <f>+IF(FINANCIACION[[#This Row],[$ CAPITAL]]&gt;=0,FINANCIACION[[#This Row],[$ CAPITAL]]+FINANCIACION[[#This Row],[$ INTERESES]],"")</f>
        <v>1772218</v>
      </c>
      <c r="F241" s="7">
        <f>+SUMIFS(FINANCIACION[$ CAPITAL],FINANCIACION[Fecha],"&lt;="&amp;FINANCIACION[[#This Row],[Fecha]],FINANCIACION[PRESTAMO],FINANCIACION[[#This Row],[PRESTAMO]])</f>
        <v>-41250000</v>
      </c>
      <c r="G241" s="11"/>
      <c r="H241" s="11"/>
      <c r="I241" s="7">
        <f>+IF(FINANCIACION[[#This Row],[$ CAPITAL]]&gt;0,FINANCIACION[[#This Row],[$ CAPITAL]])</f>
        <v>1250000</v>
      </c>
      <c r="J241" s="49">
        <f>+IF(FINANCIACION[[#This Row],[$ CAPITAL]]&gt;=0,FINANCIACION[[#This Row],[$ CAPITAL]]+FINANCIACION[[#This Row],[$ INTERESES]],0)</f>
        <v>1772218</v>
      </c>
    </row>
    <row r="242" spans="1:10" ht="24" hidden="1" customHeight="1" x14ac:dyDescent="0.25">
      <c r="A242" s="10">
        <v>43521</v>
      </c>
      <c r="B242" s="85" t="s">
        <v>452</v>
      </c>
      <c r="C242" s="7">
        <v>1250000</v>
      </c>
      <c r="D242" s="7">
        <v>508307</v>
      </c>
      <c r="E242" s="7">
        <f>+IF(FINANCIACION[[#This Row],[$ CAPITAL]]&gt;=0,FINANCIACION[[#This Row],[$ CAPITAL]]+FINANCIACION[[#This Row],[$ INTERESES]],"")</f>
        <v>1758307</v>
      </c>
      <c r="F242" s="7">
        <f>+SUMIFS(FINANCIACION[$ CAPITAL],FINANCIACION[Fecha],"&lt;="&amp;FINANCIACION[[#This Row],[Fecha]],FINANCIACION[PRESTAMO],FINANCIACION[[#This Row],[PRESTAMO]])</f>
        <v>-40000000</v>
      </c>
      <c r="G242" s="11"/>
      <c r="H242" s="11"/>
      <c r="I242" s="7">
        <f>+IF(FINANCIACION[[#This Row],[$ CAPITAL]]&gt;0,FINANCIACION[[#This Row],[$ CAPITAL]])</f>
        <v>1250000</v>
      </c>
      <c r="J242" s="49">
        <f>+IF(FINANCIACION[[#This Row],[$ CAPITAL]]&gt;=0,FINANCIACION[[#This Row],[$ CAPITAL]]+FINANCIACION[[#This Row],[$ INTERESES]],0)</f>
        <v>1758307</v>
      </c>
    </row>
    <row r="243" spans="1:10" ht="24" hidden="1" customHeight="1" x14ac:dyDescent="0.25">
      <c r="A243" s="10">
        <v>43549</v>
      </c>
      <c r="B243" s="85" t="s">
        <v>452</v>
      </c>
      <c r="C243" s="7">
        <v>1250000</v>
      </c>
      <c r="D243" s="7">
        <v>493253</v>
      </c>
      <c r="E243" s="7">
        <f>+IF(FINANCIACION[[#This Row],[$ CAPITAL]]&gt;=0,FINANCIACION[[#This Row],[$ CAPITAL]]+FINANCIACION[[#This Row],[$ INTERESES]],"")</f>
        <v>1743253</v>
      </c>
      <c r="F243" s="7">
        <f>+SUMIFS(FINANCIACION[$ CAPITAL],FINANCIACION[Fecha],"&lt;="&amp;FINANCIACION[[#This Row],[Fecha]],FINANCIACION[PRESTAMO],FINANCIACION[[#This Row],[PRESTAMO]])</f>
        <v>-38750000</v>
      </c>
      <c r="G243" s="11"/>
      <c r="H243" s="11"/>
      <c r="I243" s="7">
        <f>+IF(FINANCIACION[[#This Row],[$ CAPITAL]]&gt;0,FINANCIACION[[#This Row],[$ CAPITAL]])</f>
        <v>1250000</v>
      </c>
      <c r="J243" s="49">
        <f>+IF(FINANCIACION[[#This Row],[$ CAPITAL]]&gt;=0,FINANCIACION[[#This Row],[$ CAPITAL]]+FINANCIACION[[#This Row],[$ INTERESES]],0)</f>
        <v>1743253</v>
      </c>
    </row>
    <row r="244" spans="1:10" ht="24" hidden="1" customHeight="1" x14ac:dyDescent="0.25">
      <c r="A244" s="10">
        <v>43580</v>
      </c>
      <c r="B244" s="85" t="s">
        <v>452</v>
      </c>
      <c r="C244" s="7">
        <v>1250000</v>
      </c>
      <c r="D244" s="7">
        <v>476141</v>
      </c>
      <c r="E244" s="7">
        <f>+IF(FINANCIACION[[#This Row],[$ CAPITAL]]&gt;=0,FINANCIACION[[#This Row],[$ CAPITAL]]+FINANCIACION[[#This Row],[$ INTERESES]],"")</f>
        <v>1726141</v>
      </c>
      <c r="F244" s="7">
        <f>+SUMIFS(FINANCIACION[$ CAPITAL],FINANCIACION[Fecha],"&lt;="&amp;FINANCIACION[[#This Row],[Fecha]],FINANCIACION[PRESTAMO],FINANCIACION[[#This Row],[PRESTAMO]])</f>
        <v>-37500000</v>
      </c>
      <c r="G244" s="11"/>
      <c r="H244" s="11"/>
      <c r="I244" s="7">
        <f>+IF(FINANCIACION[[#This Row],[$ CAPITAL]]&gt;0,FINANCIACION[[#This Row],[$ CAPITAL]])</f>
        <v>1250000</v>
      </c>
      <c r="J244" s="49">
        <f>+IF(FINANCIACION[[#This Row],[$ CAPITAL]]&gt;=0,FINANCIACION[[#This Row],[$ CAPITAL]]+FINANCIACION[[#This Row],[$ INTERESES]],0)</f>
        <v>1726141</v>
      </c>
    </row>
    <row r="245" spans="1:10" ht="24" hidden="1" customHeight="1" x14ac:dyDescent="0.25">
      <c r="A245" s="10">
        <v>43593</v>
      </c>
      <c r="B245" s="85" t="s">
        <v>452</v>
      </c>
      <c r="C245" s="7">
        <v>7500000</v>
      </c>
      <c r="D245" s="7"/>
      <c r="E245" s="7">
        <f>+IF(FINANCIACION[[#This Row],[$ CAPITAL]]&gt;=0,FINANCIACION[[#This Row],[$ CAPITAL]]+FINANCIACION[[#This Row],[$ INTERESES]],"")</f>
        <v>7500000</v>
      </c>
      <c r="F245" s="7">
        <f>+SUMIFS(FINANCIACION[$ CAPITAL],FINANCIACION[Fecha],"&lt;="&amp;FINANCIACION[[#This Row],[Fecha]],FINANCIACION[PRESTAMO],FINANCIACION[[#This Row],[PRESTAMO]])</f>
        <v>-30000000</v>
      </c>
      <c r="G245" s="11"/>
      <c r="H245" s="11"/>
      <c r="I245" s="7">
        <f>+IF(FINANCIACION[[#This Row],[$ CAPITAL]]&gt;0,FINANCIACION[[#This Row],[$ CAPITAL]])</f>
        <v>7500000</v>
      </c>
      <c r="J245" s="49">
        <f>+IF(FINANCIACION[[#This Row],[$ CAPITAL]]&gt;=0,FINANCIACION[[#This Row],[$ CAPITAL]]+FINANCIACION[[#This Row],[$ INTERESES]],0)</f>
        <v>7500000</v>
      </c>
    </row>
    <row r="246" spans="1:10" ht="24" hidden="1" customHeight="1" x14ac:dyDescent="0.25">
      <c r="A246" s="10">
        <v>43612</v>
      </c>
      <c r="B246" s="85" t="s">
        <v>452</v>
      </c>
      <c r="C246" s="7">
        <v>1250000</v>
      </c>
      <c r="D246" s="7">
        <v>461769</v>
      </c>
      <c r="E246" s="7">
        <f>+IF(FINANCIACION[[#This Row],[$ CAPITAL]]&gt;=0,FINANCIACION[[#This Row],[$ CAPITAL]]+FINANCIACION[[#This Row],[$ INTERESES]],"")</f>
        <v>1711769</v>
      </c>
      <c r="F246" s="7">
        <f>+SUMIFS(FINANCIACION[$ CAPITAL],FINANCIACION[Fecha],"&lt;="&amp;FINANCIACION[[#This Row],[Fecha]],FINANCIACION[PRESTAMO],FINANCIACION[[#This Row],[PRESTAMO]])</f>
        <v>-28750000</v>
      </c>
      <c r="G246" s="11"/>
      <c r="H246" s="11"/>
      <c r="I246" s="7">
        <f>+IF(FINANCIACION[[#This Row],[$ CAPITAL]]&gt;0,FINANCIACION[[#This Row],[$ CAPITAL]])</f>
        <v>1250000</v>
      </c>
      <c r="J246" s="49">
        <f>+IF(FINANCIACION[[#This Row],[$ CAPITAL]]&gt;=0,FINANCIACION[[#This Row],[$ CAPITAL]]+FINANCIACION[[#This Row],[$ INTERESES]],0)</f>
        <v>1711769</v>
      </c>
    </row>
    <row r="247" spans="1:10" ht="24" hidden="1" customHeight="1" x14ac:dyDescent="0.25">
      <c r="A247" s="10">
        <v>43641</v>
      </c>
      <c r="B247" s="85" t="s">
        <v>452</v>
      </c>
      <c r="C247" s="7">
        <v>1250000</v>
      </c>
      <c r="D247" s="7">
        <v>353517</v>
      </c>
      <c r="E247" s="7">
        <f>+IF(FINANCIACION[[#This Row],[$ CAPITAL]]&gt;=0,FINANCIACION[[#This Row],[$ CAPITAL]]+FINANCIACION[[#This Row],[$ INTERESES]],"")</f>
        <v>1603517</v>
      </c>
      <c r="F247" s="7">
        <f>+SUMIFS(FINANCIACION[$ CAPITAL],FINANCIACION[Fecha],"&lt;="&amp;FINANCIACION[[#This Row],[Fecha]],FINANCIACION[PRESTAMO],FINANCIACION[[#This Row],[PRESTAMO]])</f>
        <v>-27500000</v>
      </c>
      <c r="G247" s="11"/>
      <c r="H247" s="11"/>
      <c r="I247" s="7">
        <f>+IF(FINANCIACION[[#This Row],[$ CAPITAL]]&gt;0,FINANCIACION[[#This Row],[$ CAPITAL]])</f>
        <v>1250000</v>
      </c>
      <c r="J247" s="49">
        <f>+IF(FINANCIACION[[#This Row],[$ CAPITAL]]&gt;=0,FINANCIACION[[#This Row],[$ CAPITAL]]+FINANCIACION[[#This Row],[$ INTERESES]],0)</f>
        <v>1603517</v>
      </c>
    </row>
    <row r="248" spans="1:10" ht="24" hidden="1" customHeight="1" x14ac:dyDescent="0.25">
      <c r="A248" s="10">
        <v>43671</v>
      </c>
      <c r="B248" s="85" t="s">
        <v>452</v>
      </c>
      <c r="C248" s="7">
        <v>1250000</v>
      </c>
      <c r="D248" s="7">
        <v>335262</v>
      </c>
      <c r="E248" s="7">
        <f>+IF(FINANCIACION[[#This Row],[$ CAPITAL]]&gt;=0,FINANCIACION[[#This Row],[$ CAPITAL]]+FINANCIACION[[#This Row],[$ INTERESES]],"")</f>
        <v>1585262</v>
      </c>
      <c r="F248" s="7">
        <f>+SUMIFS(FINANCIACION[$ CAPITAL],FINANCIACION[Fecha],"&lt;="&amp;FINANCIACION[[#This Row],[Fecha]],FINANCIACION[PRESTAMO],FINANCIACION[[#This Row],[PRESTAMO]])</f>
        <v>-26250000</v>
      </c>
      <c r="G248" s="11"/>
      <c r="H248" s="11"/>
      <c r="I248" s="7">
        <f>+IF(FINANCIACION[[#This Row],[$ CAPITAL]]&gt;0,FINANCIACION[[#This Row],[$ CAPITAL]])</f>
        <v>1250000</v>
      </c>
      <c r="J248" s="49">
        <f>+IF(FINANCIACION[[#This Row],[$ CAPITAL]]&gt;=0,FINANCIACION[[#This Row],[$ CAPITAL]]+FINANCIACION[[#This Row],[$ INTERESES]],0)</f>
        <v>1585262</v>
      </c>
    </row>
    <row r="249" spans="1:10" ht="24" hidden="1" customHeight="1" x14ac:dyDescent="0.25">
      <c r="A249" s="10">
        <v>43703</v>
      </c>
      <c r="B249" s="85" t="s">
        <v>452</v>
      </c>
      <c r="C249" s="7">
        <v>1250000</v>
      </c>
      <c r="D249" s="7">
        <v>320711</v>
      </c>
      <c r="E249" s="7">
        <f>+IF(FINANCIACION[[#This Row],[$ CAPITAL]]&gt;=0,FINANCIACION[[#This Row],[$ CAPITAL]]+FINANCIACION[[#This Row],[$ INTERESES]],"")</f>
        <v>1570711</v>
      </c>
      <c r="F249" s="7">
        <f>+SUMIFS(FINANCIACION[$ CAPITAL],FINANCIACION[Fecha],"&lt;="&amp;FINANCIACION[[#This Row],[Fecha]],FINANCIACION[PRESTAMO],FINANCIACION[[#This Row],[PRESTAMO]])</f>
        <v>-25000000</v>
      </c>
      <c r="G249" s="11"/>
      <c r="H249" s="11"/>
      <c r="I249" s="7">
        <f>+IF(FINANCIACION[[#This Row],[$ CAPITAL]]&gt;0,FINANCIACION[[#This Row],[$ CAPITAL]])</f>
        <v>1250000</v>
      </c>
      <c r="J249" s="49">
        <f>+IF(FINANCIACION[[#This Row],[$ CAPITAL]]&gt;=0,FINANCIACION[[#This Row],[$ CAPITAL]]+FINANCIACION[[#This Row],[$ INTERESES]],0)</f>
        <v>1570711</v>
      </c>
    </row>
    <row r="250" spans="1:10" ht="24" hidden="1" customHeight="1" x14ac:dyDescent="0.25">
      <c r="A250" s="10">
        <v>43733</v>
      </c>
      <c r="B250" s="85" t="s">
        <v>452</v>
      </c>
      <c r="C250" s="7">
        <v>1250000</v>
      </c>
      <c r="D250" s="7">
        <v>305659</v>
      </c>
      <c r="E250" s="7">
        <f>+IF(FINANCIACION[[#This Row],[$ CAPITAL]]&gt;=0,FINANCIACION[[#This Row],[$ CAPITAL]]+FINANCIACION[[#This Row],[$ INTERESES]],"")</f>
        <v>1555659</v>
      </c>
      <c r="F250" s="7">
        <f>+SUMIFS(FINANCIACION[$ CAPITAL],FINANCIACION[Fecha],"&lt;="&amp;FINANCIACION[[#This Row],[Fecha]],FINANCIACION[PRESTAMO],FINANCIACION[[#This Row],[PRESTAMO]])</f>
        <v>-23750000</v>
      </c>
      <c r="G250" s="11"/>
      <c r="H250" s="11"/>
      <c r="I250" s="7">
        <f>+IF(FINANCIACION[[#This Row],[$ CAPITAL]]&gt;0,FINANCIACION[[#This Row],[$ CAPITAL]])</f>
        <v>1250000</v>
      </c>
      <c r="J250" s="49">
        <f>+IF(FINANCIACION[[#This Row],[$ CAPITAL]]&gt;=0,FINANCIACION[[#This Row],[$ CAPITAL]]+FINANCIACION[[#This Row],[$ INTERESES]],0)</f>
        <v>1555659</v>
      </c>
    </row>
    <row r="251" spans="1:10" ht="24" hidden="1" customHeight="1" x14ac:dyDescent="0.25">
      <c r="A251" s="10">
        <v>43763</v>
      </c>
      <c r="B251" s="85" t="s">
        <v>452</v>
      </c>
      <c r="C251" s="7">
        <v>1250000</v>
      </c>
      <c r="D251" s="7">
        <v>289544</v>
      </c>
      <c r="E251" s="7">
        <f>+IF(FINANCIACION[[#This Row],[$ CAPITAL]]&gt;=0,FINANCIACION[[#This Row],[$ CAPITAL]]+FINANCIACION[[#This Row],[$ INTERESES]],"")</f>
        <v>1539544</v>
      </c>
      <c r="F251" s="7">
        <f>+SUMIFS(FINANCIACION[$ CAPITAL],FINANCIACION[Fecha],"&lt;="&amp;FINANCIACION[[#This Row],[Fecha]],FINANCIACION[PRESTAMO],FINANCIACION[[#This Row],[PRESTAMO]])</f>
        <v>-22500000</v>
      </c>
      <c r="G251" s="11"/>
      <c r="H251" s="11"/>
      <c r="I251" s="7">
        <f>+IF(FINANCIACION[[#This Row],[$ CAPITAL]]&gt;0,FINANCIACION[[#This Row],[$ CAPITAL]])</f>
        <v>1250000</v>
      </c>
      <c r="J251" s="49">
        <f>+IF(FINANCIACION[[#This Row],[$ CAPITAL]]&gt;=0,FINANCIACION[[#This Row],[$ CAPITAL]]+FINANCIACION[[#This Row],[$ INTERESES]],0)</f>
        <v>1539544</v>
      </c>
    </row>
    <row r="252" spans="1:10" ht="24" hidden="1" customHeight="1" x14ac:dyDescent="0.25">
      <c r="A252" s="10">
        <v>43794</v>
      </c>
      <c r="B252" s="85" t="s">
        <v>452</v>
      </c>
      <c r="C252" s="7">
        <v>1250000</v>
      </c>
      <c r="D252" s="7">
        <v>1130711</v>
      </c>
      <c r="E252" s="7">
        <f>+IF(FINANCIACION[[#This Row],[$ CAPITAL]]&gt;=0,FINANCIACION[[#This Row],[$ CAPITAL]]+FINANCIACION[[#This Row],[$ INTERESES]],"")</f>
        <v>2380711</v>
      </c>
      <c r="F252" s="7">
        <f>+SUMIFS(FINANCIACION[$ CAPITAL],FINANCIACION[Fecha],"&lt;="&amp;FINANCIACION[[#This Row],[Fecha]],FINANCIACION[PRESTAMO],FINANCIACION[[#This Row],[PRESTAMO]])</f>
        <v>-21250000</v>
      </c>
      <c r="G252" s="11"/>
      <c r="H252" s="11"/>
      <c r="I252" s="7">
        <f>+IF(FINANCIACION[[#This Row],[$ CAPITAL]]&gt;0,FINANCIACION[[#This Row],[$ CAPITAL]])</f>
        <v>1250000</v>
      </c>
      <c r="J252" s="49">
        <f>+IF(FINANCIACION[[#This Row],[$ CAPITAL]]&gt;=0,FINANCIACION[[#This Row],[$ CAPITAL]]+FINANCIACION[[#This Row],[$ INTERESES]],0)</f>
        <v>2380711</v>
      </c>
    </row>
    <row r="253" spans="1:10" ht="24" hidden="1" customHeight="1" x14ac:dyDescent="0.25">
      <c r="A253" s="10">
        <v>43825</v>
      </c>
      <c r="B253" s="85" t="s">
        <v>452</v>
      </c>
      <c r="C253" s="7">
        <v>1250000</v>
      </c>
      <c r="D253" s="7">
        <v>260739</v>
      </c>
      <c r="E253" s="7">
        <f>+IF(FINANCIACION[[#This Row],[$ CAPITAL]]&gt;=0,FINANCIACION[[#This Row],[$ CAPITAL]]+FINANCIACION[[#This Row],[$ INTERESES]],"")</f>
        <v>1510739</v>
      </c>
      <c r="F253" s="7">
        <f>+SUMIFS(FINANCIACION[$ CAPITAL],FINANCIACION[Fecha],"&lt;="&amp;FINANCIACION[[#This Row],[Fecha]],FINANCIACION[PRESTAMO],FINANCIACION[[#This Row],[PRESTAMO]])</f>
        <v>-20000000</v>
      </c>
      <c r="G253" s="11"/>
      <c r="H253" s="11"/>
      <c r="I253" s="7">
        <f>+IF(FINANCIACION[[#This Row],[$ CAPITAL]]&gt;0,FINANCIACION[[#This Row],[$ CAPITAL]])</f>
        <v>1250000</v>
      </c>
      <c r="J253" s="49">
        <f>+IF(FINANCIACION[[#This Row],[$ CAPITAL]]&gt;=0,FINANCIACION[[#This Row],[$ CAPITAL]]+FINANCIACION[[#This Row],[$ INTERESES]],0)</f>
        <v>1510739</v>
      </c>
    </row>
    <row r="254" spans="1:10" ht="24" hidden="1" customHeight="1" x14ac:dyDescent="0.25">
      <c r="A254" s="10">
        <v>43855</v>
      </c>
      <c r="B254" s="85" t="s">
        <v>452</v>
      </c>
      <c r="C254" s="7">
        <v>1250000</v>
      </c>
      <c r="D254" s="7">
        <v>244877</v>
      </c>
      <c r="E254" s="7">
        <f>+IF(FINANCIACION[[#This Row],[$ CAPITAL]]&gt;=0,FINANCIACION[[#This Row],[$ CAPITAL]]+FINANCIACION[[#This Row],[$ INTERESES]],"")</f>
        <v>1494877</v>
      </c>
      <c r="F254" s="7">
        <f>+SUMIFS(FINANCIACION[$ CAPITAL],FINANCIACION[Fecha],"&lt;="&amp;FINANCIACION[[#This Row],[Fecha]],FINANCIACION[PRESTAMO],FINANCIACION[[#This Row],[PRESTAMO]])</f>
        <v>-18750000</v>
      </c>
      <c r="G254" s="11"/>
      <c r="H254" s="11"/>
      <c r="I254" s="7">
        <f>+IF(FINANCIACION[[#This Row],[$ CAPITAL]]&gt;0,FINANCIACION[[#This Row],[$ CAPITAL]])</f>
        <v>1250000</v>
      </c>
      <c r="J254" s="49">
        <f>+IF(FINANCIACION[[#This Row],[$ CAPITAL]]&gt;=0,FINANCIACION[[#This Row],[$ CAPITAL]]+FINANCIACION[[#This Row],[$ INTERESES]],0)</f>
        <v>1494877</v>
      </c>
    </row>
    <row r="255" spans="1:10" ht="24" hidden="1" customHeight="1" x14ac:dyDescent="0.25">
      <c r="A255" s="10">
        <v>43886</v>
      </c>
      <c r="B255" s="85" t="s">
        <v>452</v>
      </c>
      <c r="C255" s="7">
        <v>1250000</v>
      </c>
      <c r="D255" s="7">
        <v>229080</v>
      </c>
      <c r="E255" s="7">
        <f>+IF(FINANCIACION[[#This Row],[$ CAPITAL]]&gt;=0,FINANCIACION[[#This Row],[$ CAPITAL]]+FINANCIACION[[#This Row],[$ INTERESES]],"")</f>
        <v>1479080</v>
      </c>
      <c r="F255" s="7">
        <f>+SUMIFS(FINANCIACION[$ CAPITAL],FINANCIACION[Fecha],"&lt;="&amp;FINANCIACION[[#This Row],[Fecha]],FINANCIACION[PRESTAMO],FINANCIACION[[#This Row],[PRESTAMO]])</f>
        <v>-17500000</v>
      </c>
      <c r="G255" s="11"/>
      <c r="H255" s="11"/>
      <c r="I255" s="7">
        <f>+IF(FINANCIACION[[#This Row],[$ CAPITAL]]&gt;0,FINANCIACION[[#This Row],[$ CAPITAL]])</f>
        <v>1250000</v>
      </c>
      <c r="J255" s="49">
        <f>+IF(FINANCIACION[[#This Row],[$ CAPITAL]]&gt;=0,FINANCIACION[[#This Row],[$ CAPITAL]]+FINANCIACION[[#This Row],[$ INTERESES]],0)</f>
        <v>1479080</v>
      </c>
    </row>
    <row r="256" spans="1:10" ht="24" hidden="1" customHeight="1" x14ac:dyDescent="0.25">
      <c r="A256" s="10">
        <v>43915</v>
      </c>
      <c r="B256" s="85" t="s">
        <v>452</v>
      </c>
      <c r="C256" s="7">
        <v>1250000</v>
      </c>
      <c r="D256" s="7">
        <v>214114</v>
      </c>
      <c r="E256" s="7">
        <f>+IF(FINANCIACION[[#This Row],[$ CAPITAL]]&gt;=0,FINANCIACION[[#This Row],[$ CAPITAL]]+FINANCIACION[[#This Row],[$ INTERESES]],"")</f>
        <v>1464114</v>
      </c>
      <c r="F256" s="7">
        <f>+SUMIFS(FINANCIACION[$ CAPITAL],FINANCIACION[Fecha],"&lt;="&amp;FINANCIACION[[#This Row],[Fecha]],FINANCIACION[PRESTAMO],FINANCIACION[[#This Row],[PRESTAMO]])</f>
        <v>-16250000</v>
      </c>
      <c r="G256" s="11"/>
      <c r="H256" s="11"/>
      <c r="I256" s="7">
        <f>+IF(FINANCIACION[[#This Row],[$ CAPITAL]]&gt;0,FINANCIACION[[#This Row],[$ CAPITAL]])</f>
        <v>1250000</v>
      </c>
      <c r="J256" s="49">
        <f>+IF(FINANCIACION[[#This Row],[$ CAPITAL]]&gt;=0,FINANCIACION[[#This Row],[$ CAPITAL]]+FINANCIACION[[#This Row],[$ INTERESES]],0)</f>
        <v>1464114</v>
      </c>
    </row>
    <row r="257" spans="1:10" ht="24" hidden="1" customHeight="1" x14ac:dyDescent="0.25">
      <c r="A257" s="10">
        <v>44081</v>
      </c>
      <c r="B257" s="85" t="s">
        <v>452</v>
      </c>
      <c r="C257" s="7"/>
      <c r="D257" s="7">
        <v>31575</v>
      </c>
      <c r="E257" s="7">
        <f>+IF(FINANCIACION[[#This Row],[$ CAPITAL]]&gt;=0,FINANCIACION[[#This Row],[$ CAPITAL]]+FINANCIACION[[#This Row],[$ INTERESES]],"")</f>
        <v>31575</v>
      </c>
      <c r="F257" s="7">
        <f>+SUMIFS(FINANCIACION[$ CAPITAL],FINANCIACION[Fecha],"&lt;="&amp;FINANCIACION[[#This Row],[Fecha]],FINANCIACION[PRESTAMO],FINANCIACION[[#This Row],[PRESTAMO]])</f>
        <v>-16250000</v>
      </c>
      <c r="G257" s="11"/>
      <c r="H257" s="11"/>
      <c r="I257" s="7" t="b">
        <f>+IF(FINANCIACION[[#This Row],[$ CAPITAL]]&gt;0,FINANCIACION[[#This Row],[$ CAPITAL]])</f>
        <v>0</v>
      </c>
      <c r="J257" s="49">
        <f>+IF(FINANCIACION[[#This Row],[$ CAPITAL]]&gt;=0,FINANCIACION[[#This Row],[$ CAPITAL]]+FINANCIACION[[#This Row],[$ INTERESES]],0)</f>
        <v>31575</v>
      </c>
    </row>
    <row r="258" spans="1:10" ht="24" hidden="1" customHeight="1" x14ac:dyDescent="0.25">
      <c r="A258" s="10">
        <v>44104</v>
      </c>
      <c r="B258" s="85" t="s">
        <v>452</v>
      </c>
      <c r="C258" s="7">
        <v>-38080833</v>
      </c>
      <c r="D258" s="7"/>
      <c r="E258" s="7" t="str">
        <f>+IF(FINANCIACION[[#This Row],[$ CAPITAL]]&gt;=0,FINANCIACION[[#This Row],[$ CAPITAL]]+FINANCIACION[[#This Row],[$ INTERESES]],"")</f>
        <v/>
      </c>
      <c r="F258" s="7">
        <f>+SUMIFS(FINANCIACION[$ CAPITAL],FINANCIACION[Fecha],"&lt;="&amp;FINANCIACION[[#This Row],[Fecha]],FINANCIACION[PRESTAMO],FINANCIACION[[#This Row],[PRESTAMO]])</f>
        <v>-54330833</v>
      </c>
      <c r="G258" s="11"/>
      <c r="H258" s="11"/>
      <c r="I258" s="7" t="b">
        <f>+IF(FINANCIACION[[#This Row],[$ CAPITAL]]&gt;0,FINANCIACION[[#This Row],[$ CAPITAL]])</f>
        <v>0</v>
      </c>
      <c r="J258" s="49">
        <f>+IF(FINANCIACION[[#This Row],[$ CAPITAL]]&gt;=0,FINANCIACION[[#This Row],[$ CAPITAL]]+FINANCIACION[[#This Row],[$ INTERESES]],0)</f>
        <v>0</v>
      </c>
    </row>
    <row r="259" spans="1:10" ht="24" hidden="1" customHeight="1" x14ac:dyDescent="0.25">
      <c r="A259" s="10">
        <v>44138</v>
      </c>
      <c r="B259" s="85" t="s">
        <v>452</v>
      </c>
      <c r="C259" s="7"/>
      <c r="D259" s="7">
        <v>76830</v>
      </c>
      <c r="E259" s="7">
        <f>+IF(FINANCIACION[[#This Row],[$ CAPITAL]]&gt;=0,FINANCIACION[[#This Row],[$ CAPITAL]]+FINANCIACION[[#This Row],[$ INTERESES]],"")</f>
        <v>76830</v>
      </c>
      <c r="F259" s="7">
        <f>+SUMIFS(FINANCIACION[$ CAPITAL],FINANCIACION[Fecha],"&lt;="&amp;FINANCIACION[[#This Row],[Fecha]],FINANCIACION[PRESTAMO],FINANCIACION[[#This Row],[PRESTAMO]])</f>
        <v>-54330833</v>
      </c>
      <c r="G259" s="11"/>
      <c r="H259" s="11"/>
      <c r="I259" s="7" t="b">
        <f>+IF(FINANCIACION[[#This Row],[$ CAPITAL]]&gt;0,FINANCIACION[[#This Row],[$ CAPITAL]])</f>
        <v>0</v>
      </c>
      <c r="J259" s="49">
        <f>+IF(FINANCIACION[[#This Row],[$ CAPITAL]]&gt;=0,FINANCIACION[[#This Row],[$ CAPITAL]]+FINANCIACION[[#This Row],[$ INTERESES]],0)</f>
        <v>76830</v>
      </c>
    </row>
    <row r="260" spans="1:10" ht="24" hidden="1" customHeight="1" x14ac:dyDescent="0.25">
      <c r="A260" s="10">
        <v>44165</v>
      </c>
      <c r="B260" s="85" t="s">
        <v>452</v>
      </c>
      <c r="C260" s="7"/>
      <c r="D260" s="7">
        <v>76791</v>
      </c>
      <c r="E260" s="7">
        <f>+IF(FINANCIACION[[#This Row],[$ CAPITAL]]&gt;=0,FINANCIACION[[#This Row],[$ CAPITAL]]+FINANCIACION[[#This Row],[$ INTERESES]],"")</f>
        <v>76791</v>
      </c>
      <c r="F260" s="7">
        <f>+SUMIFS(FINANCIACION[$ CAPITAL],FINANCIACION[Fecha],"&lt;="&amp;FINANCIACION[[#This Row],[Fecha]],FINANCIACION[PRESTAMO],FINANCIACION[[#This Row],[PRESTAMO]])</f>
        <v>-54330833</v>
      </c>
      <c r="G260" s="11"/>
      <c r="H260" s="11"/>
      <c r="I260" s="7" t="b">
        <f>+IF(FINANCIACION[[#This Row],[$ CAPITAL]]&gt;0,FINANCIACION[[#This Row],[$ CAPITAL]])</f>
        <v>0</v>
      </c>
      <c r="J260" s="49">
        <f>+IF(FINANCIACION[[#This Row],[$ CAPITAL]]&gt;=0,FINANCIACION[[#This Row],[$ CAPITAL]]+FINANCIACION[[#This Row],[$ INTERESES]],0)</f>
        <v>76791</v>
      </c>
    </row>
    <row r="261" spans="1:10" ht="24" hidden="1" customHeight="1" x14ac:dyDescent="0.25">
      <c r="A261" s="10">
        <v>44196</v>
      </c>
      <c r="B261" s="85" t="s">
        <v>452</v>
      </c>
      <c r="C261" s="7"/>
      <c r="D261" s="7">
        <v>76791</v>
      </c>
      <c r="E261" s="7">
        <f>+IF(FINANCIACION[[#This Row],[$ CAPITAL]]&gt;=0,FINANCIACION[[#This Row],[$ CAPITAL]]+FINANCIACION[[#This Row],[$ INTERESES]],"")</f>
        <v>76791</v>
      </c>
      <c r="F261" s="7">
        <f>+SUMIFS(FINANCIACION[$ CAPITAL],FINANCIACION[Fecha],"&lt;="&amp;FINANCIACION[[#This Row],[Fecha]],FINANCIACION[PRESTAMO],FINANCIACION[[#This Row],[PRESTAMO]])</f>
        <v>-54330833</v>
      </c>
      <c r="G261" s="11"/>
      <c r="H261" s="11"/>
      <c r="I261" s="7" t="b">
        <f>+IF(FINANCIACION[[#This Row],[$ CAPITAL]]&gt;0,FINANCIACION[[#This Row],[$ CAPITAL]])</f>
        <v>0</v>
      </c>
      <c r="J261" s="49">
        <f>+IF(FINANCIACION[[#This Row],[$ CAPITAL]]&gt;=0,FINANCIACION[[#This Row],[$ CAPITAL]]+FINANCIACION[[#This Row],[$ INTERESES]],0)</f>
        <v>76791</v>
      </c>
    </row>
    <row r="262" spans="1:10" ht="24" hidden="1" customHeight="1" x14ac:dyDescent="0.25">
      <c r="A262" s="10">
        <v>44228</v>
      </c>
      <c r="B262" s="85" t="s">
        <v>452</v>
      </c>
      <c r="C262" s="7"/>
      <c r="D262" s="7">
        <v>76791</v>
      </c>
      <c r="E262" s="7">
        <f>+IF(FINANCIACION[[#This Row],[$ CAPITAL]]&gt;=0,FINANCIACION[[#This Row],[$ CAPITAL]]+FINANCIACION[[#This Row],[$ INTERESES]],"")</f>
        <v>76791</v>
      </c>
      <c r="F262" s="7">
        <f>+SUMIFS(FINANCIACION[$ CAPITAL],FINANCIACION[Fecha],"&lt;="&amp;FINANCIACION[[#This Row],[Fecha]],FINANCIACION[PRESTAMO],FINANCIACION[[#This Row],[PRESTAMO]])</f>
        <v>-54330833</v>
      </c>
      <c r="G262" s="11"/>
      <c r="H262" s="91"/>
      <c r="I262" s="7" t="b">
        <f>+IF(FINANCIACION[[#This Row],[$ CAPITAL]]&gt;0,FINANCIACION[[#This Row],[$ CAPITAL]])</f>
        <v>0</v>
      </c>
      <c r="J262" s="12">
        <f>+IF(FINANCIACION[[#This Row],[$ CAPITAL]]&gt;=0,FINANCIACION[[#This Row],[$ CAPITAL]]+FINANCIACION[[#This Row],[$ INTERESES]],0)</f>
        <v>76791</v>
      </c>
    </row>
    <row r="263" spans="1:10" ht="24" hidden="1" customHeight="1" x14ac:dyDescent="0.25">
      <c r="A263" s="10">
        <v>44256</v>
      </c>
      <c r="B263" s="85" t="s">
        <v>452</v>
      </c>
      <c r="C263" s="7"/>
      <c r="D263" s="7">
        <v>462578</v>
      </c>
      <c r="E263" s="7">
        <f>+IF(FINANCIACION[[#This Row],[$ CAPITAL]]&gt;=0,FINANCIACION[[#This Row],[$ CAPITAL]]+FINANCIACION[[#This Row],[$ INTERESES]],"")</f>
        <v>462578</v>
      </c>
      <c r="F263" s="7">
        <f>+SUMIFS(FINANCIACION[$ CAPITAL],FINANCIACION[Fecha],"&lt;="&amp;FINANCIACION[[#This Row],[Fecha]],FINANCIACION[PRESTAMO],FINANCIACION[[#This Row],[PRESTAMO]])</f>
        <v>-54330833</v>
      </c>
      <c r="G263" s="11"/>
      <c r="H263" s="91"/>
      <c r="I263" s="7" t="b">
        <f>+IF(FINANCIACION[[#This Row],[$ CAPITAL]]&gt;0,FINANCIACION[[#This Row],[$ CAPITAL]])</f>
        <v>0</v>
      </c>
      <c r="J263" s="12">
        <f>+IF(FINANCIACION[[#This Row],[$ CAPITAL]]&gt;=0,FINANCIACION[[#This Row],[$ CAPITAL]]+FINANCIACION[[#This Row],[$ INTERESES]],0)</f>
        <v>462578</v>
      </c>
    </row>
    <row r="264" spans="1:10" ht="24" hidden="1" customHeight="1" x14ac:dyDescent="0.25">
      <c r="A264" s="10">
        <v>44286</v>
      </c>
      <c r="B264" s="85" t="s">
        <v>452</v>
      </c>
      <c r="C264" s="7">
        <v>1468400</v>
      </c>
      <c r="D264" s="7">
        <v>506320</v>
      </c>
      <c r="E264" s="7">
        <f>+IF(FINANCIACION[[#This Row],[$ CAPITAL]]&gt;=0,FINANCIACION[[#This Row],[$ CAPITAL]]+FINANCIACION[[#This Row],[$ INTERESES]],"")</f>
        <v>1974720</v>
      </c>
      <c r="F264" s="7">
        <f>+SUMIFS(FINANCIACION[$ CAPITAL],FINANCIACION[Fecha],"&lt;="&amp;FINANCIACION[[#This Row],[Fecha]],FINANCIACION[PRESTAMO],FINANCIACION[[#This Row],[PRESTAMO]])</f>
        <v>-52862433</v>
      </c>
      <c r="G264" s="11"/>
      <c r="H264" s="91"/>
      <c r="I264" s="7">
        <f>+IF(FINANCIACION[[#This Row],[$ CAPITAL]]&gt;0,FINANCIACION[[#This Row],[$ CAPITAL]])</f>
        <v>1468400</v>
      </c>
      <c r="J264" s="12">
        <f>+IF(FINANCIACION[[#This Row],[$ CAPITAL]]&gt;=0,FINANCIACION[[#This Row],[$ CAPITAL]]+FINANCIACION[[#This Row],[$ INTERESES]],0)</f>
        <v>1974720</v>
      </c>
    </row>
    <row r="265" spans="1:10" ht="24" hidden="1" customHeight="1" x14ac:dyDescent="0.25">
      <c r="A265" s="10">
        <v>44316</v>
      </c>
      <c r="B265" s="85" t="s">
        <v>452</v>
      </c>
      <c r="C265" s="7">
        <v>1468400</v>
      </c>
      <c r="D265" s="7">
        <v>506320</v>
      </c>
      <c r="E265" s="7">
        <f>+IF(FINANCIACION[[#This Row],[$ CAPITAL]]&gt;=0,FINANCIACION[[#This Row],[$ CAPITAL]]+FINANCIACION[[#This Row],[$ INTERESES]],"")</f>
        <v>1974720</v>
      </c>
      <c r="F265" s="7">
        <f>+SUMIFS(FINANCIACION[$ CAPITAL],FINANCIACION[Fecha],"&lt;="&amp;FINANCIACION[[#This Row],[Fecha]],FINANCIACION[PRESTAMO],FINANCIACION[[#This Row],[PRESTAMO]])</f>
        <v>-51394000</v>
      </c>
      <c r="G265" s="11"/>
      <c r="H265" s="91"/>
      <c r="I265" s="7">
        <f>+IF(FINANCIACION[[#This Row],[$ CAPITAL]]&gt;0,FINANCIACION[[#This Row],[$ CAPITAL]])</f>
        <v>1468400</v>
      </c>
      <c r="J265" s="12">
        <f>+IF(FINANCIACION[[#This Row],[$ CAPITAL]]&gt;=0,FINANCIACION[[#This Row],[$ CAPITAL]]+FINANCIACION[[#This Row],[$ INTERESES]],0)</f>
        <v>1974720</v>
      </c>
    </row>
    <row r="266" spans="1:10" ht="24" hidden="1" customHeight="1" x14ac:dyDescent="0.25">
      <c r="A266" s="10">
        <v>44316</v>
      </c>
      <c r="B266" s="85" t="s">
        <v>452</v>
      </c>
      <c r="C266" s="7">
        <v>33</v>
      </c>
      <c r="D266" s="7"/>
      <c r="E266" s="7">
        <f>+IF(FINANCIACION[[#This Row],[$ CAPITAL]]&gt;=0,FINANCIACION[[#This Row],[$ CAPITAL]]+FINANCIACION[[#This Row],[$ INTERESES]],"")</f>
        <v>33</v>
      </c>
      <c r="F266" s="7">
        <f>+SUMIFS(FINANCIACION[$ CAPITAL],FINANCIACION[Fecha],"&lt;="&amp;FINANCIACION[[#This Row],[Fecha]],FINANCIACION[PRESTAMO],FINANCIACION[[#This Row],[PRESTAMO]])</f>
        <v>-51394000</v>
      </c>
      <c r="G266" s="11" t="s">
        <v>512</v>
      </c>
      <c r="H266" s="91"/>
      <c r="I266" s="7">
        <f>+IF(FINANCIACION[[#This Row],[$ CAPITAL]]&gt;0,FINANCIACION[[#This Row],[$ CAPITAL]])</f>
        <v>33</v>
      </c>
      <c r="J266" s="12">
        <f>+IF(FINANCIACION[[#This Row],[$ CAPITAL]]&gt;=0,FINANCIACION[[#This Row],[$ CAPITAL]]+FINANCIACION[[#This Row],[$ INTERESES]],0)</f>
        <v>33</v>
      </c>
    </row>
    <row r="267" spans="1:10" ht="24" hidden="1" customHeight="1" x14ac:dyDescent="0.25">
      <c r="A267" s="10">
        <v>44347</v>
      </c>
      <c r="B267" s="85" t="s">
        <v>452</v>
      </c>
      <c r="C267" s="7">
        <v>1468400</v>
      </c>
      <c r="D267" s="7">
        <v>477575</v>
      </c>
      <c r="E267" s="7">
        <f>+IF(FINANCIACION[[#This Row],[$ CAPITAL]]&gt;=0,FINANCIACION[[#This Row],[$ CAPITAL]]+FINANCIACION[[#This Row],[$ INTERESES]],"")</f>
        <v>1945975</v>
      </c>
      <c r="F267" s="7">
        <f>+SUMIFS(FINANCIACION[$ CAPITAL],FINANCIACION[Fecha],"&lt;="&amp;FINANCIACION[[#This Row],[Fecha]],FINANCIACION[PRESTAMO],FINANCIACION[[#This Row],[PRESTAMO]])</f>
        <v>-49925600</v>
      </c>
      <c r="G267" s="91"/>
      <c r="H267" s="11"/>
      <c r="I267" s="7">
        <f>+IF(FINANCIACION[[#This Row],[$ CAPITAL]]&gt;0,FINANCIACION[[#This Row],[$ CAPITAL]])</f>
        <v>1468400</v>
      </c>
      <c r="J267" s="49">
        <f>+IF(FINANCIACION[[#This Row],[$ CAPITAL]]&gt;=0,FINANCIACION[[#This Row],[$ CAPITAL]]+FINANCIACION[[#This Row],[$ INTERESES]],0)</f>
        <v>1945975</v>
      </c>
    </row>
    <row r="268" spans="1:10" ht="24" hidden="1" customHeight="1" x14ac:dyDescent="0.25">
      <c r="A268" s="10">
        <v>44377</v>
      </c>
      <c r="B268" s="85" t="s">
        <v>452</v>
      </c>
      <c r="C268" s="7">
        <v>1468400</v>
      </c>
      <c r="D268" s="7">
        <v>453711</v>
      </c>
      <c r="E268" s="7">
        <f>+IF(FINANCIACION[[#This Row],[$ CAPITAL]]&gt;=0,FINANCIACION[[#This Row],[$ CAPITAL]]+FINANCIACION[[#This Row],[$ INTERESES]],"")</f>
        <v>1922111</v>
      </c>
      <c r="F268" s="7">
        <f>+SUMIFS(FINANCIACION[$ CAPITAL],FINANCIACION[Fecha],"&lt;="&amp;FINANCIACION[[#This Row],[Fecha]],FINANCIACION[PRESTAMO],FINANCIACION[[#This Row],[PRESTAMO]])</f>
        <v>-48457200</v>
      </c>
      <c r="G268" s="91"/>
      <c r="H268" s="11"/>
      <c r="I268" s="7">
        <f>+IF(FINANCIACION[[#This Row],[$ CAPITAL]]&gt;0,FINANCIACION[[#This Row],[$ CAPITAL]])</f>
        <v>1468400</v>
      </c>
      <c r="J268" s="49">
        <f>+IF(FINANCIACION[[#This Row],[$ CAPITAL]]&gt;=0,FINANCIACION[[#This Row],[$ CAPITAL]]+FINANCIACION[[#This Row],[$ INTERESES]],0)</f>
        <v>1922111</v>
      </c>
    </row>
    <row r="269" spans="1:10" ht="24" hidden="1" customHeight="1" x14ac:dyDescent="0.25">
      <c r="A269" s="10">
        <v>44410</v>
      </c>
      <c r="B269" s="85" t="s">
        <v>452</v>
      </c>
      <c r="C269" s="7">
        <v>1468400</v>
      </c>
      <c r="D269" s="7">
        <v>455909</v>
      </c>
      <c r="E269" s="7">
        <f>+IF(FINANCIACION[[#This Row],[$ CAPITAL]]&gt;=0,FINANCIACION[[#This Row],[$ CAPITAL]]+FINANCIACION[[#This Row],[$ INTERESES]],"")</f>
        <v>1924309</v>
      </c>
      <c r="F269" s="7">
        <f>+SUMIFS(FINANCIACION[$ CAPITAL],FINANCIACION[Fecha],"&lt;="&amp;FINANCIACION[[#This Row],[Fecha]],FINANCIACION[PRESTAMO],FINANCIACION[[#This Row],[PRESTAMO]])</f>
        <v>-46988800</v>
      </c>
      <c r="G269" s="91"/>
      <c r="H269" s="11"/>
      <c r="I269" s="7">
        <f>+IF(FINANCIACION[[#This Row],[$ CAPITAL]]&gt;0,FINANCIACION[[#This Row],[$ CAPITAL]])</f>
        <v>1468400</v>
      </c>
      <c r="J269" s="49">
        <f>+IF(FINANCIACION[[#This Row],[$ CAPITAL]]&gt;=0,FINANCIACION[[#This Row],[$ CAPITAL]]+FINANCIACION[[#This Row],[$ INTERESES]],0)</f>
        <v>1924309</v>
      </c>
    </row>
    <row r="270" spans="1:10" ht="24" hidden="1" customHeight="1" x14ac:dyDescent="0.25">
      <c r="A270" s="10">
        <v>44439</v>
      </c>
      <c r="B270" s="85" t="s">
        <v>452</v>
      </c>
      <c r="C270" s="7">
        <v>1468400</v>
      </c>
      <c r="D270" s="7">
        <v>442095</v>
      </c>
      <c r="E270" s="7">
        <f>+IF(FINANCIACION[[#This Row],[$ CAPITAL]]&gt;=0,FINANCIACION[[#This Row],[$ CAPITAL]]+FINANCIACION[[#This Row],[$ INTERESES]],"")</f>
        <v>1910495</v>
      </c>
      <c r="F270" s="7">
        <f>+SUMIFS(FINANCIACION[$ CAPITAL],FINANCIACION[Fecha],"&lt;="&amp;FINANCIACION[[#This Row],[Fecha]],FINANCIACION[PRESTAMO],FINANCIACION[[#This Row],[PRESTAMO]])</f>
        <v>-45520400</v>
      </c>
      <c r="G270" s="91"/>
      <c r="H270" s="11"/>
      <c r="I270" s="7">
        <f>+IF(FINANCIACION[[#This Row],[$ CAPITAL]]&gt;0,FINANCIACION[[#This Row],[$ CAPITAL]])</f>
        <v>1468400</v>
      </c>
      <c r="J270" s="49">
        <f>+IF(FINANCIACION[[#This Row],[$ CAPITAL]]&gt;=0,FINANCIACION[[#This Row],[$ CAPITAL]]+FINANCIACION[[#This Row],[$ INTERESES]],0)</f>
        <v>1910495</v>
      </c>
    </row>
    <row r="271" spans="1:10" ht="24" hidden="1" customHeight="1" x14ac:dyDescent="0.25">
      <c r="A271" s="10">
        <v>44469</v>
      </c>
      <c r="B271" s="85" t="s">
        <v>452</v>
      </c>
      <c r="C271" s="7">
        <v>1468400</v>
      </c>
      <c r="D271" s="7">
        <v>418397</v>
      </c>
      <c r="E271" s="7">
        <f>+IF(FINANCIACION[[#This Row],[$ CAPITAL]]&gt;=0,FINANCIACION[[#This Row],[$ CAPITAL]]+FINANCIACION[[#This Row],[$ INTERESES]],"")</f>
        <v>1886797</v>
      </c>
      <c r="F271" s="7">
        <f>+SUMIFS(FINANCIACION[$ CAPITAL],FINANCIACION[Fecha],"&lt;="&amp;FINANCIACION[[#This Row],[Fecha]],FINANCIACION[PRESTAMO],FINANCIACION[[#This Row],[PRESTAMO]])</f>
        <v>-44052000</v>
      </c>
      <c r="G271" s="91"/>
      <c r="H271" s="11"/>
      <c r="I271" s="7">
        <f>+IF(FINANCIACION[[#This Row],[$ CAPITAL]]&gt;0,FINANCIACION[[#This Row],[$ CAPITAL]])</f>
        <v>1468400</v>
      </c>
      <c r="J271" s="49">
        <f>+IF(FINANCIACION[[#This Row],[$ CAPITAL]]&gt;=0,FINANCIACION[[#This Row],[$ CAPITAL]]+FINANCIACION[[#This Row],[$ INTERESES]],0)</f>
        <v>1886797</v>
      </c>
    </row>
    <row r="272" spans="1:10" ht="24" hidden="1" customHeight="1" x14ac:dyDescent="0.25">
      <c r="A272" s="10">
        <v>44502</v>
      </c>
      <c r="B272" s="86" t="s">
        <v>452</v>
      </c>
      <c r="C272" s="7">
        <v>1468400</v>
      </c>
      <c r="D272" s="7">
        <v>418397</v>
      </c>
      <c r="E272" s="7">
        <f>+IF(FINANCIACION[[#This Row],[$ CAPITAL]]&gt;=0,FINANCIACION[[#This Row],[$ CAPITAL]]+FINANCIACION[[#This Row],[$ INTERESES]],"")</f>
        <v>1886797</v>
      </c>
      <c r="F272" s="7">
        <f>+SUMIFS(FINANCIACION[$ CAPITAL],FINANCIACION[Fecha],"&lt;="&amp;FINANCIACION[[#This Row],[Fecha]],FINANCIACION[PRESTAMO],FINANCIACION[[#This Row],[PRESTAMO]])</f>
        <v>-42583600</v>
      </c>
      <c r="G272" s="91"/>
      <c r="H272" s="11"/>
      <c r="I272" s="7">
        <f>+IF(FINANCIACION[[#This Row],[$ CAPITAL]]&gt;0,FINANCIACION[[#This Row],[$ CAPITAL]])</f>
        <v>1468400</v>
      </c>
      <c r="J272" s="49">
        <f>+IF(FINANCIACION[[#This Row],[$ CAPITAL]]&gt;=0,FINANCIACION[[#This Row],[$ CAPITAL]]+FINANCIACION[[#This Row],[$ INTERESES]],0)</f>
        <v>1886797</v>
      </c>
    </row>
    <row r="273" spans="1:10" ht="24" hidden="1" customHeight="1" x14ac:dyDescent="0.25">
      <c r="A273" s="10">
        <v>44530</v>
      </c>
      <c r="B273" s="85" t="s">
        <v>452</v>
      </c>
      <c r="C273" s="7">
        <v>1468400</v>
      </c>
      <c r="D273" s="7">
        <v>419971</v>
      </c>
      <c r="E273" s="7">
        <f>+IF(FINANCIACION[[#This Row],[$ CAPITAL]]&gt;=0,FINANCIACION[[#This Row],[$ CAPITAL]]+FINANCIACION[[#This Row],[$ INTERESES]],"")</f>
        <v>1888371</v>
      </c>
      <c r="F273" s="7">
        <f>+SUMIFS(FINANCIACION[$ CAPITAL],FINANCIACION[Fecha],"&lt;="&amp;FINANCIACION[[#This Row],[Fecha]],FINANCIACION[PRESTAMO],FINANCIACION[[#This Row],[PRESTAMO]])</f>
        <v>-41115200</v>
      </c>
      <c r="G273" s="91"/>
      <c r="H273" s="11"/>
      <c r="I273" s="7">
        <f>+IF(FINANCIACION[[#This Row],[$ CAPITAL]]&gt;0,FINANCIACION[[#This Row],[$ CAPITAL]])</f>
        <v>1468400</v>
      </c>
      <c r="J273" s="49">
        <f>+IF(FINANCIACION[[#This Row],[$ CAPITAL]]&gt;=0,FINANCIACION[[#This Row],[$ CAPITAL]]+FINANCIACION[[#This Row],[$ INTERESES]],0)</f>
        <v>1888371</v>
      </c>
    </row>
    <row r="274" spans="1:10" ht="24" hidden="1" customHeight="1" x14ac:dyDescent="0.25">
      <c r="A274" s="10">
        <v>43468</v>
      </c>
      <c r="B274" s="85" t="s">
        <v>453</v>
      </c>
      <c r="C274" s="7">
        <v>-125000000</v>
      </c>
      <c r="D274" s="7"/>
      <c r="E274" s="7" t="str">
        <f>+IF(FINANCIACION[[#This Row],[$ CAPITAL]]&gt;=0,FINANCIACION[[#This Row],[$ CAPITAL]]+FINANCIACION[[#This Row],[$ INTERESES]],"")</f>
        <v/>
      </c>
      <c r="F274" s="7">
        <f>+SUMIFS(FINANCIACION[$ CAPITAL],FINANCIACION[Fecha],"&lt;="&amp;FINANCIACION[[#This Row],[Fecha]],FINANCIACION[PRESTAMO],FINANCIACION[[#This Row],[PRESTAMO]])</f>
        <v>-125000000</v>
      </c>
      <c r="G274" s="11"/>
      <c r="H274" s="11"/>
      <c r="I274" s="7" t="b">
        <f>+IF(FINANCIACION[[#This Row],[$ CAPITAL]]&gt;0,FINANCIACION[[#This Row],[$ CAPITAL]])</f>
        <v>0</v>
      </c>
      <c r="J274" s="49">
        <f>+IF(FINANCIACION[[#This Row],[$ CAPITAL]]&gt;=0,FINANCIACION[[#This Row],[$ CAPITAL]]+FINANCIACION[[#This Row],[$ INTERESES]],0)</f>
        <v>0</v>
      </c>
    </row>
    <row r="275" spans="1:10" ht="24" hidden="1" customHeight="1" x14ac:dyDescent="0.25">
      <c r="A275" s="10">
        <v>43499</v>
      </c>
      <c r="B275" s="85" t="s">
        <v>453</v>
      </c>
      <c r="C275" s="7">
        <v>3472222</v>
      </c>
      <c r="D275" s="7">
        <v>1364677</v>
      </c>
      <c r="E275" s="7">
        <f>+IF(FINANCIACION[[#This Row],[$ CAPITAL]]&gt;=0,FINANCIACION[[#This Row],[$ CAPITAL]]+FINANCIACION[[#This Row],[$ INTERESES]],"")</f>
        <v>4836899</v>
      </c>
      <c r="F275" s="7">
        <f>+SUMIFS(FINANCIACION[$ CAPITAL],FINANCIACION[Fecha],"&lt;="&amp;FINANCIACION[[#This Row],[Fecha]],FINANCIACION[PRESTAMO],FINANCIACION[[#This Row],[PRESTAMO]])</f>
        <v>-121527778</v>
      </c>
      <c r="G275" s="11"/>
      <c r="H275" s="11"/>
      <c r="I275" s="7">
        <f>+IF(FINANCIACION[[#This Row],[$ CAPITAL]]&gt;0,FINANCIACION[[#This Row],[$ CAPITAL]])</f>
        <v>3472222</v>
      </c>
      <c r="J275" s="49">
        <f>+IF(FINANCIACION[[#This Row],[$ CAPITAL]]&gt;=0,FINANCIACION[[#This Row],[$ CAPITAL]]+FINANCIACION[[#This Row],[$ INTERESES]],0)</f>
        <v>4836899</v>
      </c>
    </row>
    <row r="276" spans="1:10" ht="24" hidden="1" customHeight="1" x14ac:dyDescent="0.25">
      <c r="A276" s="10">
        <v>43527</v>
      </c>
      <c r="B276" s="85" t="s">
        <v>453</v>
      </c>
      <c r="C276" s="7">
        <v>3472222</v>
      </c>
      <c r="D276" s="7">
        <v>1334182</v>
      </c>
      <c r="E276" s="7">
        <f>+IF(FINANCIACION[[#This Row],[$ CAPITAL]]&gt;=0,FINANCIACION[[#This Row],[$ CAPITAL]]+FINANCIACION[[#This Row],[$ INTERESES]],"")</f>
        <v>4806404</v>
      </c>
      <c r="F276" s="7">
        <f>+SUMIFS(FINANCIACION[$ CAPITAL],FINANCIACION[Fecha],"&lt;="&amp;FINANCIACION[[#This Row],[Fecha]],FINANCIACION[PRESTAMO],FINANCIACION[[#This Row],[PRESTAMO]])</f>
        <v>-118055556</v>
      </c>
      <c r="G276" s="11"/>
      <c r="H276" s="11"/>
      <c r="I276" s="7">
        <f>+IF(FINANCIACION[[#This Row],[$ CAPITAL]]&gt;0,FINANCIACION[[#This Row],[$ CAPITAL]])</f>
        <v>3472222</v>
      </c>
      <c r="J276" s="49">
        <f>+IF(FINANCIACION[[#This Row],[$ CAPITAL]]&gt;=0,FINANCIACION[[#This Row],[$ CAPITAL]]+FINANCIACION[[#This Row],[$ INTERESES]],0)</f>
        <v>4806404</v>
      </c>
    </row>
    <row r="277" spans="1:10" ht="24" hidden="1" customHeight="1" x14ac:dyDescent="0.25">
      <c r="A277" s="10">
        <v>43563</v>
      </c>
      <c r="B277" s="85" t="s">
        <v>453</v>
      </c>
      <c r="C277" s="7">
        <v>3472222</v>
      </c>
      <c r="D277" s="7">
        <v>1290918</v>
      </c>
      <c r="E277" s="7">
        <f>+IF(FINANCIACION[[#This Row],[$ CAPITAL]]&gt;=0,FINANCIACION[[#This Row],[$ CAPITAL]]+FINANCIACION[[#This Row],[$ INTERESES]],"")</f>
        <v>4763140</v>
      </c>
      <c r="F277" s="7">
        <f>+SUMIFS(FINANCIACION[$ CAPITAL],FINANCIACION[Fecha],"&lt;="&amp;FINANCIACION[[#This Row],[Fecha]],FINANCIACION[PRESTAMO],FINANCIACION[[#This Row],[PRESTAMO]])</f>
        <v>-114583334</v>
      </c>
      <c r="G277" s="11"/>
      <c r="H277" s="11"/>
      <c r="I277" s="7">
        <f>+IF(FINANCIACION[[#This Row],[$ CAPITAL]]&gt;0,FINANCIACION[[#This Row],[$ CAPITAL]])</f>
        <v>3472222</v>
      </c>
      <c r="J277" s="49">
        <f>+IF(FINANCIACION[[#This Row],[$ CAPITAL]]&gt;=0,FINANCIACION[[#This Row],[$ CAPITAL]]+FINANCIACION[[#This Row],[$ INTERESES]],0)</f>
        <v>4763140</v>
      </c>
    </row>
    <row r="278" spans="1:10" ht="24" hidden="1" customHeight="1" x14ac:dyDescent="0.25">
      <c r="A278" s="10">
        <v>43593</v>
      </c>
      <c r="B278" s="85" t="s">
        <v>453</v>
      </c>
      <c r="C278" s="7">
        <v>3472222</v>
      </c>
      <c r="D278" s="7">
        <v>1254945</v>
      </c>
      <c r="E278" s="7">
        <f>+IF(FINANCIACION[[#This Row],[$ CAPITAL]]&gt;=0,FINANCIACION[[#This Row],[$ CAPITAL]]+FINANCIACION[[#This Row],[$ INTERESES]],"")</f>
        <v>4727167</v>
      </c>
      <c r="F278" s="7">
        <f>+SUMIFS(FINANCIACION[$ CAPITAL],FINANCIACION[Fecha],"&lt;="&amp;FINANCIACION[[#This Row],[Fecha]],FINANCIACION[PRESTAMO],FINANCIACION[[#This Row],[PRESTAMO]])</f>
        <v>-111111112</v>
      </c>
      <c r="G278" s="11"/>
      <c r="H278" s="11"/>
      <c r="I278" s="7">
        <f>+IF(FINANCIACION[[#This Row],[$ CAPITAL]]&gt;0,FINANCIACION[[#This Row],[$ CAPITAL]])</f>
        <v>3472222</v>
      </c>
      <c r="J278" s="49">
        <f>+IF(FINANCIACION[[#This Row],[$ CAPITAL]]&gt;=0,FINANCIACION[[#This Row],[$ CAPITAL]]+FINANCIACION[[#This Row],[$ INTERESES]],0)</f>
        <v>4727167</v>
      </c>
    </row>
    <row r="279" spans="1:10" ht="24" hidden="1" customHeight="1" x14ac:dyDescent="0.25">
      <c r="A279" s="10">
        <v>43619</v>
      </c>
      <c r="B279" s="85" t="s">
        <v>453</v>
      </c>
      <c r="C279" s="7">
        <v>3472222</v>
      </c>
      <c r="D279" s="7">
        <v>1213047</v>
      </c>
      <c r="E279" s="7">
        <f>+IF(FINANCIACION[[#This Row],[$ CAPITAL]]&gt;=0,FINANCIACION[[#This Row],[$ CAPITAL]]+FINANCIACION[[#This Row],[$ INTERESES]],"")</f>
        <v>4685269</v>
      </c>
      <c r="F279" s="7">
        <f>+SUMIFS(FINANCIACION[$ CAPITAL],FINANCIACION[Fecha],"&lt;="&amp;FINANCIACION[[#This Row],[Fecha]],FINANCIACION[PRESTAMO],FINANCIACION[[#This Row],[PRESTAMO]])</f>
        <v>-107638890</v>
      </c>
      <c r="G279" s="11"/>
      <c r="H279" s="11"/>
      <c r="I279" s="7">
        <f>+IF(FINANCIACION[[#This Row],[$ CAPITAL]]&gt;0,FINANCIACION[[#This Row],[$ CAPITAL]])</f>
        <v>3472222</v>
      </c>
      <c r="J279" s="49">
        <f>+IF(FINANCIACION[[#This Row],[$ CAPITAL]]&gt;=0,FINANCIACION[[#This Row],[$ CAPITAL]]+FINANCIACION[[#This Row],[$ INTERESES]],0)</f>
        <v>4685269</v>
      </c>
    </row>
    <row r="280" spans="1:10" ht="24" hidden="1" customHeight="1" x14ac:dyDescent="0.25">
      <c r="A280" s="10">
        <v>43649</v>
      </c>
      <c r="B280" s="85" t="s">
        <v>453</v>
      </c>
      <c r="C280" s="7">
        <v>3472222</v>
      </c>
      <c r="D280" s="7">
        <v>1171398</v>
      </c>
      <c r="E280" s="7">
        <f>+IF(FINANCIACION[[#This Row],[$ CAPITAL]]&gt;=0,FINANCIACION[[#This Row],[$ CAPITAL]]+FINANCIACION[[#This Row],[$ INTERESES]],"")</f>
        <v>4643620</v>
      </c>
      <c r="F280" s="7">
        <f>+SUMIFS(FINANCIACION[$ CAPITAL],FINANCIACION[Fecha],"&lt;="&amp;FINANCIACION[[#This Row],[Fecha]],FINANCIACION[PRESTAMO],FINANCIACION[[#This Row],[PRESTAMO]])</f>
        <v>-104166668</v>
      </c>
      <c r="G280" s="11"/>
      <c r="H280" s="11"/>
      <c r="I280" s="7">
        <f>+IF(FINANCIACION[[#This Row],[$ CAPITAL]]&gt;0,FINANCIACION[[#This Row],[$ CAPITAL]])</f>
        <v>3472222</v>
      </c>
      <c r="J280" s="49">
        <f>+IF(FINANCIACION[[#This Row],[$ CAPITAL]]&gt;=0,FINANCIACION[[#This Row],[$ CAPITAL]]+FINANCIACION[[#This Row],[$ INTERESES]],0)</f>
        <v>4643620</v>
      </c>
    </row>
    <row r="281" spans="1:10" ht="24" hidden="1" customHeight="1" x14ac:dyDescent="0.25">
      <c r="A281" s="10">
        <v>43680</v>
      </c>
      <c r="B281" s="85" t="s">
        <v>453</v>
      </c>
      <c r="C281" s="7">
        <v>3472222</v>
      </c>
      <c r="D281" s="7">
        <v>1136328</v>
      </c>
      <c r="E281" s="7">
        <f>+IF(FINANCIACION[[#This Row],[$ CAPITAL]]&gt;=0,FINANCIACION[[#This Row],[$ CAPITAL]]+FINANCIACION[[#This Row],[$ INTERESES]],"")</f>
        <v>4608550</v>
      </c>
      <c r="F281" s="7">
        <f>+SUMIFS(FINANCIACION[$ CAPITAL],FINANCIACION[Fecha],"&lt;="&amp;FINANCIACION[[#This Row],[Fecha]],FINANCIACION[PRESTAMO],FINANCIACION[[#This Row],[PRESTAMO]])</f>
        <v>-100694446</v>
      </c>
      <c r="G281" s="11"/>
      <c r="H281" s="11"/>
      <c r="I281" s="7">
        <f>+IF(FINANCIACION[[#This Row],[$ CAPITAL]]&gt;0,FINANCIACION[[#This Row],[$ CAPITAL]])</f>
        <v>3472222</v>
      </c>
      <c r="J281" s="49">
        <f>+IF(FINANCIACION[[#This Row],[$ CAPITAL]]&gt;=0,FINANCIACION[[#This Row],[$ CAPITAL]]+FINANCIACION[[#This Row],[$ INTERESES]],0)</f>
        <v>4608550</v>
      </c>
    </row>
    <row r="282" spans="1:10" ht="24" hidden="1" customHeight="1" x14ac:dyDescent="0.25">
      <c r="A282" s="10">
        <v>43711</v>
      </c>
      <c r="B282" s="85" t="s">
        <v>453</v>
      </c>
      <c r="C282" s="7">
        <v>3472222</v>
      </c>
      <c r="D282" s="7">
        <v>1096697</v>
      </c>
      <c r="E282" s="7">
        <f>+IF(FINANCIACION[[#This Row],[$ CAPITAL]]&gt;=0,FINANCIACION[[#This Row],[$ CAPITAL]]+FINANCIACION[[#This Row],[$ INTERESES]],"")</f>
        <v>4568919</v>
      </c>
      <c r="F282" s="7">
        <f>+SUMIFS(FINANCIACION[$ CAPITAL],FINANCIACION[Fecha],"&lt;="&amp;FINANCIACION[[#This Row],[Fecha]],FINANCIACION[PRESTAMO],FINANCIACION[[#This Row],[PRESTAMO]])</f>
        <v>-97222224</v>
      </c>
      <c r="G282" s="11"/>
      <c r="H282" s="11"/>
      <c r="I282" s="7">
        <f>+IF(FINANCIACION[[#This Row],[$ CAPITAL]]&gt;0,FINANCIACION[[#This Row],[$ CAPITAL]])</f>
        <v>3472222</v>
      </c>
      <c r="J282" s="49">
        <f>+IF(FINANCIACION[[#This Row],[$ CAPITAL]]&gt;=0,FINANCIACION[[#This Row],[$ CAPITAL]]+FINANCIACION[[#This Row],[$ INTERESES]],0)</f>
        <v>4568919</v>
      </c>
    </row>
    <row r="283" spans="1:10" ht="24" hidden="1" customHeight="1" x14ac:dyDescent="0.25">
      <c r="A283" s="10">
        <v>43741</v>
      </c>
      <c r="B283" s="85" t="s">
        <v>453</v>
      </c>
      <c r="C283" s="7">
        <v>3472222</v>
      </c>
      <c r="D283" s="7">
        <v>1053808</v>
      </c>
      <c r="E283" s="7">
        <f>+IF(FINANCIACION[[#This Row],[$ CAPITAL]]&gt;=0,FINANCIACION[[#This Row],[$ CAPITAL]]+FINANCIACION[[#This Row],[$ INTERESES]],"")</f>
        <v>4526030</v>
      </c>
      <c r="F283" s="7">
        <f>+SUMIFS(FINANCIACION[$ CAPITAL],FINANCIACION[Fecha],"&lt;="&amp;FINANCIACION[[#This Row],[Fecha]],FINANCIACION[PRESTAMO],FINANCIACION[[#This Row],[PRESTAMO]])</f>
        <v>-93750002</v>
      </c>
      <c r="G283" s="11"/>
      <c r="H283" s="11"/>
      <c r="I283" s="7">
        <f>+IF(FINANCIACION[[#This Row],[$ CAPITAL]]&gt;0,FINANCIACION[[#This Row],[$ CAPITAL]])</f>
        <v>3472222</v>
      </c>
      <c r="J283" s="49">
        <f>+IF(FINANCIACION[[#This Row],[$ CAPITAL]]&gt;=0,FINANCIACION[[#This Row],[$ CAPITAL]]+FINANCIACION[[#This Row],[$ INTERESES]],0)</f>
        <v>4526030</v>
      </c>
    </row>
    <row r="284" spans="1:10" ht="24" hidden="1" customHeight="1" x14ac:dyDescent="0.25">
      <c r="A284" s="10">
        <v>43772</v>
      </c>
      <c r="B284" s="85" t="s">
        <v>453</v>
      </c>
      <c r="C284" s="7">
        <v>3472222</v>
      </c>
      <c r="D284" s="7">
        <v>1021062</v>
      </c>
      <c r="E284" s="7">
        <f>+IF(FINANCIACION[[#This Row],[$ CAPITAL]]&gt;=0,FINANCIACION[[#This Row],[$ CAPITAL]]+FINANCIACION[[#This Row],[$ INTERESES]],"")</f>
        <v>4493284</v>
      </c>
      <c r="F284" s="7">
        <f>+SUMIFS(FINANCIACION[$ CAPITAL],FINANCIACION[Fecha],"&lt;="&amp;FINANCIACION[[#This Row],[Fecha]],FINANCIACION[PRESTAMO],FINANCIACION[[#This Row],[PRESTAMO]])</f>
        <v>-90277780</v>
      </c>
      <c r="G284" s="11"/>
      <c r="H284" s="11"/>
      <c r="I284" s="7">
        <f>+IF(FINANCIACION[[#This Row],[$ CAPITAL]]&gt;0,FINANCIACION[[#This Row],[$ CAPITAL]])</f>
        <v>3472222</v>
      </c>
      <c r="J284" s="49">
        <f>+IF(FINANCIACION[[#This Row],[$ CAPITAL]]&gt;=0,FINANCIACION[[#This Row],[$ CAPITAL]]+FINANCIACION[[#This Row],[$ INTERESES]],0)</f>
        <v>4493284</v>
      </c>
    </row>
    <row r="285" spans="1:10" ht="24" hidden="1" customHeight="1" x14ac:dyDescent="0.25">
      <c r="A285" s="10">
        <v>43802</v>
      </c>
      <c r="B285" s="85" t="s">
        <v>453</v>
      </c>
      <c r="C285" s="7">
        <v>3472222</v>
      </c>
      <c r="D285" s="7">
        <v>979318</v>
      </c>
      <c r="E285" s="7">
        <f>+IF(FINANCIACION[[#This Row],[$ CAPITAL]]&gt;=0,FINANCIACION[[#This Row],[$ CAPITAL]]+FINANCIACION[[#This Row],[$ INTERESES]],"")</f>
        <v>4451540</v>
      </c>
      <c r="F285" s="7">
        <f>+SUMIFS(FINANCIACION[$ CAPITAL],FINANCIACION[Fecha],"&lt;="&amp;FINANCIACION[[#This Row],[Fecha]],FINANCIACION[PRESTAMO],FINANCIACION[[#This Row],[PRESTAMO]])</f>
        <v>-86805558</v>
      </c>
      <c r="G285" s="11"/>
      <c r="H285" s="11"/>
      <c r="I285" s="7">
        <f>+IF(FINANCIACION[[#This Row],[$ CAPITAL]]&gt;0,FINANCIACION[[#This Row],[$ CAPITAL]])</f>
        <v>3472222</v>
      </c>
      <c r="J285" s="49">
        <f>+IF(FINANCIACION[[#This Row],[$ CAPITAL]]&gt;=0,FINANCIACION[[#This Row],[$ CAPITAL]]+FINANCIACION[[#This Row],[$ INTERESES]],0)</f>
        <v>4451540</v>
      </c>
    </row>
    <row r="286" spans="1:10" ht="24" hidden="1" customHeight="1" x14ac:dyDescent="0.25">
      <c r="A286" s="10">
        <v>43809</v>
      </c>
      <c r="B286" s="85" t="s">
        <v>453</v>
      </c>
      <c r="C286" s="7">
        <v>42000000</v>
      </c>
      <c r="D286" s="7"/>
      <c r="E286" s="7">
        <f>+IF(FINANCIACION[[#This Row],[$ CAPITAL]]&gt;=0,FINANCIACION[[#This Row],[$ CAPITAL]]+FINANCIACION[[#This Row],[$ INTERESES]],"")</f>
        <v>42000000</v>
      </c>
      <c r="F286" s="7">
        <f>+SUMIFS(FINANCIACION[$ CAPITAL],FINANCIACION[Fecha],"&lt;="&amp;FINANCIACION[[#This Row],[Fecha]],FINANCIACION[PRESTAMO],FINANCIACION[[#This Row],[PRESTAMO]])</f>
        <v>-44805558</v>
      </c>
      <c r="G286" s="11"/>
      <c r="H286" s="11"/>
      <c r="I286" s="7">
        <f>+IF(FINANCIACION[[#This Row],[$ CAPITAL]]&gt;0,FINANCIACION[[#This Row],[$ CAPITAL]])</f>
        <v>42000000</v>
      </c>
      <c r="J286" s="49">
        <f>+IF(FINANCIACION[[#This Row],[$ CAPITAL]]&gt;=0,FINANCIACION[[#This Row],[$ CAPITAL]]+FINANCIACION[[#This Row],[$ INTERESES]],0)</f>
        <v>42000000</v>
      </c>
    </row>
    <row r="287" spans="1:10" ht="24" hidden="1" customHeight="1" x14ac:dyDescent="0.25">
      <c r="A287" s="10">
        <v>43864</v>
      </c>
      <c r="B287" s="85" t="s">
        <v>453</v>
      </c>
      <c r="C287" s="7">
        <v>3472222</v>
      </c>
      <c r="D287" s="7">
        <v>863672</v>
      </c>
      <c r="E287" s="7">
        <f>+IF(FINANCIACION[[#This Row],[$ CAPITAL]]&gt;=0,FINANCIACION[[#This Row],[$ CAPITAL]]+FINANCIACION[[#This Row],[$ INTERESES]],"")</f>
        <v>4335894</v>
      </c>
      <c r="F287" s="7">
        <f>+SUMIFS(FINANCIACION[$ CAPITAL],FINANCIACION[Fecha],"&lt;="&amp;FINANCIACION[[#This Row],[Fecha]],FINANCIACION[PRESTAMO],FINANCIACION[[#This Row],[PRESTAMO]])</f>
        <v>-41333336</v>
      </c>
      <c r="G287" s="11"/>
      <c r="H287" s="11"/>
      <c r="I287" s="7">
        <f>+IF(FINANCIACION[[#This Row],[$ CAPITAL]]&gt;0,FINANCIACION[[#This Row],[$ CAPITAL]])</f>
        <v>3472222</v>
      </c>
      <c r="J287" s="49">
        <f>+IF(FINANCIACION[[#This Row],[$ CAPITAL]]&gt;=0,FINANCIACION[[#This Row],[$ CAPITAL]]+FINANCIACION[[#This Row],[$ INTERESES]],0)</f>
        <v>4335894</v>
      </c>
    </row>
    <row r="288" spans="1:10" ht="24" hidden="1" customHeight="1" x14ac:dyDescent="0.25">
      <c r="A288" s="10">
        <v>43893</v>
      </c>
      <c r="B288" s="85" t="s">
        <v>453</v>
      </c>
      <c r="C288" s="7">
        <v>3472222</v>
      </c>
      <c r="D288" s="7">
        <v>2169302</v>
      </c>
      <c r="E288" s="7">
        <f>+IF(FINANCIACION[[#This Row],[$ CAPITAL]]&gt;=0,FINANCIACION[[#This Row],[$ CAPITAL]]+FINANCIACION[[#This Row],[$ INTERESES]],"")</f>
        <v>5641524</v>
      </c>
      <c r="F288" s="7">
        <f>+SUMIFS(FINANCIACION[$ CAPITAL],FINANCIACION[Fecha],"&lt;="&amp;FINANCIACION[[#This Row],[Fecha]],FINANCIACION[PRESTAMO],FINANCIACION[[#This Row],[PRESTAMO]])</f>
        <v>-37861114</v>
      </c>
      <c r="G288" s="11"/>
      <c r="H288" s="11"/>
      <c r="I288" s="7">
        <f>+IF(FINANCIACION[[#This Row],[$ CAPITAL]]&gt;0,FINANCIACION[[#This Row],[$ CAPITAL]])</f>
        <v>3472222</v>
      </c>
      <c r="J288" s="49">
        <f>+IF(FINANCIACION[[#This Row],[$ CAPITAL]]&gt;=0,FINANCIACION[[#This Row],[$ CAPITAL]]+FINANCIACION[[#This Row],[$ INTERESES]],0)</f>
        <v>5641524</v>
      </c>
    </row>
    <row r="289" spans="1:10" ht="24" hidden="1" customHeight="1" x14ac:dyDescent="0.25">
      <c r="A289" s="10">
        <v>44012</v>
      </c>
      <c r="B289" s="85" t="s">
        <v>453</v>
      </c>
      <c r="C289" s="7">
        <v>-219719</v>
      </c>
      <c r="D289" s="7"/>
      <c r="E289" s="7" t="str">
        <f>+IF(FINANCIACION[[#This Row],[$ CAPITAL]]&gt;=0,FINANCIACION[[#This Row],[$ CAPITAL]]+FINANCIACION[[#This Row],[$ INTERESES]],"")</f>
        <v/>
      </c>
      <c r="F289" s="7">
        <f>+SUMIFS(FINANCIACION[$ CAPITAL],FINANCIACION[Fecha],"&lt;="&amp;FINANCIACION[[#This Row],[Fecha]],FINANCIACION[PRESTAMO],FINANCIACION[[#This Row],[PRESTAMO]])</f>
        <v>-38080833</v>
      </c>
      <c r="G289" s="11"/>
      <c r="H289" s="11"/>
      <c r="I289" s="7" t="b">
        <f>+IF(FINANCIACION[[#This Row],[$ CAPITAL]]&gt;0,FINANCIACION[[#This Row],[$ CAPITAL]])</f>
        <v>0</v>
      </c>
      <c r="J289" s="49">
        <f>+IF(FINANCIACION[[#This Row],[$ CAPITAL]]&gt;=0,FINANCIACION[[#This Row],[$ CAPITAL]]+FINANCIACION[[#This Row],[$ INTERESES]],0)</f>
        <v>0</v>
      </c>
    </row>
    <row r="290" spans="1:10" ht="24" hidden="1" customHeight="1" x14ac:dyDescent="0.25">
      <c r="A290" s="10">
        <v>44081</v>
      </c>
      <c r="B290" s="85" t="s">
        <v>453</v>
      </c>
      <c r="C290" s="7"/>
      <c r="D290" s="7">
        <v>64575</v>
      </c>
      <c r="E290" s="7">
        <f>+IF(FINANCIACION[[#This Row],[$ CAPITAL]]&gt;=0,FINANCIACION[[#This Row],[$ CAPITAL]]+FINANCIACION[[#This Row],[$ INTERESES]],"")</f>
        <v>64575</v>
      </c>
      <c r="F290" s="7">
        <f>+SUMIFS(FINANCIACION[$ CAPITAL],FINANCIACION[Fecha],"&lt;="&amp;FINANCIACION[[#This Row],[Fecha]],FINANCIACION[PRESTAMO],FINANCIACION[[#This Row],[PRESTAMO]])</f>
        <v>-38080833</v>
      </c>
      <c r="G290" s="11"/>
      <c r="H290" s="11"/>
      <c r="I290" s="7" t="b">
        <f>+IF(FINANCIACION[[#This Row],[$ CAPITAL]]&gt;0,FINANCIACION[[#This Row],[$ CAPITAL]])</f>
        <v>0</v>
      </c>
      <c r="J290" s="49">
        <f>+IF(FINANCIACION[[#This Row],[$ CAPITAL]]&gt;=0,FINANCIACION[[#This Row],[$ CAPITAL]]+FINANCIACION[[#This Row],[$ INTERESES]],0)</f>
        <v>64575</v>
      </c>
    </row>
    <row r="291" spans="1:10" ht="24" hidden="1" customHeight="1" x14ac:dyDescent="0.25">
      <c r="A291" s="10">
        <v>44104</v>
      </c>
      <c r="B291" s="85" t="s">
        <v>453</v>
      </c>
      <c r="C291" s="7">
        <v>34778781</v>
      </c>
      <c r="D291" s="7"/>
      <c r="E291" s="7">
        <f>+IF(FINANCIACION[[#This Row],[$ CAPITAL]]&gt;=0,FINANCIACION[[#This Row],[$ CAPITAL]]+FINANCIACION[[#This Row],[$ INTERESES]],"")</f>
        <v>34778781</v>
      </c>
      <c r="F291" s="7">
        <f>+SUMIFS(FINANCIACION[$ CAPITAL],FINANCIACION[Fecha],"&lt;="&amp;FINANCIACION[[#This Row],[Fecha]],FINANCIACION[PRESTAMO],FINANCIACION[[#This Row],[PRESTAMO]])</f>
        <v>-3302052</v>
      </c>
      <c r="G291" s="11"/>
      <c r="H291" s="11"/>
      <c r="I291" s="7">
        <f>+IF(FINANCIACION[[#This Row],[$ CAPITAL]]&gt;0,FINANCIACION[[#This Row],[$ CAPITAL]])</f>
        <v>34778781</v>
      </c>
      <c r="J291" s="49">
        <f>+IF(FINANCIACION[[#This Row],[$ CAPITAL]]&gt;=0,FINANCIACION[[#This Row],[$ CAPITAL]]+FINANCIACION[[#This Row],[$ INTERESES]],0)</f>
        <v>34778781</v>
      </c>
    </row>
    <row r="292" spans="1:10" ht="24" hidden="1" customHeight="1" x14ac:dyDescent="0.25">
      <c r="A292" s="10">
        <v>44138</v>
      </c>
      <c r="B292" s="85" t="s">
        <v>453</v>
      </c>
      <c r="C292" s="7"/>
      <c r="D292" s="7">
        <v>530587</v>
      </c>
      <c r="E292" s="7">
        <f>+IF(FINANCIACION[[#This Row],[$ CAPITAL]]&gt;=0,FINANCIACION[[#This Row],[$ CAPITAL]]+FINANCIACION[[#This Row],[$ INTERESES]],"")</f>
        <v>530587</v>
      </c>
      <c r="F292" s="7">
        <f>+SUMIFS(FINANCIACION[$ CAPITAL],FINANCIACION[Fecha],"&lt;="&amp;FINANCIACION[[#This Row],[Fecha]],FINANCIACION[PRESTAMO],FINANCIACION[[#This Row],[PRESTAMO]])</f>
        <v>-3302052</v>
      </c>
      <c r="G292" s="11"/>
      <c r="H292" s="11"/>
      <c r="I292" s="7" t="b">
        <f>+IF(FINANCIACION[[#This Row],[$ CAPITAL]]&gt;0,FINANCIACION[[#This Row],[$ CAPITAL]])</f>
        <v>0</v>
      </c>
      <c r="J292" s="49">
        <f>+IF(FINANCIACION[[#This Row],[$ CAPITAL]]&gt;=0,FINANCIACION[[#This Row],[$ CAPITAL]]+FINANCIACION[[#This Row],[$ INTERESES]],0)</f>
        <v>530587</v>
      </c>
    </row>
    <row r="293" spans="1:10" ht="24" hidden="1" customHeight="1" x14ac:dyDescent="0.25">
      <c r="A293" s="10">
        <v>44165</v>
      </c>
      <c r="B293" s="85" t="s">
        <v>453</v>
      </c>
      <c r="C293" s="7">
        <v>230412</v>
      </c>
      <c r="D293" s="7"/>
      <c r="E293" s="7">
        <f>+IF(FINANCIACION[[#This Row],[$ CAPITAL]]&gt;=0,FINANCIACION[[#This Row],[$ CAPITAL]]+FINANCIACION[[#This Row],[$ INTERESES]],"")</f>
        <v>230412</v>
      </c>
      <c r="F293" s="7">
        <f>+SUMIFS(FINANCIACION[$ CAPITAL],FINANCIACION[Fecha],"&lt;="&amp;FINANCIACION[[#This Row],[Fecha]],FINANCIACION[PRESTAMO],FINANCIACION[[#This Row],[PRESTAMO]])</f>
        <v>-3071640</v>
      </c>
      <c r="G293" s="11"/>
      <c r="H293" s="11"/>
      <c r="I293" s="7">
        <f>+IF(FINANCIACION[[#This Row],[$ CAPITAL]]&gt;0,FINANCIACION[[#This Row],[$ CAPITAL]])</f>
        <v>230412</v>
      </c>
      <c r="J293" s="49">
        <f>+IF(FINANCIACION[[#This Row],[$ CAPITAL]]&gt;=0,FINANCIACION[[#This Row],[$ CAPITAL]]+FINANCIACION[[#This Row],[$ INTERESES]],0)</f>
        <v>230412</v>
      </c>
    </row>
    <row r="294" spans="1:10" ht="24" hidden="1" customHeight="1" x14ac:dyDescent="0.25">
      <c r="A294" s="10">
        <v>44165</v>
      </c>
      <c r="B294" s="85" t="s">
        <v>453</v>
      </c>
      <c r="C294" s="7"/>
      <c r="D294" s="7">
        <v>497969</v>
      </c>
      <c r="E294" s="7">
        <f>+IF(FINANCIACION[[#This Row],[$ CAPITAL]]&gt;=0,FINANCIACION[[#This Row],[$ CAPITAL]]+FINANCIACION[[#This Row],[$ INTERESES]],"")</f>
        <v>497969</v>
      </c>
      <c r="F294" s="7">
        <f>+SUMIFS(FINANCIACION[$ CAPITAL],FINANCIACION[Fecha],"&lt;="&amp;FINANCIACION[[#This Row],[Fecha]],FINANCIACION[PRESTAMO],FINANCIACION[[#This Row],[PRESTAMO]])</f>
        <v>-3071640</v>
      </c>
      <c r="G294" s="11"/>
      <c r="H294" s="11"/>
      <c r="I294" s="7" t="b">
        <f>+IF(FINANCIACION[[#This Row],[$ CAPITAL]]&gt;0,FINANCIACION[[#This Row],[$ CAPITAL]])</f>
        <v>0</v>
      </c>
      <c r="J294" s="49">
        <f>+IF(FINANCIACION[[#This Row],[$ CAPITAL]]&gt;=0,FINANCIACION[[#This Row],[$ CAPITAL]]+FINANCIACION[[#This Row],[$ INTERESES]],0)</f>
        <v>497969</v>
      </c>
    </row>
    <row r="295" spans="1:10" ht="24" hidden="1" customHeight="1" x14ac:dyDescent="0.25">
      <c r="A295" s="10">
        <v>44196</v>
      </c>
      <c r="B295" s="85" t="s">
        <v>453</v>
      </c>
      <c r="C295" s="7"/>
      <c r="D295" s="7">
        <v>513600</v>
      </c>
      <c r="E295" s="7">
        <f>+IF(FINANCIACION[[#This Row],[$ CAPITAL]]&gt;=0,FINANCIACION[[#This Row],[$ CAPITAL]]+FINANCIACION[[#This Row],[$ INTERESES]],"")</f>
        <v>513600</v>
      </c>
      <c r="F295" s="7">
        <f>+SUMIFS(FINANCIACION[$ CAPITAL],FINANCIACION[Fecha],"&lt;="&amp;FINANCIACION[[#This Row],[Fecha]],FINANCIACION[PRESTAMO],FINANCIACION[[#This Row],[PRESTAMO]])</f>
        <v>-3071640</v>
      </c>
      <c r="G295" s="11"/>
      <c r="H295" s="11"/>
      <c r="I295" s="7" t="b">
        <f>+IF(FINANCIACION[[#This Row],[$ CAPITAL]]&gt;0,FINANCIACION[[#This Row],[$ CAPITAL]])</f>
        <v>0</v>
      </c>
      <c r="J295" s="49">
        <f>+IF(FINANCIACION[[#This Row],[$ CAPITAL]]&gt;=0,FINANCIACION[[#This Row],[$ CAPITAL]]+FINANCIACION[[#This Row],[$ INTERESES]],0)</f>
        <v>513600</v>
      </c>
    </row>
    <row r="296" spans="1:10" ht="24" hidden="1" customHeight="1" x14ac:dyDescent="0.25">
      <c r="A296" s="10">
        <v>44255</v>
      </c>
      <c r="B296" s="85" t="s">
        <v>453</v>
      </c>
      <c r="C296" s="7">
        <v>230373</v>
      </c>
      <c r="D296" s="7">
        <v>510203</v>
      </c>
      <c r="E296" s="7">
        <f>+IF(FINANCIACION[[#This Row],[$ CAPITAL]]&gt;=0,FINANCIACION[[#This Row],[$ CAPITAL]]+FINANCIACION[[#This Row],[$ INTERESES]],"")</f>
        <v>740576</v>
      </c>
      <c r="F296" s="7">
        <f>+SUMIFS(FINANCIACION[$ CAPITAL],FINANCIACION[Fecha],"&lt;="&amp;FINANCIACION[[#This Row],[Fecha]],FINANCIACION[PRESTAMO],FINANCIACION[[#This Row],[PRESTAMO]])</f>
        <v>-2841267</v>
      </c>
      <c r="G296" s="11" t="s">
        <v>512</v>
      </c>
      <c r="H296" s="11"/>
      <c r="I296" s="7">
        <f>+IF(FINANCIACION[[#This Row],[$ CAPITAL]]&gt;0,FINANCIACION[[#This Row],[$ CAPITAL]])</f>
        <v>230373</v>
      </c>
      <c r="J296" s="12">
        <f>+IF(FINANCIACION[[#This Row],[$ CAPITAL]]&gt;=0,FINANCIACION[[#This Row],[$ CAPITAL]]+FINANCIACION[[#This Row],[$ INTERESES]],0)</f>
        <v>740576</v>
      </c>
    </row>
    <row r="297" spans="1:10" ht="24" hidden="1" customHeight="1" x14ac:dyDescent="0.25">
      <c r="A297" s="10">
        <v>44256</v>
      </c>
      <c r="B297" s="85" t="s">
        <v>453</v>
      </c>
      <c r="C297" s="7"/>
      <c r="D297" s="7">
        <v>76791</v>
      </c>
      <c r="E297" s="7">
        <f>+IF(FINANCIACION[[#This Row],[$ CAPITAL]]&gt;=0,FINANCIACION[[#This Row],[$ CAPITAL]]+FINANCIACION[[#This Row],[$ INTERESES]],"")</f>
        <v>76791</v>
      </c>
      <c r="F297" s="7">
        <f>+SUMIFS(FINANCIACION[$ CAPITAL],FINANCIACION[Fecha],"&lt;="&amp;FINANCIACION[[#This Row],[Fecha]],FINANCIACION[PRESTAMO],FINANCIACION[[#This Row],[PRESTAMO]])</f>
        <v>-2841267</v>
      </c>
      <c r="G297" s="11"/>
      <c r="H297" s="91"/>
      <c r="I297" s="7" t="b">
        <f>+IF(FINANCIACION[[#This Row],[$ CAPITAL]]&gt;0,FINANCIACION[[#This Row],[$ CAPITAL]])</f>
        <v>0</v>
      </c>
      <c r="J297" s="12">
        <f>+IF(FINANCIACION[[#This Row],[$ CAPITAL]]&gt;=0,FINANCIACION[[#This Row],[$ CAPITAL]]+FINANCIACION[[#This Row],[$ INTERESES]],0)</f>
        <v>76791</v>
      </c>
    </row>
    <row r="298" spans="1:10" ht="24" hidden="1" customHeight="1" x14ac:dyDescent="0.25">
      <c r="A298" s="10">
        <v>44286</v>
      </c>
      <c r="B298" s="85" t="s">
        <v>453</v>
      </c>
      <c r="C298" s="7"/>
      <c r="D298" s="7">
        <v>76791</v>
      </c>
      <c r="E298" s="7">
        <f>+IF(FINANCIACION[[#This Row],[$ CAPITAL]]&gt;=0,FINANCIACION[[#This Row],[$ CAPITAL]]+FINANCIACION[[#This Row],[$ INTERESES]],"")</f>
        <v>76791</v>
      </c>
      <c r="F298" s="7">
        <f>+SUMIFS(FINANCIACION[$ CAPITAL],FINANCIACION[Fecha],"&lt;="&amp;FINANCIACION[[#This Row],[Fecha]],FINANCIACION[PRESTAMO],FINANCIACION[[#This Row],[PRESTAMO]])</f>
        <v>-2841267</v>
      </c>
      <c r="G298" s="11"/>
      <c r="H298" s="91"/>
      <c r="I298" s="7" t="b">
        <f>+IF(FINANCIACION[[#This Row],[$ CAPITAL]]&gt;0,FINANCIACION[[#This Row],[$ CAPITAL]])</f>
        <v>0</v>
      </c>
      <c r="J298" s="12">
        <f>+IF(FINANCIACION[[#This Row],[$ CAPITAL]]&gt;=0,FINANCIACION[[#This Row],[$ CAPITAL]]+FINANCIACION[[#This Row],[$ INTERESES]],0)</f>
        <v>76791</v>
      </c>
    </row>
    <row r="299" spans="1:10" ht="24" hidden="1" customHeight="1" x14ac:dyDescent="0.25">
      <c r="A299" s="10">
        <v>44316</v>
      </c>
      <c r="B299" s="85" t="s">
        <v>453</v>
      </c>
      <c r="C299" s="7"/>
      <c r="D299" s="7">
        <v>76791</v>
      </c>
      <c r="E299" s="7">
        <f>+IF(FINANCIACION[[#This Row],[$ CAPITAL]]&gt;=0,FINANCIACION[[#This Row],[$ CAPITAL]]+FINANCIACION[[#This Row],[$ INTERESES]],"")</f>
        <v>76791</v>
      </c>
      <c r="F299" s="7">
        <f>+SUMIFS(FINANCIACION[$ CAPITAL],FINANCIACION[Fecha],"&lt;="&amp;FINANCIACION[[#This Row],[Fecha]],FINANCIACION[PRESTAMO],FINANCIACION[[#This Row],[PRESTAMO]])</f>
        <v>-2687685</v>
      </c>
      <c r="G299" s="11"/>
      <c r="H299" s="91"/>
      <c r="I299" s="7" t="b">
        <f>+IF(FINANCIACION[[#This Row],[$ CAPITAL]]&gt;0,FINANCIACION[[#This Row],[$ CAPITAL]])</f>
        <v>0</v>
      </c>
      <c r="J299" s="12">
        <f>+IF(FINANCIACION[[#This Row],[$ CAPITAL]]&gt;=0,FINANCIACION[[#This Row],[$ CAPITAL]]+FINANCIACION[[#This Row],[$ INTERESES]],0)</f>
        <v>76791</v>
      </c>
    </row>
    <row r="300" spans="1:10" ht="24" hidden="1" customHeight="1" x14ac:dyDescent="0.25">
      <c r="A300" s="10">
        <v>44316</v>
      </c>
      <c r="B300" s="85" t="s">
        <v>453</v>
      </c>
      <c r="C300" s="7">
        <v>153582</v>
      </c>
      <c r="D300" s="7"/>
      <c r="E300" s="7">
        <f>+IF(FINANCIACION[[#This Row],[$ CAPITAL]]&gt;=0,FINANCIACION[[#This Row],[$ CAPITAL]]+FINANCIACION[[#This Row],[$ INTERESES]],"")</f>
        <v>153582</v>
      </c>
      <c r="F300" s="7">
        <f>+SUMIFS(FINANCIACION[$ CAPITAL],FINANCIACION[Fecha],"&lt;="&amp;FINANCIACION[[#This Row],[Fecha]],FINANCIACION[PRESTAMO],FINANCIACION[[#This Row],[PRESTAMO]])</f>
        <v>-2687685</v>
      </c>
      <c r="G300" s="11" t="s">
        <v>512</v>
      </c>
      <c r="H300" s="91"/>
      <c r="I300" s="7">
        <f>+IF(FINANCIACION[[#This Row],[$ CAPITAL]]&gt;0,FINANCIACION[[#This Row],[$ CAPITAL]])</f>
        <v>153582</v>
      </c>
      <c r="J300" s="12">
        <f>+IF(FINANCIACION[[#This Row],[$ CAPITAL]]&gt;=0,FINANCIACION[[#This Row],[$ CAPITAL]]+FINANCIACION[[#This Row],[$ INTERESES]],0)</f>
        <v>153582</v>
      </c>
    </row>
    <row r="301" spans="1:10" ht="24" hidden="1" customHeight="1" x14ac:dyDescent="0.25">
      <c r="A301" s="10">
        <v>44347</v>
      </c>
      <c r="B301" s="85" t="s">
        <v>453</v>
      </c>
      <c r="C301" s="7">
        <v>76791</v>
      </c>
      <c r="D301" s="7"/>
      <c r="E301" s="7">
        <f>+IF(FINANCIACION[[#This Row],[$ CAPITAL]]&gt;=0,FINANCIACION[[#This Row],[$ CAPITAL]]+FINANCIACION[[#This Row],[$ INTERESES]],"")</f>
        <v>76791</v>
      </c>
      <c r="F301" s="7">
        <f>+SUMIFS(FINANCIACION[$ CAPITAL],FINANCIACION[Fecha],"&lt;="&amp;FINANCIACION[[#This Row],[Fecha]],FINANCIACION[PRESTAMO],FINANCIACION[[#This Row],[PRESTAMO]])</f>
        <v>-2610894</v>
      </c>
      <c r="G301" s="91"/>
      <c r="H301" s="11"/>
      <c r="I301" s="7">
        <f>+IF(FINANCIACION[[#This Row],[$ CAPITAL]]&gt;0,FINANCIACION[[#This Row],[$ CAPITAL]])</f>
        <v>76791</v>
      </c>
      <c r="J301" s="49">
        <f>+IF(FINANCIACION[[#This Row],[$ CAPITAL]]&gt;=0,FINANCIACION[[#This Row],[$ CAPITAL]]+FINANCIACION[[#This Row],[$ INTERESES]],0)</f>
        <v>76791</v>
      </c>
    </row>
    <row r="302" spans="1:10" ht="24" hidden="1" customHeight="1" x14ac:dyDescent="0.25">
      <c r="A302" s="10">
        <v>44377</v>
      </c>
      <c r="B302" s="85" t="s">
        <v>453</v>
      </c>
      <c r="C302" s="7">
        <v>76791</v>
      </c>
      <c r="D302" s="7"/>
      <c r="E302" s="7">
        <f>+IF(FINANCIACION[[#This Row],[$ CAPITAL]]&gt;=0,FINANCIACION[[#This Row],[$ CAPITAL]]+FINANCIACION[[#This Row],[$ INTERESES]],"")</f>
        <v>76791</v>
      </c>
      <c r="F302" s="7">
        <f>+SUMIFS(FINANCIACION[$ CAPITAL],FINANCIACION[Fecha],"&lt;="&amp;FINANCIACION[[#This Row],[Fecha]],FINANCIACION[PRESTAMO],FINANCIACION[[#This Row],[PRESTAMO]])</f>
        <v>-2534103</v>
      </c>
      <c r="G302" s="91"/>
      <c r="H302" s="11"/>
      <c r="I302" s="7">
        <f>+IF(FINANCIACION[[#This Row],[$ CAPITAL]]&gt;0,FINANCIACION[[#This Row],[$ CAPITAL]])</f>
        <v>76791</v>
      </c>
      <c r="J302" s="49">
        <f>+IF(FINANCIACION[[#This Row],[$ CAPITAL]]&gt;=0,FINANCIACION[[#This Row],[$ CAPITAL]]+FINANCIACION[[#This Row],[$ INTERESES]],0)</f>
        <v>76791</v>
      </c>
    </row>
    <row r="303" spans="1:10" ht="24" hidden="1" customHeight="1" x14ac:dyDescent="0.25">
      <c r="A303" s="10">
        <v>44410</v>
      </c>
      <c r="B303" s="85" t="s">
        <v>453</v>
      </c>
      <c r="C303" s="7">
        <v>76791</v>
      </c>
      <c r="D303" s="7"/>
      <c r="E303" s="7">
        <f>+IF(FINANCIACION[[#This Row],[$ CAPITAL]]&gt;=0,FINANCIACION[[#This Row],[$ CAPITAL]]+FINANCIACION[[#This Row],[$ INTERESES]],"")</f>
        <v>76791</v>
      </c>
      <c r="F303" s="7">
        <f>+SUMIFS(FINANCIACION[$ CAPITAL],FINANCIACION[Fecha],"&lt;="&amp;FINANCIACION[[#This Row],[Fecha]],FINANCIACION[PRESTAMO],FINANCIACION[[#This Row],[PRESTAMO]])</f>
        <v>-2457312</v>
      </c>
      <c r="G303" s="91"/>
      <c r="H303" s="11"/>
      <c r="I303" s="7">
        <f>+IF(FINANCIACION[[#This Row],[$ CAPITAL]]&gt;0,FINANCIACION[[#This Row],[$ CAPITAL]])</f>
        <v>76791</v>
      </c>
      <c r="J303" s="49">
        <f>+IF(FINANCIACION[[#This Row],[$ CAPITAL]]&gt;=0,FINANCIACION[[#This Row],[$ CAPITAL]]+FINANCIACION[[#This Row],[$ INTERESES]],0)</f>
        <v>76791</v>
      </c>
    </row>
    <row r="304" spans="1:10" ht="24" hidden="1" customHeight="1" x14ac:dyDescent="0.25">
      <c r="A304" s="10">
        <v>44439</v>
      </c>
      <c r="B304" s="85" t="s">
        <v>453</v>
      </c>
      <c r="C304" s="7">
        <v>76791</v>
      </c>
      <c r="D304" s="7"/>
      <c r="E304" s="7">
        <f>+IF(FINANCIACION[[#This Row],[$ CAPITAL]]&gt;=0,FINANCIACION[[#This Row],[$ CAPITAL]]+FINANCIACION[[#This Row],[$ INTERESES]],"")</f>
        <v>76791</v>
      </c>
      <c r="F304" s="7">
        <f>+SUMIFS(FINANCIACION[$ CAPITAL],FINANCIACION[Fecha],"&lt;="&amp;FINANCIACION[[#This Row],[Fecha]],FINANCIACION[PRESTAMO],FINANCIACION[[#This Row],[PRESTAMO]])</f>
        <v>-2380521</v>
      </c>
      <c r="G304" s="91"/>
      <c r="H304" s="11"/>
      <c r="I304" s="7">
        <f>+IF(FINANCIACION[[#This Row],[$ CAPITAL]]&gt;0,FINANCIACION[[#This Row],[$ CAPITAL]])</f>
        <v>76791</v>
      </c>
      <c r="J304" s="49">
        <f>+IF(FINANCIACION[[#This Row],[$ CAPITAL]]&gt;=0,FINANCIACION[[#This Row],[$ CAPITAL]]+FINANCIACION[[#This Row],[$ INTERESES]],0)</f>
        <v>76791</v>
      </c>
    </row>
    <row r="305" spans="1:10" ht="24" hidden="1" customHeight="1" x14ac:dyDescent="0.25">
      <c r="A305" s="10">
        <v>44469</v>
      </c>
      <c r="B305" s="85" t="s">
        <v>453</v>
      </c>
      <c r="C305" s="7">
        <v>76791</v>
      </c>
      <c r="D305" s="7"/>
      <c r="E305" s="7">
        <f>+IF(FINANCIACION[[#This Row],[$ CAPITAL]]&gt;=0,FINANCIACION[[#This Row],[$ CAPITAL]]+FINANCIACION[[#This Row],[$ INTERESES]],"")</f>
        <v>76791</v>
      </c>
      <c r="F305" s="7">
        <f>+SUMIFS(FINANCIACION[$ CAPITAL],FINANCIACION[Fecha],"&lt;="&amp;FINANCIACION[[#This Row],[Fecha]],FINANCIACION[PRESTAMO],FINANCIACION[[#This Row],[PRESTAMO]])</f>
        <v>-2303730</v>
      </c>
      <c r="G305" s="91"/>
      <c r="H305" s="11"/>
      <c r="I305" s="7">
        <f>+IF(FINANCIACION[[#This Row],[$ CAPITAL]]&gt;0,FINANCIACION[[#This Row],[$ CAPITAL]])</f>
        <v>76791</v>
      </c>
      <c r="J305" s="49">
        <f>+IF(FINANCIACION[[#This Row],[$ CAPITAL]]&gt;=0,FINANCIACION[[#This Row],[$ CAPITAL]]+FINANCIACION[[#This Row],[$ INTERESES]],0)</f>
        <v>76791</v>
      </c>
    </row>
    <row r="306" spans="1:10" ht="24" hidden="1" customHeight="1" x14ac:dyDescent="0.25">
      <c r="A306" s="10">
        <v>44502</v>
      </c>
      <c r="B306" s="85" t="s">
        <v>453</v>
      </c>
      <c r="C306" s="7">
        <v>76791</v>
      </c>
      <c r="D306" s="7"/>
      <c r="E306" s="7">
        <f>+IF(FINANCIACION[[#This Row],[$ CAPITAL]]&gt;=0,FINANCIACION[[#This Row],[$ CAPITAL]]+FINANCIACION[[#This Row],[$ INTERESES]],"")</f>
        <v>76791</v>
      </c>
      <c r="F306" s="7">
        <f>+SUMIFS(FINANCIACION[$ CAPITAL],FINANCIACION[Fecha],"&lt;="&amp;FINANCIACION[[#This Row],[Fecha]],FINANCIACION[PRESTAMO],FINANCIACION[[#This Row],[PRESTAMO]])</f>
        <v>-2226939</v>
      </c>
      <c r="G306" s="91"/>
      <c r="H306" s="11"/>
      <c r="I306" s="7">
        <f>+IF(FINANCIACION[[#This Row],[$ CAPITAL]]&gt;0,FINANCIACION[[#This Row],[$ CAPITAL]])</f>
        <v>76791</v>
      </c>
      <c r="J306" s="49">
        <f>+IF(FINANCIACION[[#This Row],[$ CAPITAL]]&gt;=0,FINANCIACION[[#This Row],[$ CAPITAL]]+FINANCIACION[[#This Row],[$ INTERESES]],0)</f>
        <v>76791</v>
      </c>
    </row>
    <row r="307" spans="1:10" ht="24" hidden="1" customHeight="1" x14ac:dyDescent="0.25">
      <c r="A307" s="10">
        <v>44530</v>
      </c>
      <c r="B307" s="85" t="s">
        <v>453</v>
      </c>
      <c r="C307" s="7">
        <v>76791</v>
      </c>
      <c r="D307" s="7"/>
      <c r="E307" s="7">
        <f>+IF(FINANCIACION[[#This Row],[$ CAPITAL]]&gt;=0,FINANCIACION[[#This Row],[$ CAPITAL]]+FINANCIACION[[#This Row],[$ INTERESES]],"")</f>
        <v>76791</v>
      </c>
      <c r="F307" s="7">
        <f>+SUMIFS(FINANCIACION[$ CAPITAL],FINANCIACION[Fecha],"&lt;="&amp;FINANCIACION[[#This Row],[Fecha]],FINANCIACION[PRESTAMO],FINANCIACION[[#This Row],[PRESTAMO]])</f>
        <v>-2150148</v>
      </c>
      <c r="G307" s="91"/>
      <c r="H307" s="11"/>
      <c r="I307" s="7">
        <f>+IF(FINANCIACION[[#This Row],[$ CAPITAL]]&gt;0,FINANCIACION[[#This Row],[$ CAPITAL]])</f>
        <v>76791</v>
      </c>
      <c r="J307" s="49">
        <f>+IF(FINANCIACION[[#This Row],[$ CAPITAL]]&gt;=0,FINANCIACION[[#This Row],[$ CAPITAL]]+FINANCIACION[[#This Row],[$ INTERESES]],0)</f>
        <v>76791</v>
      </c>
    </row>
    <row r="308" spans="1:10" ht="24" hidden="1" customHeight="1" x14ac:dyDescent="0.25">
      <c r="A308" s="10">
        <v>43485</v>
      </c>
      <c r="B308" s="85" t="s">
        <v>454</v>
      </c>
      <c r="C308" s="7"/>
      <c r="D308" s="7">
        <v>178391</v>
      </c>
      <c r="E308" s="7">
        <f>+IF(FINANCIACION[[#This Row],[$ CAPITAL]]&gt;=0,FINANCIACION[[#This Row],[$ CAPITAL]]+FINANCIACION[[#This Row],[$ INTERESES]],"")</f>
        <v>178391</v>
      </c>
      <c r="F308" s="7">
        <f>+SUMIFS(FINANCIACION[$ CAPITAL],FINANCIACION[Fecha],"&lt;="&amp;FINANCIACION[[#This Row],[Fecha]],FINANCIACION[PRESTAMO],FINANCIACION[[#This Row],[PRESTAMO]])</f>
        <v>0</v>
      </c>
      <c r="G308" s="11"/>
      <c r="H308" s="11"/>
      <c r="I308" s="7" t="b">
        <f>+IF(FINANCIACION[[#This Row],[$ CAPITAL]]&gt;0,FINANCIACION[[#This Row],[$ CAPITAL]])</f>
        <v>0</v>
      </c>
      <c r="J308" s="49">
        <f>+IF(FINANCIACION[[#This Row],[$ CAPITAL]]&gt;=0,FINANCIACION[[#This Row],[$ CAPITAL]]+FINANCIACION[[#This Row],[$ INTERESES]],0)</f>
        <v>178391</v>
      </c>
    </row>
    <row r="309" spans="1:10" ht="24" hidden="1" customHeight="1" x14ac:dyDescent="0.25">
      <c r="A309" s="10">
        <v>43581</v>
      </c>
      <c r="B309" s="85" t="s">
        <v>454</v>
      </c>
      <c r="C309" s="7"/>
      <c r="D309" s="7">
        <v>171062</v>
      </c>
      <c r="E309" s="7">
        <f>+IF(FINANCIACION[[#This Row],[$ CAPITAL]]&gt;=0,FINANCIACION[[#This Row],[$ CAPITAL]]+FINANCIACION[[#This Row],[$ INTERESES]],"")</f>
        <v>171062</v>
      </c>
      <c r="F309" s="7">
        <f>+SUMIFS(FINANCIACION[$ CAPITAL],FINANCIACION[Fecha],"&lt;="&amp;FINANCIACION[[#This Row],[Fecha]],FINANCIACION[PRESTAMO],FINANCIACION[[#This Row],[PRESTAMO]])</f>
        <v>0</v>
      </c>
      <c r="G309" s="11"/>
      <c r="H309" s="11"/>
      <c r="I309" s="7" t="b">
        <f>+IF(FINANCIACION[[#This Row],[$ CAPITAL]]&gt;0,FINANCIACION[[#This Row],[$ CAPITAL]])</f>
        <v>0</v>
      </c>
      <c r="J309" s="49">
        <f>+IF(FINANCIACION[[#This Row],[$ CAPITAL]]&gt;=0,FINANCIACION[[#This Row],[$ CAPITAL]]+FINANCIACION[[#This Row],[$ INTERESES]],0)</f>
        <v>171062</v>
      </c>
    </row>
    <row r="310" spans="1:10" ht="24" hidden="1" customHeight="1" x14ac:dyDescent="0.25">
      <c r="A310" s="10">
        <v>43596</v>
      </c>
      <c r="B310" s="85" t="s">
        <v>454</v>
      </c>
      <c r="C310" s="7"/>
      <c r="D310" s="7">
        <v>324843</v>
      </c>
      <c r="E310" s="7">
        <f>+IF(FINANCIACION[[#This Row],[$ CAPITAL]]&gt;=0,FINANCIACION[[#This Row],[$ CAPITAL]]+FINANCIACION[[#This Row],[$ INTERESES]],"")</f>
        <v>324843</v>
      </c>
      <c r="F310" s="7">
        <f>+SUMIFS(FINANCIACION[$ CAPITAL],FINANCIACION[Fecha],"&lt;="&amp;FINANCIACION[[#This Row],[Fecha]],FINANCIACION[PRESTAMO],FINANCIACION[[#This Row],[PRESTAMO]])</f>
        <v>0</v>
      </c>
      <c r="G310" s="11"/>
      <c r="H310" s="11"/>
      <c r="I310" s="7" t="b">
        <f>+IF(FINANCIACION[[#This Row],[$ CAPITAL]]&gt;0,FINANCIACION[[#This Row],[$ CAPITAL]])</f>
        <v>0</v>
      </c>
      <c r="J310" s="49">
        <f>+IF(FINANCIACION[[#This Row],[$ CAPITAL]]&gt;=0,FINANCIACION[[#This Row],[$ CAPITAL]]+FINANCIACION[[#This Row],[$ INTERESES]],0)</f>
        <v>324843</v>
      </c>
    </row>
    <row r="311" spans="1:10" ht="24" hidden="1" customHeight="1" x14ac:dyDescent="0.25">
      <c r="A311" s="10">
        <v>43596</v>
      </c>
      <c r="B311" s="85" t="s">
        <v>454</v>
      </c>
      <c r="C311" s="7"/>
      <c r="D311" s="7">
        <v>323132.26922324399</v>
      </c>
      <c r="E311" s="7">
        <f>+IF(FINANCIACION[[#This Row],[$ CAPITAL]]&gt;=0,FINANCIACION[[#This Row],[$ CAPITAL]]+FINANCIACION[[#This Row],[$ INTERESES]],"")</f>
        <v>323132.26922324399</v>
      </c>
      <c r="F311" s="7">
        <f>+SUMIFS(FINANCIACION[$ CAPITAL],FINANCIACION[Fecha],"&lt;="&amp;FINANCIACION[[#This Row],[Fecha]],FINANCIACION[PRESTAMO],FINANCIACION[[#This Row],[PRESTAMO]])</f>
        <v>0</v>
      </c>
      <c r="G311" s="11"/>
      <c r="H311" s="11"/>
      <c r="I311" s="7" t="b">
        <f>+IF(FINANCIACION[[#This Row],[$ CAPITAL]]&gt;0,FINANCIACION[[#This Row],[$ CAPITAL]])</f>
        <v>0</v>
      </c>
      <c r="J311" s="49">
        <f>+IF(FINANCIACION[[#This Row],[$ CAPITAL]]&gt;=0,FINANCIACION[[#This Row],[$ CAPITAL]]+FINANCIACION[[#This Row],[$ INTERESES]],0)</f>
        <v>323132.26922324399</v>
      </c>
    </row>
    <row r="312" spans="1:10" ht="24" hidden="1" customHeight="1" x14ac:dyDescent="0.25">
      <c r="A312" s="10">
        <v>43611</v>
      </c>
      <c r="B312" s="85" t="s">
        <v>454</v>
      </c>
      <c r="C312" s="7"/>
      <c r="D312" s="7">
        <v>170000</v>
      </c>
      <c r="E312" s="7">
        <f>+IF(FINANCIACION[[#This Row],[$ CAPITAL]]&gt;=0,FINANCIACION[[#This Row],[$ CAPITAL]]+FINANCIACION[[#This Row],[$ INTERESES]],"")</f>
        <v>170000</v>
      </c>
      <c r="F312" s="7">
        <f>+SUMIFS(FINANCIACION[$ CAPITAL],FINANCIACION[Fecha],"&lt;="&amp;FINANCIACION[[#This Row],[Fecha]],FINANCIACION[PRESTAMO],FINANCIACION[[#This Row],[PRESTAMO]])</f>
        <v>0</v>
      </c>
      <c r="G312" s="11"/>
      <c r="H312" s="11"/>
      <c r="I312" s="7" t="b">
        <f>+IF(FINANCIACION[[#This Row],[$ CAPITAL]]&gt;0,FINANCIACION[[#This Row],[$ CAPITAL]])</f>
        <v>0</v>
      </c>
      <c r="J312" s="49">
        <f>+IF(FINANCIACION[[#This Row],[$ CAPITAL]]&gt;=0,FINANCIACION[[#This Row],[$ CAPITAL]]+FINANCIACION[[#This Row],[$ INTERESES]],0)</f>
        <v>170000</v>
      </c>
    </row>
    <row r="313" spans="1:10" ht="24" hidden="1" customHeight="1" x14ac:dyDescent="0.25">
      <c r="A313" s="10">
        <v>43611</v>
      </c>
      <c r="B313" s="85" t="s">
        <v>454</v>
      </c>
      <c r="C313" s="7"/>
      <c r="D313" s="7">
        <v>162862.80585106384</v>
      </c>
      <c r="E313" s="7">
        <f>+IF(FINANCIACION[[#This Row],[$ CAPITAL]]&gt;=0,FINANCIACION[[#This Row],[$ CAPITAL]]+FINANCIACION[[#This Row],[$ INTERESES]],"")</f>
        <v>162862.80585106384</v>
      </c>
      <c r="F313" s="7">
        <f>+SUMIFS(FINANCIACION[$ CAPITAL],FINANCIACION[Fecha],"&lt;="&amp;FINANCIACION[[#This Row],[Fecha]],FINANCIACION[PRESTAMO],FINANCIACION[[#This Row],[PRESTAMO]])</f>
        <v>0</v>
      </c>
      <c r="G313" s="11"/>
      <c r="H313" s="11"/>
      <c r="I313" s="7" t="b">
        <f>+IF(FINANCIACION[[#This Row],[$ CAPITAL]]&gt;0,FINANCIACION[[#This Row],[$ CAPITAL]])</f>
        <v>0</v>
      </c>
      <c r="J313" s="49">
        <f>+IF(FINANCIACION[[#This Row],[$ CAPITAL]]&gt;=0,FINANCIACION[[#This Row],[$ CAPITAL]]+FINANCIACION[[#This Row],[$ INTERESES]],0)</f>
        <v>162862.80585106384</v>
      </c>
    </row>
    <row r="314" spans="1:10" ht="24" hidden="1" customHeight="1" x14ac:dyDescent="0.25">
      <c r="A314" s="10">
        <v>43622</v>
      </c>
      <c r="B314" s="85" t="s">
        <v>454</v>
      </c>
      <c r="C314" s="7">
        <v>-48642053.199999996</v>
      </c>
      <c r="D314" s="7"/>
      <c r="E314" s="7" t="str">
        <f>+IF(FINANCIACION[[#This Row],[$ CAPITAL]]&gt;=0,FINANCIACION[[#This Row],[$ CAPITAL]]+FINANCIACION[[#This Row],[$ INTERESES]],"")</f>
        <v/>
      </c>
      <c r="F314" s="7">
        <f>+SUMIFS(FINANCIACION[$ CAPITAL],FINANCIACION[Fecha],"&lt;="&amp;FINANCIACION[[#This Row],[Fecha]],FINANCIACION[PRESTAMO],FINANCIACION[[#This Row],[PRESTAMO]])</f>
        <v>-59552993.199999996</v>
      </c>
      <c r="G314" s="11"/>
      <c r="H314" s="90"/>
      <c r="I314" s="7" t="b">
        <f>+IF(FINANCIACION[[#This Row],[$ CAPITAL]]&gt;0,FINANCIACION[[#This Row],[$ CAPITAL]])</f>
        <v>0</v>
      </c>
      <c r="J314" s="49">
        <f>+IF(FINANCIACION[[#This Row],[$ CAPITAL]]&gt;=0,FINANCIACION[[#This Row],[$ CAPITAL]]+FINANCIACION[[#This Row],[$ INTERESES]],0)</f>
        <v>0</v>
      </c>
    </row>
    <row r="315" spans="1:10" ht="24" hidden="1" customHeight="1" x14ac:dyDescent="0.25">
      <c r="A315" s="10">
        <v>43622</v>
      </c>
      <c r="B315" s="85" t="s">
        <v>454</v>
      </c>
      <c r="C315" s="7">
        <v>-10910940</v>
      </c>
      <c r="D315" s="7"/>
      <c r="E315" s="7" t="str">
        <f>+IF(FINANCIACION[[#This Row],[$ CAPITAL]]&gt;=0,FINANCIACION[[#This Row],[$ CAPITAL]]+FINANCIACION[[#This Row],[$ INTERESES]],"")</f>
        <v/>
      </c>
      <c r="F315" s="7">
        <f>+SUMIFS(FINANCIACION[$ CAPITAL],FINANCIACION[Fecha],"&lt;="&amp;FINANCIACION[[#This Row],[Fecha]],FINANCIACION[PRESTAMO],FINANCIACION[[#This Row],[PRESTAMO]])</f>
        <v>-59552993.199999996</v>
      </c>
      <c r="G315" s="11"/>
      <c r="H315" s="90"/>
      <c r="I315" s="7" t="b">
        <f>+IF(FINANCIACION[[#This Row],[$ CAPITAL]]&gt;0,FINANCIACION[[#This Row],[$ CAPITAL]])</f>
        <v>0</v>
      </c>
      <c r="J315" s="49">
        <f>+IF(FINANCIACION[[#This Row],[$ CAPITAL]]&gt;=0,FINANCIACION[[#This Row],[$ CAPITAL]]+FINANCIACION[[#This Row],[$ INTERESES]],0)</f>
        <v>0</v>
      </c>
    </row>
    <row r="316" spans="1:10" ht="24" hidden="1" customHeight="1" x14ac:dyDescent="0.25">
      <c r="A316" s="10">
        <v>43627</v>
      </c>
      <c r="B316" s="85" t="s">
        <v>454</v>
      </c>
      <c r="C316" s="7"/>
      <c r="D316" s="7">
        <v>332936</v>
      </c>
      <c r="E316" s="7">
        <f>+IF(FINANCIACION[[#This Row],[$ CAPITAL]]&gt;=0,FINANCIACION[[#This Row],[$ CAPITAL]]+FINANCIACION[[#This Row],[$ INTERESES]],"")</f>
        <v>332936</v>
      </c>
      <c r="F316" s="7">
        <f>+SUMIFS(FINANCIACION[$ CAPITAL],FINANCIACION[Fecha],"&lt;="&amp;FINANCIACION[[#This Row],[Fecha]],FINANCIACION[PRESTAMO],FINANCIACION[[#This Row],[PRESTAMO]])</f>
        <v>-59552993.199999996</v>
      </c>
      <c r="G316" s="11"/>
      <c r="H316" s="11"/>
      <c r="I316" s="7" t="b">
        <f>+IF(FINANCIACION[[#This Row],[$ CAPITAL]]&gt;0,FINANCIACION[[#This Row],[$ CAPITAL]])</f>
        <v>0</v>
      </c>
      <c r="J316" s="49">
        <f>+IF(FINANCIACION[[#This Row],[$ CAPITAL]]&gt;=0,FINANCIACION[[#This Row],[$ CAPITAL]]+FINANCIACION[[#This Row],[$ INTERESES]],0)</f>
        <v>332936</v>
      </c>
    </row>
    <row r="317" spans="1:10" ht="24" hidden="1" customHeight="1" x14ac:dyDescent="0.25">
      <c r="A317" s="10">
        <v>43642</v>
      </c>
      <c r="B317" s="85" t="s">
        <v>454</v>
      </c>
      <c r="C317" s="7">
        <v>-13768845.000000007</v>
      </c>
      <c r="D317" s="7"/>
      <c r="E317" s="7" t="str">
        <f>+IF(FINANCIACION[[#This Row],[$ CAPITAL]]&gt;=0,FINANCIACION[[#This Row],[$ CAPITAL]]+FINANCIACION[[#This Row],[$ INTERESES]],"")</f>
        <v/>
      </c>
      <c r="F317" s="7">
        <f>+SUMIFS(FINANCIACION[$ CAPITAL],FINANCIACION[Fecha],"&lt;="&amp;FINANCIACION[[#This Row],[Fecha]],FINANCIACION[PRESTAMO],FINANCIACION[[#This Row],[PRESTAMO]])</f>
        <v>-59552993.200000003</v>
      </c>
      <c r="G317" s="11"/>
      <c r="H317" s="90"/>
      <c r="I317" s="7" t="b">
        <f>+IF(FINANCIACION[[#This Row],[$ CAPITAL]]&gt;0,FINANCIACION[[#This Row],[$ CAPITAL]])</f>
        <v>0</v>
      </c>
      <c r="J317" s="49">
        <f>+IF(FINANCIACION[[#This Row],[$ CAPITAL]]&gt;=0,FINANCIACION[[#This Row],[$ CAPITAL]]+FINANCIACION[[#This Row],[$ INTERESES]],0)</f>
        <v>0</v>
      </c>
    </row>
    <row r="318" spans="1:10" ht="24" hidden="1" customHeight="1" x14ac:dyDescent="0.25">
      <c r="A318" s="10">
        <v>43642</v>
      </c>
      <c r="B318" s="85" t="s">
        <v>454</v>
      </c>
      <c r="C318" s="7">
        <v>13768845</v>
      </c>
      <c r="D318" s="7"/>
      <c r="E318" s="7">
        <f>+IF(FINANCIACION[[#This Row],[$ CAPITAL]]&gt;=0,FINANCIACION[[#This Row],[$ CAPITAL]]+FINANCIACION[[#This Row],[$ INTERESES]],"")</f>
        <v>13768845</v>
      </c>
      <c r="F318" s="7">
        <f>+SUMIFS(FINANCIACION[$ CAPITAL],FINANCIACION[Fecha],"&lt;="&amp;FINANCIACION[[#This Row],[Fecha]],FINANCIACION[PRESTAMO],FINANCIACION[[#This Row],[PRESTAMO]])</f>
        <v>-59552993.200000003</v>
      </c>
      <c r="G318" s="11"/>
      <c r="H318" s="11"/>
      <c r="I318" s="7">
        <f>+IF(FINANCIACION[[#This Row],[$ CAPITAL]]&gt;0,FINANCIACION[[#This Row],[$ CAPITAL]])</f>
        <v>13768845</v>
      </c>
      <c r="J318" s="49">
        <f>+IF(FINANCIACION[[#This Row],[$ CAPITAL]]&gt;=0,FINANCIACION[[#This Row],[$ CAPITAL]]+FINANCIACION[[#This Row],[$ INTERESES]],0)</f>
        <v>13768845</v>
      </c>
    </row>
    <row r="319" spans="1:10" ht="24" hidden="1" customHeight="1" x14ac:dyDescent="0.25">
      <c r="A319" s="10">
        <v>43642</v>
      </c>
      <c r="B319" s="85" t="s">
        <v>454</v>
      </c>
      <c r="C319" s="7"/>
      <c r="D319" s="7">
        <v>167771</v>
      </c>
      <c r="E319" s="7">
        <f>+IF(FINANCIACION[[#This Row],[$ CAPITAL]]&gt;=0,FINANCIACION[[#This Row],[$ CAPITAL]]+FINANCIACION[[#This Row],[$ INTERESES]],"")</f>
        <v>167771</v>
      </c>
      <c r="F319" s="7">
        <f>+SUMIFS(FINANCIACION[$ CAPITAL],FINANCIACION[Fecha],"&lt;="&amp;FINANCIACION[[#This Row],[Fecha]],FINANCIACION[PRESTAMO],FINANCIACION[[#This Row],[PRESTAMO]])</f>
        <v>-59552993.200000003</v>
      </c>
      <c r="G319" s="11"/>
      <c r="H319" s="11"/>
      <c r="I319" s="7" t="b">
        <f>+IF(FINANCIACION[[#This Row],[$ CAPITAL]]&gt;0,FINANCIACION[[#This Row],[$ CAPITAL]])</f>
        <v>0</v>
      </c>
      <c r="J319" s="49">
        <f>+IF(FINANCIACION[[#This Row],[$ CAPITAL]]&gt;=0,FINANCIACION[[#This Row],[$ CAPITAL]]+FINANCIACION[[#This Row],[$ INTERESES]],0)</f>
        <v>167771</v>
      </c>
    </row>
    <row r="320" spans="1:10" ht="24" hidden="1" customHeight="1" x14ac:dyDescent="0.25">
      <c r="A320" s="10">
        <v>43658</v>
      </c>
      <c r="B320" s="85" t="s">
        <v>454</v>
      </c>
      <c r="C320" s="7"/>
      <c r="D320" s="7">
        <v>316375</v>
      </c>
      <c r="E320" s="7">
        <f>+IF(FINANCIACION[[#This Row],[$ CAPITAL]]&gt;=0,FINANCIACION[[#This Row],[$ CAPITAL]]+FINANCIACION[[#This Row],[$ INTERESES]],"")</f>
        <v>316375</v>
      </c>
      <c r="F320" s="7">
        <f>+SUMIFS(FINANCIACION[$ CAPITAL],FINANCIACION[Fecha],"&lt;="&amp;FINANCIACION[[#This Row],[Fecha]],FINANCIACION[PRESTAMO],FINANCIACION[[#This Row],[PRESTAMO]])</f>
        <v>-59552993.200000003</v>
      </c>
      <c r="G320" s="11"/>
      <c r="H320" s="11"/>
      <c r="I320" s="7" t="b">
        <f>+IF(FINANCIACION[[#This Row],[$ CAPITAL]]&gt;0,FINANCIACION[[#This Row],[$ CAPITAL]])</f>
        <v>0</v>
      </c>
      <c r="J320" s="49">
        <f>+IF(FINANCIACION[[#This Row],[$ CAPITAL]]&gt;=0,FINANCIACION[[#This Row],[$ CAPITAL]]+FINANCIACION[[#This Row],[$ INTERESES]],0)</f>
        <v>316375</v>
      </c>
    </row>
    <row r="321" spans="1:10" ht="24" hidden="1" customHeight="1" x14ac:dyDescent="0.25">
      <c r="A321" s="10">
        <v>43672</v>
      </c>
      <c r="B321" s="85" t="s">
        <v>454</v>
      </c>
      <c r="C321" s="7"/>
      <c r="D321" s="7">
        <v>163428</v>
      </c>
      <c r="E321" s="7">
        <f>+IF(FINANCIACION[[#This Row],[$ CAPITAL]]&gt;=0,FINANCIACION[[#This Row],[$ CAPITAL]]+FINANCIACION[[#This Row],[$ INTERESES]],"")</f>
        <v>163428</v>
      </c>
      <c r="F321" s="7">
        <f>+SUMIFS(FINANCIACION[$ CAPITAL],FINANCIACION[Fecha],"&lt;="&amp;FINANCIACION[[#This Row],[Fecha]],FINANCIACION[PRESTAMO],FINANCIACION[[#This Row],[PRESTAMO]])</f>
        <v>-59552993.200000003</v>
      </c>
      <c r="G321" s="11"/>
      <c r="H321" s="11"/>
      <c r="I321" s="7" t="b">
        <f>+IF(FINANCIACION[[#This Row],[$ CAPITAL]]&gt;0,FINANCIACION[[#This Row],[$ CAPITAL]])</f>
        <v>0</v>
      </c>
      <c r="J321" s="49">
        <f>+IF(FINANCIACION[[#This Row],[$ CAPITAL]]&gt;=0,FINANCIACION[[#This Row],[$ CAPITAL]]+FINANCIACION[[#This Row],[$ INTERESES]],0)</f>
        <v>163428</v>
      </c>
    </row>
    <row r="322" spans="1:10" ht="24" hidden="1" customHeight="1" x14ac:dyDescent="0.25">
      <c r="A322" s="10">
        <v>43686</v>
      </c>
      <c r="B322" s="85" t="s">
        <v>454</v>
      </c>
      <c r="C322" s="7">
        <v>-25648987.199999999</v>
      </c>
      <c r="D322" s="7"/>
      <c r="E322" s="7" t="str">
        <f>+IF(FINANCIACION[[#This Row],[$ CAPITAL]]&gt;=0,FINANCIACION[[#This Row],[$ CAPITAL]]+FINANCIACION[[#This Row],[$ INTERESES]],"")</f>
        <v/>
      </c>
      <c r="F322" s="7">
        <f>+SUMIFS(FINANCIACION[$ CAPITAL],FINANCIACION[Fecha],"&lt;="&amp;FINANCIACION[[#This Row],[Fecha]],FINANCIACION[PRESTAMO],FINANCIACION[[#This Row],[PRESTAMO]])</f>
        <v>-85201980.400000006</v>
      </c>
      <c r="G322" s="11"/>
      <c r="H322" s="90"/>
      <c r="I322" s="7" t="b">
        <f>+IF(FINANCIACION[[#This Row],[$ CAPITAL]]&gt;0,FINANCIACION[[#This Row],[$ CAPITAL]])</f>
        <v>0</v>
      </c>
      <c r="J322" s="49">
        <f>+IF(FINANCIACION[[#This Row],[$ CAPITAL]]&gt;=0,FINANCIACION[[#This Row],[$ CAPITAL]]+FINANCIACION[[#This Row],[$ INTERESES]],0)</f>
        <v>0</v>
      </c>
    </row>
    <row r="323" spans="1:10" ht="24" hidden="1" customHeight="1" x14ac:dyDescent="0.25">
      <c r="A323" s="10">
        <v>43689</v>
      </c>
      <c r="B323" s="85" t="s">
        <v>454</v>
      </c>
      <c r="C323" s="7"/>
      <c r="D323" s="7">
        <v>340571</v>
      </c>
      <c r="E323" s="7">
        <f>+IF(FINANCIACION[[#This Row],[$ CAPITAL]]&gt;=0,FINANCIACION[[#This Row],[$ CAPITAL]]+FINANCIACION[[#This Row],[$ INTERESES]],"")</f>
        <v>340571</v>
      </c>
      <c r="F323" s="7">
        <f>+SUMIFS(FINANCIACION[$ CAPITAL],FINANCIACION[Fecha],"&lt;="&amp;FINANCIACION[[#This Row],[Fecha]],FINANCIACION[PRESTAMO],FINANCIACION[[#This Row],[PRESTAMO]])</f>
        <v>-85201980.400000006</v>
      </c>
      <c r="G323" s="11"/>
      <c r="H323" s="11"/>
      <c r="I323" s="7" t="b">
        <f>+IF(FINANCIACION[[#This Row],[$ CAPITAL]]&gt;0,FINANCIACION[[#This Row],[$ CAPITAL]])</f>
        <v>0</v>
      </c>
      <c r="J323" s="49">
        <f>+IF(FINANCIACION[[#This Row],[$ CAPITAL]]&gt;=0,FINANCIACION[[#This Row],[$ CAPITAL]]+FINANCIACION[[#This Row],[$ INTERESES]],0)</f>
        <v>340571</v>
      </c>
    </row>
    <row r="324" spans="1:10" ht="24" hidden="1" customHeight="1" x14ac:dyDescent="0.25">
      <c r="A324" s="10">
        <v>43697</v>
      </c>
      <c r="B324" s="85" t="s">
        <v>454</v>
      </c>
      <c r="C324" s="7">
        <v>-20188800</v>
      </c>
      <c r="D324" s="7"/>
      <c r="E324" s="7" t="str">
        <f>+IF(FINANCIACION[[#This Row],[$ CAPITAL]]&gt;=0,FINANCIACION[[#This Row],[$ CAPITAL]]+FINANCIACION[[#This Row],[$ INTERESES]],"")</f>
        <v/>
      </c>
      <c r="F324" s="7">
        <f>+SUMIFS(FINANCIACION[$ CAPITAL],FINANCIACION[Fecha],"&lt;="&amp;FINANCIACION[[#This Row],[Fecha]],FINANCIACION[PRESTAMO],FINANCIACION[[#This Row],[PRESTAMO]])</f>
        <v>-105390780.40000001</v>
      </c>
      <c r="G324" s="11"/>
      <c r="H324" s="90"/>
      <c r="I324" s="7" t="b">
        <f>+IF(FINANCIACION[[#This Row],[$ CAPITAL]]&gt;0,FINANCIACION[[#This Row],[$ CAPITAL]])</f>
        <v>0</v>
      </c>
      <c r="J324" s="49">
        <f>+IF(FINANCIACION[[#This Row],[$ CAPITAL]]&gt;=0,FINANCIACION[[#This Row],[$ CAPITAL]]+FINANCIACION[[#This Row],[$ INTERESES]],0)</f>
        <v>0</v>
      </c>
    </row>
    <row r="325" spans="1:10" ht="24" hidden="1" customHeight="1" x14ac:dyDescent="0.25">
      <c r="A325" s="10">
        <v>43703</v>
      </c>
      <c r="B325" s="85" t="s">
        <v>454</v>
      </c>
      <c r="C325" s="7"/>
      <c r="D325" s="7">
        <v>177205</v>
      </c>
      <c r="E325" s="7">
        <f>+IF(FINANCIACION[[#This Row],[$ CAPITAL]]&gt;=0,FINANCIACION[[#This Row],[$ CAPITAL]]+FINANCIACION[[#This Row],[$ INTERESES]],"")</f>
        <v>177205</v>
      </c>
      <c r="F325" s="7">
        <f>+SUMIFS(FINANCIACION[$ CAPITAL],FINANCIACION[Fecha],"&lt;="&amp;FINANCIACION[[#This Row],[Fecha]],FINANCIACION[PRESTAMO],FINANCIACION[[#This Row],[PRESTAMO]])</f>
        <v>-105390780.40000001</v>
      </c>
      <c r="G325" s="11"/>
      <c r="H325" s="11"/>
      <c r="I325" s="7" t="b">
        <f>+IF(FINANCIACION[[#This Row],[$ CAPITAL]]&gt;0,FINANCIACION[[#This Row],[$ CAPITAL]])</f>
        <v>0</v>
      </c>
      <c r="J325" s="49">
        <f>+IF(FINANCIACION[[#This Row],[$ CAPITAL]]&gt;=0,FINANCIACION[[#This Row],[$ CAPITAL]]+FINANCIACION[[#This Row],[$ INTERESES]],0)</f>
        <v>177205</v>
      </c>
    </row>
    <row r="326" spans="1:10" ht="24" hidden="1" customHeight="1" x14ac:dyDescent="0.25">
      <c r="A326" s="10">
        <v>43717</v>
      </c>
      <c r="B326" s="85" t="s">
        <v>454</v>
      </c>
      <c r="C326" s="7"/>
      <c r="D326" s="7">
        <v>214913</v>
      </c>
      <c r="E326" s="7">
        <f>+IF(FINANCIACION[[#This Row],[$ CAPITAL]]&gt;=0,FINANCIACION[[#This Row],[$ CAPITAL]]+FINANCIACION[[#This Row],[$ INTERESES]],"")</f>
        <v>214913</v>
      </c>
      <c r="F326" s="7">
        <f>+SUMIFS(FINANCIACION[$ CAPITAL],FINANCIACION[Fecha],"&lt;="&amp;FINANCIACION[[#This Row],[Fecha]],FINANCIACION[PRESTAMO],FINANCIACION[[#This Row],[PRESTAMO]])</f>
        <v>-105390780.40000001</v>
      </c>
      <c r="G326" s="11"/>
      <c r="H326" s="11"/>
      <c r="I326" s="7" t="b">
        <f>+IF(FINANCIACION[[#This Row],[$ CAPITAL]]&gt;0,FINANCIACION[[#This Row],[$ CAPITAL]])</f>
        <v>0</v>
      </c>
      <c r="J326" s="49">
        <f>+IF(FINANCIACION[[#This Row],[$ CAPITAL]]&gt;=0,FINANCIACION[[#This Row],[$ CAPITAL]]+FINANCIACION[[#This Row],[$ INTERESES]],0)</f>
        <v>214913</v>
      </c>
    </row>
    <row r="327" spans="1:10" ht="24" hidden="1" customHeight="1" x14ac:dyDescent="0.25">
      <c r="A327" s="10">
        <v>43719</v>
      </c>
      <c r="B327" s="85" t="s">
        <v>454</v>
      </c>
      <c r="C327" s="7"/>
      <c r="D327" s="7">
        <v>334237</v>
      </c>
      <c r="E327" s="7">
        <f>+IF(FINANCIACION[[#This Row],[$ CAPITAL]]&gt;=0,FINANCIACION[[#This Row],[$ CAPITAL]]+FINANCIACION[[#This Row],[$ INTERESES]],"")</f>
        <v>334237</v>
      </c>
      <c r="F327" s="7">
        <f>+SUMIFS(FINANCIACION[$ CAPITAL],FINANCIACION[Fecha],"&lt;="&amp;FINANCIACION[[#This Row],[Fecha]],FINANCIACION[PRESTAMO],FINANCIACION[[#This Row],[PRESTAMO]])</f>
        <v>-105390780.40000001</v>
      </c>
      <c r="G327" s="11"/>
      <c r="H327" s="11"/>
      <c r="I327" s="7" t="b">
        <f>+IF(FINANCIACION[[#This Row],[$ CAPITAL]]&gt;0,FINANCIACION[[#This Row],[$ CAPITAL]])</f>
        <v>0</v>
      </c>
      <c r="J327" s="49">
        <f>+IF(FINANCIACION[[#This Row],[$ CAPITAL]]&gt;=0,FINANCIACION[[#This Row],[$ CAPITAL]]+FINANCIACION[[#This Row],[$ INTERESES]],0)</f>
        <v>334237</v>
      </c>
    </row>
    <row r="328" spans="1:10" ht="24" hidden="1" customHeight="1" x14ac:dyDescent="0.25">
      <c r="A328" s="10">
        <v>43720</v>
      </c>
      <c r="B328" s="85" t="s">
        <v>454</v>
      </c>
      <c r="C328" s="7">
        <v>27040000</v>
      </c>
      <c r="D328" s="7"/>
      <c r="E328" s="7">
        <f>+IF(FINANCIACION[[#This Row],[$ CAPITAL]]&gt;=0,FINANCIACION[[#This Row],[$ CAPITAL]]+FINANCIACION[[#This Row],[$ INTERESES]],"")</f>
        <v>27040000</v>
      </c>
      <c r="F328" s="7">
        <f>+SUMIFS(FINANCIACION[$ CAPITAL],FINANCIACION[Fecha],"&lt;="&amp;FINANCIACION[[#This Row],[Fecha]],FINANCIACION[PRESTAMO],FINANCIACION[[#This Row],[PRESTAMO]])</f>
        <v>-78350780.400000006</v>
      </c>
      <c r="G328" s="11"/>
      <c r="H328" s="11"/>
      <c r="I328" s="7">
        <f>+IF(FINANCIACION[[#This Row],[$ CAPITAL]]&gt;0,FINANCIACION[[#This Row],[$ CAPITAL]])</f>
        <v>27040000</v>
      </c>
      <c r="J328" s="49">
        <f>+IF(FINANCIACION[[#This Row],[$ CAPITAL]]&gt;=0,FINANCIACION[[#This Row],[$ CAPITAL]]+FINANCIACION[[#This Row],[$ INTERESES]],0)</f>
        <v>27040000</v>
      </c>
    </row>
    <row r="329" spans="1:10" ht="24" hidden="1" customHeight="1" x14ac:dyDescent="0.25">
      <c r="A329" s="10">
        <v>43721</v>
      </c>
      <c r="B329" s="85" t="s">
        <v>454</v>
      </c>
      <c r="C329" s="7">
        <v>-52813900</v>
      </c>
      <c r="D329" s="7"/>
      <c r="E329" s="7" t="str">
        <f>+IF(FINANCIACION[[#This Row],[$ CAPITAL]]&gt;=0,FINANCIACION[[#This Row],[$ CAPITAL]]+FINANCIACION[[#This Row],[$ INTERESES]],"")</f>
        <v/>
      </c>
      <c r="F329" s="7">
        <f>+SUMIFS(FINANCIACION[$ CAPITAL],FINANCIACION[Fecha],"&lt;="&amp;FINANCIACION[[#This Row],[Fecha]],FINANCIACION[PRESTAMO],FINANCIACION[[#This Row],[PRESTAMO]])</f>
        <v>-131164680.40000001</v>
      </c>
      <c r="G329" s="11"/>
      <c r="H329" s="90"/>
      <c r="I329" s="7" t="b">
        <f>+IF(FINANCIACION[[#This Row],[$ CAPITAL]]&gt;0,FINANCIACION[[#This Row],[$ CAPITAL]])</f>
        <v>0</v>
      </c>
      <c r="J329" s="49">
        <f>+IF(FINANCIACION[[#This Row],[$ CAPITAL]]&gt;=0,FINANCIACION[[#This Row],[$ CAPITAL]]+FINANCIACION[[#This Row],[$ INTERESES]],0)</f>
        <v>0</v>
      </c>
    </row>
    <row r="330" spans="1:10" ht="24" hidden="1" customHeight="1" x14ac:dyDescent="0.25">
      <c r="A330" s="10">
        <v>43728</v>
      </c>
      <c r="B330" s="85" t="s">
        <v>454</v>
      </c>
      <c r="C330" s="7"/>
      <c r="D330" s="7">
        <v>187429</v>
      </c>
      <c r="E330" s="7">
        <f>+IF(FINANCIACION[[#This Row],[$ CAPITAL]]&gt;=0,FINANCIACION[[#This Row],[$ CAPITAL]]+FINANCIACION[[#This Row],[$ INTERESES]],"")</f>
        <v>187429</v>
      </c>
      <c r="F330" s="7">
        <f>+SUMIFS(FINANCIACION[$ CAPITAL],FINANCIACION[Fecha],"&lt;="&amp;FINANCIACION[[#This Row],[Fecha]],FINANCIACION[PRESTAMO],FINANCIACION[[#This Row],[PRESTAMO]])</f>
        <v>-131164680.40000001</v>
      </c>
      <c r="G330" s="11"/>
      <c r="H330" s="11"/>
      <c r="I330" s="7" t="b">
        <f>+IF(FINANCIACION[[#This Row],[$ CAPITAL]]&gt;0,FINANCIACION[[#This Row],[$ CAPITAL]])</f>
        <v>0</v>
      </c>
      <c r="J330" s="49">
        <f>+IF(FINANCIACION[[#This Row],[$ CAPITAL]]&gt;=0,FINANCIACION[[#This Row],[$ CAPITAL]]+FINANCIACION[[#This Row],[$ INTERESES]],0)</f>
        <v>187429</v>
      </c>
    </row>
    <row r="331" spans="1:10" ht="24" hidden="1" customHeight="1" x14ac:dyDescent="0.25">
      <c r="A331" s="10">
        <v>43734</v>
      </c>
      <c r="B331" s="85" t="s">
        <v>454</v>
      </c>
      <c r="C331" s="7"/>
      <c r="D331" s="7">
        <v>178900</v>
      </c>
      <c r="E331" s="7">
        <f>+IF(FINANCIACION[[#This Row],[$ CAPITAL]]&gt;=0,FINANCIACION[[#This Row],[$ CAPITAL]]+FINANCIACION[[#This Row],[$ INTERESES]],"")</f>
        <v>178900</v>
      </c>
      <c r="F331" s="7">
        <f>+SUMIFS(FINANCIACION[$ CAPITAL],FINANCIACION[Fecha],"&lt;="&amp;FINANCIACION[[#This Row],[Fecha]],FINANCIACION[PRESTAMO],FINANCIACION[[#This Row],[PRESTAMO]])</f>
        <v>-131164680.40000001</v>
      </c>
      <c r="G331" s="11"/>
      <c r="H331" s="11"/>
      <c r="I331" s="7" t="b">
        <f>+IF(FINANCIACION[[#This Row],[$ CAPITAL]]&gt;0,FINANCIACION[[#This Row],[$ CAPITAL]])</f>
        <v>0</v>
      </c>
      <c r="J331" s="49">
        <f>+IF(FINANCIACION[[#This Row],[$ CAPITAL]]&gt;=0,FINANCIACION[[#This Row],[$ CAPITAL]]+FINANCIACION[[#This Row],[$ INTERESES]],0)</f>
        <v>178900</v>
      </c>
    </row>
    <row r="332" spans="1:10" ht="24" hidden="1" customHeight="1" x14ac:dyDescent="0.25">
      <c r="A332" s="10">
        <v>43747</v>
      </c>
      <c r="B332" s="85" t="s">
        <v>454</v>
      </c>
      <c r="C332" s="7"/>
      <c r="D332" s="7">
        <v>206675</v>
      </c>
      <c r="E332" s="7">
        <f>+IF(FINANCIACION[[#This Row],[$ CAPITAL]]&gt;=0,FINANCIACION[[#This Row],[$ CAPITAL]]+FINANCIACION[[#This Row],[$ INTERESES]],"")</f>
        <v>206675</v>
      </c>
      <c r="F332" s="7">
        <f>+SUMIFS(FINANCIACION[$ CAPITAL],FINANCIACION[Fecha],"&lt;="&amp;FINANCIACION[[#This Row],[Fecha]],FINANCIACION[PRESTAMO],FINANCIACION[[#This Row],[PRESTAMO]])</f>
        <v>-131164680.40000001</v>
      </c>
      <c r="G332" s="11"/>
      <c r="H332" s="11"/>
      <c r="I332" s="7" t="b">
        <f>+IF(FINANCIACION[[#This Row],[$ CAPITAL]]&gt;0,FINANCIACION[[#This Row],[$ CAPITAL]])</f>
        <v>0</v>
      </c>
      <c r="J332" s="49">
        <f>+IF(FINANCIACION[[#This Row],[$ CAPITAL]]&gt;=0,FINANCIACION[[#This Row],[$ CAPITAL]]+FINANCIACION[[#This Row],[$ INTERESES]],0)</f>
        <v>206675</v>
      </c>
    </row>
    <row r="333" spans="1:10" ht="24" hidden="1" customHeight="1" x14ac:dyDescent="0.25">
      <c r="A333" s="10">
        <v>43753</v>
      </c>
      <c r="B333" s="85" t="s">
        <v>454</v>
      </c>
      <c r="C333" s="7"/>
      <c r="D333" s="7">
        <v>347538</v>
      </c>
      <c r="E333" s="7">
        <f>+IF(FINANCIACION[[#This Row],[$ CAPITAL]]&gt;=0,FINANCIACION[[#This Row],[$ CAPITAL]]+FINANCIACION[[#This Row],[$ INTERESES]],"")</f>
        <v>347538</v>
      </c>
      <c r="F333" s="7">
        <f>+SUMIFS(FINANCIACION[$ CAPITAL],FINANCIACION[Fecha],"&lt;="&amp;FINANCIACION[[#This Row],[Fecha]],FINANCIACION[PRESTAMO],FINANCIACION[[#This Row],[PRESTAMO]])</f>
        <v>-131164680.40000001</v>
      </c>
      <c r="G333" s="11"/>
      <c r="H333" s="11"/>
      <c r="I333" s="7" t="b">
        <f>+IF(FINANCIACION[[#This Row],[$ CAPITAL]]&gt;0,FINANCIACION[[#This Row],[$ CAPITAL]])</f>
        <v>0</v>
      </c>
      <c r="J333" s="49">
        <f>+IF(FINANCIACION[[#This Row],[$ CAPITAL]]&gt;=0,FINANCIACION[[#This Row],[$ CAPITAL]]+FINANCIACION[[#This Row],[$ INTERESES]],0)</f>
        <v>347538</v>
      </c>
    </row>
    <row r="334" spans="1:10" ht="24" hidden="1" customHeight="1" x14ac:dyDescent="0.25">
      <c r="A334" s="10">
        <v>43759</v>
      </c>
      <c r="B334" s="85" t="s">
        <v>454</v>
      </c>
      <c r="C334" s="7"/>
      <c r="D334" s="7">
        <v>182128</v>
      </c>
      <c r="E334" s="7">
        <f>+IF(FINANCIACION[[#This Row],[$ CAPITAL]]&gt;=0,FINANCIACION[[#This Row],[$ CAPITAL]]+FINANCIACION[[#This Row],[$ INTERESES]],"")</f>
        <v>182128</v>
      </c>
      <c r="F334" s="7">
        <f>+SUMIFS(FINANCIACION[$ CAPITAL],FINANCIACION[Fecha],"&lt;="&amp;FINANCIACION[[#This Row],[Fecha]],FINANCIACION[PRESTAMO],FINANCIACION[[#This Row],[PRESTAMO]])</f>
        <v>-131164680.40000001</v>
      </c>
      <c r="G334" s="11"/>
      <c r="H334" s="11"/>
      <c r="I334" s="7" t="b">
        <f>+IF(FINANCIACION[[#This Row],[$ CAPITAL]]&gt;0,FINANCIACION[[#This Row],[$ CAPITAL]])</f>
        <v>0</v>
      </c>
      <c r="J334" s="49">
        <f>+IF(FINANCIACION[[#This Row],[$ CAPITAL]]&gt;=0,FINANCIACION[[#This Row],[$ CAPITAL]]+FINANCIACION[[#This Row],[$ INTERESES]],0)</f>
        <v>182128</v>
      </c>
    </row>
    <row r="335" spans="1:10" ht="24" hidden="1" customHeight="1" x14ac:dyDescent="0.25">
      <c r="A335" s="10">
        <v>43764</v>
      </c>
      <c r="B335" s="85" t="s">
        <v>454</v>
      </c>
      <c r="C335" s="7"/>
      <c r="D335" s="7">
        <v>169456</v>
      </c>
      <c r="E335" s="7">
        <f>+IF(FINANCIACION[[#This Row],[$ CAPITAL]]&gt;=0,FINANCIACION[[#This Row],[$ CAPITAL]]+FINANCIACION[[#This Row],[$ INTERESES]],"")</f>
        <v>169456</v>
      </c>
      <c r="F335" s="7">
        <f>+SUMIFS(FINANCIACION[$ CAPITAL],FINANCIACION[Fecha],"&lt;="&amp;FINANCIACION[[#This Row],[Fecha]],FINANCIACION[PRESTAMO],FINANCIACION[[#This Row],[PRESTAMO]])</f>
        <v>-131164680.40000001</v>
      </c>
      <c r="G335" s="11"/>
      <c r="H335" s="11"/>
      <c r="I335" s="7" t="b">
        <f>+IF(FINANCIACION[[#This Row],[$ CAPITAL]]&gt;0,FINANCIACION[[#This Row],[$ CAPITAL]])</f>
        <v>0</v>
      </c>
      <c r="J335" s="49">
        <f>+IF(FINANCIACION[[#This Row],[$ CAPITAL]]&gt;=0,FINANCIACION[[#This Row],[$ CAPITAL]]+FINANCIACION[[#This Row],[$ INTERESES]],0)</f>
        <v>169456</v>
      </c>
    </row>
    <row r="336" spans="1:10" ht="24" hidden="1" customHeight="1" x14ac:dyDescent="0.25">
      <c r="A336" s="10">
        <v>43781</v>
      </c>
      <c r="B336" s="85" t="s">
        <v>454</v>
      </c>
      <c r="C336" s="7"/>
      <c r="D336" s="7">
        <v>208211</v>
      </c>
      <c r="E336" s="7">
        <f>+IF(FINANCIACION[[#This Row],[$ CAPITAL]]&gt;=0,FINANCIACION[[#This Row],[$ CAPITAL]]+FINANCIACION[[#This Row],[$ INTERESES]],"")</f>
        <v>208211</v>
      </c>
      <c r="F336" s="7">
        <f>+SUMIFS(FINANCIACION[$ CAPITAL],FINANCIACION[Fecha],"&lt;="&amp;FINANCIACION[[#This Row],[Fecha]],FINANCIACION[PRESTAMO],FINANCIACION[[#This Row],[PRESTAMO]])</f>
        <v>-131164680.40000001</v>
      </c>
      <c r="G336" s="11"/>
      <c r="H336" s="11"/>
      <c r="I336" s="7" t="b">
        <f>+IF(FINANCIACION[[#This Row],[$ CAPITAL]]&gt;0,FINANCIACION[[#This Row],[$ CAPITAL]])</f>
        <v>0</v>
      </c>
      <c r="J336" s="49">
        <f>+IF(FINANCIACION[[#This Row],[$ CAPITAL]]&gt;=0,FINANCIACION[[#This Row],[$ CAPITAL]]+FINANCIACION[[#This Row],[$ INTERESES]],0)</f>
        <v>208211</v>
      </c>
    </row>
    <row r="337" spans="1:10" ht="24" hidden="1" customHeight="1" x14ac:dyDescent="0.25">
      <c r="A337" s="10">
        <v>43781</v>
      </c>
      <c r="B337" s="85" t="s">
        <v>454</v>
      </c>
      <c r="C337" s="7"/>
      <c r="D337" s="7">
        <v>276602</v>
      </c>
      <c r="E337" s="7">
        <f>+IF(FINANCIACION[[#This Row],[$ CAPITAL]]&gt;=0,FINANCIACION[[#This Row],[$ CAPITAL]]+FINANCIACION[[#This Row],[$ INTERESES]],"")</f>
        <v>276602</v>
      </c>
      <c r="F337" s="7">
        <f>+SUMIFS(FINANCIACION[$ CAPITAL],FINANCIACION[Fecha],"&lt;="&amp;FINANCIACION[[#This Row],[Fecha]],FINANCIACION[PRESTAMO],FINANCIACION[[#This Row],[PRESTAMO]])</f>
        <v>-131164680.40000001</v>
      </c>
      <c r="G337" s="11"/>
      <c r="H337" s="11"/>
      <c r="I337" s="7" t="b">
        <f>+IF(FINANCIACION[[#This Row],[$ CAPITAL]]&gt;0,FINANCIACION[[#This Row],[$ CAPITAL]])</f>
        <v>0</v>
      </c>
      <c r="J337" s="49">
        <f>+IF(FINANCIACION[[#This Row],[$ CAPITAL]]&gt;=0,FINANCIACION[[#This Row],[$ CAPITAL]]+FINANCIACION[[#This Row],[$ INTERESES]],0)</f>
        <v>276602</v>
      </c>
    </row>
    <row r="338" spans="1:10" ht="24" hidden="1" customHeight="1" x14ac:dyDescent="0.25">
      <c r="A338" s="10">
        <v>43782</v>
      </c>
      <c r="B338" s="85" t="s">
        <v>454</v>
      </c>
      <c r="C338" s="7"/>
      <c r="D338" s="7">
        <v>349182</v>
      </c>
      <c r="E338" s="7">
        <f>+IF(FINANCIACION[[#This Row],[$ CAPITAL]]&gt;=0,FINANCIACION[[#This Row],[$ CAPITAL]]+FINANCIACION[[#This Row],[$ INTERESES]],"")</f>
        <v>349182</v>
      </c>
      <c r="F338" s="7">
        <f>+SUMIFS(FINANCIACION[$ CAPITAL],FINANCIACION[Fecha],"&lt;="&amp;FINANCIACION[[#This Row],[Fecha]],FINANCIACION[PRESTAMO],FINANCIACION[[#This Row],[PRESTAMO]])</f>
        <v>-131164680.40000001</v>
      </c>
      <c r="G338" s="11"/>
      <c r="H338" s="11"/>
      <c r="I338" s="7" t="b">
        <f>+IF(FINANCIACION[[#This Row],[$ CAPITAL]]&gt;0,FINANCIACION[[#This Row],[$ CAPITAL]])</f>
        <v>0</v>
      </c>
      <c r="J338" s="49">
        <f>+IF(FINANCIACION[[#This Row],[$ CAPITAL]]&gt;=0,FINANCIACION[[#This Row],[$ CAPITAL]]+FINANCIACION[[#This Row],[$ INTERESES]],0)</f>
        <v>349182</v>
      </c>
    </row>
    <row r="339" spans="1:10" ht="24" hidden="1" customHeight="1" x14ac:dyDescent="0.25">
      <c r="A339" s="10">
        <v>43782</v>
      </c>
      <c r="B339" s="85" t="s">
        <v>454</v>
      </c>
      <c r="C339" s="7"/>
      <c r="D339" s="7">
        <v>185599</v>
      </c>
      <c r="E339" s="7">
        <f>+IF(FINANCIACION[[#This Row],[$ CAPITAL]]&gt;=0,FINANCIACION[[#This Row],[$ CAPITAL]]+FINANCIACION[[#This Row],[$ INTERESES]],"")</f>
        <v>185599</v>
      </c>
      <c r="F339" s="7">
        <f>+SUMIFS(FINANCIACION[$ CAPITAL],FINANCIACION[Fecha],"&lt;="&amp;FINANCIACION[[#This Row],[Fecha]],FINANCIACION[PRESTAMO],FINANCIACION[[#This Row],[PRESTAMO]])</f>
        <v>-131164680.40000001</v>
      </c>
      <c r="G339" s="11"/>
      <c r="H339" s="11"/>
      <c r="I339" s="7" t="b">
        <f>+IF(FINANCIACION[[#This Row],[$ CAPITAL]]&gt;0,FINANCIACION[[#This Row],[$ CAPITAL]])</f>
        <v>0</v>
      </c>
      <c r="J339" s="49">
        <f>+IF(FINANCIACION[[#This Row],[$ CAPITAL]]&gt;=0,FINANCIACION[[#This Row],[$ CAPITAL]]+FINANCIACION[[#This Row],[$ INTERESES]],0)</f>
        <v>185599</v>
      </c>
    </row>
    <row r="340" spans="1:10" ht="24" hidden="1" customHeight="1" x14ac:dyDescent="0.25">
      <c r="A340" s="10">
        <v>43796</v>
      </c>
      <c r="B340" s="85" t="s">
        <v>454</v>
      </c>
      <c r="C340" s="7"/>
      <c r="D340" s="7">
        <v>174821</v>
      </c>
      <c r="E340" s="7">
        <f>+IF(FINANCIACION[[#This Row],[$ CAPITAL]]&gt;=0,FINANCIACION[[#This Row],[$ CAPITAL]]+FINANCIACION[[#This Row],[$ INTERESES]],"")</f>
        <v>174821</v>
      </c>
      <c r="F340" s="7">
        <f>+SUMIFS(FINANCIACION[$ CAPITAL],FINANCIACION[Fecha],"&lt;="&amp;FINANCIACION[[#This Row],[Fecha]],FINANCIACION[PRESTAMO],FINANCIACION[[#This Row],[PRESTAMO]])</f>
        <v>-131164680.40000001</v>
      </c>
      <c r="G340" s="11"/>
      <c r="H340" s="11"/>
      <c r="I340" s="7" t="b">
        <f>+IF(FINANCIACION[[#This Row],[$ CAPITAL]]&gt;0,FINANCIACION[[#This Row],[$ CAPITAL]])</f>
        <v>0</v>
      </c>
      <c r="J340" s="49">
        <f>+IF(FINANCIACION[[#This Row],[$ CAPITAL]]&gt;=0,FINANCIACION[[#This Row],[$ CAPITAL]]+FINANCIACION[[#This Row],[$ INTERESES]],0)</f>
        <v>174821</v>
      </c>
    </row>
    <row r="341" spans="1:10" ht="24" hidden="1" customHeight="1" x14ac:dyDescent="0.25">
      <c r="A341" s="10">
        <v>43808</v>
      </c>
      <c r="B341" s="85" t="s">
        <v>454</v>
      </c>
      <c r="C341" s="7"/>
      <c r="D341" s="7">
        <v>203520</v>
      </c>
      <c r="E341" s="7">
        <f>+IF(FINANCIACION[[#This Row],[$ CAPITAL]]&gt;=0,FINANCIACION[[#This Row],[$ CAPITAL]]+FINANCIACION[[#This Row],[$ INTERESES]],"")</f>
        <v>203520</v>
      </c>
      <c r="F341" s="7">
        <f>+SUMIFS(FINANCIACION[$ CAPITAL],FINANCIACION[Fecha],"&lt;="&amp;FINANCIACION[[#This Row],[Fecha]],FINANCIACION[PRESTAMO],FINANCIACION[[#This Row],[PRESTAMO]])</f>
        <v>-131164680.40000001</v>
      </c>
      <c r="G341" s="11"/>
      <c r="H341" s="11"/>
      <c r="I341" s="7" t="b">
        <f>+IF(FINANCIACION[[#This Row],[$ CAPITAL]]&gt;0,FINANCIACION[[#This Row],[$ CAPITAL]])</f>
        <v>0</v>
      </c>
      <c r="J341" s="49">
        <f>+IF(FINANCIACION[[#This Row],[$ CAPITAL]]&gt;=0,FINANCIACION[[#This Row],[$ CAPITAL]]+FINANCIACION[[#This Row],[$ INTERESES]],0)</f>
        <v>203520</v>
      </c>
    </row>
    <row r="342" spans="1:10" ht="24" hidden="1" customHeight="1" x14ac:dyDescent="0.25">
      <c r="A342" s="10">
        <v>43808</v>
      </c>
      <c r="B342" s="85" t="s">
        <v>454</v>
      </c>
      <c r="C342" s="7"/>
      <c r="D342" s="7">
        <v>203520</v>
      </c>
      <c r="E342" s="7">
        <f>+IF(FINANCIACION[[#This Row],[$ CAPITAL]]&gt;=0,FINANCIACION[[#This Row],[$ CAPITAL]]+FINANCIACION[[#This Row],[$ INTERESES]],"")</f>
        <v>203520</v>
      </c>
      <c r="F342" s="7">
        <f>+SUMIFS(FINANCIACION[$ CAPITAL],FINANCIACION[Fecha],"&lt;="&amp;FINANCIACION[[#This Row],[Fecha]],FINANCIACION[PRESTAMO],FINANCIACION[[#This Row],[PRESTAMO]])</f>
        <v>-131164680.40000001</v>
      </c>
      <c r="G342" s="11"/>
      <c r="H342" s="11"/>
      <c r="I342" s="7" t="b">
        <f>+IF(FINANCIACION[[#This Row],[$ CAPITAL]]&gt;0,FINANCIACION[[#This Row],[$ CAPITAL]])</f>
        <v>0</v>
      </c>
      <c r="J342" s="49">
        <f>+IF(FINANCIACION[[#This Row],[$ CAPITAL]]&gt;=0,FINANCIACION[[#This Row],[$ CAPITAL]]+FINANCIACION[[#This Row],[$ INTERESES]],0)</f>
        <v>203520</v>
      </c>
    </row>
    <row r="343" spans="1:10" ht="24" hidden="1" customHeight="1" x14ac:dyDescent="0.25">
      <c r="A343" s="10">
        <v>43809</v>
      </c>
      <c r="B343" s="85" t="s">
        <v>454</v>
      </c>
      <c r="C343" s="7"/>
      <c r="D343" s="7">
        <v>198714</v>
      </c>
      <c r="E343" s="7">
        <f>+IF(FINANCIACION[[#This Row],[$ CAPITAL]]&gt;=0,FINANCIACION[[#This Row],[$ CAPITAL]]+FINANCIACION[[#This Row],[$ INTERESES]],"")</f>
        <v>198714</v>
      </c>
      <c r="F343" s="7">
        <f>+SUMIFS(FINANCIACION[$ CAPITAL],FINANCIACION[Fecha],"&lt;="&amp;FINANCIACION[[#This Row],[Fecha]],FINANCIACION[PRESTAMO],FINANCIACION[[#This Row],[PRESTAMO]])</f>
        <v>-131164680.40000001</v>
      </c>
      <c r="G343" s="11"/>
      <c r="H343" s="11"/>
      <c r="I343" s="7" t="b">
        <f>+IF(FINANCIACION[[#This Row],[$ CAPITAL]]&gt;0,FINANCIACION[[#This Row],[$ CAPITAL]])</f>
        <v>0</v>
      </c>
      <c r="J343" s="49">
        <f>+IF(FINANCIACION[[#This Row],[$ CAPITAL]]&gt;=0,FINANCIACION[[#This Row],[$ CAPITAL]]+FINANCIACION[[#This Row],[$ INTERESES]],0)</f>
        <v>198714</v>
      </c>
    </row>
    <row r="344" spans="1:10" ht="24" hidden="1" customHeight="1" x14ac:dyDescent="0.25">
      <c r="A344" s="10">
        <v>43810</v>
      </c>
      <c r="B344" s="85" t="s">
        <v>454</v>
      </c>
      <c r="C344" s="7">
        <v>10845015.700000001</v>
      </c>
      <c r="D344" s="7"/>
      <c r="E344" s="7">
        <f>+IF(FINANCIACION[[#This Row],[$ CAPITAL]]&gt;=0,FINANCIACION[[#This Row],[$ CAPITAL]]+FINANCIACION[[#This Row],[$ INTERESES]],"")</f>
        <v>10845015.700000001</v>
      </c>
      <c r="F344" s="7">
        <f>+SUMIFS(FINANCIACION[$ CAPITAL],FINANCIACION[Fecha],"&lt;="&amp;FINANCIACION[[#This Row],[Fecha]],FINANCIACION[PRESTAMO],FINANCIACION[[#This Row],[PRESTAMO]])</f>
        <v>-177289784.68599999</v>
      </c>
      <c r="G344" s="11"/>
      <c r="H344" s="11"/>
      <c r="I344" s="7">
        <f>+IF(FINANCIACION[[#This Row],[$ CAPITAL]]&gt;0,FINANCIACION[[#This Row],[$ CAPITAL]])</f>
        <v>10845015.700000001</v>
      </c>
      <c r="J344" s="49">
        <f>+IF(FINANCIACION[[#This Row],[$ CAPITAL]]&gt;=0,FINANCIACION[[#This Row],[$ CAPITAL]]+FINANCIACION[[#This Row],[$ INTERESES]],0)</f>
        <v>10845015.700000001</v>
      </c>
    </row>
    <row r="345" spans="1:10" ht="24" hidden="1" customHeight="1" x14ac:dyDescent="0.25">
      <c r="A345" s="10">
        <v>43810</v>
      </c>
      <c r="B345" s="85" t="s">
        <v>454</v>
      </c>
      <c r="C345" s="7">
        <v>21452798.013999999</v>
      </c>
      <c r="D345" s="7"/>
      <c r="E345" s="7">
        <f>+IF(FINANCIACION[[#This Row],[$ CAPITAL]]&gt;=0,FINANCIACION[[#This Row],[$ CAPITAL]]+FINANCIACION[[#This Row],[$ INTERESES]],"")</f>
        <v>21452798.013999999</v>
      </c>
      <c r="F345" s="7">
        <f>+SUMIFS(FINANCIACION[$ CAPITAL],FINANCIACION[Fecha],"&lt;="&amp;FINANCIACION[[#This Row],[Fecha]],FINANCIACION[PRESTAMO],FINANCIACION[[#This Row],[PRESTAMO]])</f>
        <v>-177289784.68599999</v>
      </c>
      <c r="G345" s="11"/>
      <c r="H345" s="11"/>
      <c r="I345" s="7">
        <f>+IF(FINANCIACION[[#This Row],[$ CAPITAL]]&gt;0,FINANCIACION[[#This Row],[$ CAPITAL]])</f>
        <v>21452798.013999999</v>
      </c>
      <c r="J345" s="49">
        <f>+IF(FINANCIACION[[#This Row],[$ CAPITAL]]&gt;=0,FINANCIACION[[#This Row],[$ CAPITAL]]+FINANCIACION[[#This Row],[$ INTERESES]],0)</f>
        <v>21452798.013999999</v>
      </c>
    </row>
    <row r="346" spans="1:10" ht="24" hidden="1" customHeight="1" x14ac:dyDescent="0.25">
      <c r="A346" s="10">
        <v>43810</v>
      </c>
      <c r="B346" s="85" t="s">
        <v>454</v>
      </c>
      <c r="C346" s="7">
        <v>-78422918</v>
      </c>
      <c r="D346" s="7"/>
      <c r="E346" s="7" t="str">
        <f>+IF(FINANCIACION[[#This Row],[$ CAPITAL]]&gt;=0,FINANCIACION[[#This Row],[$ CAPITAL]]+FINANCIACION[[#This Row],[$ INTERESES]],"")</f>
        <v/>
      </c>
      <c r="F346" s="7">
        <f>+SUMIFS(FINANCIACION[$ CAPITAL],FINANCIACION[Fecha],"&lt;="&amp;FINANCIACION[[#This Row],[Fecha]],FINANCIACION[PRESTAMO],FINANCIACION[[#This Row],[PRESTAMO]])</f>
        <v>-177289784.68599999</v>
      </c>
      <c r="G346" s="11"/>
      <c r="H346" s="90"/>
      <c r="I346" s="7" t="b">
        <f>+IF(FINANCIACION[[#This Row],[$ CAPITAL]]&gt;0,FINANCIACION[[#This Row],[$ CAPITAL]])</f>
        <v>0</v>
      </c>
      <c r="J346" s="49">
        <f>+IF(FINANCIACION[[#This Row],[$ CAPITAL]]&gt;=0,FINANCIACION[[#This Row],[$ CAPITAL]]+FINANCIACION[[#This Row],[$ INTERESES]],0)</f>
        <v>0</v>
      </c>
    </row>
    <row r="347" spans="1:10" ht="24" hidden="1" customHeight="1" x14ac:dyDescent="0.25">
      <c r="A347" s="10">
        <v>43812</v>
      </c>
      <c r="B347" s="85" t="s">
        <v>454</v>
      </c>
      <c r="C347" s="7"/>
      <c r="D347" s="7">
        <v>330242</v>
      </c>
      <c r="E347" s="7">
        <f>+IF(FINANCIACION[[#This Row],[$ CAPITAL]]&gt;=0,FINANCIACION[[#This Row],[$ CAPITAL]]+FINANCIACION[[#This Row],[$ INTERESES]],"")</f>
        <v>330242</v>
      </c>
      <c r="F347" s="7">
        <f>+SUMIFS(FINANCIACION[$ CAPITAL],FINANCIACION[Fecha],"&lt;="&amp;FINANCIACION[[#This Row],[Fecha]],FINANCIACION[PRESTAMO],FINANCIACION[[#This Row],[PRESTAMO]])</f>
        <v>-177289784.68599999</v>
      </c>
      <c r="G347" s="11"/>
      <c r="H347" s="11"/>
      <c r="I347" s="7" t="b">
        <f>+IF(FINANCIACION[[#This Row],[$ CAPITAL]]&gt;0,FINANCIACION[[#This Row],[$ CAPITAL]])</f>
        <v>0</v>
      </c>
      <c r="J347" s="49">
        <f>+IF(FINANCIACION[[#This Row],[$ CAPITAL]]&gt;=0,FINANCIACION[[#This Row],[$ CAPITAL]]+FINANCIACION[[#This Row],[$ INTERESES]],0)</f>
        <v>330242</v>
      </c>
    </row>
    <row r="348" spans="1:10" ht="24" hidden="1" customHeight="1" x14ac:dyDescent="0.25">
      <c r="A348" s="10">
        <v>43819</v>
      </c>
      <c r="B348" s="85" t="s">
        <v>454</v>
      </c>
      <c r="C348" s="7"/>
      <c r="D348" s="7">
        <v>171733</v>
      </c>
      <c r="E348" s="7">
        <f>+IF(FINANCIACION[[#This Row],[$ CAPITAL]]&gt;=0,FINANCIACION[[#This Row],[$ CAPITAL]]+FINANCIACION[[#This Row],[$ INTERESES]],"")</f>
        <v>171733</v>
      </c>
      <c r="F348" s="7">
        <f>+SUMIFS(FINANCIACION[$ CAPITAL],FINANCIACION[Fecha],"&lt;="&amp;FINANCIACION[[#This Row],[Fecha]],FINANCIACION[PRESTAMO],FINANCIACION[[#This Row],[PRESTAMO]])</f>
        <v>-177289784.68599999</v>
      </c>
      <c r="G348" s="11"/>
      <c r="H348" s="11"/>
      <c r="I348" s="7" t="b">
        <f>+IF(FINANCIACION[[#This Row],[$ CAPITAL]]&gt;0,FINANCIACION[[#This Row],[$ CAPITAL]])</f>
        <v>0</v>
      </c>
      <c r="J348" s="49">
        <f>+IF(FINANCIACION[[#This Row],[$ CAPITAL]]&gt;=0,FINANCIACION[[#This Row],[$ CAPITAL]]+FINANCIACION[[#This Row],[$ INTERESES]],0)</f>
        <v>171733</v>
      </c>
    </row>
    <row r="349" spans="1:10" ht="24" hidden="1" customHeight="1" x14ac:dyDescent="0.25">
      <c r="A349" s="10">
        <v>43830</v>
      </c>
      <c r="B349" s="85" t="s">
        <v>454</v>
      </c>
      <c r="C349" s="7">
        <v>125779572</v>
      </c>
      <c r="D349" s="7"/>
      <c r="E349" s="7">
        <f>+IF(FINANCIACION[[#This Row],[$ CAPITAL]]&gt;=0,FINANCIACION[[#This Row],[$ CAPITAL]]+FINANCIACION[[#This Row],[$ INTERESES]],"")</f>
        <v>125779572</v>
      </c>
      <c r="F349" s="7">
        <f>+SUMIFS(FINANCIACION[$ CAPITAL],FINANCIACION[Fecha],"&lt;="&amp;FINANCIACION[[#This Row],[Fecha]],FINANCIACION[PRESTAMO],FINANCIACION[[#This Row],[PRESTAMO]])</f>
        <v>-51510212.68599999</v>
      </c>
      <c r="G349" s="11"/>
      <c r="H349" s="11"/>
      <c r="I349" s="7">
        <f>+IF(FINANCIACION[[#This Row],[$ CAPITAL]]&gt;0,FINANCIACION[[#This Row],[$ CAPITAL]])</f>
        <v>125779572</v>
      </c>
      <c r="J349" s="49">
        <f>+IF(FINANCIACION[[#This Row],[$ CAPITAL]]&gt;=0,FINANCIACION[[#This Row],[$ CAPITAL]]+FINANCIACION[[#This Row],[$ INTERESES]],0)</f>
        <v>125779572</v>
      </c>
    </row>
    <row r="350" spans="1:10" ht="24" hidden="1" customHeight="1" x14ac:dyDescent="0.25">
      <c r="A350" s="10">
        <v>43841</v>
      </c>
      <c r="B350" s="85" t="s">
        <v>454</v>
      </c>
      <c r="C350" s="7"/>
      <c r="D350" s="7">
        <v>397819</v>
      </c>
      <c r="E350" s="7">
        <f>+IF(FINANCIACION[[#This Row],[$ CAPITAL]]&gt;=0,FINANCIACION[[#This Row],[$ CAPITAL]]+FINANCIACION[[#This Row],[$ INTERESES]],"")</f>
        <v>397819</v>
      </c>
      <c r="F350" s="7">
        <f>+SUMIFS(FINANCIACION[$ CAPITAL],FINANCIACION[Fecha],"&lt;="&amp;FINANCIACION[[#This Row],[Fecha]],FINANCIACION[PRESTAMO],FINANCIACION[[#This Row],[PRESTAMO]])</f>
        <v>-51510212.68599999</v>
      </c>
      <c r="G350" s="11"/>
      <c r="H350" s="11"/>
      <c r="I350" s="7" t="b">
        <f>+IF(FINANCIACION[[#This Row],[$ CAPITAL]]&gt;0,FINANCIACION[[#This Row],[$ CAPITAL]])</f>
        <v>0</v>
      </c>
      <c r="J350" s="49">
        <f>+IF(FINANCIACION[[#This Row],[$ CAPITAL]]&gt;=0,FINANCIACION[[#This Row],[$ CAPITAL]]+FINANCIACION[[#This Row],[$ INTERESES]],0)</f>
        <v>397819</v>
      </c>
    </row>
    <row r="351" spans="1:10" ht="24" hidden="1" customHeight="1" x14ac:dyDescent="0.25">
      <c r="A351" s="10">
        <v>43843</v>
      </c>
      <c r="B351" s="85" t="s">
        <v>454</v>
      </c>
      <c r="C351" s="7"/>
      <c r="D351" s="7">
        <v>329945</v>
      </c>
      <c r="E351" s="7">
        <f>+IF(FINANCIACION[[#This Row],[$ CAPITAL]]&gt;=0,FINANCIACION[[#This Row],[$ CAPITAL]]+FINANCIACION[[#This Row],[$ INTERESES]],"")</f>
        <v>329945</v>
      </c>
      <c r="F351" s="7">
        <f>+SUMIFS(FINANCIACION[$ CAPITAL],FINANCIACION[Fecha],"&lt;="&amp;FINANCIACION[[#This Row],[Fecha]],FINANCIACION[PRESTAMO],FINANCIACION[[#This Row],[PRESTAMO]])</f>
        <v>-51510212.68599999</v>
      </c>
      <c r="G351" s="11"/>
      <c r="H351" s="11"/>
      <c r="I351" s="7" t="b">
        <f>+IF(FINANCIACION[[#This Row],[$ CAPITAL]]&gt;0,FINANCIACION[[#This Row],[$ CAPITAL]])</f>
        <v>0</v>
      </c>
      <c r="J351" s="49">
        <f>+IF(FINANCIACION[[#This Row],[$ CAPITAL]]&gt;=0,FINANCIACION[[#This Row],[$ CAPITAL]]+FINANCIACION[[#This Row],[$ INTERESES]],0)</f>
        <v>329945</v>
      </c>
    </row>
    <row r="352" spans="1:10" ht="24" hidden="1" customHeight="1" x14ac:dyDescent="0.25">
      <c r="A352" s="10">
        <v>43871</v>
      </c>
      <c r="B352" s="85" t="s">
        <v>454</v>
      </c>
      <c r="C352" s="7"/>
      <c r="D352" s="7">
        <v>207398</v>
      </c>
      <c r="E352" s="7">
        <f>+IF(FINANCIACION[[#This Row],[$ CAPITAL]]&gt;=0,FINANCIACION[[#This Row],[$ CAPITAL]]+FINANCIACION[[#This Row],[$ INTERESES]],"")</f>
        <v>207398</v>
      </c>
      <c r="F352" s="7">
        <f>+SUMIFS(FINANCIACION[$ CAPITAL],FINANCIACION[Fecha],"&lt;="&amp;FINANCIACION[[#This Row],[Fecha]],FINANCIACION[PRESTAMO],FINANCIACION[[#This Row],[PRESTAMO]])</f>
        <v>-51510212.68599999</v>
      </c>
      <c r="G352" s="11"/>
      <c r="H352" s="11"/>
      <c r="I352" s="7" t="b">
        <f>+IF(FINANCIACION[[#This Row],[$ CAPITAL]]&gt;0,FINANCIACION[[#This Row],[$ CAPITAL]])</f>
        <v>0</v>
      </c>
      <c r="J352" s="49">
        <f>+IF(FINANCIACION[[#This Row],[$ CAPITAL]]&gt;=0,FINANCIACION[[#This Row],[$ CAPITAL]]+FINANCIACION[[#This Row],[$ INTERESES]],0)</f>
        <v>207398</v>
      </c>
    </row>
    <row r="353" spans="1:10" ht="24" hidden="1" customHeight="1" x14ac:dyDescent="0.25">
      <c r="A353" s="10">
        <v>43872</v>
      </c>
      <c r="B353" s="85" t="s">
        <v>454</v>
      </c>
      <c r="C353" s="7"/>
      <c r="D353" s="7">
        <v>414394</v>
      </c>
      <c r="E353" s="7">
        <f>+IF(FINANCIACION[[#This Row],[$ CAPITAL]]&gt;=0,FINANCIACION[[#This Row],[$ CAPITAL]]+FINANCIACION[[#This Row],[$ INTERESES]],"")</f>
        <v>414394</v>
      </c>
      <c r="F353" s="7">
        <f>+SUMIFS(FINANCIACION[$ CAPITAL],FINANCIACION[Fecha],"&lt;="&amp;FINANCIACION[[#This Row],[Fecha]],FINANCIACION[PRESTAMO],FINANCIACION[[#This Row],[PRESTAMO]])</f>
        <v>-51510212.68599999</v>
      </c>
      <c r="G353" s="11"/>
      <c r="H353" s="11"/>
      <c r="I353" s="7" t="b">
        <f>+IF(FINANCIACION[[#This Row],[$ CAPITAL]]&gt;0,FINANCIACION[[#This Row],[$ CAPITAL]])</f>
        <v>0</v>
      </c>
      <c r="J353" s="49">
        <f>+IF(FINANCIACION[[#This Row],[$ CAPITAL]]&gt;=0,FINANCIACION[[#This Row],[$ CAPITAL]]+FINANCIACION[[#This Row],[$ INTERESES]],0)</f>
        <v>414394</v>
      </c>
    </row>
    <row r="354" spans="1:10" ht="24" hidden="1" customHeight="1" x14ac:dyDescent="0.25">
      <c r="A354" s="10">
        <v>43874</v>
      </c>
      <c r="B354" s="85" t="s">
        <v>454</v>
      </c>
      <c r="C354" s="7"/>
      <c r="D354" s="7">
        <v>339513</v>
      </c>
      <c r="E354" s="7">
        <f>+IF(FINANCIACION[[#This Row],[$ CAPITAL]]&gt;=0,FINANCIACION[[#This Row],[$ CAPITAL]]+FINANCIACION[[#This Row],[$ INTERESES]],"")</f>
        <v>339513</v>
      </c>
      <c r="F354" s="7">
        <f>+SUMIFS(FINANCIACION[$ CAPITAL],FINANCIACION[Fecha],"&lt;="&amp;FINANCIACION[[#This Row],[Fecha]],FINANCIACION[PRESTAMO],FINANCIACION[[#This Row],[PRESTAMO]])</f>
        <v>-51510212.68599999</v>
      </c>
      <c r="G354" s="11"/>
      <c r="H354" s="11"/>
      <c r="I354" s="7" t="b">
        <f>+IF(FINANCIACION[[#This Row],[$ CAPITAL]]&gt;0,FINANCIACION[[#This Row],[$ CAPITAL]])</f>
        <v>0</v>
      </c>
      <c r="J354" s="49">
        <f>+IF(FINANCIACION[[#This Row],[$ CAPITAL]]&gt;=0,FINANCIACION[[#This Row],[$ CAPITAL]]+FINANCIACION[[#This Row],[$ INTERESES]],0)</f>
        <v>339513</v>
      </c>
    </row>
    <row r="355" spans="1:10" ht="24" hidden="1" customHeight="1" x14ac:dyDescent="0.25">
      <c r="A355" s="10">
        <v>43879</v>
      </c>
      <c r="B355" s="85" t="s">
        <v>454</v>
      </c>
      <c r="C355" s="7">
        <v>-24225000</v>
      </c>
      <c r="D355" s="7"/>
      <c r="E355" s="7" t="str">
        <f>+IF(FINANCIACION[[#This Row],[$ CAPITAL]]&gt;=0,FINANCIACION[[#This Row],[$ CAPITAL]]+FINANCIACION[[#This Row],[$ INTERESES]],"")</f>
        <v/>
      </c>
      <c r="F355" s="7">
        <f>+SUMIFS(FINANCIACION[$ CAPITAL],FINANCIACION[Fecha],"&lt;="&amp;FINANCIACION[[#This Row],[Fecha]],FINANCIACION[PRESTAMO],FINANCIACION[[#This Row],[PRESTAMO]])</f>
        <v>-75735212.68599999</v>
      </c>
      <c r="G355" s="11"/>
      <c r="H355" s="90"/>
      <c r="I355" s="7" t="b">
        <f>+IF(FINANCIACION[[#This Row],[$ CAPITAL]]&gt;0,FINANCIACION[[#This Row],[$ CAPITAL]])</f>
        <v>0</v>
      </c>
      <c r="J355" s="49">
        <f>+IF(FINANCIACION[[#This Row],[$ CAPITAL]]&gt;=0,FINANCIACION[[#This Row],[$ CAPITAL]]+FINANCIACION[[#This Row],[$ INTERESES]],0)</f>
        <v>0</v>
      </c>
    </row>
    <row r="356" spans="1:10" ht="24" hidden="1" customHeight="1" x14ac:dyDescent="0.25">
      <c r="A356" s="10">
        <v>43881</v>
      </c>
      <c r="B356" s="85" t="s">
        <v>454</v>
      </c>
      <c r="C356" s="7"/>
      <c r="D356" s="7">
        <v>180694</v>
      </c>
      <c r="E356" s="7">
        <f>+IF(FINANCIACION[[#This Row],[$ CAPITAL]]&gt;=0,FINANCIACION[[#This Row],[$ CAPITAL]]+FINANCIACION[[#This Row],[$ INTERESES]],"")</f>
        <v>180694</v>
      </c>
      <c r="F356" s="7">
        <f>+SUMIFS(FINANCIACION[$ CAPITAL],FINANCIACION[Fecha],"&lt;="&amp;FINANCIACION[[#This Row],[Fecha]],FINANCIACION[PRESTAMO],FINANCIACION[[#This Row],[PRESTAMO]])</f>
        <v>-75735212.68599999</v>
      </c>
      <c r="G356" s="11"/>
      <c r="H356" s="11"/>
      <c r="I356" s="7" t="b">
        <f>+IF(FINANCIACION[[#This Row],[$ CAPITAL]]&gt;0,FINANCIACION[[#This Row],[$ CAPITAL]])</f>
        <v>0</v>
      </c>
      <c r="J356" s="49">
        <f>+IF(FINANCIACION[[#This Row],[$ CAPITAL]]&gt;=0,FINANCIACION[[#This Row],[$ CAPITAL]]+FINANCIACION[[#This Row],[$ INTERESES]],0)</f>
        <v>180694</v>
      </c>
    </row>
    <row r="357" spans="1:10" ht="24" hidden="1" customHeight="1" x14ac:dyDescent="0.25">
      <c r="A357" s="10">
        <v>43899</v>
      </c>
      <c r="B357" s="85" t="s">
        <v>454</v>
      </c>
      <c r="C357" s="7"/>
      <c r="D357" s="7">
        <v>203675</v>
      </c>
      <c r="E357" s="7">
        <f>+IF(FINANCIACION[[#This Row],[$ CAPITAL]]&gt;=0,FINANCIACION[[#This Row],[$ CAPITAL]]+FINANCIACION[[#This Row],[$ INTERESES]],"")</f>
        <v>203675</v>
      </c>
      <c r="F357" s="7">
        <f>+SUMIFS(FINANCIACION[$ CAPITAL],FINANCIACION[Fecha],"&lt;="&amp;FINANCIACION[[#This Row],[Fecha]],FINANCIACION[PRESTAMO],FINANCIACION[[#This Row],[PRESTAMO]])</f>
        <v>-75735212.68599999</v>
      </c>
      <c r="G357" s="11"/>
      <c r="H357" s="11"/>
      <c r="I357" s="7" t="b">
        <f>+IF(FINANCIACION[[#This Row],[$ CAPITAL]]&gt;0,FINANCIACION[[#This Row],[$ CAPITAL]])</f>
        <v>0</v>
      </c>
      <c r="J357" s="49">
        <f>+IF(FINANCIACION[[#This Row],[$ CAPITAL]]&gt;=0,FINANCIACION[[#This Row],[$ CAPITAL]]+FINANCIACION[[#This Row],[$ INTERESES]],0)</f>
        <v>203675</v>
      </c>
    </row>
    <row r="358" spans="1:10" ht="24" hidden="1" customHeight="1" x14ac:dyDescent="0.25">
      <c r="A358" s="10">
        <v>43901</v>
      </c>
      <c r="B358" s="85" t="s">
        <v>454</v>
      </c>
      <c r="C358" s="7"/>
      <c r="D358" s="7">
        <v>424386</v>
      </c>
      <c r="E358" s="7">
        <f>+IF(FINANCIACION[[#This Row],[$ CAPITAL]]&gt;=0,FINANCIACION[[#This Row],[$ CAPITAL]]+FINANCIACION[[#This Row],[$ INTERESES]],"")</f>
        <v>424386</v>
      </c>
      <c r="F358" s="7">
        <f>+SUMIFS(FINANCIACION[$ CAPITAL],FINANCIACION[Fecha],"&lt;="&amp;FINANCIACION[[#This Row],[Fecha]],FINANCIACION[PRESTAMO],FINANCIACION[[#This Row],[PRESTAMO]])</f>
        <v>-75735212.68599999</v>
      </c>
      <c r="G358" s="11"/>
      <c r="H358" s="11"/>
      <c r="I358" s="7" t="b">
        <f>+IF(FINANCIACION[[#This Row],[$ CAPITAL]]&gt;0,FINANCIACION[[#This Row],[$ CAPITAL]])</f>
        <v>0</v>
      </c>
      <c r="J358" s="49">
        <f>+IF(FINANCIACION[[#This Row],[$ CAPITAL]]&gt;=0,FINANCIACION[[#This Row],[$ CAPITAL]]+FINANCIACION[[#This Row],[$ INTERESES]],0)</f>
        <v>424386</v>
      </c>
    </row>
    <row r="359" spans="1:10" ht="24" hidden="1" customHeight="1" x14ac:dyDescent="0.25">
      <c r="A359" s="10">
        <v>43903</v>
      </c>
      <c r="B359" s="85" t="s">
        <v>454</v>
      </c>
      <c r="C359" s="7"/>
      <c r="D359" s="7">
        <v>376514</v>
      </c>
      <c r="E359" s="7">
        <f>+IF(FINANCIACION[[#This Row],[$ CAPITAL]]&gt;=0,FINANCIACION[[#This Row],[$ CAPITAL]]+FINANCIACION[[#This Row],[$ INTERESES]],"")</f>
        <v>376514</v>
      </c>
      <c r="F359" s="7">
        <f>+SUMIFS(FINANCIACION[$ CAPITAL],FINANCIACION[Fecha],"&lt;="&amp;FINANCIACION[[#This Row],[Fecha]],FINANCIACION[PRESTAMO],FINANCIACION[[#This Row],[PRESTAMO]])</f>
        <v>-75735212.68599999</v>
      </c>
      <c r="G359" s="11"/>
      <c r="H359" s="11"/>
      <c r="I359" s="7" t="b">
        <f>+IF(FINANCIACION[[#This Row],[$ CAPITAL]]&gt;0,FINANCIACION[[#This Row],[$ CAPITAL]])</f>
        <v>0</v>
      </c>
      <c r="J359" s="49">
        <f>+IF(FINANCIACION[[#This Row],[$ CAPITAL]]&gt;=0,FINANCIACION[[#This Row],[$ CAPITAL]]+FINANCIACION[[#This Row],[$ INTERESES]],0)</f>
        <v>376514</v>
      </c>
    </row>
    <row r="360" spans="1:10" ht="24" hidden="1" customHeight="1" x14ac:dyDescent="0.25">
      <c r="A360" s="10">
        <v>43910</v>
      </c>
      <c r="B360" s="85" t="s">
        <v>454</v>
      </c>
      <c r="C360" s="7"/>
      <c r="D360" s="7">
        <v>206033</v>
      </c>
      <c r="E360" s="7">
        <f>+IF(FINANCIACION[[#This Row],[$ CAPITAL]]&gt;=0,FINANCIACION[[#This Row],[$ CAPITAL]]+FINANCIACION[[#This Row],[$ INTERESES]],"")</f>
        <v>206033</v>
      </c>
      <c r="F360" s="7">
        <f>+SUMIFS(FINANCIACION[$ CAPITAL],FINANCIACION[Fecha],"&lt;="&amp;FINANCIACION[[#This Row],[Fecha]],FINANCIACION[PRESTAMO],FINANCIACION[[#This Row],[PRESTAMO]])</f>
        <v>-75735212.68599999</v>
      </c>
      <c r="G360" s="11"/>
      <c r="H360" s="11"/>
      <c r="I360" s="7" t="b">
        <f>+IF(FINANCIACION[[#This Row],[$ CAPITAL]]&gt;0,FINANCIACION[[#This Row],[$ CAPITAL]])</f>
        <v>0</v>
      </c>
      <c r="J360" s="49">
        <f>+IF(FINANCIACION[[#This Row],[$ CAPITAL]]&gt;=0,FINANCIACION[[#This Row],[$ CAPITAL]]+FINANCIACION[[#This Row],[$ INTERESES]],0)</f>
        <v>206033</v>
      </c>
    </row>
    <row r="361" spans="1:10" ht="24" hidden="1" customHeight="1" x14ac:dyDescent="0.25">
      <c r="A361" s="10">
        <v>43934</v>
      </c>
      <c r="B361" s="85" t="s">
        <v>454</v>
      </c>
      <c r="C361" s="7"/>
      <c r="D361" s="7">
        <v>214006</v>
      </c>
      <c r="E361" s="7">
        <f>+IF(FINANCIACION[[#This Row],[$ CAPITAL]]&gt;=0,FINANCIACION[[#This Row],[$ CAPITAL]]+FINANCIACION[[#This Row],[$ INTERESES]],"")</f>
        <v>214006</v>
      </c>
      <c r="F361" s="7">
        <f>+SUMIFS(FINANCIACION[$ CAPITAL],FINANCIACION[Fecha],"&lt;="&amp;FINANCIACION[[#This Row],[Fecha]],FINANCIACION[PRESTAMO],FINANCIACION[[#This Row],[PRESTAMO]])</f>
        <v>-75735212.68599999</v>
      </c>
      <c r="G361" s="11"/>
      <c r="H361" s="11"/>
      <c r="I361" s="7" t="b">
        <f>+IF(FINANCIACION[[#This Row],[$ CAPITAL]]&gt;0,FINANCIACION[[#This Row],[$ CAPITAL]])</f>
        <v>0</v>
      </c>
      <c r="J361" s="49">
        <f>+IF(FINANCIACION[[#This Row],[$ CAPITAL]]&gt;=0,FINANCIACION[[#This Row],[$ CAPITAL]]+FINANCIACION[[#This Row],[$ INTERESES]],0)</f>
        <v>214006</v>
      </c>
    </row>
    <row r="362" spans="1:10" ht="24" hidden="1" customHeight="1" x14ac:dyDescent="0.25">
      <c r="A362" s="10">
        <v>43934</v>
      </c>
      <c r="B362" s="85" t="s">
        <v>454</v>
      </c>
      <c r="C362" s="7"/>
      <c r="D362" s="7">
        <v>407296</v>
      </c>
      <c r="E362" s="7">
        <f>+IF(FINANCIACION[[#This Row],[$ CAPITAL]]&gt;=0,FINANCIACION[[#This Row],[$ CAPITAL]]+FINANCIACION[[#This Row],[$ INTERESES]],"")</f>
        <v>407296</v>
      </c>
      <c r="F362" s="7">
        <f>+SUMIFS(FINANCIACION[$ CAPITAL],FINANCIACION[Fecha],"&lt;="&amp;FINANCIACION[[#This Row],[Fecha]],FINANCIACION[PRESTAMO],FINANCIACION[[#This Row],[PRESTAMO]])</f>
        <v>-75735212.68599999</v>
      </c>
      <c r="G362" s="11"/>
      <c r="H362" s="11"/>
      <c r="I362" s="7" t="b">
        <f>+IF(FINANCIACION[[#This Row],[$ CAPITAL]]&gt;0,FINANCIACION[[#This Row],[$ CAPITAL]])</f>
        <v>0</v>
      </c>
      <c r="J362" s="49">
        <f>+IF(FINANCIACION[[#This Row],[$ CAPITAL]]&gt;=0,FINANCIACION[[#This Row],[$ CAPITAL]]+FINANCIACION[[#This Row],[$ INTERESES]],0)</f>
        <v>407296</v>
      </c>
    </row>
    <row r="363" spans="1:10" ht="24" hidden="1" customHeight="1" x14ac:dyDescent="0.25">
      <c r="A363" s="10">
        <v>43934</v>
      </c>
      <c r="B363" s="85" t="s">
        <v>454</v>
      </c>
      <c r="C363" s="7"/>
      <c r="D363" s="7">
        <v>343174</v>
      </c>
      <c r="E363" s="7">
        <f>+IF(FINANCIACION[[#This Row],[$ CAPITAL]]&gt;=0,FINANCIACION[[#This Row],[$ CAPITAL]]+FINANCIACION[[#This Row],[$ INTERESES]],"")</f>
        <v>343174</v>
      </c>
      <c r="F363" s="7">
        <f>+SUMIFS(FINANCIACION[$ CAPITAL],FINANCIACION[Fecha],"&lt;="&amp;FINANCIACION[[#This Row],[Fecha]],FINANCIACION[PRESTAMO],FINANCIACION[[#This Row],[PRESTAMO]])</f>
        <v>-75735212.68599999</v>
      </c>
      <c r="G363" s="11"/>
      <c r="H363" s="11"/>
      <c r="I363" s="7" t="b">
        <f>+IF(FINANCIACION[[#This Row],[$ CAPITAL]]&gt;0,FINANCIACION[[#This Row],[$ CAPITAL]])</f>
        <v>0</v>
      </c>
      <c r="J363" s="49">
        <f>+IF(FINANCIACION[[#This Row],[$ CAPITAL]]&gt;=0,FINANCIACION[[#This Row],[$ CAPITAL]]+FINANCIACION[[#This Row],[$ INTERESES]],0)</f>
        <v>343174</v>
      </c>
    </row>
    <row r="364" spans="1:10" ht="24" hidden="1" customHeight="1" x14ac:dyDescent="0.25">
      <c r="A364" s="10">
        <v>43942</v>
      </c>
      <c r="B364" s="85" t="s">
        <v>454</v>
      </c>
      <c r="C364" s="7"/>
      <c r="D364" s="7">
        <v>197937</v>
      </c>
      <c r="E364" s="7">
        <f>+IF(FINANCIACION[[#This Row],[$ CAPITAL]]&gt;=0,FINANCIACION[[#This Row],[$ CAPITAL]]+FINANCIACION[[#This Row],[$ INTERESES]],"")</f>
        <v>197937</v>
      </c>
      <c r="F364" s="7">
        <f>+SUMIFS(FINANCIACION[$ CAPITAL],FINANCIACION[Fecha],"&lt;="&amp;FINANCIACION[[#This Row],[Fecha]],FINANCIACION[PRESTAMO],FINANCIACION[[#This Row],[PRESTAMO]])</f>
        <v>-75735212.68599999</v>
      </c>
      <c r="G364" s="11"/>
      <c r="H364" s="11"/>
      <c r="I364" s="7" t="b">
        <f>+IF(FINANCIACION[[#This Row],[$ CAPITAL]]&gt;0,FINANCIACION[[#This Row],[$ CAPITAL]])</f>
        <v>0</v>
      </c>
      <c r="J364" s="49">
        <f>+IF(FINANCIACION[[#This Row],[$ CAPITAL]]&gt;=0,FINANCIACION[[#This Row],[$ CAPITAL]]+FINANCIACION[[#This Row],[$ INTERESES]],0)</f>
        <v>197937</v>
      </c>
    </row>
    <row r="365" spans="1:10" ht="24" hidden="1" customHeight="1" x14ac:dyDescent="0.25">
      <c r="A365" s="10">
        <v>43942</v>
      </c>
      <c r="B365" s="85" t="s">
        <v>454</v>
      </c>
      <c r="C365" s="7"/>
      <c r="D365" s="7">
        <v>234569</v>
      </c>
      <c r="E365" s="7">
        <f>+IF(FINANCIACION[[#This Row],[$ CAPITAL]]&gt;=0,FINANCIACION[[#This Row],[$ CAPITAL]]+FINANCIACION[[#This Row],[$ INTERESES]],"")</f>
        <v>234569</v>
      </c>
      <c r="F365" s="7">
        <f>+SUMIFS(FINANCIACION[$ CAPITAL],FINANCIACION[Fecha],"&lt;="&amp;FINANCIACION[[#This Row],[Fecha]],FINANCIACION[PRESTAMO],FINANCIACION[[#This Row],[PRESTAMO]])</f>
        <v>-75735212.68599999</v>
      </c>
      <c r="G365" s="11"/>
      <c r="H365" s="11"/>
      <c r="I365" s="7" t="b">
        <f>+IF(FINANCIACION[[#This Row],[$ CAPITAL]]&gt;0,FINANCIACION[[#This Row],[$ CAPITAL]])</f>
        <v>0</v>
      </c>
      <c r="J365" s="49">
        <f>+IF(FINANCIACION[[#This Row],[$ CAPITAL]]&gt;=0,FINANCIACION[[#This Row],[$ CAPITAL]]+FINANCIACION[[#This Row],[$ INTERESES]],0)</f>
        <v>234569</v>
      </c>
    </row>
    <row r="366" spans="1:10" ht="24" hidden="1" customHeight="1" x14ac:dyDescent="0.25">
      <c r="A366" s="10">
        <v>43962</v>
      </c>
      <c r="B366" s="85" t="s">
        <v>454</v>
      </c>
      <c r="C366" s="7"/>
      <c r="D366" s="7">
        <v>395875</v>
      </c>
      <c r="E366" s="7">
        <f>+IF(FINANCIACION[[#This Row],[$ CAPITAL]]&gt;=0,FINANCIACION[[#This Row],[$ CAPITAL]]+FINANCIACION[[#This Row],[$ INTERESES]],"")</f>
        <v>395875</v>
      </c>
      <c r="F366" s="7">
        <f>+SUMIFS(FINANCIACION[$ CAPITAL],FINANCIACION[Fecha],"&lt;="&amp;FINANCIACION[[#This Row],[Fecha]],FINANCIACION[PRESTAMO],FINANCIACION[[#This Row],[PRESTAMO]])</f>
        <v>-75735212.68599999</v>
      </c>
      <c r="G366" s="11"/>
      <c r="H366" s="11"/>
      <c r="I366" s="7" t="b">
        <f>+IF(FINANCIACION[[#This Row],[$ CAPITAL]]&gt;0,FINANCIACION[[#This Row],[$ CAPITAL]])</f>
        <v>0</v>
      </c>
      <c r="J366" s="49">
        <f>+IF(FINANCIACION[[#This Row],[$ CAPITAL]]&gt;=0,FINANCIACION[[#This Row],[$ CAPITAL]]+FINANCIACION[[#This Row],[$ INTERESES]],0)</f>
        <v>395875</v>
      </c>
    </row>
    <row r="367" spans="1:10" ht="24" hidden="1" customHeight="1" x14ac:dyDescent="0.25">
      <c r="A367" s="10">
        <v>43962</v>
      </c>
      <c r="B367" s="85" t="s">
        <v>454</v>
      </c>
      <c r="C367" s="7"/>
      <c r="D367" s="7">
        <v>209254</v>
      </c>
      <c r="E367" s="7">
        <f>+IF(FINANCIACION[[#This Row],[$ CAPITAL]]&gt;=0,FINANCIACION[[#This Row],[$ CAPITAL]]+FINANCIACION[[#This Row],[$ INTERESES]],"")</f>
        <v>209254</v>
      </c>
      <c r="F367" s="7">
        <f>+SUMIFS(FINANCIACION[$ CAPITAL],FINANCIACION[Fecha],"&lt;="&amp;FINANCIACION[[#This Row],[Fecha]],FINANCIACION[PRESTAMO],FINANCIACION[[#This Row],[PRESTAMO]])</f>
        <v>-75735212.68599999</v>
      </c>
      <c r="G367" s="11"/>
      <c r="H367" s="11"/>
      <c r="I367" s="7" t="b">
        <f>+IF(FINANCIACION[[#This Row],[$ CAPITAL]]&gt;0,FINANCIACION[[#This Row],[$ CAPITAL]])</f>
        <v>0</v>
      </c>
      <c r="J367" s="49">
        <f>+IF(FINANCIACION[[#This Row],[$ CAPITAL]]&gt;=0,FINANCIACION[[#This Row],[$ CAPITAL]]+FINANCIACION[[#This Row],[$ INTERESES]],0)</f>
        <v>209254</v>
      </c>
    </row>
    <row r="368" spans="1:10" ht="24" hidden="1" customHeight="1" x14ac:dyDescent="0.25">
      <c r="A368" s="10">
        <v>43964</v>
      </c>
      <c r="B368" s="85" t="s">
        <v>454</v>
      </c>
      <c r="C368" s="7"/>
      <c r="D368" s="7">
        <v>332207</v>
      </c>
      <c r="E368" s="7">
        <f>+IF(FINANCIACION[[#This Row],[$ CAPITAL]]&gt;=0,FINANCIACION[[#This Row],[$ CAPITAL]]+FINANCIACION[[#This Row],[$ INTERESES]],"")</f>
        <v>332207</v>
      </c>
      <c r="F368" s="7">
        <f>+SUMIFS(FINANCIACION[$ CAPITAL],FINANCIACION[Fecha],"&lt;="&amp;FINANCIACION[[#This Row],[Fecha]],FINANCIACION[PRESTAMO],FINANCIACION[[#This Row],[PRESTAMO]])</f>
        <v>-75735212.68599999</v>
      </c>
      <c r="G368" s="11"/>
      <c r="H368" s="11"/>
      <c r="I368" s="7" t="b">
        <f>+IF(FINANCIACION[[#This Row],[$ CAPITAL]]&gt;0,FINANCIACION[[#This Row],[$ CAPITAL]])</f>
        <v>0</v>
      </c>
      <c r="J368" s="49">
        <f>+IF(FINANCIACION[[#This Row],[$ CAPITAL]]&gt;=0,FINANCIACION[[#This Row],[$ CAPITAL]]+FINANCIACION[[#This Row],[$ INTERESES]],0)</f>
        <v>332207</v>
      </c>
    </row>
    <row r="369" spans="1:10" ht="24" hidden="1" customHeight="1" x14ac:dyDescent="0.25">
      <c r="A369" s="10">
        <v>43970</v>
      </c>
      <c r="B369" s="85" t="s">
        <v>454</v>
      </c>
      <c r="C369" s="7"/>
      <c r="D369" s="7">
        <v>214312</v>
      </c>
      <c r="E369" s="7">
        <f>+IF(FINANCIACION[[#This Row],[$ CAPITAL]]&gt;=0,FINANCIACION[[#This Row],[$ CAPITAL]]+FINANCIACION[[#This Row],[$ INTERESES]],"")</f>
        <v>214312</v>
      </c>
      <c r="F369" s="7">
        <f>+SUMIFS(FINANCIACION[$ CAPITAL],FINANCIACION[Fecha],"&lt;="&amp;FINANCIACION[[#This Row],[Fecha]],FINANCIACION[PRESTAMO],FINANCIACION[[#This Row],[PRESTAMO]])</f>
        <v>-75735212.68599999</v>
      </c>
      <c r="G369" s="11"/>
      <c r="H369" s="11"/>
      <c r="I369" s="7" t="b">
        <f>+IF(FINANCIACION[[#This Row],[$ CAPITAL]]&gt;0,FINANCIACION[[#This Row],[$ CAPITAL]])</f>
        <v>0</v>
      </c>
      <c r="J369" s="49">
        <f>+IF(FINANCIACION[[#This Row],[$ CAPITAL]]&gt;=0,FINANCIACION[[#This Row],[$ CAPITAL]]+FINANCIACION[[#This Row],[$ INTERESES]],0)</f>
        <v>214312</v>
      </c>
    </row>
    <row r="370" spans="1:10" ht="24" hidden="1" customHeight="1" x14ac:dyDescent="0.25">
      <c r="A370" s="10">
        <v>43971</v>
      </c>
      <c r="B370" s="85" t="s">
        <v>454</v>
      </c>
      <c r="C370" s="7"/>
      <c r="D370" s="7">
        <v>179933</v>
      </c>
      <c r="E370" s="7">
        <f>+IF(FINANCIACION[[#This Row],[$ CAPITAL]]&gt;=0,FINANCIACION[[#This Row],[$ CAPITAL]]+FINANCIACION[[#This Row],[$ INTERESES]],"")</f>
        <v>179933</v>
      </c>
      <c r="F370" s="7">
        <f>+SUMIFS(FINANCIACION[$ CAPITAL],FINANCIACION[Fecha],"&lt;="&amp;FINANCIACION[[#This Row],[Fecha]],FINANCIACION[PRESTAMO],FINANCIACION[[#This Row],[PRESTAMO]])</f>
        <v>-75735212.68599999</v>
      </c>
      <c r="G370" s="11"/>
      <c r="H370" s="11"/>
      <c r="I370" s="7" t="b">
        <f>+IF(FINANCIACION[[#This Row],[$ CAPITAL]]&gt;0,FINANCIACION[[#This Row],[$ CAPITAL]])</f>
        <v>0</v>
      </c>
      <c r="J370" s="49">
        <f>+IF(FINANCIACION[[#This Row],[$ CAPITAL]]&gt;=0,FINANCIACION[[#This Row],[$ CAPITAL]]+FINANCIACION[[#This Row],[$ INTERESES]],0)</f>
        <v>179933</v>
      </c>
    </row>
    <row r="371" spans="1:10" ht="24" hidden="1" customHeight="1" x14ac:dyDescent="0.25">
      <c r="A371" s="10">
        <v>43991</v>
      </c>
      <c r="B371" s="85" t="s">
        <v>454</v>
      </c>
      <c r="C371" s="7"/>
      <c r="D371" s="7">
        <v>186752</v>
      </c>
      <c r="E371" s="7">
        <f>+IF(FINANCIACION[[#This Row],[$ CAPITAL]]&gt;=0,FINANCIACION[[#This Row],[$ CAPITAL]]+FINANCIACION[[#This Row],[$ INTERESES]],"")</f>
        <v>186752</v>
      </c>
      <c r="F371" s="7">
        <f>+SUMIFS(FINANCIACION[$ CAPITAL],FINANCIACION[Fecha],"&lt;="&amp;FINANCIACION[[#This Row],[Fecha]],FINANCIACION[PRESTAMO],FINANCIACION[[#This Row],[PRESTAMO]])</f>
        <v>-75735212.68599999</v>
      </c>
      <c r="G371" s="11"/>
      <c r="H371" s="11"/>
      <c r="I371" s="7" t="b">
        <f>+IF(FINANCIACION[[#This Row],[$ CAPITAL]]&gt;0,FINANCIACION[[#This Row],[$ CAPITAL]])</f>
        <v>0</v>
      </c>
      <c r="J371" s="49">
        <f>+IF(FINANCIACION[[#This Row],[$ CAPITAL]]&gt;=0,FINANCIACION[[#This Row],[$ CAPITAL]]+FINANCIACION[[#This Row],[$ INTERESES]],0)</f>
        <v>186752</v>
      </c>
    </row>
    <row r="372" spans="1:10" ht="24" hidden="1" customHeight="1" x14ac:dyDescent="0.25">
      <c r="A372" s="10">
        <v>43993</v>
      </c>
      <c r="B372" s="85" t="s">
        <v>454</v>
      </c>
      <c r="C372" s="7"/>
      <c r="D372" s="7">
        <v>345505</v>
      </c>
      <c r="E372" s="7">
        <f>+IF(FINANCIACION[[#This Row],[$ CAPITAL]]&gt;=0,FINANCIACION[[#This Row],[$ CAPITAL]]+FINANCIACION[[#This Row],[$ INTERESES]],"")</f>
        <v>345505</v>
      </c>
      <c r="F372" s="7">
        <f>+SUMIFS(FINANCIACION[$ CAPITAL],FINANCIACION[Fecha],"&lt;="&amp;FINANCIACION[[#This Row],[Fecha]],FINANCIACION[PRESTAMO],FINANCIACION[[#This Row],[PRESTAMO]])</f>
        <v>-75735212.68599999</v>
      </c>
      <c r="G372" s="11"/>
      <c r="H372" s="11"/>
      <c r="I372" s="7" t="b">
        <f>+IF(FINANCIACION[[#This Row],[$ CAPITAL]]&gt;0,FINANCIACION[[#This Row],[$ CAPITAL]])</f>
        <v>0</v>
      </c>
      <c r="J372" s="49">
        <f>+IF(FINANCIACION[[#This Row],[$ CAPITAL]]&gt;=0,FINANCIACION[[#This Row],[$ CAPITAL]]+FINANCIACION[[#This Row],[$ INTERESES]],0)</f>
        <v>345505</v>
      </c>
    </row>
    <row r="373" spans="1:10" ht="24" hidden="1" customHeight="1" x14ac:dyDescent="0.25">
      <c r="A373" s="10">
        <v>43998</v>
      </c>
      <c r="B373" s="85" t="s">
        <v>454</v>
      </c>
      <c r="C373" s="7"/>
      <c r="D373" s="7">
        <v>300802</v>
      </c>
      <c r="E373" s="7">
        <f>+IF(FINANCIACION[[#This Row],[$ CAPITAL]]&gt;=0,FINANCIACION[[#This Row],[$ CAPITAL]]+FINANCIACION[[#This Row],[$ INTERESES]],"")</f>
        <v>300802</v>
      </c>
      <c r="F373" s="7">
        <f>+SUMIFS(FINANCIACION[$ CAPITAL],FINANCIACION[Fecha],"&lt;="&amp;FINANCIACION[[#This Row],[Fecha]],FINANCIACION[PRESTAMO],FINANCIACION[[#This Row],[PRESTAMO]])</f>
        <v>-75735212.68599999</v>
      </c>
      <c r="G373" s="11"/>
      <c r="H373" s="11"/>
      <c r="I373" s="7" t="b">
        <f>+IF(FINANCIACION[[#This Row],[$ CAPITAL]]&gt;0,FINANCIACION[[#This Row],[$ CAPITAL]])</f>
        <v>0</v>
      </c>
      <c r="J373" s="49">
        <f>+IF(FINANCIACION[[#This Row],[$ CAPITAL]]&gt;=0,FINANCIACION[[#This Row],[$ CAPITAL]]+FINANCIACION[[#This Row],[$ INTERESES]],0)</f>
        <v>300802</v>
      </c>
    </row>
    <row r="374" spans="1:10" ht="24" hidden="1" customHeight="1" x14ac:dyDescent="0.25">
      <c r="A374" s="10">
        <v>44001</v>
      </c>
      <c r="B374" s="85" t="s">
        <v>454</v>
      </c>
      <c r="C374" s="7"/>
      <c r="D374" s="7">
        <v>204668</v>
      </c>
      <c r="E374" s="7">
        <f>+IF(FINANCIACION[[#This Row],[$ CAPITAL]]&gt;=0,FINANCIACION[[#This Row],[$ CAPITAL]]+FINANCIACION[[#This Row],[$ INTERESES]],"")</f>
        <v>204668</v>
      </c>
      <c r="F374" s="7">
        <f>+SUMIFS(FINANCIACION[$ CAPITAL],FINANCIACION[Fecha],"&lt;="&amp;FINANCIACION[[#This Row],[Fecha]],FINANCIACION[PRESTAMO],FINANCIACION[[#This Row],[PRESTAMO]])</f>
        <v>-75735212.68599999</v>
      </c>
      <c r="G374" s="11"/>
      <c r="H374" s="11"/>
      <c r="I374" s="7" t="b">
        <f>+IF(FINANCIACION[[#This Row],[$ CAPITAL]]&gt;0,FINANCIACION[[#This Row],[$ CAPITAL]])</f>
        <v>0</v>
      </c>
      <c r="J374" s="49">
        <f>+IF(FINANCIACION[[#This Row],[$ CAPITAL]]&gt;=0,FINANCIACION[[#This Row],[$ CAPITAL]]+FINANCIACION[[#This Row],[$ INTERESES]],0)</f>
        <v>204668</v>
      </c>
    </row>
    <row r="375" spans="1:10" ht="24" hidden="1" customHeight="1" x14ac:dyDescent="0.25">
      <c r="A375" s="10">
        <v>44005</v>
      </c>
      <c r="B375" s="85" t="s">
        <v>454</v>
      </c>
      <c r="C375" s="7"/>
      <c r="D375" s="7">
        <v>173037</v>
      </c>
      <c r="E375" s="7">
        <f>+IF(FINANCIACION[[#This Row],[$ CAPITAL]]&gt;=0,FINANCIACION[[#This Row],[$ CAPITAL]]+FINANCIACION[[#This Row],[$ INTERESES]],"")</f>
        <v>173037</v>
      </c>
      <c r="F375" s="7">
        <f>+SUMIFS(FINANCIACION[$ CAPITAL],FINANCIACION[Fecha],"&lt;="&amp;FINANCIACION[[#This Row],[Fecha]],FINANCIACION[PRESTAMO],FINANCIACION[[#This Row],[PRESTAMO]])</f>
        <v>-75735212.68599999</v>
      </c>
      <c r="G375" s="11"/>
      <c r="H375" s="11"/>
      <c r="I375" s="7" t="b">
        <f>+IF(FINANCIACION[[#This Row],[$ CAPITAL]]&gt;0,FINANCIACION[[#This Row],[$ CAPITAL]])</f>
        <v>0</v>
      </c>
      <c r="J375" s="49">
        <f>+IF(FINANCIACION[[#This Row],[$ CAPITAL]]&gt;=0,FINANCIACION[[#This Row],[$ CAPITAL]]+FINANCIACION[[#This Row],[$ INTERESES]],0)</f>
        <v>173037</v>
      </c>
    </row>
    <row r="376" spans="1:10" ht="24" hidden="1" customHeight="1" x14ac:dyDescent="0.25">
      <c r="A376" s="10">
        <v>44021</v>
      </c>
      <c r="B376" s="85" t="s">
        <v>454</v>
      </c>
      <c r="C376" s="7"/>
      <c r="D376" s="7">
        <v>181824</v>
      </c>
      <c r="E376" s="7">
        <f>+IF(FINANCIACION[[#This Row],[$ CAPITAL]]&gt;=0,FINANCIACION[[#This Row],[$ CAPITAL]]+FINANCIACION[[#This Row],[$ INTERESES]],"")</f>
        <v>181824</v>
      </c>
      <c r="F376" s="7">
        <f>+SUMIFS(FINANCIACION[$ CAPITAL],FINANCIACION[Fecha],"&lt;="&amp;FINANCIACION[[#This Row],[Fecha]],FINANCIACION[PRESTAMO],FINANCIACION[[#This Row],[PRESTAMO]])</f>
        <v>-75735212.68599999</v>
      </c>
      <c r="G376" s="11"/>
      <c r="H376" s="11"/>
      <c r="I376" s="7" t="b">
        <f>+IF(FINANCIACION[[#This Row],[$ CAPITAL]]&gt;0,FINANCIACION[[#This Row],[$ CAPITAL]])</f>
        <v>0</v>
      </c>
      <c r="J376" s="49">
        <f>+IF(FINANCIACION[[#This Row],[$ CAPITAL]]&gt;=0,FINANCIACION[[#This Row],[$ CAPITAL]]+FINANCIACION[[#This Row],[$ INTERESES]],0)</f>
        <v>181824</v>
      </c>
    </row>
    <row r="377" spans="1:10" ht="24" hidden="1" customHeight="1" x14ac:dyDescent="0.25">
      <c r="A377" s="10">
        <v>44025</v>
      </c>
      <c r="B377" s="85" t="s">
        <v>454</v>
      </c>
      <c r="C377" s="7"/>
      <c r="D377" s="7">
        <v>328635</v>
      </c>
      <c r="E377" s="7">
        <f>+IF(FINANCIACION[[#This Row],[$ CAPITAL]]&gt;=0,FINANCIACION[[#This Row],[$ CAPITAL]]+FINANCIACION[[#This Row],[$ INTERESES]],"")</f>
        <v>328635</v>
      </c>
      <c r="F377" s="7">
        <f>+SUMIFS(FINANCIACION[$ CAPITAL],FINANCIACION[Fecha],"&lt;="&amp;FINANCIACION[[#This Row],[Fecha]],FINANCIACION[PRESTAMO],FINANCIACION[[#This Row],[PRESTAMO]])</f>
        <v>-75735212.68599999</v>
      </c>
      <c r="G377" s="11"/>
      <c r="H377" s="11"/>
      <c r="I377" s="7" t="b">
        <f>+IF(FINANCIACION[[#This Row],[$ CAPITAL]]&gt;0,FINANCIACION[[#This Row],[$ CAPITAL]])</f>
        <v>0</v>
      </c>
      <c r="J377" s="49">
        <f>+IF(FINANCIACION[[#This Row],[$ CAPITAL]]&gt;=0,FINANCIACION[[#This Row],[$ CAPITAL]]+FINANCIACION[[#This Row],[$ INTERESES]],0)</f>
        <v>328635</v>
      </c>
    </row>
    <row r="378" spans="1:10" ht="24" hidden="1" customHeight="1" x14ac:dyDescent="0.25">
      <c r="A378" s="10">
        <v>44025</v>
      </c>
      <c r="B378" s="85" t="s">
        <v>454</v>
      </c>
      <c r="C378" s="7"/>
      <c r="D378" s="7">
        <v>280785</v>
      </c>
      <c r="E378" s="7">
        <f>+IF(FINANCIACION[[#This Row],[$ CAPITAL]]&gt;=0,FINANCIACION[[#This Row],[$ CAPITAL]]+FINANCIACION[[#This Row],[$ INTERESES]],"")</f>
        <v>280785</v>
      </c>
      <c r="F378" s="7">
        <f>+SUMIFS(FINANCIACION[$ CAPITAL],FINANCIACION[Fecha],"&lt;="&amp;FINANCIACION[[#This Row],[Fecha]],FINANCIACION[PRESTAMO],FINANCIACION[[#This Row],[PRESTAMO]])</f>
        <v>-75735212.68599999</v>
      </c>
      <c r="G378" s="11"/>
      <c r="H378" s="11"/>
      <c r="I378" s="7" t="b">
        <f>+IF(FINANCIACION[[#This Row],[$ CAPITAL]]&gt;0,FINANCIACION[[#This Row],[$ CAPITAL]])</f>
        <v>0</v>
      </c>
      <c r="J378" s="49">
        <f>+IF(FINANCIACION[[#This Row],[$ CAPITAL]]&gt;=0,FINANCIACION[[#This Row],[$ CAPITAL]]+FINANCIACION[[#This Row],[$ INTERESES]],0)</f>
        <v>280785</v>
      </c>
    </row>
    <row r="379" spans="1:10" ht="24" hidden="1" customHeight="1" x14ac:dyDescent="0.25">
      <c r="A379" s="10">
        <v>44033</v>
      </c>
      <c r="B379" s="85" t="s">
        <v>454</v>
      </c>
      <c r="C379" s="7"/>
      <c r="D379" s="7">
        <v>192785</v>
      </c>
      <c r="E379" s="7">
        <f>+IF(FINANCIACION[[#This Row],[$ CAPITAL]]&gt;=0,FINANCIACION[[#This Row],[$ CAPITAL]]+FINANCIACION[[#This Row],[$ INTERESES]],"")</f>
        <v>192785</v>
      </c>
      <c r="F379" s="7">
        <f>+SUMIFS(FINANCIACION[$ CAPITAL],FINANCIACION[Fecha],"&lt;="&amp;FINANCIACION[[#This Row],[Fecha]],FINANCIACION[PRESTAMO],FINANCIACION[[#This Row],[PRESTAMO]])</f>
        <v>-75735212.68599999</v>
      </c>
      <c r="G379" s="11"/>
      <c r="H379" s="11"/>
      <c r="I379" s="7" t="b">
        <f>+IF(FINANCIACION[[#This Row],[$ CAPITAL]]&gt;0,FINANCIACION[[#This Row],[$ CAPITAL]])</f>
        <v>0</v>
      </c>
      <c r="J379" s="49">
        <f>+IF(FINANCIACION[[#This Row],[$ CAPITAL]]&gt;=0,FINANCIACION[[#This Row],[$ CAPITAL]]+FINANCIACION[[#This Row],[$ INTERESES]],0)</f>
        <v>192785</v>
      </c>
    </row>
    <row r="380" spans="1:10" ht="24" hidden="1" customHeight="1" x14ac:dyDescent="0.25">
      <c r="A380" s="10">
        <v>44033</v>
      </c>
      <c r="B380" s="85" t="s">
        <v>454</v>
      </c>
      <c r="C380" s="7"/>
      <c r="D380" s="7">
        <v>164117</v>
      </c>
      <c r="E380" s="7">
        <f>+IF(FINANCIACION[[#This Row],[$ CAPITAL]]&gt;=0,FINANCIACION[[#This Row],[$ CAPITAL]]+FINANCIACION[[#This Row],[$ INTERESES]],"")</f>
        <v>164117</v>
      </c>
      <c r="F380" s="7">
        <f>+SUMIFS(FINANCIACION[$ CAPITAL],FINANCIACION[Fecha],"&lt;="&amp;FINANCIACION[[#This Row],[Fecha]],FINANCIACION[PRESTAMO],FINANCIACION[[#This Row],[PRESTAMO]])</f>
        <v>-75735212.68599999</v>
      </c>
      <c r="G380" s="11"/>
      <c r="H380" s="11"/>
      <c r="I380" s="7" t="b">
        <f>+IF(FINANCIACION[[#This Row],[$ CAPITAL]]&gt;0,FINANCIACION[[#This Row],[$ CAPITAL]])</f>
        <v>0</v>
      </c>
      <c r="J380" s="49">
        <f>+IF(FINANCIACION[[#This Row],[$ CAPITAL]]&gt;=0,FINANCIACION[[#This Row],[$ CAPITAL]]+FINANCIACION[[#This Row],[$ INTERESES]],0)</f>
        <v>164117</v>
      </c>
    </row>
    <row r="381" spans="1:10" ht="24" hidden="1" customHeight="1" x14ac:dyDescent="0.25">
      <c r="A381" s="10">
        <v>44049</v>
      </c>
      <c r="B381" s="85" t="s">
        <v>454</v>
      </c>
      <c r="C381" s="7">
        <v>25648987.199999999</v>
      </c>
      <c r="D381" s="7"/>
      <c r="E381" s="7">
        <f>+IF(FINANCIACION[[#This Row],[$ CAPITAL]]&gt;=0,FINANCIACION[[#This Row],[$ CAPITAL]]+FINANCIACION[[#This Row],[$ INTERESES]],"")</f>
        <v>25648987.199999999</v>
      </c>
      <c r="F381" s="7">
        <f>+SUMIFS(FINANCIACION[$ CAPITAL],FINANCIACION[Fecha],"&lt;="&amp;FINANCIACION[[#This Row],[Fecha]],FINANCIACION[PRESTAMO],FINANCIACION[[#This Row],[PRESTAMO]])</f>
        <v>-50086225.485999987</v>
      </c>
      <c r="G381" s="11"/>
      <c r="H381" s="11"/>
      <c r="I381" s="7">
        <f>+IF(FINANCIACION[[#This Row],[$ CAPITAL]]&gt;0,FINANCIACION[[#This Row],[$ CAPITAL]])</f>
        <v>25648987.199999999</v>
      </c>
      <c r="J381" s="49">
        <f>+IF(FINANCIACION[[#This Row],[$ CAPITAL]]&gt;=0,FINANCIACION[[#This Row],[$ CAPITAL]]+FINANCIACION[[#This Row],[$ INTERESES]],0)</f>
        <v>25648987.199999999</v>
      </c>
    </row>
    <row r="382" spans="1:10" ht="24" hidden="1" customHeight="1" x14ac:dyDescent="0.25">
      <c r="A382" s="10">
        <v>44054</v>
      </c>
      <c r="B382" s="85" t="s">
        <v>454</v>
      </c>
      <c r="C382" s="7"/>
      <c r="D382" s="7">
        <v>353458</v>
      </c>
      <c r="E382" s="7">
        <f>+IF(FINANCIACION[[#This Row],[$ CAPITAL]]&gt;=0,FINANCIACION[[#This Row],[$ CAPITAL]]+FINANCIACION[[#This Row],[$ INTERESES]],"")</f>
        <v>353458</v>
      </c>
      <c r="F382" s="7">
        <f>+SUMIFS(FINANCIACION[$ CAPITAL],FINANCIACION[Fecha],"&lt;="&amp;FINANCIACION[[#This Row],[Fecha]],FINANCIACION[PRESTAMO],FINANCIACION[[#This Row],[PRESTAMO]])</f>
        <v>-50086225.485999987</v>
      </c>
      <c r="G382" s="11"/>
      <c r="H382" s="11"/>
      <c r="I382" s="7" t="b">
        <f>+IF(FINANCIACION[[#This Row],[$ CAPITAL]]&gt;0,FINANCIACION[[#This Row],[$ CAPITAL]])</f>
        <v>0</v>
      </c>
      <c r="J382" s="49">
        <f>+IF(FINANCIACION[[#This Row],[$ CAPITAL]]&gt;=0,FINANCIACION[[#This Row],[$ CAPITAL]]+FINANCIACION[[#This Row],[$ INTERESES]],0)</f>
        <v>353458</v>
      </c>
    </row>
    <row r="383" spans="1:10" ht="24" hidden="1" customHeight="1" x14ac:dyDescent="0.25">
      <c r="A383" s="10">
        <v>44056</v>
      </c>
      <c r="B383" s="85" t="s">
        <v>454</v>
      </c>
      <c r="C383" s="7"/>
      <c r="D383" s="7">
        <v>300148</v>
      </c>
      <c r="E383" s="7">
        <f>+IF(FINANCIACION[[#This Row],[$ CAPITAL]]&gt;=0,FINANCIACION[[#This Row],[$ CAPITAL]]+FINANCIACION[[#This Row],[$ INTERESES]],"")</f>
        <v>300148</v>
      </c>
      <c r="F383" s="7">
        <f>+SUMIFS(FINANCIACION[$ CAPITAL],FINANCIACION[Fecha],"&lt;="&amp;FINANCIACION[[#This Row],[Fecha]],FINANCIACION[PRESTAMO],FINANCIACION[[#This Row],[PRESTAMO]])</f>
        <v>-50086225.485999987</v>
      </c>
      <c r="G383" s="11"/>
      <c r="H383" s="11"/>
      <c r="I383" s="7" t="b">
        <f>+IF(FINANCIACION[[#This Row],[$ CAPITAL]]&gt;0,FINANCIACION[[#This Row],[$ CAPITAL]])</f>
        <v>0</v>
      </c>
      <c r="J383" s="49">
        <f>+IF(FINANCIACION[[#This Row],[$ CAPITAL]]&gt;=0,FINANCIACION[[#This Row],[$ CAPITAL]]+FINANCIACION[[#This Row],[$ INTERESES]],0)</f>
        <v>300148</v>
      </c>
    </row>
    <row r="384" spans="1:10" ht="24" hidden="1" customHeight="1" x14ac:dyDescent="0.25">
      <c r="A384" s="10">
        <v>44062</v>
      </c>
      <c r="B384" s="85" t="s">
        <v>454</v>
      </c>
      <c r="C384" s="7"/>
      <c r="D384" s="7">
        <v>206160</v>
      </c>
      <c r="E384" s="7">
        <f>+IF(FINANCIACION[[#This Row],[$ CAPITAL]]&gt;=0,FINANCIACION[[#This Row],[$ CAPITAL]]+FINANCIACION[[#This Row],[$ INTERESES]],"")</f>
        <v>206160</v>
      </c>
      <c r="F384" s="7">
        <f>+SUMIFS(FINANCIACION[$ CAPITAL],FINANCIACION[Fecha],"&lt;="&amp;FINANCIACION[[#This Row],[Fecha]],FINANCIACION[PRESTAMO],FINANCIACION[[#This Row],[PRESTAMO]])</f>
        <v>-50086225.485999987</v>
      </c>
      <c r="G384" s="11"/>
      <c r="H384" s="11"/>
      <c r="I384" s="7" t="b">
        <f>+IF(FINANCIACION[[#This Row],[$ CAPITAL]]&gt;0,FINANCIACION[[#This Row],[$ CAPITAL]])</f>
        <v>0</v>
      </c>
      <c r="J384" s="49">
        <f>+IF(FINANCIACION[[#This Row],[$ CAPITAL]]&gt;=0,FINANCIACION[[#This Row],[$ CAPITAL]]+FINANCIACION[[#This Row],[$ INTERESES]],0)</f>
        <v>206160</v>
      </c>
    </row>
    <row r="385" spans="1:10" ht="24" hidden="1" customHeight="1" x14ac:dyDescent="0.25">
      <c r="A385" s="10">
        <v>44063</v>
      </c>
      <c r="B385" s="85" t="s">
        <v>454</v>
      </c>
      <c r="C385" s="7">
        <v>20188800</v>
      </c>
      <c r="D385" s="7"/>
      <c r="E385" s="7">
        <f>+IF(FINANCIACION[[#This Row],[$ CAPITAL]]&gt;=0,FINANCIACION[[#This Row],[$ CAPITAL]]+FINANCIACION[[#This Row],[$ INTERESES]],"")</f>
        <v>20188800</v>
      </c>
      <c r="F385" s="7">
        <f>+SUMIFS(FINANCIACION[$ CAPITAL],FINANCIACION[Fecha],"&lt;="&amp;FINANCIACION[[#This Row],[Fecha]],FINANCIACION[PRESTAMO],FINANCIACION[[#This Row],[PRESTAMO]])</f>
        <v>-29897425.485999987</v>
      </c>
      <c r="G385" s="11"/>
      <c r="H385" s="11"/>
      <c r="I385" s="7">
        <f>+IF(FINANCIACION[[#This Row],[$ CAPITAL]]&gt;0,FINANCIACION[[#This Row],[$ CAPITAL]])</f>
        <v>20188800</v>
      </c>
      <c r="J385" s="49">
        <f>+IF(FINANCIACION[[#This Row],[$ CAPITAL]]&gt;=0,FINANCIACION[[#This Row],[$ CAPITAL]]+FINANCIACION[[#This Row],[$ INTERESES]],0)</f>
        <v>20188800</v>
      </c>
    </row>
    <row r="386" spans="1:10" ht="24" hidden="1" customHeight="1" x14ac:dyDescent="0.25">
      <c r="A386" s="10">
        <v>44063</v>
      </c>
      <c r="B386" s="85" t="s">
        <v>454</v>
      </c>
      <c r="C386" s="7"/>
      <c r="D386" s="7">
        <v>174701</v>
      </c>
      <c r="E386" s="7">
        <f>+IF(FINANCIACION[[#This Row],[$ CAPITAL]]&gt;=0,FINANCIACION[[#This Row],[$ CAPITAL]]+FINANCIACION[[#This Row],[$ INTERESES]],"")</f>
        <v>174701</v>
      </c>
      <c r="F386" s="7">
        <f>+SUMIFS(FINANCIACION[$ CAPITAL],FINANCIACION[Fecha],"&lt;="&amp;FINANCIACION[[#This Row],[Fecha]],FINANCIACION[PRESTAMO],FINANCIACION[[#This Row],[PRESTAMO]])</f>
        <v>-29897425.485999987</v>
      </c>
      <c r="G386" s="11"/>
      <c r="H386" s="11"/>
      <c r="I386" s="7" t="b">
        <f>+IF(FINANCIACION[[#This Row],[$ CAPITAL]]&gt;0,FINANCIACION[[#This Row],[$ CAPITAL]])</f>
        <v>0</v>
      </c>
      <c r="J386" s="49">
        <f>+IF(FINANCIACION[[#This Row],[$ CAPITAL]]&gt;=0,FINANCIACION[[#This Row],[$ CAPITAL]]+FINANCIACION[[#This Row],[$ INTERESES]],0)</f>
        <v>174701</v>
      </c>
    </row>
    <row r="387" spans="1:10" ht="24" hidden="1" customHeight="1" x14ac:dyDescent="0.25">
      <c r="A387" s="10">
        <v>44085</v>
      </c>
      <c r="B387" s="85" t="s">
        <v>454</v>
      </c>
      <c r="C387" s="7"/>
      <c r="D387" s="7">
        <v>346161</v>
      </c>
      <c r="E387" s="7">
        <f>+IF(FINANCIACION[[#This Row],[$ CAPITAL]]&gt;=0,FINANCIACION[[#This Row],[$ CAPITAL]]+FINANCIACION[[#This Row],[$ INTERESES]],"")</f>
        <v>346161</v>
      </c>
      <c r="F387" s="7">
        <f>+SUMIFS(FINANCIACION[$ CAPITAL],FINANCIACION[Fecha],"&lt;="&amp;FINANCIACION[[#This Row],[Fecha]],FINANCIACION[PRESTAMO],FINANCIACION[[#This Row],[PRESTAMO]])</f>
        <v>-29897425.485999987</v>
      </c>
      <c r="G387" s="11"/>
      <c r="H387" s="11"/>
      <c r="I387" s="7" t="b">
        <f>+IF(FINANCIACION[[#This Row],[$ CAPITAL]]&gt;0,FINANCIACION[[#This Row],[$ CAPITAL]])</f>
        <v>0</v>
      </c>
      <c r="J387" s="49">
        <f>+IF(FINANCIACION[[#This Row],[$ CAPITAL]]&gt;=0,FINANCIACION[[#This Row],[$ CAPITAL]]+FINANCIACION[[#This Row],[$ INTERESES]],0)</f>
        <v>346161</v>
      </c>
    </row>
    <row r="388" spans="1:10" ht="24" hidden="1" customHeight="1" x14ac:dyDescent="0.25">
      <c r="A388" s="10">
        <v>44088</v>
      </c>
      <c r="B388" s="85" t="s">
        <v>454</v>
      </c>
      <c r="C388" s="7"/>
      <c r="D388" s="7">
        <v>295792</v>
      </c>
      <c r="E388" s="7">
        <f>+IF(FINANCIACION[[#This Row],[$ CAPITAL]]&gt;=0,FINANCIACION[[#This Row],[$ CAPITAL]]+FINANCIACION[[#This Row],[$ INTERESES]],"")</f>
        <v>295792</v>
      </c>
      <c r="F388" s="7">
        <f>+SUMIFS(FINANCIACION[$ CAPITAL],FINANCIACION[Fecha],"&lt;="&amp;FINANCIACION[[#This Row],[Fecha]],FINANCIACION[PRESTAMO],FINANCIACION[[#This Row],[PRESTAMO]])</f>
        <v>-29897425.485999987</v>
      </c>
      <c r="G388" s="11"/>
      <c r="H388" s="11"/>
      <c r="I388" s="7" t="b">
        <f>+IF(FINANCIACION[[#This Row],[$ CAPITAL]]&gt;0,FINANCIACION[[#This Row],[$ CAPITAL]])</f>
        <v>0</v>
      </c>
      <c r="J388" s="49">
        <f>+IF(FINANCIACION[[#This Row],[$ CAPITAL]]&gt;=0,FINANCIACION[[#This Row],[$ CAPITAL]]+FINANCIACION[[#This Row],[$ INTERESES]],0)</f>
        <v>295792</v>
      </c>
    </row>
    <row r="389" spans="1:10" ht="24" hidden="1" customHeight="1" x14ac:dyDescent="0.25">
      <c r="A389" s="10">
        <v>44095</v>
      </c>
      <c r="B389" s="85" t="s">
        <v>454</v>
      </c>
      <c r="C389" s="7"/>
      <c r="D389" s="7">
        <v>202734</v>
      </c>
      <c r="E389" s="7">
        <f>+IF(FINANCIACION[[#This Row],[$ CAPITAL]]&gt;=0,FINANCIACION[[#This Row],[$ CAPITAL]]+FINANCIACION[[#This Row],[$ INTERESES]],"")</f>
        <v>202734</v>
      </c>
      <c r="F389" s="7">
        <f>+SUMIFS(FINANCIACION[$ CAPITAL],FINANCIACION[Fecha],"&lt;="&amp;FINANCIACION[[#This Row],[Fecha]],FINANCIACION[PRESTAMO],FINANCIACION[[#This Row],[PRESTAMO]])</f>
        <v>-29897425.485999987</v>
      </c>
      <c r="G389" s="11"/>
      <c r="H389" s="11"/>
      <c r="I389" s="7" t="b">
        <f>+IF(FINANCIACION[[#This Row],[$ CAPITAL]]&gt;0,FINANCIACION[[#This Row],[$ CAPITAL]])</f>
        <v>0</v>
      </c>
      <c r="J389" s="49">
        <f>+IF(FINANCIACION[[#This Row],[$ CAPITAL]]&gt;=0,FINANCIACION[[#This Row],[$ CAPITAL]]+FINANCIACION[[#This Row],[$ INTERESES]],0)</f>
        <v>202734</v>
      </c>
    </row>
    <row r="390" spans="1:10" ht="24" hidden="1" customHeight="1" x14ac:dyDescent="0.25">
      <c r="A390" s="10">
        <v>44104</v>
      </c>
      <c r="B390" s="85" t="s">
        <v>454</v>
      </c>
      <c r="C390" s="7">
        <v>-21432914.513999999</v>
      </c>
      <c r="D390" s="7"/>
      <c r="E390" s="7" t="str">
        <f>+IF(FINANCIACION[[#This Row],[$ CAPITAL]]&gt;=0,FINANCIACION[[#This Row],[$ CAPITAL]]+FINANCIACION[[#This Row],[$ INTERESES]],"")</f>
        <v/>
      </c>
      <c r="F390" s="7">
        <f>+SUMIFS(FINANCIACION[$ CAPITAL],FINANCIACION[Fecha],"&lt;="&amp;FINANCIACION[[#This Row],[Fecha]],FINANCIACION[PRESTAMO],FINANCIACION[[#This Row],[PRESTAMO]])</f>
        <v>-51330339.999999985</v>
      </c>
      <c r="G390" s="11"/>
      <c r="H390" s="90"/>
      <c r="I390" s="7" t="b">
        <f>+IF(FINANCIACION[[#This Row],[$ CAPITAL]]&gt;0,FINANCIACION[[#This Row],[$ CAPITAL]])</f>
        <v>0</v>
      </c>
      <c r="J390" s="49">
        <f>+IF(FINANCIACION[[#This Row],[$ CAPITAL]]&gt;=0,FINANCIACION[[#This Row],[$ CAPITAL]]+FINANCIACION[[#This Row],[$ INTERESES]],0)</f>
        <v>0</v>
      </c>
    </row>
    <row r="391" spans="1:10" ht="24" hidden="1" customHeight="1" x14ac:dyDescent="0.25">
      <c r="A391" s="10">
        <v>44109</v>
      </c>
      <c r="B391" s="85" t="s">
        <v>454</v>
      </c>
      <c r="C391" s="7">
        <v>46667880</v>
      </c>
      <c r="D391" s="7">
        <v>280538</v>
      </c>
      <c r="E391" s="7">
        <f>+IF(FINANCIACION[[#This Row],[$ CAPITAL]]&gt;=0,FINANCIACION[[#This Row],[$ CAPITAL]]+FINANCIACION[[#This Row],[$ INTERESES]],"")</f>
        <v>46948418</v>
      </c>
      <c r="F391" s="7">
        <f>+SUMIFS(FINANCIACION[$ CAPITAL],FINANCIACION[Fecha],"&lt;="&amp;FINANCIACION[[#This Row],[Fecha]],FINANCIACION[PRESTAMO],FINANCIACION[[#This Row],[PRESTAMO]])</f>
        <v>-4662459.9999999851</v>
      </c>
      <c r="G391" s="11"/>
      <c r="H391" s="11"/>
      <c r="I391" s="7">
        <f>+IF(FINANCIACION[[#This Row],[$ CAPITAL]]&gt;0,FINANCIACION[[#This Row],[$ CAPITAL]])</f>
        <v>46667880</v>
      </c>
      <c r="J391" s="49">
        <f>+IF(FINANCIACION[[#This Row],[$ CAPITAL]]&gt;=0,FINANCIACION[[#This Row],[$ CAPITAL]]+FINANCIACION[[#This Row],[$ INTERESES]],0)</f>
        <v>46948418</v>
      </c>
    </row>
    <row r="392" spans="1:10" ht="24" hidden="1" customHeight="1" x14ac:dyDescent="0.25">
      <c r="A392" s="10">
        <v>44110</v>
      </c>
      <c r="B392" s="85" t="s">
        <v>454</v>
      </c>
      <c r="C392" s="7">
        <v>-45278149.423499994</v>
      </c>
      <c r="D392" s="7"/>
      <c r="E392" s="7" t="str">
        <f>+IF(FINANCIACION[[#This Row],[$ CAPITAL]]&gt;=0,FINANCIACION[[#This Row],[$ CAPITAL]]+FINANCIACION[[#This Row],[$ INTERESES]],"")</f>
        <v/>
      </c>
      <c r="F392" s="7">
        <f>+SUMIFS(FINANCIACION[$ CAPITAL],FINANCIACION[Fecha],"&lt;="&amp;FINANCIACION[[#This Row],[Fecha]],FINANCIACION[PRESTAMO],FINANCIACION[[#This Row],[PRESTAMO]])</f>
        <v>-49940609.423499979</v>
      </c>
      <c r="G392" s="11"/>
      <c r="H392" s="90"/>
      <c r="I392" s="7" t="b">
        <f>+IF(FINANCIACION[[#This Row],[$ CAPITAL]]&gt;0,FINANCIACION[[#This Row],[$ CAPITAL]])</f>
        <v>0</v>
      </c>
      <c r="J392" s="49">
        <f>+IF(FINANCIACION[[#This Row],[$ CAPITAL]]&gt;=0,FINANCIACION[[#This Row],[$ CAPITAL]]+FINANCIACION[[#This Row],[$ INTERESES]],0)</f>
        <v>0</v>
      </c>
    </row>
    <row r="393" spans="1:10" ht="24" hidden="1" customHeight="1" x14ac:dyDescent="0.25">
      <c r="A393" s="10">
        <v>44117</v>
      </c>
      <c r="B393" s="85" t="s">
        <v>454</v>
      </c>
      <c r="C393" s="7"/>
      <c r="D393" s="7">
        <v>29028</v>
      </c>
      <c r="E393" s="7">
        <f>+IF(FINANCIACION[[#This Row],[$ CAPITAL]]&gt;=0,FINANCIACION[[#This Row],[$ CAPITAL]]+FINANCIACION[[#This Row],[$ INTERESES]],"")</f>
        <v>29028</v>
      </c>
      <c r="F393" s="7">
        <f>+SUMIFS(FINANCIACION[$ CAPITAL],FINANCIACION[Fecha],"&lt;="&amp;FINANCIACION[[#This Row],[Fecha]],FINANCIACION[PRESTAMO],FINANCIACION[[#This Row],[PRESTAMO]])</f>
        <v>-49940609.423499979</v>
      </c>
      <c r="G393" s="11"/>
      <c r="H393" s="11"/>
      <c r="I393" s="7" t="b">
        <f>+IF(FINANCIACION[[#This Row],[$ CAPITAL]]&gt;0,FINANCIACION[[#This Row],[$ CAPITAL]])</f>
        <v>0</v>
      </c>
      <c r="J393" s="49">
        <f>+IF(FINANCIACION[[#This Row],[$ CAPITAL]]&gt;=0,FINANCIACION[[#This Row],[$ CAPITAL]]+FINANCIACION[[#This Row],[$ INTERESES]],0)</f>
        <v>29028</v>
      </c>
    </row>
    <row r="394" spans="1:10" ht="24" hidden="1" customHeight="1" x14ac:dyDescent="0.25">
      <c r="A394" s="10">
        <v>44117</v>
      </c>
      <c r="B394" s="85" t="s">
        <v>454</v>
      </c>
      <c r="C394" s="7"/>
      <c r="D394" s="7">
        <v>95851</v>
      </c>
      <c r="E394" s="7">
        <f>+IF(FINANCIACION[[#This Row],[$ CAPITAL]]&gt;=0,FINANCIACION[[#This Row],[$ CAPITAL]]+FINANCIACION[[#This Row],[$ INTERESES]],"")</f>
        <v>95851</v>
      </c>
      <c r="F394" s="7">
        <f>+SUMIFS(FINANCIACION[$ CAPITAL],FINANCIACION[Fecha],"&lt;="&amp;FINANCIACION[[#This Row],[Fecha]],FINANCIACION[PRESTAMO],FINANCIACION[[#This Row],[PRESTAMO]])</f>
        <v>-49940609.423499979</v>
      </c>
      <c r="G394" s="11"/>
      <c r="H394" s="11"/>
      <c r="I394" s="7" t="b">
        <f>+IF(FINANCIACION[[#This Row],[$ CAPITAL]]&gt;0,FINANCIACION[[#This Row],[$ CAPITAL]])</f>
        <v>0</v>
      </c>
      <c r="J394" s="49">
        <f>+IF(FINANCIACION[[#This Row],[$ CAPITAL]]&gt;=0,FINANCIACION[[#This Row],[$ CAPITAL]]+FINANCIACION[[#This Row],[$ INTERESES]],0)</f>
        <v>95851</v>
      </c>
    </row>
    <row r="395" spans="1:10" ht="24" hidden="1" customHeight="1" x14ac:dyDescent="0.25">
      <c r="A395" s="10">
        <v>44123</v>
      </c>
      <c r="B395" s="85" t="s">
        <v>454</v>
      </c>
      <c r="C395" s="7"/>
      <c r="D395" s="7">
        <v>202286</v>
      </c>
      <c r="E395" s="7">
        <f>+IF(FINANCIACION[[#This Row],[$ CAPITAL]]&gt;=0,FINANCIACION[[#This Row],[$ CAPITAL]]+FINANCIACION[[#This Row],[$ INTERESES]],"")</f>
        <v>202286</v>
      </c>
      <c r="F395" s="7">
        <f>+SUMIFS(FINANCIACION[$ CAPITAL],FINANCIACION[Fecha],"&lt;="&amp;FINANCIACION[[#This Row],[Fecha]],FINANCIACION[PRESTAMO],FINANCIACION[[#This Row],[PRESTAMO]])</f>
        <v>-49940609.423499979</v>
      </c>
      <c r="G395" s="11"/>
      <c r="H395" s="11"/>
      <c r="I395" s="7" t="b">
        <f>+IF(FINANCIACION[[#This Row],[$ CAPITAL]]&gt;0,FINANCIACION[[#This Row],[$ CAPITAL]])</f>
        <v>0</v>
      </c>
      <c r="J395" s="49">
        <f>+IF(FINANCIACION[[#This Row],[$ CAPITAL]]&gt;=0,FINANCIACION[[#This Row],[$ CAPITAL]]+FINANCIACION[[#This Row],[$ INTERESES]],0)</f>
        <v>202286</v>
      </c>
    </row>
    <row r="396" spans="1:10" ht="24" hidden="1" customHeight="1" x14ac:dyDescent="0.25">
      <c r="A396" s="10">
        <v>44131</v>
      </c>
      <c r="B396" s="85" t="s">
        <v>454</v>
      </c>
      <c r="C396" s="7">
        <v>30808000</v>
      </c>
      <c r="D396" s="7"/>
      <c r="E396" s="7">
        <f>+IF(FINANCIACION[[#This Row],[$ CAPITAL]]&gt;=0,FINANCIACION[[#This Row],[$ CAPITAL]]+FINANCIACION[[#This Row],[$ INTERESES]],"")</f>
        <v>30808000</v>
      </c>
      <c r="F396" s="7">
        <f>+SUMIFS(FINANCIACION[$ CAPITAL],FINANCIACION[Fecha],"&lt;="&amp;FINANCIACION[[#This Row],[Fecha]],FINANCIACION[PRESTAMO],FINANCIACION[[#This Row],[PRESTAMO]])</f>
        <v>-19132609.423499979</v>
      </c>
      <c r="G396" s="11"/>
      <c r="H396" s="11"/>
      <c r="I396" s="7">
        <f>+IF(FINANCIACION[[#This Row],[$ CAPITAL]]&gt;0,FINANCIACION[[#This Row],[$ CAPITAL]])</f>
        <v>30808000</v>
      </c>
      <c r="J396" s="49">
        <f>+IF(FINANCIACION[[#This Row],[$ CAPITAL]]&gt;=0,FINANCIACION[[#This Row],[$ CAPITAL]]+FINANCIACION[[#This Row],[$ INTERESES]],0)</f>
        <v>30808000</v>
      </c>
    </row>
    <row r="397" spans="1:10" ht="24" hidden="1" customHeight="1" x14ac:dyDescent="0.25">
      <c r="A397" s="10">
        <v>44135</v>
      </c>
      <c r="B397" s="85" t="s">
        <v>454</v>
      </c>
      <c r="C397" s="7">
        <v>8650978.4235000014</v>
      </c>
      <c r="D397" s="7"/>
      <c r="E397" s="7">
        <f>+IF(FINANCIACION[[#This Row],[$ CAPITAL]]&gt;=0,FINANCIACION[[#This Row],[$ CAPITAL]]+FINANCIACION[[#This Row],[$ INTERESES]],"")</f>
        <v>8650978.4235000014</v>
      </c>
      <c r="F397" s="7">
        <f>+SUMIFS(FINANCIACION[$ CAPITAL],FINANCIACION[Fecha],"&lt;="&amp;FINANCIACION[[#This Row],[Fecha]],FINANCIACION[PRESTAMO],FINANCIACION[[#This Row],[PRESTAMO]])</f>
        <v>-10481630.999999978</v>
      </c>
      <c r="G397" s="11"/>
      <c r="H397" s="11"/>
      <c r="I397" s="7">
        <f>+IF(FINANCIACION[[#This Row],[$ CAPITAL]]&gt;0,FINANCIACION[[#This Row],[$ CAPITAL]])</f>
        <v>8650978.4235000014</v>
      </c>
      <c r="J397" s="49">
        <f>+IF(FINANCIACION[[#This Row],[$ CAPITAL]]&gt;=0,FINANCIACION[[#This Row],[$ CAPITAL]]+FINANCIACION[[#This Row],[$ INTERESES]],0)</f>
        <v>8650978.4235000014</v>
      </c>
    </row>
    <row r="398" spans="1:10" ht="24" hidden="1" customHeight="1" x14ac:dyDescent="0.25">
      <c r="A398" s="10">
        <v>44141</v>
      </c>
      <c r="B398" s="85" t="s">
        <v>454</v>
      </c>
      <c r="C398" s="7"/>
      <c r="D398" s="7">
        <v>239190</v>
      </c>
      <c r="E398" s="7">
        <f>+IF(FINANCIACION[[#This Row],[$ CAPITAL]]&gt;=0,FINANCIACION[[#This Row],[$ CAPITAL]]+FINANCIACION[[#This Row],[$ INTERESES]],"")</f>
        <v>239190</v>
      </c>
      <c r="F398" s="7">
        <f>+SUMIFS(FINANCIACION[$ CAPITAL],FINANCIACION[Fecha],"&lt;="&amp;FINANCIACION[[#This Row],[Fecha]],FINANCIACION[PRESTAMO],FINANCIACION[[#This Row],[PRESTAMO]])</f>
        <v>-10481630.999999978</v>
      </c>
      <c r="G398" s="11"/>
      <c r="H398" s="11"/>
      <c r="I398" s="7" t="b">
        <f>+IF(FINANCIACION[[#This Row],[$ CAPITAL]]&gt;0,FINANCIACION[[#This Row],[$ CAPITAL]])</f>
        <v>0</v>
      </c>
      <c r="J398" s="49">
        <f>+IF(FINANCIACION[[#This Row],[$ CAPITAL]]&gt;=0,FINANCIACION[[#This Row],[$ CAPITAL]]+FINANCIACION[[#This Row],[$ INTERESES]],0)</f>
        <v>239190</v>
      </c>
    </row>
    <row r="399" spans="1:10" ht="24" hidden="1" customHeight="1" x14ac:dyDescent="0.25">
      <c r="A399" s="10">
        <v>44141</v>
      </c>
      <c r="B399" s="85" t="s">
        <v>454</v>
      </c>
      <c r="C399" s="7"/>
      <c r="D399" s="7">
        <v>239190</v>
      </c>
      <c r="E399" s="7">
        <f>+IF(FINANCIACION[[#This Row],[$ CAPITAL]]&gt;=0,FINANCIACION[[#This Row],[$ CAPITAL]]+FINANCIACION[[#This Row],[$ INTERESES]],"")</f>
        <v>239190</v>
      </c>
      <c r="F399" s="7">
        <f>+SUMIFS(FINANCIACION[$ CAPITAL],FINANCIACION[Fecha],"&lt;="&amp;FINANCIACION[[#This Row],[Fecha]],FINANCIACION[PRESTAMO],FINANCIACION[[#This Row],[PRESTAMO]])</f>
        <v>-10481630.999999978</v>
      </c>
      <c r="G399" s="11"/>
      <c r="H399" s="11"/>
      <c r="I399" s="7" t="b">
        <f>+IF(FINANCIACION[[#This Row],[$ CAPITAL]]&gt;0,FINANCIACION[[#This Row],[$ CAPITAL]])</f>
        <v>0</v>
      </c>
      <c r="J399" s="49">
        <f>+IF(FINANCIACION[[#This Row],[$ CAPITAL]]&gt;=0,FINANCIACION[[#This Row],[$ CAPITAL]]+FINANCIACION[[#This Row],[$ INTERESES]],0)</f>
        <v>239190</v>
      </c>
    </row>
    <row r="400" spans="1:10" ht="24" hidden="1" customHeight="1" x14ac:dyDescent="0.25">
      <c r="A400" s="10">
        <v>44146</v>
      </c>
      <c r="B400" s="85" t="s">
        <v>454</v>
      </c>
      <c r="C400" s="7"/>
      <c r="D400" s="7">
        <v>78595</v>
      </c>
      <c r="E400" s="7">
        <f>+IF(FINANCIACION[[#This Row],[$ CAPITAL]]&gt;=0,FINANCIACION[[#This Row],[$ CAPITAL]]+FINANCIACION[[#This Row],[$ INTERESES]],"")</f>
        <v>78595</v>
      </c>
      <c r="F400" s="7">
        <f>+SUMIFS(FINANCIACION[$ CAPITAL],FINANCIACION[Fecha],"&lt;="&amp;FINANCIACION[[#This Row],[Fecha]],FINANCIACION[PRESTAMO],FINANCIACION[[#This Row],[PRESTAMO]])</f>
        <v>-10481630.999999978</v>
      </c>
      <c r="G400" s="11"/>
      <c r="H400" s="11"/>
      <c r="I400" s="7" t="b">
        <f>+IF(FINANCIACION[[#This Row],[$ CAPITAL]]&gt;0,FINANCIACION[[#This Row],[$ CAPITAL]])</f>
        <v>0</v>
      </c>
      <c r="J400" s="49">
        <f>+IF(FINANCIACION[[#This Row],[$ CAPITAL]]&gt;=0,FINANCIACION[[#This Row],[$ CAPITAL]]+FINANCIACION[[#This Row],[$ INTERESES]],0)</f>
        <v>78595</v>
      </c>
    </row>
    <row r="401" spans="1:10" ht="24" hidden="1" customHeight="1" x14ac:dyDescent="0.25">
      <c r="A401" s="10">
        <v>44146</v>
      </c>
      <c r="B401" s="85" t="s">
        <v>454</v>
      </c>
      <c r="C401" s="7"/>
      <c r="D401" s="7">
        <v>78595</v>
      </c>
      <c r="E401" s="7">
        <f>+IF(FINANCIACION[[#This Row],[$ CAPITAL]]&gt;=0,FINANCIACION[[#This Row],[$ CAPITAL]]+FINANCIACION[[#This Row],[$ INTERESES]],"")</f>
        <v>78595</v>
      </c>
      <c r="F401" s="7">
        <f>+SUMIFS(FINANCIACION[$ CAPITAL],FINANCIACION[Fecha],"&lt;="&amp;FINANCIACION[[#This Row],[Fecha]],FINANCIACION[PRESTAMO],FINANCIACION[[#This Row],[PRESTAMO]])</f>
        <v>-10481630.999999978</v>
      </c>
      <c r="G401" s="11"/>
      <c r="H401" s="11"/>
      <c r="I401" s="7" t="b">
        <f>+IF(FINANCIACION[[#This Row],[$ CAPITAL]]&gt;0,FINANCIACION[[#This Row],[$ CAPITAL]])</f>
        <v>0</v>
      </c>
      <c r="J401" s="49">
        <f>+IF(FINANCIACION[[#This Row],[$ CAPITAL]]&gt;=0,FINANCIACION[[#This Row],[$ CAPITAL]]+FINANCIACION[[#This Row],[$ INTERESES]],0)</f>
        <v>78595</v>
      </c>
    </row>
    <row r="402" spans="1:10" ht="24" hidden="1" customHeight="1" x14ac:dyDescent="0.25">
      <c r="A402" s="10">
        <v>44148</v>
      </c>
      <c r="B402" s="85" t="s">
        <v>454</v>
      </c>
      <c r="C402" s="7"/>
      <c r="D402" s="7">
        <v>290129</v>
      </c>
      <c r="E402" s="7">
        <f>+IF(FINANCIACION[[#This Row],[$ CAPITAL]]&gt;=0,FINANCIACION[[#This Row],[$ CAPITAL]]+FINANCIACION[[#This Row],[$ INTERESES]],"")</f>
        <v>290129</v>
      </c>
      <c r="F402" s="7">
        <f>+SUMIFS(FINANCIACION[$ CAPITAL],FINANCIACION[Fecha],"&lt;="&amp;FINANCIACION[[#This Row],[Fecha]],FINANCIACION[PRESTAMO],FINANCIACION[[#This Row],[PRESTAMO]])</f>
        <v>-10481630.999999978</v>
      </c>
      <c r="G402" s="11"/>
      <c r="H402" s="11"/>
      <c r="I402" s="7" t="b">
        <f>+IF(FINANCIACION[[#This Row],[$ CAPITAL]]&gt;0,FINANCIACION[[#This Row],[$ CAPITAL]])</f>
        <v>0</v>
      </c>
      <c r="J402" s="49">
        <f>+IF(FINANCIACION[[#This Row],[$ CAPITAL]]&gt;=0,FINANCIACION[[#This Row],[$ CAPITAL]]+FINANCIACION[[#This Row],[$ INTERESES]],0)</f>
        <v>290129</v>
      </c>
    </row>
    <row r="403" spans="1:10" ht="24" hidden="1" customHeight="1" x14ac:dyDescent="0.25">
      <c r="A403" s="10">
        <v>44148</v>
      </c>
      <c r="B403" s="85" t="s">
        <v>454</v>
      </c>
      <c r="C403" s="7"/>
      <c r="D403" s="7">
        <v>290129</v>
      </c>
      <c r="E403" s="7">
        <f>+IF(FINANCIACION[[#This Row],[$ CAPITAL]]&gt;=0,FINANCIACION[[#This Row],[$ CAPITAL]]+FINANCIACION[[#This Row],[$ INTERESES]],"")</f>
        <v>290129</v>
      </c>
      <c r="F403" s="7">
        <f>+SUMIFS(FINANCIACION[$ CAPITAL],FINANCIACION[Fecha],"&lt;="&amp;FINANCIACION[[#This Row],[Fecha]],FINANCIACION[PRESTAMO],FINANCIACION[[#This Row],[PRESTAMO]])</f>
        <v>-10481630.999999978</v>
      </c>
      <c r="G403" s="11"/>
      <c r="H403" s="11"/>
      <c r="I403" s="7" t="b">
        <f>+IF(FINANCIACION[[#This Row],[$ CAPITAL]]&gt;0,FINANCIACION[[#This Row],[$ CAPITAL]])</f>
        <v>0</v>
      </c>
      <c r="J403" s="49">
        <f>+IF(FINANCIACION[[#This Row],[$ CAPITAL]]&gt;=0,FINANCIACION[[#This Row],[$ CAPITAL]]+FINANCIACION[[#This Row],[$ INTERESES]],0)</f>
        <v>290129</v>
      </c>
    </row>
    <row r="404" spans="1:10" ht="24" hidden="1" customHeight="1" x14ac:dyDescent="0.25">
      <c r="A404" s="10">
        <v>44154</v>
      </c>
      <c r="B404" s="85" t="s">
        <v>454</v>
      </c>
      <c r="C404" s="7"/>
      <c r="D404" s="7">
        <v>197889</v>
      </c>
      <c r="E404" s="7">
        <f>+IF(FINANCIACION[[#This Row],[$ CAPITAL]]&gt;=0,FINANCIACION[[#This Row],[$ CAPITAL]]+FINANCIACION[[#This Row],[$ INTERESES]],"")</f>
        <v>197889</v>
      </c>
      <c r="F404" s="7">
        <f>+SUMIFS(FINANCIACION[$ CAPITAL],FINANCIACION[Fecha],"&lt;="&amp;FINANCIACION[[#This Row],[Fecha]],FINANCIACION[PRESTAMO],FINANCIACION[[#This Row],[PRESTAMO]])</f>
        <v>-10481630.999999978</v>
      </c>
      <c r="G404" s="11"/>
      <c r="H404" s="11"/>
      <c r="I404" s="7" t="b">
        <f>+IF(FINANCIACION[[#This Row],[$ CAPITAL]]&gt;0,FINANCIACION[[#This Row],[$ CAPITAL]])</f>
        <v>0</v>
      </c>
      <c r="J404" s="49">
        <f>+IF(FINANCIACION[[#This Row],[$ CAPITAL]]&gt;=0,FINANCIACION[[#This Row],[$ CAPITAL]]+FINANCIACION[[#This Row],[$ INTERESES]],0)</f>
        <v>197889</v>
      </c>
    </row>
    <row r="405" spans="1:10" ht="24" hidden="1" customHeight="1" x14ac:dyDescent="0.25">
      <c r="A405" s="10">
        <v>44154</v>
      </c>
      <c r="B405" s="85" t="s">
        <v>454</v>
      </c>
      <c r="C405" s="7"/>
      <c r="D405" s="7">
        <v>197889</v>
      </c>
      <c r="E405" s="7">
        <f>+IF(FINANCIACION[[#This Row],[$ CAPITAL]]&gt;=0,FINANCIACION[[#This Row],[$ CAPITAL]]+FINANCIACION[[#This Row],[$ INTERESES]],"")</f>
        <v>197889</v>
      </c>
      <c r="F405" s="7">
        <f>+SUMIFS(FINANCIACION[$ CAPITAL],FINANCIACION[Fecha],"&lt;="&amp;FINANCIACION[[#This Row],[Fecha]],FINANCIACION[PRESTAMO],FINANCIACION[[#This Row],[PRESTAMO]])</f>
        <v>-10481630.999999978</v>
      </c>
      <c r="G405" s="11"/>
      <c r="H405" s="11"/>
      <c r="I405" s="7" t="b">
        <f>+IF(FINANCIACION[[#This Row],[$ CAPITAL]]&gt;0,FINANCIACION[[#This Row],[$ CAPITAL]])</f>
        <v>0</v>
      </c>
      <c r="J405" s="49">
        <f>+IF(FINANCIACION[[#This Row],[$ CAPITAL]]&gt;=0,FINANCIACION[[#This Row],[$ CAPITAL]]+FINANCIACION[[#This Row],[$ INTERESES]],0)</f>
        <v>197889</v>
      </c>
    </row>
    <row r="406" spans="1:10" ht="24" hidden="1" customHeight="1" x14ac:dyDescent="0.25">
      <c r="A406" s="10">
        <v>44165</v>
      </c>
      <c r="B406" s="85" t="s">
        <v>454</v>
      </c>
      <c r="C406" s="7">
        <v>10481631.000000015</v>
      </c>
      <c r="D406" s="7"/>
      <c r="E406" s="7">
        <f>+IF(FINANCIACION[[#This Row],[$ CAPITAL]]&gt;=0,FINANCIACION[[#This Row],[$ CAPITAL]]+FINANCIACION[[#This Row],[$ INTERESES]],"")</f>
        <v>10481631.000000015</v>
      </c>
      <c r="F406" s="7">
        <f>+SUMIFS(FINANCIACION[$ CAPITAL],FINANCIACION[Fecha],"&lt;="&amp;FINANCIACION[[#This Row],[Fecha]],FINANCIACION[PRESTAMO],FINANCIACION[[#This Row],[PRESTAMO]])</f>
        <v>3.7252902984619141E-8</v>
      </c>
      <c r="G406" s="11"/>
      <c r="H406" s="11"/>
      <c r="I406" s="7">
        <f>+IF(FINANCIACION[[#This Row],[$ CAPITAL]]&gt;0,FINANCIACION[[#This Row],[$ CAPITAL]])</f>
        <v>10481631.000000015</v>
      </c>
      <c r="J406" s="49">
        <f>+IF(FINANCIACION[[#This Row],[$ CAPITAL]]&gt;=0,FINANCIACION[[#This Row],[$ CAPITAL]]+FINANCIACION[[#This Row],[$ INTERESES]],0)</f>
        <v>10481631.000000015</v>
      </c>
    </row>
    <row r="407" spans="1:10" ht="24" hidden="1" customHeight="1" x14ac:dyDescent="0.25">
      <c r="A407" s="10">
        <v>44166</v>
      </c>
      <c r="B407" s="85" t="s">
        <v>454</v>
      </c>
      <c r="C407" s="7"/>
      <c r="D407" s="7">
        <v>75464</v>
      </c>
      <c r="E407" s="7">
        <f>+IF(FINANCIACION[[#This Row],[$ CAPITAL]]&gt;=0,FINANCIACION[[#This Row],[$ CAPITAL]]+FINANCIACION[[#This Row],[$ INTERESES]],"")</f>
        <v>75464</v>
      </c>
      <c r="F407" s="7">
        <f>+SUMIFS(FINANCIACION[$ CAPITAL],FINANCIACION[Fecha],"&lt;="&amp;FINANCIACION[[#This Row],[Fecha]],FINANCIACION[PRESTAMO],FINANCIACION[[#This Row],[PRESTAMO]])</f>
        <v>3.7252902984619141E-8</v>
      </c>
      <c r="G407" s="11"/>
      <c r="H407" s="11"/>
      <c r="I407" s="7" t="b">
        <f>+IF(FINANCIACION[[#This Row],[$ CAPITAL]]&gt;0,FINANCIACION[[#This Row],[$ CAPITAL]])</f>
        <v>0</v>
      </c>
      <c r="J407" s="49">
        <f>+IF(FINANCIACION[[#This Row],[$ CAPITAL]]&gt;=0,FINANCIACION[[#This Row],[$ CAPITAL]]+FINANCIACION[[#This Row],[$ INTERESES]],0)</f>
        <v>75464</v>
      </c>
    </row>
    <row r="408" spans="1:10" ht="24" hidden="1" customHeight="1" x14ac:dyDescent="0.25">
      <c r="A408" s="10">
        <v>44172</v>
      </c>
      <c r="B408" s="85" t="s">
        <v>454</v>
      </c>
      <c r="C408" s="7"/>
      <c r="D408" s="7">
        <v>212903</v>
      </c>
      <c r="E408" s="7">
        <f>+IF(FINANCIACION[[#This Row],[$ CAPITAL]]&gt;=0,FINANCIACION[[#This Row],[$ CAPITAL]]+FINANCIACION[[#This Row],[$ INTERESES]],"")</f>
        <v>212903</v>
      </c>
      <c r="F408" s="7">
        <f>+SUMIFS(FINANCIACION[$ CAPITAL],FINANCIACION[Fecha],"&lt;="&amp;FINANCIACION[[#This Row],[Fecha]],FINANCIACION[PRESTAMO],FINANCIACION[[#This Row],[PRESTAMO]])</f>
        <v>3.7252902984619141E-8</v>
      </c>
      <c r="G408" s="11"/>
      <c r="H408" s="11"/>
      <c r="I408" s="7" t="b">
        <f>+IF(FINANCIACION[[#This Row],[$ CAPITAL]]&gt;0,FINANCIACION[[#This Row],[$ CAPITAL]])</f>
        <v>0</v>
      </c>
      <c r="J408" s="49">
        <f>+IF(FINANCIACION[[#This Row],[$ CAPITAL]]&gt;=0,FINANCIACION[[#This Row],[$ CAPITAL]]+FINANCIACION[[#This Row],[$ INTERESES]],0)</f>
        <v>212903</v>
      </c>
    </row>
    <row r="409" spans="1:10" ht="24" hidden="1" customHeight="1" x14ac:dyDescent="0.25">
      <c r="A409" s="10">
        <v>44176</v>
      </c>
      <c r="B409" s="85" t="s">
        <v>454</v>
      </c>
      <c r="C409" s="7"/>
      <c r="D409" s="7">
        <v>9587</v>
      </c>
      <c r="E409" s="7">
        <f>+IF(FINANCIACION[[#This Row],[$ CAPITAL]]&gt;=0,FINANCIACION[[#This Row],[$ CAPITAL]]+FINANCIACION[[#This Row],[$ INTERESES]],"")</f>
        <v>9587</v>
      </c>
      <c r="F409" s="7">
        <f>+SUMIFS(FINANCIACION[$ CAPITAL],FINANCIACION[Fecha],"&lt;="&amp;FINANCIACION[[#This Row],[Fecha]],FINANCIACION[PRESTAMO],FINANCIACION[[#This Row],[PRESTAMO]])</f>
        <v>3.7252902984619141E-8</v>
      </c>
      <c r="G409" s="11"/>
      <c r="H409" s="11"/>
      <c r="I409" s="7" t="b">
        <f>+IF(FINANCIACION[[#This Row],[$ CAPITAL]]&gt;0,FINANCIACION[[#This Row],[$ CAPITAL]])</f>
        <v>0</v>
      </c>
      <c r="J409" s="49">
        <f>+IF(FINANCIACION[[#This Row],[$ CAPITAL]]&gt;=0,FINANCIACION[[#This Row],[$ CAPITAL]]+FINANCIACION[[#This Row],[$ INTERESES]],0)</f>
        <v>9587</v>
      </c>
    </row>
    <row r="410" spans="1:10" ht="24" hidden="1" customHeight="1" x14ac:dyDescent="0.25">
      <c r="A410" s="10">
        <v>44179</v>
      </c>
      <c r="B410" s="85" t="s">
        <v>454</v>
      </c>
      <c r="C410" s="7"/>
      <c r="D410" s="7">
        <v>99604</v>
      </c>
      <c r="E410" s="7">
        <f>+IF(FINANCIACION[[#This Row],[$ CAPITAL]]&gt;=0,FINANCIACION[[#This Row],[$ CAPITAL]]+FINANCIACION[[#This Row],[$ INTERESES]],"")</f>
        <v>99604</v>
      </c>
      <c r="F410" s="7">
        <f>+SUMIFS(FINANCIACION[$ CAPITAL],FINANCIACION[Fecha],"&lt;="&amp;FINANCIACION[[#This Row],[Fecha]],FINANCIACION[PRESTAMO],FINANCIACION[[#This Row],[PRESTAMO]])</f>
        <v>3.7252902984619141E-8</v>
      </c>
      <c r="G410" s="11"/>
      <c r="H410" s="11"/>
      <c r="I410" s="7" t="b">
        <f>+IF(FINANCIACION[[#This Row],[$ CAPITAL]]&gt;0,FINANCIACION[[#This Row],[$ CAPITAL]])</f>
        <v>0</v>
      </c>
      <c r="J410" s="49">
        <f>+IF(FINANCIACION[[#This Row],[$ CAPITAL]]&gt;=0,FINANCIACION[[#This Row],[$ CAPITAL]]+FINANCIACION[[#This Row],[$ INTERESES]],0)</f>
        <v>99604</v>
      </c>
    </row>
    <row r="411" spans="1:10" ht="24" hidden="1" customHeight="1" x14ac:dyDescent="0.25">
      <c r="A411" s="10">
        <v>44200</v>
      </c>
      <c r="B411" s="85" t="s">
        <v>454</v>
      </c>
      <c r="C411" s="7"/>
      <c r="D411" s="7">
        <v>384542</v>
      </c>
      <c r="E411" s="7">
        <f>+IF(FINANCIACION[[#This Row],[$ CAPITAL]]&gt;=0,FINANCIACION[[#This Row],[$ CAPITAL]]+FINANCIACION[[#This Row],[$ INTERESES]],"")</f>
        <v>384542</v>
      </c>
      <c r="F411" s="7">
        <f>+SUMIFS(FINANCIACION[$ CAPITAL],FINANCIACION[Fecha],"&lt;="&amp;FINANCIACION[[#This Row],[Fecha]],FINANCIACION[PRESTAMO],FINANCIACION[[#This Row],[PRESTAMO]])</f>
        <v>3.7252902984619141E-8</v>
      </c>
      <c r="G411" s="11"/>
      <c r="H411" s="11"/>
      <c r="I411" s="7" t="b">
        <f>+IF(FINANCIACION[[#This Row],[$ CAPITAL]]&gt;0,FINANCIACION[[#This Row],[$ CAPITAL]])</f>
        <v>0</v>
      </c>
      <c r="J411" s="49">
        <f>+IF(FINANCIACION[[#This Row],[$ CAPITAL]]&gt;=0,FINANCIACION[[#This Row],[$ CAPITAL]]+FINANCIACION[[#This Row],[$ INTERESES]],0)</f>
        <v>384542</v>
      </c>
    </row>
    <row r="412" spans="1:10" ht="24" hidden="1" customHeight="1" x14ac:dyDescent="0.25">
      <c r="A412" s="10">
        <v>44202</v>
      </c>
      <c r="B412" s="85" t="s">
        <v>454</v>
      </c>
      <c r="C412" s="7"/>
      <c r="D412" s="7">
        <v>219743</v>
      </c>
      <c r="E412" s="7">
        <f>+IF(FINANCIACION[[#This Row],[$ CAPITAL]]&gt;=0,FINANCIACION[[#This Row],[$ CAPITAL]]+FINANCIACION[[#This Row],[$ INTERESES]],"")</f>
        <v>219743</v>
      </c>
      <c r="F412" s="7">
        <f>+SUMIFS(FINANCIACION[$ CAPITAL],FINANCIACION[Fecha],"&lt;="&amp;FINANCIACION[[#This Row],[Fecha]],FINANCIACION[PRESTAMO],FINANCIACION[[#This Row],[PRESTAMO]])</f>
        <v>3.7252902984619141E-8</v>
      </c>
      <c r="G412" s="11"/>
      <c r="H412" s="11"/>
      <c r="I412" s="7" t="b">
        <f>+IF(FINANCIACION[[#This Row],[$ CAPITAL]]&gt;0,FINANCIACION[[#This Row],[$ CAPITAL]])</f>
        <v>0</v>
      </c>
      <c r="J412" s="49">
        <f>+IF(FINANCIACION[[#This Row],[$ CAPITAL]]&gt;=0,FINANCIACION[[#This Row],[$ CAPITAL]]+FINANCIACION[[#This Row],[$ INTERESES]],0)</f>
        <v>219743</v>
      </c>
    </row>
    <row r="413" spans="1:10" ht="24" hidden="1" customHeight="1" x14ac:dyDescent="0.25">
      <c r="A413" s="10">
        <v>44209</v>
      </c>
      <c r="B413" s="85" t="s">
        <v>454</v>
      </c>
      <c r="C413" s="7"/>
      <c r="D413" s="7">
        <v>262306</v>
      </c>
      <c r="E413" s="7">
        <f>+IF(FINANCIACION[[#This Row],[$ CAPITAL]]&gt;=0,FINANCIACION[[#This Row],[$ CAPITAL]]+FINANCIACION[[#This Row],[$ INTERESES]],"")</f>
        <v>262306</v>
      </c>
      <c r="F413" s="7">
        <f>+SUMIFS(FINANCIACION[$ CAPITAL],FINANCIACION[Fecha],"&lt;="&amp;FINANCIACION[[#This Row],[Fecha]],FINANCIACION[PRESTAMO],FINANCIACION[[#This Row],[PRESTAMO]])</f>
        <v>3.7252902984619141E-8</v>
      </c>
      <c r="G413" s="11"/>
      <c r="H413" s="11"/>
      <c r="I413" s="7" t="b">
        <f>+IF(FINANCIACION[[#This Row],[$ CAPITAL]]&gt;0,FINANCIACION[[#This Row],[$ CAPITAL]])</f>
        <v>0</v>
      </c>
      <c r="J413" s="49">
        <f>+IF(FINANCIACION[[#This Row],[$ CAPITAL]]&gt;=0,FINANCIACION[[#This Row],[$ CAPITAL]]+FINANCIACION[[#This Row],[$ INTERESES]],0)</f>
        <v>262306</v>
      </c>
    </row>
    <row r="414" spans="1:10" ht="24" hidden="1" customHeight="1" x14ac:dyDescent="0.25">
      <c r="A414" s="10">
        <v>44229</v>
      </c>
      <c r="B414" s="85" t="s">
        <v>454</v>
      </c>
      <c r="C414" s="7"/>
      <c r="D414" s="95">
        <v>398339</v>
      </c>
      <c r="E414" s="7">
        <f>+IF(FINANCIACION[[#This Row],[$ CAPITAL]]&gt;=0,FINANCIACION[[#This Row],[$ CAPITAL]]+FINANCIACION[[#This Row],[$ INTERESES]],"")</f>
        <v>398339</v>
      </c>
      <c r="F414" s="7">
        <f>+SUMIFS(FINANCIACION[$ CAPITAL],FINANCIACION[Fecha],"&lt;="&amp;FINANCIACION[[#This Row],[Fecha]],FINANCIACION[PRESTAMO],FINANCIACION[[#This Row],[PRESTAMO]])</f>
        <v>3.7252902984619141E-8</v>
      </c>
      <c r="G414" s="11"/>
      <c r="H414" s="91"/>
      <c r="I414" s="7" t="b">
        <f>+IF(FINANCIACION[[#This Row],[$ CAPITAL]]&gt;0,FINANCIACION[[#This Row],[$ CAPITAL]])</f>
        <v>0</v>
      </c>
      <c r="J414" s="12">
        <f>+IF(FINANCIACION[[#This Row],[$ CAPITAL]]&gt;=0,FINANCIACION[[#This Row],[$ CAPITAL]]+FINANCIACION[[#This Row],[$ INTERESES]],0)</f>
        <v>398339</v>
      </c>
    </row>
    <row r="415" spans="1:10" ht="24" hidden="1" customHeight="1" x14ac:dyDescent="0.25">
      <c r="A415" s="10">
        <v>44235</v>
      </c>
      <c r="B415" s="85" t="s">
        <v>454</v>
      </c>
      <c r="C415" s="7"/>
      <c r="D415" s="95">
        <v>224927</v>
      </c>
      <c r="E415" s="7">
        <f>+IF(FINANCIACION[[#This Row],[$ CAPITAL]]&gt;=0,FINANCIACION[[#This Row],[$ CAPITAL]]+FINANCIACION[[#This Row],[$ INTERESES]],"")</f>
        <v>224927</v>
      </c>
      <c r="F415" s="7">
        <f>+SUMIFS(FINANCIACION[$ CAPITAL],FINANCIACION[Fecha],"&lt;="&amp;FINANCIACION[[#This Row],[Fecha]],FINANCIACION[PRESTAMO],FINANCIACION[[#This Row],[PRESTAMO]])</f>
        <v>3.7252902984619141E-8</v>
      </c>
      <c r="G415" s="11"/>
      <c r="H415" s="91"/>
      <c r="I415" s="7" t="b">
        <f>+IF(FINANCIACION[[#This Row],[$ CAPITAL]]&gt;0,FINANCIACION[[#This Row],[$ CAPITAL]])</f>
        <v>0</v>
      </c>
      <c r="J415" s="12">
        <f>+IF(FINANCIACION[[#This Row],[$ CAPITAL]]&gt;=0,FINANCIACION[[#This Row],[$ CAPITAL]]+FINANCIACION[[#This Row],[$ INTERESES]],0)</f>
        <v>224927</v>
      </c>
    </row>
    <row r="416" spans="1:10" ht="24" hidden="1" customHeight="1" x14ac:dyDescent="0.25">
      <c r="A416" s="10">
        <v>44242</v>
      </c>
      <c r="B416" s="85" t="s">
        <v>454</v>
      </c>
      <c r="C416" s="7"/>
      <c r="D416" s="7">
        <v>263005</v>
      </c>
      <c r="E416" s="7">
        <f>+IF(FINANCIACION[[#This Row],[$ CAPITAL]]&gt;=0,FINANCIACION[[#This Row],[$ CAPITAL]]+FINANCIACION[[#This Row],[$ INTERESES]],"")</f>
        <v>263005</v>
      </c>
      <c r="F416" s="7">
        <f>+SUMIFS(FINANCIACION[$ CAPITAL],FINANCIACION[Fecha],"&lt;="&amp;FINANCIACION[[#This Row],[Fecha]],FINANCIACION[PRESTAMO],FINANCIACION[[#This Row],[PRESTAMO]])</f>
        <v>3.7252902984619141E-8</v>
      </c>
      <c r="G416" s="11"/>
      <c r="H416" s="91"/>
      <c r="I416" s="7" t="b">
        <f>+IF(FINANCIACION[[#This Row],[$ CAPITAL]]&gt;0,FINANCIACION[[#This Row],[$ CAPITAL]])</f>
        <v>0</v>
      </c>
      <c r="J416" s="12">
        <f>+IF(FINANCIACION[[#This Row],[$ CAPITAL]]&gt;=0,FINANCIACION[[#This Row],[$ CAPITAL]]+FINANCIACION[[#This Row],[$ INTERESES]],0)</f>
        <v>263005</v>
      </c>
    </row>
    <row r="417" spans="1:10" ht="24" hidden="1" customHeight="1" x14ac:dyDescent="0.25">
      <c r="A417" s="10">
        <v>44257</v>
      </c>
      <c r="B417" s="85" t="s">
        <v>454</v>
      </c>
      <c r="C417" s="7"/>
      <c r="D417" s="7">
        <v>363866</v>
      </c>
      <c r="E417" s="7">
        <f>+IF(FINANCIACION[[#This Row],[$ CAPITAL]]&gt;=0,FINANCIACION[[#This Row],[$ CAPITAL]]+FINANCIACION[[#This Row],[$ INTERESES]],"")</f>
        <v>363866</v>
      </c>
      <c r="F417" s="7">
        <f>+SUMIFS(FINANCIACION[$ CAPITAL],FINANCIACION[Fecha],"&lt;="&amp;FINANCIACION[[#This Row],[Fecha]],FINANCIACION[PRESTAMO],FINANCIACION[[#This Row],[PRESTAMO]])</f>
        <v>3.7252902984619141E-8</v>
      </c>
      <c r="G417" s="11"/>
      <c r="H417" s="91"/>
      <c r="I417" s="7" t="b">
        <f>+IF(FINANCIACION[[#This Row],[$ CAPITAL]]&gt;0,FINANCIACION[[#This Row],[$ CAPITAL]])</f>
        <v>0</v>
      </c>
      <c r="J417" s="12">
        <f>+IF(FINANCIACION[[#This Row],[$ CAPITAL]]&gt;=0,FINANCIACION[[#This Row],[$ CAPITAL]]+FINANCIACION[[#This Row],[$ INTERESES]],0)</f>
        <v>363866</v>
      </c>
    </row>
    <row r="418" spans="1:10" ht="24" hidden="1" customHeight="1" x14ac:dyDescent="0.25">
      <c r="A418" s="10">
        <v>44263</v>
      </c>
      <c r="B418" s="85" t="s">
        <v>454</v>
      </c>
      <c r="C418" s="7"/>
      <c r="D418" s="7">
        <v>208292</v>
      </c>
      <c r="E418" s="7">
        <f>+IF(FINANCIACION[[#This Row],[$ CAPITAL]]&gt;=0,FINANCIACION[[#This Row],[$ CAPITAL]]+FINANCIACION[[#This Row],[$ INTERESES]],"")</f>
        <v>208292</v>
      </c>
      <c r="F418" s="7">
        <f>+SUMIFS(FINANCIACION[$ CAPITAL],FINANCIACION[Fecha],"&lt;="&amp;FINANCIACION[[#This Row],[Fecha]],FINANCIACION[PRESTAMO],FINANCIACION[[#This Row],[PRESTAMO]])</f>
        <v>3.7252902984619141E-8</v>
      </c>
      <c r="G418" s="11"/>
      <c r="H418" s="91"/>
      <c r="I418" s="7" t="b">
        <f>+IF(FINANCIACION[[#This Row],[$ CAPITAL]]&gt;0,FINANCIACION[[#This Row],[$ CAPITAL]])</f>
        <v>0</v>
      </c>
      <c r="J418" s="12">
        <f>+IF(FINANCIACION[[#This Row],[$ CAPITAL]]&gt;=0,FINANCIACION[[#This Row],[$ CAPITAL]]+FINANCIACION[[#This Row],[$ INTERESES]],0)</f>
        <v>208292</v>
      </c>
    </row>
    <row r="419" spans="1:10" ht="24" hidden="1" customHeight="1" x14ac:dyDescent="0.25">
      <c r="A419" s="10">
        <v>44270</v>
      </c>
      <c r="B419" s="85" t="s">
        <v>454</v>
      </c>
      <c r="C419" s="7"/>
      <c r="D419" s="7">
        <v>208547</v>
      </c>
      <c r="E419" s="7">
        <f>+IF(FINANCIACION[[#This Row],[$ CAPITAL]]&gt;=0,FINANCIACION[[#This Row],[$ CAPITAL]]+FINANCIACION[[#This Row],[$ INTERESES]],"")</f>
        <v>208547</v>
      </c>
      <c r="F419" s="7">
        <f>+SUMIFS(FINANCIACION[$ CAPITAL],FINANCIACION[Fecha],"&lt;="&amp;FINANCIACION[[#This Row],[Fecha]],FINANCIACION[PRESTAMO],FINANCIACION[[#This Row],[PRESTAMO]])</f>
        <v>3.7252902984619141E-8</v>
      </c>
      <c r="G419" s="11"/>
      <c r="H419" s="91"/>
      <c r="I419" s="7" t="b">
        <f>+IF(FINANCIACION[[#This Row],[$ CAPITAL]]&gt;0,FINANCIACION[[#This Row],[$ CAPITAL]])</f>
        <v>0</v>
      </c>
      <c r="J419" s="12">
        <f>+IF(FINANCIACION[[#This Row],[$ CAPITAL]]&gt;=0,FINANCIACION[[#This Row],[$ CAPITAL]]+FINANCIACION[[#This Row],[$ INTERESES]],0)</f>
        <v>208547</v>
      </c>
    </row>
    <row r="420" spans="1:10" ht="24" hidden="1" customHeight="1" x14ac:dyDescent="0.25">
      <c r="A420" s="10">
        <v>44278</v>
      </c>
      <c r="B420" s="85" t="s">
        <v>454</v>
      </c>
      <c r="C420" s="7"/>
      <c r="D420" s="7">
        <v>56284</v>
      </c>
      <c r="E420" s="7">
        <f>+IF(FINANCIACION[[#This Row],[$ CAPITAL]]&gt;=0,FINANCIACION[[#This Row],[$ CAPITAL]]+FINANCIACION[[#This Row],[$ INTERESES]],"")</f>
        <v>56284</v>
      </c>
      <c r="F420" s="7">
        <f>+SUMIFS(FINANCIACION[$ CAPITAL],FINANCIACION[Fecha],"&lt;="&amp;FINANCIACION[[#This Row],[Fecha]],FINANCIACION[PRESTAMO],FINANCIACION[[#This Row],[PRESTAMO]])</f>
        <v>3.7252902984619141E-8</v>
      </c>
      <c r="G420" s="11"/>
      <c r="H420" s="91"/>
      <c r="I420" s="7" t="b">
        <f>+IF(FINANCIACION[[#This Row],[$ CAPITAL]]&gt;0,FINANCIACION[[#This Row],[$ CAPITAL]])</f>
        <v>0</v>
      </c>
      <c r="J420" s="12">
        <f>+IF(FINANCIACION[[#This Row],[$ CAPITAL]]&gt;=0,FINANCIACION[[#This Row],[$ CAPITAL]]+FINANCIACION[[#This Row],[$ INTERESES]],0)</f>
        <v>56284</v>
      </c>
    </row>
    <row r="421" spans="1:10" ht="24" hidden="1" customHeight="1" x14ac:dyDescent="0.25">
      <c r="A421" s="10">
        <v>44319</v>
      </c>
      <c r="B421" s="85" t="s">
        <v>454</v>
      </c>
      <c r="C421" s="7"/>
      <c r="D421" s="7">
        <v>402214</v>
      </c>
      <c r="E421" s="7">
        <f>+IF(FINANCIACION[[#This Row],[$ CAPITAL]]&gt;=0,FINANCIACION[[#This Row],[$ CAPITAL]]+FINANCIACION[[#This Row],[$ INTERESES]],"")</f>
        <v>402214</v>
      </c>
      <c r="F421" s="7">
        <f>+SUMIFS(FINANCIACION[$ CAPITAL],FINANCIACION[Fecha],"&lt;="&amp;FINANCIACION[[#This Row],[Fecha]],FINANCIACION[PRESTAMO],FINANCIACION[[#This Row],[PRESTAMO]])</f>
        <v>3.7252902984619141E-8</v>
      </c>
      <c r="G421" s="91"/>
      <c r="H421" s="11"/>
      <c r="I421" s="7" t="b">
        <f>+IF(FINANCIACION[[#This Row],[$ CAPITAL]]&gt;0,FINANCIACION[[#This Row],[$ CAPITAL]])</f>
        <v>0</v>
      </c>
      <c r="J421" s="49">
        <f>+IF(FINANCIACION[[#This Row],[$ CAPITAL]]&gt;=0,FINANCIACION[[#This Row],[$ CAPITAL]]+FINANCIACION[[#This Row],[$ INTERESES]],0)</f>
        <v>402214</v>
      </c>
    </row>
    <row r="422" spans="1:10" ht="24" hidden="1" customHeight="1" x14ac:dyDescent="0.25">
      <c r="A422" s="10">
        <v>44322</v>
      </c>
      <c r="B422" s="85" t="s">
        <v>454</v>
      </c>
      <c r="C422" s="7"/>
      <c r="D422" s="7">
        <v>228545</v>
      </c>
      <c r="E422" s="7">
        <f>+IF(FINANCIACION[[#This Row],[$ CAPITAL]]&gt;=0,FINANCIACION[[#This Row],[$ CAPITAL]]+FINANCIACION[[#This Row],[$ INTERESES]],"")</f>
        <v>228545</v>
      </c>
      <c r="F422" s="7">
        <f>+SUMIFS(FINANCIACION[$ CAPITAL],FINANCIACION[Fecha],"&lt;="&amp;FINANCIACION[[#This Row],[Fecha]],FINANCIACION[PRESTAMO],FINANCIACION[[#This Row],[PRESTAMO]])</f>
        <v>3.7252902984619141E-8</v>
      </c>
      <c r="G422" s="91"/>
      <c r="H422" s="11"/>
      <c r="I422" s="7" t="b">
        <f>+IF(FINANCIACION[[#This Row],[$ CAPITAL]]&gt;0,FINANCIACION[[#This Row],[$ CAPITAL]])</f>
        <v>0</v>
      </c>
      <c r="J422" s="49">
        <f>+IF(FINANCIACION[[#This Row],[$ CAPITAL]]&gt;=0,FINANCIACION[[#This Row],[$ CAPITAL]]+FINANCIACION[[#This Row],[$ INTERESES]],0)</f>
        <v>228545</v>
      </c>
    </row>
    <row r="423" spans="1:10" ht="24" hidden="1" customHeight="1" x14ac:dyDescent="0.25">
      <c r="A423" s="10">
        <v>44347</v>
      </c>
      <c r="B423" s="85" t="s">
        <v>454</v>
      </c>
      <c r="C423" s="7"/>
      <c r="D423" s="7">
        <v>288863</v>
      </c>
      <c r="E423" s="7">
        <f>+IF(FINANCIACION[[#This Row],[$ CAPITAL]]&gt;=0,FINANCIACION[[#This Row],[$ CAPITAL]]+FINANCIACION[[#This Row],[$ INTERESES]],"")</f>
        <v>288863</v>
      </c>
      <c r="F423" s="7">
        <f>+SUMIFS(FINANCIACION[$ CAPITAL],FINANCIACION[Fecha],"&lt;="&amp;FINANCIACION[[#This Row],[Fecha]],FINANCIACION[PRESTAMO],FINANCIACION[[#This Row],[PRESTAMO]])</f>
        <v>3.7252902984619141E-8</v>
      </c>
      <c r="G423" s="91"/>
      <c r="H423" s="11"/>
      <c r="I423" s="7" t="b">
        <f>+IF(FINANCIACION[[#This Row],[$ CAPITAL]]&gt;0,FINANCIACION[[#This Row],[$ CAPITAL]])</f>
        <v>0</v>
      </c>
      <c r="J423" s="49">
        <f>+IF(FINANCIACION[[#This Row],[$ CAPITAL]]&gt;=0,FINANCIACION[[#This Row],[$ CAPITAL]]+FINANCIACION[[#This Row],[$ INTERESES]],0)</f>
        <v>288863</v>
      </c>
    </row>
    <row r="424" spans="1:10" ht="24" hidden="1" customHeight="1" x14ac:dyDescent="0.25">
      <c r="A424" s="10">
        <v>44349</v>
      </c>
      <c r="B424" s="85" t="s">
        <v>454</v>
      </c>
      <c r="C424" s="7"/>
      <c r="D424" s="7">
        <v>407633</v>
      </c>
      <c r="E424" s="7">
        <f>+IF(FINANCIACION[[#This Row],[$ CAPITAL]]&gt;=0,FINANCIACION[[#This Row],[$ CAPITAL]]+FINANCIACION[[#This Row],[$ INTERESES]],"")</f>
        <v>407633</v>
      </c>
      <c r="F424" s="7">
        <f>+SUMIFS(FINANCIACION[$ CAPITAL],FINANCIACION[Fecha],"&lt;="&amp;FINANCIACION[[#This Row],[Fecha]],FINANCIACION[PRESTAMO],FINANCIACION[[#This Row],[PRESTAMO]])</f>
        <v>3.7252902984619141E-8</v>
      </c>
      <c r="G424" s="91"/>
      <c r="H424" s="11"/>
      <c r="I424" s="7" t="b">
        <f>+IF(FINANCIACION[[#This Row],[$ CAPITAL]]&gt;0,FINANCIACION[[#This Row],[$ CAPITAL]])</f>
        <v>0</v>
      </c>
      <c r="J424" s="49">
        <f>+IF(FINANCIACION[[#This Row],[$ CAPITAL]]&gt;=0,FINANCIACION[[#This Row],[$ CAPITAL]]+FINANCIACION[[#This Row],[$ INTERESES]],0)</f>
        <v>407633</v>
      </c>
    </row>
    <row r="425" spans="1:10" ht="24" hidden="1" customHeight="1" x14ac:dyDescent="0.25">
      <c r="A425" s="10">
        <v>44377</v>
      </c>
      <c r="B425" s="85" t="s">
        <v>454</v>
      </c>
      <c r="C425" s="7"/>
      <c r="D425" s="7">
        <v>300834</v>
      </c>
      <c r="E425" s="7">
        <f>+IF(FINANCIACION[[#This Row],[$ CAPITAL]]&gt;=0,FINANCIACION[[#This Row],[$ CAPITAL]]+FINANCIACION[[#This Row],[$ INTERESES]],"")</f>
        <v>300834</v>
      </c>
      <c r="F425" s="7">
        <f>+SUMIFS(FINANCIACION[$ CAPITAL],FINANCIACION[Fecha],"&lt;="&amp;FINANCIACION[[#This Row],[Fecha]],FINANCIACION[PRESTAMO],FINANCIACION[[#This Row],[PRESTAMO]])</f>
        <v>3.7252902984619141E-8</v>
      </c>
      <c r="G425" s="91"/>
      <c r="H425" s="11"/>
      <c r="I425" s="7" t="b">
        <f>+IF(FINANCIACION[[#This Row],[$ CAPITAL]]&gt;0,FINANCIACION[[#This Row],[$ CAPITAL]])</f>
        <v>0</v>
      </c>
      <c r="J425" s="49">
        <f>+IF(FINANCIACION[[#This Row],[$ CAPITAL]]&gt;=0,FINANCIACION[[#This Row],[$ CAPITAL]]+FINANCIACION[[#This Row],[$ INTERESES]],0)</f>
        <v>300834</v>
      </c>
    </row>
    <row r="426" spans="1:10" ht="24" hidden="1" customHeight="1" x14ac:dyDescent="0.25">
      <c r="A426" s="10">
        <v>44379</v>
      </c>
      <c r="B426" s="85" t="s">
        <v>454</v>
      </c>
      <c r="C426" s="7"/>
      <c r="D426" s="7">
        <v>403943</v>
      </c>
      <c r="E426" s="7">
        <f>+IF(FINANCIACION[[#This Row],[$ CAPITAL]]&gt;=0,FINANCIACION[[#This Row],[$ CAPITAL]]+FINANCIACION[[#This Row],[$ INTERESES]],"")</f>
        <v>403943</v>
      </c>
      <c r="F426" s="7">
        <f>+SUMIFS(FINANCIACION[$ CAPITAL],FINANCIACION[Fecha],"&lt;="&amp;FINANCIACION[[#This Row],[Fecha]],FINANCIACION[PRESTAMO],FINANCIACION[[#This Row],[PRESTAMO]])</f>
        <v>3.7252902984619141E-8</v>
      </c>
      <c r="G426" s="91"/>
      <c r="H426" s="11"/>
      <c r="I426" s="7" t="b">
        <f>+IF(FINANCIACION[[#This Row],[$ CAPITAL]]&gt;0,FINANCIACION[[#This Row],[$ CAPITAL]])</f>
        <v>0</v>
      </c>
      <c r="J426" s="49">
        <f>+IF(FINANCIACION[[#This Row],[$ CAPITAL]]&gt;=0,FINANCIACION[[#This Row],[$ CAPITAL]]+FINANCIACION[[#This Row],[$ INTERESES]],0)</f>
        <v>403943</v>
      </c>
    </row>
    <row r="427" spans="1:10" ht="24" hidden="1" customHeight="1" x14ac:dyDescent="0.25">
      <c r="A427" s="10">
        <v>44383</v>
      </c>
      <c r="B427" s="85" t="s">
        <v>454</v>
      </c>
      <c r="C427" s="7"/>
      <c r="D427" s="7">
        <v>24438</v>
      </c>
      <c r="E427" s="7">
        <f>+IF(FINANCIACION[[#This Row],[$ CAPITAL]]&gt;=0,FINANCIACION[[#This Row],[$ CAPITAL]]+FINANCIACION[[#This Row],[$ INTERESES]],"")</f>
        <v>24438</v>
      </c>
      <c r="F427" s="7">
        <f>+SUMIFS(FINANCIACION[$ CAPITAL],FINANCIACION[Fecha],"&lt;="&amp;FINANCIACION[[#This Row],[Fecha]],FINANCIACION[PRESTAMO],FINANCIACION[[#This Row],[PRESTAMO]])</f>
        <v>3.7252902984619141E-8</v>
      </c>
      <c r="G427" s="91"/>
      <c r="H427" s="11"/>
      <c r="I427" s="7" t="b">
        <f>+IF(FINANCIACION[[#This Row],[$ CAPITAL]]&gt;0,FINANCIACION[[#This Row],[$ CAPITAL]])</f>
        <v>0</v>
      </c>
      <c r="J427" s="49">
        <f>+IF(FINANCIACION[[#This Row],[$ CAPITAL]]&gt;=0,FINANCIACION[[#This Row],[$ CAPITAL]]+FINANCIACION[[#This Row],[$ INTERESES]],0)</f>
        <v>24438</v>
      </c>
    </row>
    <row r="428" spans="1:10" ht="24" hidden="1" customHeight="1" x14ac:dyDescent="0.25">
      <c r="A428" s="10">
        <v>44407</v>
      </c>
      <c r="B428" s="85" t="s">
        <v>454</v>
      </c>
      <c r="C428" s="7"/>
      <c r="D428" s="7">
        <v>132451</v>
      </c>
      <c r="E428" s="7">
        <f>+IF(FINANCIACION[[#This Row],[$ CAPITAL]]&gt;=0,FINANCIACION[[#This Row],[$ CAPITAL]]+FINANCIACION[[#This Row],[$ INTERESES]],"")</f>
        <v>132451</v>
      </c>
      <c r="F428" s="7">
        <f>+SUMIFS(FINANCIACION[$ CAPITAL],FINANCIACION[Fecha],"&lt;="&amp;FINANCIACION[[#This Row],[Fecha]],FINANCIACION[PRESTAMO],FINANCIACION[[#This Row],[PRESTAMO]])</f>
        <v>3.7252902984619141E-8</v>
      </c>
      <c r="G428" s="91"/>
      <c r="H428" s="11"/>
      <c r="I428" s="7" t="b">
        <f>+IF(FINANCIACION[[#This Row],[$ CAPITAL]]&gt;0,FINANCIACION[[#This Row],[$ CAPITAL]])</f>
        <v>0</v>
      </c>
      <c r="J428" s="49">
        <f>+IF(FINANCIACION[[#This Row],[$ CAPITAL]]&gt;=0,FINANCIACION[[#This Row],[$ CAPITAL]]+FINANCIACION[[#This Row],[$ INTERESES]],0)</f>
        <v>132451</v>
      </c>
    </row>
    <row r="429" spans="1:10" ht="24" hidden="1" customHeight="1" x14ac:dyDescent="0.25">
      <c r="A429" s="10">
        <v>44407</v>
      </c>
      <c r="B429" s="85" t="s">
        <v>454</v>
      </c>
      <c r="C429" s="7"/>
      <c r="D429" s="7">
        <v>298015</v>
      </c>
      <c r="E429" s="7">
        <f>+IF(FINANCIACION[[#This Row],[$ CAPITAL]]&gt;=0,FINANCIACION[[#This Row],[$ CAPITAL]]+FINANCIACION[[#This Row],[$ INTERESES]],"")</f>
        <v>298015</v>
      </c>
      <c r="F429" s="7">
        <f>+SUMIFS(FINANCIACION[$ CAPITAL],FINANCIACION[Fecha],"&lt;="&amp;FINANCIACION[[#This Row],[Fecha]],FINANCIACION[PRESTAMO],FINANCIACION[[#This Row],[PRESTAMO]])</f>
        <v>3.7252902984619141E-8</v>
      </c>
      <c r="G429" s="91"/>
      <c r="H429" s="11"/>
      <c r="I429" s="7" t="b">
        <f>+IF(FINANCIACION[[#This Row],[$ CAPITAL]]&gt;0,FINANCIACION[[#This Row],[$ CAPITAL]])</f>
        <v>0</v>
      </c>
      <c r="J429" s="49">
        <f>+IF(FINANCIACION[[#This Row],[$ CAPITAL]]&gt;=0,FINANCIACION[[#This Row],[$ CAPITAL]]+FINANCIACION[[#This Row],[$ INTERESES]],0)</f>
        <v>298015</v>
      </c>
    </row>
    <row r="430" spans="1:10" ht="24" hidden="1" customHeight="1" x14ac:dyDescent="0.25">
      <c r="A430" s="10">
        <v>44408</v>
      </c>
      <c r="B430" s="85" t="s">
        <v>454</v>
      </c>
      <c r="C430" s="7"/>
      <c r="D430" s="7">
        <v>24438</v>
      </c>
      <c r="E430" s="7">
        <f>+IF(FINANCIACION[[#This Row],[$ CAPITAL]]&gt;=0,FINANCIACION[[#This Row],[$ CAPITAL]]+FINANCIACION[[#This Row],[$ INTERESES]],"")</f>
        <v>24438</v>
      </c>
      <c r="F430" s="7">
        <f>+SUMIFS(FINANCIACION[$ CAPITAL],FINANCIACION[Fecha],"&lt;="&amp;FINANCIACION[[#This Row],[Fecha]],FINANCIACION[PRESTAMO],FINANCIACION[[#This Row],[PRESTAMO]])</f>
        <v>3.7252902984619141E-8</v>
      </c>
      <c r="G430" s="91"/>
      <c r="H430" s="11"/>
      <c r="I430" s="7" t="b">
        <f>+IF(FINANCIACION[[#This Row],[$ CAPITAL]]&gt;0,FINANCIACION[[#This Row],[$ CAPITAL]])</f>
        <v>0</v>
      </c>
      <c r="J430" s="49">
        <f>+IF(FINANCIACION[[#This Row],[$ CAPITAL]]&gt;=0,FINANCIACION[[#This Row],[$ CAPITAL]]+FINANCIACION[[#This Row],[$ INTERESES]],0)</f>
        <v>24438</v>
      </c>
    </row>
    <row r="431" spans="1:10" ht="24" hidden="1" customHeight="1" x14ac:dyDescent="0.25">
      <c r="A431" s="10">
        <v>44408</v>
      </c>
      <c r="B431" s="85" t="s">
        <v>454</v>
      </c>
      <c r="C431" s="7"/>
      <c r="D431" s="7">
        <v>132451</v>
      </c>
      <c r="E431" s="7">
        <f>+IF(FINANCIACION[[#This Row],[$ CAPITAL]]&gt;=0,FINANCIACION[[#This Row],[$ CAPITAL]]+FINANCIACION[[#This Row],[$ INTERESES]],"")</f>
        <v>132451</v>
      </c>
      <c r="F431" s="7">
        <f>+SUMIFS(FINANCIACION[$ CAPITAL],FINANCIACION[Fecha],"&lt;="&amp;FINANCIACION[[#This Row],[Fecha]],FINANCIACION[PRESTAMO],FINANCIACION[[#This Row],[PRESTAMO]])</f>
        <v>3.7252902984619141E-8</v>
      </c>
      <c r="G431" s="91"/>
      <c r="H431" s="11"/>
      <c r="I431" s="7" t="b">
        <f>+IF(FINANCIACION[[#This Row],[$ CAPITAL]]&gt;0,FINANCIACION[[#This Row],[$ CAPITAL]])</f>
        <v>0</v>
      </c>
      <c r="J431" s="49">
        <f>+IF(FINANCIACION[[#This Row],[$ CAPITAL]]&gt;=0,FINANCIACION[[#This Row],[$ CAPITAL]]+FINANCIACION[[#This Row],[$ INTERESES]],0)</f>
        <v>132451</v>
      </c>
    </row>
    <row r="432" spans="1:10" ht="24" hidden="1" customHeight="1" x14ac:dyDescent="0.25">
      <c r="A432" s="10">
        <v>44408</v>
      </c>
      <c r="B432" s="85" t="s">
        <v>454</v>
      </c>
      <c r="C432" s="7"/>
      <c r="D432" s="7">
        <v>298015</v>
      </c>
      <c r="E432" s="7">
        <f>+IF(FINANCIACION[[#This Row],[$ CAPITAL]]&gt;=0,FINANCIACION[[#This Row],[$ CAPITAL]]+FINANCIACION[[#This Row],[$ INTERESES]],"")</f>
        <v>298015</v>
      </c>
      <c r="F432" s="7">
        <f>+SUMIFS(FINANCIACION[$ CAPITAL],FINANCIACION[Fecha],"&lt;="&amp;FINANCIACION[[#This Row],[Fecha]],FINANCIACION[PRESTAMO],FINANCIACION[[#This Row],[PRESTAMO]])</f>
        <v>3.7252902984619141E-8</v>
      </c>
      <c r="G432" s="91"/>
      <c r="H432" s="11"/>
      <c r="I432" s="7" t="b">
        <f>+IF(FINANCIACION[[#This Row],[$ CAPITAL]]&gt;0,FINANCIACION[[#This Row],[$ CAPITAL]])</f>
        <v>0</v>
      </c>
      <c r="J432" s="49">
        <f>+IF(FINANCIACION[[#This Row],[$ CAPITAL]]&gt;=0,FINANCIACION[[#This Row],[$ CAPITAL]]+FINANCIACION[[#This Row],[$ INTERESES]],0)</f>
        <v>298015</v>
      </c>
    </row>
    <row r="433" spans="1:10" ht="24" hidden="1" customHeight="1" x14ac:dyDescent="0.25">
      <c r="A433" s="10">
        <v>44408</v>
      </c>
      <c r="B433" s="85" t="s">
        <v>454</v>
      </c>
      <c r="C433" s="7"/>
      <c r="D433" s="7">
        <v>403943</v>
      </c>
      <c r="E433" s="7">
        <f>+IF(FINANCIACION[[#This Row],[$ CAPITAL]]&gt;=0,FINANCIACION[[#This Row],[$ CAPITAL]]+FINANCIACION[[#This Row],[$ INTERESES]],"")</f>
        <v>403943</v>
      </c>
      <c r="F433" s="7">
        <f>+SUMIFS(FINANCIACION[$ CAPITAL],FINANCIACION[Fecha],"&lt;="&amp;FINANCIACION[[#This Row],[Fecha]],FINANCIACION[PRESTAMO],FINANCIACION[[#This Row],[PRESTAMO]])</f>
        <v>3.7252902984619141E-8</v>
      </c>
      <c r="G433" s="91"/>
      <c r="H433" s="11"/>
      <c r="I433" s="7" t="b">
        <f>+IF(FINANCIACION[[#This Row],[$ CAPITAL]]&gt;0,FINANCIACION[[#This Row],[$ CAPITAL]])</f>
        <v>0</v>
      </c>
      <c r="J433" s="49">
        <f>+IF(FINANCIACION[[#This Row],[$ CAPITAL]]&gt;=0,FINANCIACION[[#This Row],[$ CAPITAL]]+FINANCIACION[[#This Row],[$ INTERESES]],0)</f>
        <v>403943</v>
      </c>
    </row>
    <row r="434" spans="1:10" ht="24" hidden="1" customHeight="1" x14ac:dyDescent="0.25">
      <c r="A434" s="10">
        <v>44410</v>
      </c>
      <c r="B434" s="85" t="s">
        <v>454</v>
      </c>
      <c r="C434" s="7"/>
      <c r="D434" s="7">
        <v>429102</v>
      </c>
      <c r="E434" s="7">
        <f>+IF(FINANCIACION[[#This Row],[$ CAPITAL]]&gt;=0,FINANCIACION[[#This Row],[$ CAPITAL]]+FINANCIACION[[#This Row],[$ INTERESES]],"")</f>
        <v>429102</v>
      </c>
      <c r="F434" s="7">
        <f>+SUMIFS(FINANCIACION[$ CAPITAL],FINANCIACION[Fecha],"&lt;="&amp;FINANCIACION[[#This Row],[Fecha]],FINANCIACION[PRESTAMO],FINANCIACION[[#This Row],[PRESTAMO]])</f>
        <v>3.7252902984619141E-8</v>
      </c>
      <c r="G434" s="91"/>
      <c r="H434" s="11"/>
      <c r="I434" s="7" t="b">
        <f>+IF(FINANCIACION[[#This Row],[$ CAPITAL]]&gt;0,FINANCIACION[[#This Row],[$ CAPITAL]])</f>
        <v>0</v>
      </c>
      <c r="J434" s="49">
        <f>+IF(FINANCIACION[[#This Row],[$ CAPITAL]]&gt;=0,FINANCIACION[[#This Row],[$ CAPITAL]]+FINANCIACION[[#This Row],[$ INTERESES]],0)</f>
        <v>429102</v>
      </c>
    </row>
    <row r="435" spans="1:10" ht="24" hidden="1" customHeight="1" x14ac:dyDescent="0.25">
      <c r="A435" s="10">
        <v>44414</v>
      </c>
      <c r="B435" s="85" t="s">
        <v>454</v>
      </c>
      <c r="C435" s="7"/>
      <c r="D435" s="7">
        <v>112514</v>
      </c>
      <c r="E435" s="7">
        <f>+IF(FINANCIACION[[#This Row],[$ CAPITAL]]&gt;=0,FINANCIACION[[#This Row],[$ CAPITAL]]+FINANCIACION[[#This Row],[$ INTERESES]],"")</f>
        <v>112514</v>
      </c>
      <c r="F435" s="7">
        <f>+SUMIFS(FINANCIACION[$ CAPITAL],FINANCIACION[Fecha],"&lt;="&amp;FINANCIACION[[#This Row],[Fecha]],FINANCIACION[PRESTAMO],FINANCIACION[[#This Row],[PRESTAMO]])</f>
        <v>3.7252902984619141E-8</v>
      </c>
      <c r="G435" s="91"/>
      <c r="H435" s="11"/>
      <c r="I435" s="7" t="b">
        <f>+IF(FINANCIACION[[#This Row],[$ CAPITAL]]&gt;0,FINANCIACION[[#This Row],[$ CAPITAL]])</f>
        <v>0</v>
      </c>
      <c r="J435" s="49">
        <f>+IF(FINANCIACION[[#This Row],[$ CAPITAL]]&gt;=0,FINANCIACION[[#This Row],[$ CAPITAL]]+FINANCIACION[[#This Row],[$ INTERESES]],0)</f>
        <v>112514</v>
      </c>
    </row>
    <row r="436" spans="1:10" ht="24" hidden="1" customHeight="1" x14ac:dyDescent="0.25">
      <c r="A436" s="10">
        <v>44438</v>
      </c>
      <c r="B436" s="85" t="s">
        <v>454</v>
      </c>
      <c r="C436" s="7"/>
      <c r="D436" s="7">
        <v>307228</v>
      </c>
      <c r="E436" s="7">
        <f>+IF(FINANCIACION[[#This Row],[$ CAPITAL]]&gt;=0,FINANCIACION[[#This Row],[$ CAPITAL]]+FINANCIACION[[#This Row],[$ INTERESES]],"")</f>
        <v>307228</v>
      </c>
      <c r="F436" s="7">
        <f>+SUMIFS(FINANCIACION[$ CAPITAL],FINANCIACION[Fecha],"&lt;="&amp;FINANCIACION[[#This Row],[Fecha]],FINANCIACION[PRESTAMO],FINANCIACION[[#This Row],[PRESTAMO]])</f>
        <v>3.7252902984619141E-8</v>
      </c>
      <c r="G436" s="91"/>
      <c r="H436" s="11"/>
      <c r="I436" s="7" t="b">
        <f>+IF(FINANCIACION[[#This Row],[$ CAPITAL]]&gt;0,FINANCIACION[[#This Row],[$ CAPITAL]])</f>
        <v>0</v>
      </c>
      <c r="J436" s="49">
        <f>+IF(FINANCIACION[[#This Row],[$ CAPITAL]]&gt;=0,FINANCIACION[[#This Row],[$ CAPITAL]]+FINANCIACION[[#This Row],[$ INTERESES]],0)</f>
        <v>307228</v>
      </c>
    </row>
    <row r="437" spans="1:10" ht="24" hidden="1" customHeight="1" x14ac:dyDescent="0.25">
      <c r="A437" s="10">
        <v>44438</v>
      </c>
      <c r="B437" s="85" t="s">
        <v>454</v>
      </c>
      <c r="C437" s="7"/>
      <c r="D437" s="7">
        <v>136610</v>
      </c>
      <c r="E437" s="7">
        <f>+IF(FINANCIACION[[#This Row],[$ CAPITAL]]&gt;=0,FINANCIACION[[#This Row],[$ CAPITAL]]+FINANCIACION[[#This Row],[$ INTERESES]],"")</f>
        <v>136610</v>
      </c>
      <c r="F437" s="7">
        <f>+SUMIFS(FINANCIACION[$ CAPITAL],FINANCIACION[Fecha],"&lt;="&amp;FINANCIACION[[#This Row],[Fecha]],FINANCIACION[PRESTAMO],FINANCIACION[[#This Row],[PRESTAMO]])</f>
        <v>3.7252902984619141E-8</v>
      </c>
      <c r="G437" s="91"/>
      <c r="H437" s="11"/>
      <c r="I437" s="7" t="b">
        <f>+IF(FINANCIACION[[#This Row],[$ CAPITAL]]&gt;0,FINANCIACION[[#This Row],[$ CAPITAL]])</f>
        <v>0</v>
      </c>
      <c r="J437" s="49">
        <f>+IF(FINANCIACION[[#This Row],[$ CAPITAL]]&gt;=0,FINANCIACION[[#This Row],[$ CAPITAL]]+FINANCIACION[[#This Row],[$ INTERESES]],0)</f>
        <v>136610</v>
      </c>
    </row>
    <row r="438" spans="1:10" ht="24" hidden="1" customHeight="1" x14ac:dyDescent="0.25">
      <c r="A438" s="10">
        <v>44441</v>
      </c>
      <c r="B438" s="85" t="s">
        <v>454</v>
      </c>
      <c r="C438" s="7"/>
      <c r="D438" s="7">
        <v>415302</v>
      </c>
      <c r="E438" s="7">
        <f>+IF(FINANCIACION[[#This Row],[$ CAPITAL]]&gt;=0,FINANCIACION[[#This Row],[$ CAPITAL]]+FINANCIACION[[#This Row],[$ INTERESES]],"")</f>
        <v>415302</v>
      </c>
      <c r="F438" s="7">
        <f>+SUMIFS(FINANCIACION[$ CAPITAL],FINANCIACION[Fecha],"&lt;="&amp;FINANCIACION[[#This Row],[Fecha]],FINANCIACION[PRESTAMO],FINANCIACION[[#This Row],[PRESTAMO]])</f>
        <v>3.7252902984619141E-8</v>
      </c>
      <c r="G438" s="91"/>
      <c r="H438" s="11"/>
      <c r="I438" s="7" t="b">
        <f>+IF(FINANCIACION[[#This Row],[$ CAPITAL]]&gt;0,FINANCIACION[[#This Row],[$ CAPITAL]])</f>
        <v>0</v>
      </c>
      <c r="J438" s="49">
        <f>+IF(FINANCIACION[[#This Row],[$ CAPITAL]]&gt;=0,FINANCIACION[[#This Row],[$ CAPITAL]]+FINANCIACION[[#This Row],[$ INTERESES]],0)</f>
        <v>415302</v>
      </c>
    </row>
    <row r="439" spans="1:10" ht="24" hidden="1" customHeight="1" x14ac:dyDescent="0.25">
      <c r="A439" s="10">
        <v>44445</v>
      </c>
      <c r="B439" s="85" t="s">
        <v>454</v>
      </c>
      <c r="C439" s="7"/>
      <c r="D439" s="7">
        <v>108925</v>
      </c>
      <c r="E439" s="7">
        <f>+IF(FINANCIACION[[#This Row],[$ CAPITAL]]&gt;=0,FINANCIACION[[#This Row],[$ CAPITAL]]+FINANCIACION[[#This Row],[$ INTERESES]],"")</f>
        <v>108925</v>
      </c>
      <c r="F439" s="7">
        <f>+SUMIFS(FINANCIACION[$ CAPITAL],FINANCIACION[Fecha],"&lt;="&amp;FINANCIACION[[#This Row],[Fecha]],FINANCIACION[PRESTAMO],FINANCIACION[[#This Row],[PRESTAMO]])</f>
        <v>3.7252902984619141E-8</v>
      </c>
      <c r="G439" s="91"/>
      <c r="H439" s="11"/>
      <c r="I439" s="7" t="b">
        <f>+IF(FINANCIACION[[#This Row],[$ CAPITAL]]&gt;0,FINANCIACION[[#This Row],[$ CAPITAL]])</f>
        <v>0</v>
      </c>
      <c r="J439" s="49">
        <f>+IF(FINANCIACION[[#This Row],[$ CAPITAL]]&gt;=0,FINANCIACION[[#This Row],[$ CAPITAL]]+FINANCIACION[[#This Row],[$ INTERESES]],0)</f>
        <v>108925</v>
      </c>
    </row>
    <row r="440" spans="1:10" ht="24" hidden="1" customHeight="1" x14ac:dyDescent="0.25">
      <c r="A440" s="10">
        <v>44466</v>
      </c>
      <c r="B440" s="85" t="s">
        <v>454</v>
      </c>
      <c r="C440" s="7"/>
      <c r="D440" s="7">
        <v>74684</v>
      </c>
      <c r="E440" s="7">
        <f>+IF(FINANCIACION[[#This Row],[$ CAPITAL]]&gt;=0,FINANCIACION[[#This Row],[$ CAPITAL]]+FINANCIACION[[#This Row],[$ INTERESES]],"")</f>
        <v>74684</v>
      </c>
      <c r="F440" s="7">
        <f>+SUMIFS(FINANCIACION[$ CAPITAL],FINANCIACION[Fecha],"&lt;="&amp;FINANCIACION[[#This Row],[Fecha]],FINANCIACION[PRESTAMO],FINANCIACION[[#This Row],[PRESTAMO]])</f>
        <v>3.7252902984619141E-8</v>
      </c>
      <c r="G440" s="91"/>
      <c r="H440" s="11"/>
      <c r="I440" s="7" t="b">
        <f>+IF(FINANCIACION[[#This Row],[$ CAPITAL]]&gt;0,FINANCIACION[[#This Row],[$ CAPITAL]])</f>
        <v>0</v>
      </c>
      <c r="J440" s="49">
        <f>+IF(FINANCIACION[[#This Row],[$ CAPITAL]]&gt;=0,FINANCIACION[[#This Row],[$ CAPITAL]]+FINANCIACION[[#This Row],[$ INTERESES]],0)</f>
        <v>74684</v>
      </c>
    </row>
    <row r="441" spans="1:10" ht="24" hidden="1" customHeight="1" x14ac:dyDescent="0.25">
      <c r="A441" s="10">
        <v>44469</v>
      </c>
      <c r="B441" s="85" t="s">
        <v>454</v>
      </c>
      <c r="C441" s="7"/>
      <c r="D441" s="7">
        <v>307081</v>
      </c>
      <c r="E441" s="7">
        <f>+IF(FINANCIACION[[#This Row],[$ CAPITAL]]&gt;=0,FINANCIACION[[#This Row],[$ CAPITAL]]+FINANCIACION[[#This Row],[$ INTERESES]],"")</f>
        <v>307081</v>
      </c>
      <c r="F441" s="7">
        <f>+SUMIFS(FINANCIACION[$ CAPITAL],FINANCIACION[Fecha],"&lt;="&amp;FINANCIACION[[#This Row],[Fecha]],FINANCIACION[PRESTAMO],FINANCIACION[[#This Row],[PRESTAMO]])</f>
        <v>3.7252902984619141E-8</v>
      </c>
      <c r="G441" s="91"/>
      <c r="H441" s="11"/>
      <c r="I441" s="7" t="b">
        <f>+IF(FINANCIACION[[#This Row],[$ CAPITAL]]&gt;0,FINANCIACION[[#This Row],[$ CAPITAL]])</f>
        <v>0</v>
      </c>
      <c r="J441" s="49">
        <f>+IF(FINANCIACION[[#This Row],[$ CAPITAL]]&gt;=0,FINANCIACION[[#This Row],[$ CAPITAL]]+FINANCIACION[[#This Row],[$ INTERESES]],0)</f>
        <v>307081</v>
      </c>
    </row>
    <row r="442" spans="1:10" ht="24" hidden="1" customHeight="1" x14ac:dyDescent="0.25">
      <c r="A442" s="10">
        <v>44469</v>
      </c>
      <c r="B442" s="85" t="s">
        <v>454</v>
      </c>
      <c r="C442" s="7"/>
      <c r="D442" s="7">
        <v>136514</v>
      </c>
      <c r="E442" s="7">
        <f>+IF(FINANCIACION[[#This Row],[$ CAPITAL]]&gt;=0,FINANCIACION[[#This Row],[$ CAPITAL]]+FINANCIACION[[#This Row],[$ INTERESES]],"")</f>
        <v>136514</v>
      </c>
      <c r="F442" s="7">
        <f>+SUMIFS(FINANCIACION[$ CAPITAL],FINANCIACION[Fecha],"&lt;="&amp;FINANCIACION[[#This Row],[Fecha]],FINANCIACION[PRESTAMO],FINANCIACION[[#This Row],[PRESTAMO]])</f>
        <v>3.7252902984619141E-8</v>
      </c>
      <c r="G442" s="91"/>
      <c r="H442" s="11"/>
      <c r="I442" s="7" t="b">
        <f>+IF(FINANCIACION[[#This Row],[$ CAPITAL]]&gt;0,FINANCIACION[[#This Row],[$ CAPITAL]])</f>
        <v>0</v>
      </c>
      <c r="J442" s="49">
        <f>+IF(FINANCIACION[[#This Row],[$ CAPITAL]]&gt;=0,FINANCIACION[[#This Row],[$ CAPITAL]]+FINANCIACION[[#This Row],[$ INTERESES]],0)</f>
        <v>136514</v>
      </c>
    </row>
    <row r="443" spans="1:10" ht="24" hidden="1" customHeight="1" x14ac:dyDescent="0.25">
      <c r="A443" s="10">
        <v>44473</v>
      </c>
      <c r="B443" s="85" t="s">
        <v>454</v>
      </c>
      <c r="C443" s="7"/>
      <c r="D443" s="7">
        <v>402486</v>
      </c>
      <c r="E443" s="7">
        <f>+IF(FINANCIACION[[#This Row],[$ CAPITAL]]&gt;=0,FINANCIACION[[#This Row],[$ CAPITAL]]+FINANCIACION[[#This Row],[$ INTERESES]],"")</f>
        <v>402486</v>
      </c>
      <c r="F443" s="7">
        <f>+SUMIFS(FINANCIACION[$ CAPITAL],FINANCIACION[Fecha],"&lt;="&amp;FINANCIACION[[#This Row],[Fecha]],FINANCIACION[PRESTAMO],FINANCIACION[[#This Row],[PRESTAMO]])</f>
        <v>3.7252902984619141E-8</v>
      </c>
      <c r="G443" s="91"/>
      <c r="H443" s="11"/>
      <c r="I443" s="7" t="b">
        <f>+IF(FINANCIACION[[#This Row],[$ CAPITAL]]&gt;0,FINANCIACION[[#This Row],[$ CAPITAL]])</f>
        <v>0</v>
      </c>
      <c r="J443" s="49">
        <f>+IF(FINANCIACION[[#This Row],[$ CAPITAL]]&gt;=0,FINANCIACION[[#This Row],[$ CAPITAL]]+FINANCIACION[[#This Row],[$ INTERESES]],0)</f>
        <v>402486</v>
      </c>
    </row>
    <row r="444" spans="1:10" ht="24" hidden="1" customHeight="1" x14ac:dyDescent="0.25">
      <c r="A444" s="10">
        <v>44530</v>
      </c>
      <c r="B444" s="85" t="s">
        <v>454</v>
      </c>
      <c r="C444" s="7"/>
      <c r="D444" s="7">
        <v>321239</v>
      </c>
      <c r="E444" s="7">
        <f>+IF(FINANCIACION[[#This Row],[$ CAPITAL]]&gt;=0,FINANCIACION[[#This Row],[$ CAPITAL]]+FINANCIACION[[#This Row],[$ INTERESES]],"")</f>
        <v>321239</v>
      </c>
      <c r="F444" s="7">
        <f>+SUMIFS(FINANCIACION[$ CAPITAL],FINANCIACION[Fecha],"&lt;="&amp;FINANCIACION[[#This Row],[Fecha]],FINANCIACION[PRESTAMO],FINANCIACION[[#This Row],[PRESTAMO]])</f>
        <v>3.7252902984619141E-8</v>
      </c>
      <c r="G444" s="91"/>
      <c r="H444" s="11"/>
      <c r="I444" s="7" t="b">
        <f>+IF(FINANCIACION[[#This Row],[$ CAPITAL]]&gt;0,FINANCIACION[[#This Row],[$ CAPITAL]])</f>
        <v>0</v>
      </c>
      <c r="J444" s="49">
        <f>+IF(FINANCIACION[[#This Row],[$ CAPITAL]]&gt;=0,FINANCIACION[[#This Row],[$ CAPITAL]]+FINANCIACION[[#This Row],[$ INTERESES]],0)</f>
        <v>321239</v>
      </c>
    </row>
    <row r="445" spans="1:10" ht="24" hidden="1" customHeight="1" x14ac:dyDescent="0.25">
      <c r="A445" s="10">
        <v>44530</v>
      </c>
      <c r="B445" s="85" t="s">
        <v>454</v>
      </c>
      <c r="C445" s="7"/>
      <c r="D445" s="7">
        <v>142830</v>
      </c>
      <c r="E445" s="7">
        <f>+IF(FINANCIACION[[#This Row],[$ CAPITAL]]&gt;=0,FINANCIACION[[#This Row],[$ CAPITAL]]+FINANCIACION[[#This Row],[$ INTERESES]],"")</f>
        <v>142830</v>
      </c>
      <c r="F445" s="7">
        <f>+SUMIFS(FINANCIACION[$ CAPITAL],FINANCIACION[Fecha],"&lt;="&amp;FINANCIACION[[#This Row],[Fecha]],FINANCIACION[PRESTAMO],FINANCIACION[[#This Row],[PRESTAMO]])</f>
        <v>3.7252902984619141E-8</v>
      </c>
      <c r="G445" s="91"/>
      <c r="H445" s="11"/>
      <c r="I445" s="7" t="b">
        <f>+IF(FINANCIACION[[#This Row],[$ CAPITAL]]&gt;0,FINANCIACION[[#This Row],[$ CAPITAL]])</f>
        <v>0</v>
      </c>
      <c r="J445" s="49">
        <f>+IF(FINANCIACION[[#This Row],[$ CAPITAL]]&gt;=0,FINANCIACION[[#This Row],[$ CAPITAL]]+FINANCIACION[[#This Row],[$ INTERESES]],0)</f>
        <v>142830</v>
      </c>
    </row>
    <row r="446" spans="1:10" ht="24" hidden="1" customHeight="1" x14ac:dyDescent="0.25">
      <c r="A446" s="10">
        <v>44536</v>
      </c>
      <c r="B446" s="85" t="s">
        <v>454</v>
      </c>
      <c r="C446" s="7"/>
      <c r="D446" s="7">
        <v>373314</v>
      </c>
      <c r="E446" s="7">
        <f>+IF(FINANCIACION[[#This Row],[$ CAPITAL]]&gt;=0,FINANCIACION[[#This Row],[$ CAPITAL]]+FINANCIACION[[#This Row],[$ INTERESES]],"")</f>
        <v>373314</v>
      </c>
      <c r="F446" s="7">
        <f>+SUMIFS(FINANCIACION[$ CAPITAL],FINANCIACION[Fecha],"&lt;="&amp;FINANCIACION[[#This Row],[Fecha]],FINANCIACION[PRESTAMO],FINANCIACION[[#This Row],[PRESTAMO]])</f>
        <v>3.7252902984619141E-8</v>
      </c>
      <c r="G446" s="91"/>
      <c r="H446" s="11"/>
      <c r="I446" s="7" t="b">
        <f>+IF(FINANCIACION[[#This Row],[$ CAPITAL]]&gt;0,FINANCIACION[[#This Row],[$ CAPITAL]])</f>
        <v>0</v>
      </c>
      <c r="J446" s="49">
        <f>+IF(FINANCIACION[[#This Row],[$ CAPITAL]]&gt;=0,FINANCIACION[[#This Row],[$ CAPITAL]]+FINANCIACION[[#This Row],[$ INTERESES]],0)</f>
        <v>373314</v>
      </c>
    </row>
    <row r="447" spans="1:10" ht="24" hidden="1" customHeight="1" x14ac:dyDescent="0.25">
      <c r="A447" s="10">
        <v>44560</v>
      </c>
      <c r="B447" s="85" t="s">
        <v>454</v>
      </c>
      <c r="C447" s="7"/>
      <c r="D447" s="7">
        <v>312197</v>
      </c>
      <c r="E447" s="7">
        <f>+IF(FINANCIACION[[#This Row],[$ CAPITAL]]&gt;=0,FINANCIACION[[#This Row],[$ CAPITAL]]+FINANCIACION[[#This Row],[$ INTERESES]],"")</f>
        <v>312197</v>
      </c>
      <c r="F447" s="7">
        <f>+SUMIFS(FINANCIACION[$ CAPITAL],FINANCIACION[Fecha],"&lt;="&amp;FINANCIACION[[#This Row],[Fecha]],FINANCIACION[PRESTAMO],FINANCIACION[[#This Row],[PRESTAMO]])</f>
        <v>3.7252902984619141E-8</v>
      </c>
      <c r="G447" s="91"/>
      <c r="H447" s="11"/>
      <c r="I447" s="7" t="b">
        <f>+IF(FINANCIACION[[#This Row],[$ CAPITAL]]&gt;0,FINANCIACION[[#This Row],[$ CAPITAL]])</f>
        <v>0</v>
      </c>
      <c r="J447" s="49">
        <f>+IF(FINANCIACION[[#This Row],[$ CAPITAL]]&gt;=0,FINANCIACION[[#This Row],[$ CAPITAL]]+FINANCIACION[[#This Row],[$ INTERESES]],0)</f>
        <v>312197</v>
      </c>
    </row>
    <row r="448" spans="1:10" ht="24" hidden="1" customHeight="1" x14ac:dyDescent="0.25">
      <c r="A448" s="170">
        <v>44560</v>
      </c>
      <c r="B448" s="85" t="s">
        <v>454</v>
      </c>
      <c r="C448" s="171"/>
      <c r="D448" s="7">
        <v>138816</v>
      </c>
      <c r="E448" s="7">
        <f>+IF(FINANCIACION[[#This Row],[$ CAPITAL]]&gt;=0,FINANCIACION[[#This Row],[$ CAPITAL]]+FINANCIACION[[#This Row],[$ INTERESES]],"")</f>
        <v>138816</v>
      </c>
      <c r="F448" s="171">
        <f>+SUMIFS(FINANCIACION[$ CAPITAL],FINANCIACION[Fecha],"&lt;="&amp;FINANCIACION[[#This Row],[Fecha]],FINANCIACION[PRESTAMO],FINANCIACION[[#This Row],[PRESTAMO]])</f>
        <v>3.7252902984619141E-8</v>
      </c>
      <c r="G448" s="172"/>
      <c r="H448" s="173"/>
      <c r="I448" s="171" t="b">
        <f>+IF(FINANCIACION[[#This Row],[$ CAPITAL]]&gt;0,FINANCIACION[[#This Row],[$ CAPITAL]])</f>
        <v>0</v>
      </c>
      <c r="J448" s="174">
        <f>+IF(FINANCIACION[[#This Row],[$ CAPITAL]]&gt;=0,FINANCIACION[[#This Row],[$ CAPITAL]]+FINANCIACION[[#This Row],[$ INTERESES]],0)</f>
        <v>138816</v>
      </c>
    </row>
    <row r="449" spans="1:10" ht="24" hidden="1" customHeight="1" x14ac:dyDescent="0.25">
      <c r="A449" s="10">
        <v>43721</v>
      </c>
      <c r="B449" s="85" t="s">
        <v>471</v>
      </c>
      <c r="C449" s="7">
        <v>-52186406</v>
      </c>
      <c r="D449" s="7"/>
      <c r="E449" s="7" t="str">
        <f>+IF(FINANCIACION[[#This Row],[$ CAPITAL]]&gt;=0,FINANCIACION[[#This Row],[$ CAPITAL]]+FINANCIACION[[#This Row],[$ INTERESES]],"")</f>
        <v/>
      </c>
      <c r="F449" s="7">
        <f>+SUMIFS(FINANCIACION[$ CAPITAL],FINANCIACION[Fecha],"&lt;="&amp;FINANCIACION[[#This Row],[Fecha]],FINANCIACION[PRESTAMO],FINANCIACION[[#This Row],[PRESTAMO]])</f>
        <v>-52186406</v>
      </c>
      <c r="G449" s="11" t="s">
        <v>515</v>
      </c>
      <c r="H449" s="91">
        <v>-15533.5</v>
      </c>
      <c r="I449" s="7" t="b">
        <f>+IF(FINANCIACION[[#This Row],[$ CAPITAL]]&gt;0,FINANCIACION[[#This Row],[$ CAPITAL]])</f>
        <v>0</v>
      </c>
      <c r="J449" s="49">
        <f>+IF(FINANCIACION[[#This Row],[$ CAPITAL]]&gt;=0,FINANCIACION[[#This Row],[$ CAPITAL]]+FINANCIACION[[#This Row],[$ INTERESES]],0)</f>
        <v>0</v>
      </c>
    </row>
    <row r="450" spans="1:10" ht="24" hidden="1" customHeight="1" x14ac:dyDescent="0.25">
      <c r="A450" s="10">
        <v>44257</v>
      </c>
      <c r="B450" s="85" t="s">
        <v>471</v>
      </c>
      <c r="C450" s="7">
        <f>+FINANCIACION[[#This Row],[VALOR EN DOLARES]]*3516</f>
        <v>17580000</v>
      </c>
      <c r="D450" s="7"/>
      <c r="E450" s="7">
        <f>+IF(FINANCIACION[[#This Row],[$ CAPITAL]]&gt;=0,FINANCIACION[[#This Row],[$ CAPITAL]]+FINANCIACION[[#This Row],[$ INTERESES]],"")</f>
        <v>17580000</v>
      </c>
      <c r="F450" s="7">
        <f>+SUMIFS(FINANCIACION[$ CAPITAL],FINANCIACION[Fecha],"&lt;="&amp;FINANCIACION[[#This Row],[Fecha]],FINANCIACION[PRESTAMO],FINANCIACION[[#This Row],[PRESTAMO]])</f>
        <v>-34606406</v>
      </c>
      <c r="G450" s="94" t="s">
        <v>516</v>
      </c>
      <c r="H450" s="91">
        <v>5000</v>
      </c>
      <c r="I450" s="7">
        <f>+IF(FINANCIACION[[#This Row],[$ CAPITAL]]&gt;0,FINANCIACION[[#This Row],[$ CAPITAL]])</f>
        <v>17580000</v>
      </c>
      <c r="J450" s="12">
        <f>+IF(FINANCIACION[[#This Row],[$ CAPITAL]]&gt;=0,FINANCIACION[[#This Row],[$ CAPITAL]]+FINANCIACION[[#This Row],[$ INTERESES]],0)</f>
        <v>17580000</v>
      </c>
    </row>
    <row r="451" spans="1:10" ht="24" hidden="1" customHeight="1" x14ac:dyDescent="0.25">
      <c r="A451" s="10">
        <v>44278</v>
      </c>
      <c r="B451" s="85" t="s">
        <v>471</v>
      </c>
      <c r="C451" s="7">
        <v>34606406</v>
      </c>
      <c r="D451" s="7">
        <v>123159</v>
      </c>
      <c r="E451" s="7">
        <f>+IF(FINANCIACION[[#This Row],[$ CAPITAL]]&gt;=0,FINANCIACION[[#This Row],[$ CAPITAL]]+FINANCIACION[[#This Row],[$ INTERESES]],"")</f>
        <v>34729565</v>
      </c>
      <c r="F451" s="7">
        <f>+SUMIFS(FINANCIACION[$ CAPITAL],FINANCIACION[Fecha],"&lt;="&amp;FINANCIACION[[#This Row],[Fecha]],FINANCIACION[PRESTAMO],FINANCIACION[[#This Row],[PRESTAMO]])</f>
        <v>0</v>
      </c>
      <c r="G451" s="11" t="s">
        <v>579</v>
      </c>
      <c r="H451" s="91">
        <v>10533.5</v>
      </c>
      <c r="I451" s="7">
        <f>+IF(FINANCIACION[[#This Row],[$ CAPITAL]]&gt;0,FINANCIACION[[#This Row],[$ CAPITAL]])</f>
        <v>34606406</v>
      </c>
      <c r="J451" s="12">
        <f>+IF(FINANCIACION[[#This Row],[$ CAPITAL]]&gt;=0,FINANCIACION[[#This Row],[$ CAPITAL]]+FINANCIACION[[#This Row],[$ INTERESES]],0)</f>
        <v>34729565</v>
      </c>
    </row>
    <row r="452" spans="1:10" ht="24" hidden="1" customHeight="1" x14ac:dyDescent="0.25">
      <c r="A452" s="10">
        <v>44291</v>
      </c>
      <c r="B452" s="85" t="s">
        <v>471</v>
      </c>
      <c r="C452" s="7"/>
      <c r="D452" s="7">
        <v>408547</v>
      </c>
      <c r="E452" s="7">
        <f>+IF(FINANCIACION[[#This Row],[$ CAPITAL]]&gt;=0,FINANCIACION[[#This Row],[$ CAPITAL]]+FINANCIACION[[#This Row],[$ INTERESES]],"")</f>
        <v>408547</v>
      </c>
      <c r="F452" s="7">
        <f>+SUMIFS(FINANCIACION[$ CAPITAL],FINANCIACION[Fecha],"&lt;="&amp;FINANCIACION[[#This Row],[Fecha]],FINANCIACION[PRESTAMO],FINANCIACION[[#This Row],[PRESTAMO]])</f>
        <v>0</v>
      </c>
      <c r="G452" s="11"/>
      <c r="H452" s="91"/>
      <c r="I452" s="7" t="b">
        <f>+IF(FINANCIACION[[#This Row],[$ CAPITAL]]&gt;0,FINANCIACION[[#This Row],[$ CAPITAL]])</f>
        <v>0</v>
      </c>
      <c r="J452" s="12">
        <f>+IF(FINANCIACION[[#This Row],[$ CAPITAL]]&gt;=0,FINANCIACION[[#This Row],[$ CAPITAL]]+FINANCIACION[[#This Row],[$ INTERESES]],0)</f>
        <v>408547</v>
      </c>
    </row>
    <row r="453" spans="1:10" ht="24" hidden="1" customHeight="1" x14ac:dyDescent="0.25">
      <c r="A453" s="10">
        <v>44292</v>
      </c>
      <c r="B453" s="85" t="s">
        <v>471</v>
      </c>
      <c r="C453" s="7"/>
      <c r="D453" s="7">
        <v>100988</v>
      </c>
      <c r="E453" s="7">
        <f>+IF(FINANCIACION[[#This Row],[$ CAPITAL]]&gt;=0,FINANCIACION[[#This Row],[$ CAPITAL]]+FINANCIACION[[#This Row],[$ INTERESES]],"")</f>
        <v>100988</v>
      </c>
      <c r="F453" s="7">
        <f>+SUMIFS(FINANCIACION[$ CAPITAL],FINANCIACION[Fecha],"&lt;="&amp;FINANCIACION[[#This Row],[Fecha]],FINANCIACION[PRESTAMO],FINANCIACION[[#This Row],[PRESTAMO]])</f>
        <v>0</v>
      </c>
      <c r="G453" s="11"/>
      <c r="H453" s="91"/>
      <c r="I453" s="7" t="b">
        <f>+IF(FINANCIACION[[#This Row],[$ CAPITAL]]&gt;0,FINANCIACION[[#This Row],[$ CAPITAL]])</f>
        <v>0</v>
      </c>
      <c r="J453" s="12">
        <f>+IF(FINANCIACION[[#This Row],[$ CAPITAL]]&gt;=0,FINANCIACION[[#This Row],[$ CAPITAL]]+FINANCIACION[[#This Row],[$ INTERESES]],0)</f>
        <v>100988</v>
      </c>
    </row>
    <row r="454" spans="1:10" ht="24" hidden="1" customHeight="1" x14ac:dyDescent="0.25">
      <c r="A454" s="10">
        <v>43810</v>
      </c>
      <c r="B454" s="85" t="s">
        <v>472</v>
      </c>
      <c r="C454" s="7">
        <v>-2194369.23</v>
      </c>
      <c r="D454" s="7"/>
      <c r="E454" s="7" t="str">
        <f>+IF(FINANCIACION[[#This Row],[$ CAPITAL]]&gt;=0,FINANCIACION[[#This Row],[$ CAPITAL]]+FINANCIACION[[#This Row],[$ INTERESES]],"")</f>
        <v/>
      </c>
      <c r="F454" s="7">
        <f>+SUMIFS(FINANCIACION[$ CAPITAL],FINANCIACION[Fecha],"&lt;="&amp;FINANCIACION[[#This Row],[Fecha]],FINANCIACION[PRESTAMO],FINANCIACION[[#This Row],[PRESTAMO]])</f>
        <v>-2194369.23</v>
      </c>
      <c r="G454" s="11"/>
      <c r="H454" s="11"/>
      <c r="I454" s="7" t="b">
        <f>+IF(FINANCIACION[[#This Row],[$ CAPITAL]]&gt;0,FINANCIACION[[#This Row],[$ CAPITAL]])</f>
        <v>0</v>
      </c>
      <c r="J454" s="49">
        <f>+IF(FINANCIACION[[#This Row],[$ CAPITAL]]&gt;=0,FINANCIACION[[#This Row],[$ CAPITAL]]+FINANCIACION[[#This Row],[$ INTERESES]],0)</f>
        <v>0</v>
      </c>
    </row>
    <row r="455" spans="1:10" ht="24" hidden="1" customHeight="1" x14ac:dyDescent="0.25">
      <c r="A455" s="10">
        <v>44179</v>
      </c>
      <c r="B455" s="85" t="s">
        <v>472</v>
      </c>
      <c r="C455" s="7">
        <v>2194369.23</v>
      </c>
      <c r="D455" s="7"/>
      <c r="E455" s="7">
        <f>+IF(FINANCIACION[[#This Row],[$ CAPITAL]]&gt;=0,FINANCIACION[[#This Row],[$ CAPITAL]]+FINANCIACION[[#This Row],[$ INTERESES]],"")</f>
        <v>2194369.23</v>
      </c>
      <c r="F455" s="7">
        <f>+SUMIFS(FINANCIACION[$ CAPITAL],FINANCIACION[Fecha],"&lt;="&amp;FINANCIACION[[#This Row],[Fecha]],FINANCIACION[PRESTAMO],FINANCIACION[[#This Row],[PRESTAMO]])</f>
        <v>0</v>
      </c>
      <c r="G455" s="11"/>
      <c r="H455" s="11"/>
      <c r="I455" s="7">
        <f>+IF(FINANCIACION[[#This Row],[$ CAPITAL]]&gt;0,FINANCIACION[[#This Row],[$ CAPITAL]])</f>
        <v>2194369.23</v>
      </c>
      <c r="J455" s="49">
        <f>+IF(FINANCIACION[[#This Row],[$ CAPITAL]]&gt;=0,FINANCIACION[[#This Row],[$ CAPITAL]]+FINANCIACION[[#This Row],[$ INTERESES]],0)</f>
        <v>2194369.23</v>
      </c>
    </row>
    <row r="456" spans="1:10" ht="24" hidden="1" customHeight="1" x14ac:dyDescent="0.25">
      <c r="A456" s="10">
        <v>43880</v>
      </c>
      <c r="B456" s="85" t="s">
        <v>473</v>
      </c>
      <c r="C456" s="7">
        <v>-27025125</v>
      </c>
      <c r="D456" s="7"/>
      <c r="E456" s="7" t="str">
        <f>+IF(FINANCIACION[[#This Row],[$ CAPITAL]]&gt;=0,FINANCIACION[[#This Row],[$ CAPITAL]]+FINANCIACION[[#This Row],[$ INTERESES]],"")</f>
        <v/>
      </c>
      <c r="F456" s="7">
        <f>+SUMIFS(FINANCIACION[$ CAPITAL],FINANCIACION[Fecha],"&lt;="&amp;FINANCIACION[[#This Row],[Fecha]],FINANCIACION[PRESTAMO],FINANCIACION[[#This Row],[PRESTAMO]])</f>
        <v>-27025125</v>
      </c>
      <c r="G456" s="11"/>
      <c r="H456" s="11"/>
      <c r="I456" s="7" t="b">
        <f>+IF(FINANCIACION[[#This Row],[$ CAPITAL]]&gt;0,FINANCIACION[[#This Row],[$ CAPITAL]])</f>
        <v>0</v>
      </c>
      <c r="J456" s="49">
        <f>+IF(FINANCIACION[[#This Row],[$ CAPITAL]]&gt;=0,FINANCIACION[[#This Row],[$ CAPITAL]]+FINANCIACION[[#This Row],[$ INTERESES]],0)</f>
        <v>0</v>
      </c>
    </row>
    <row r="457" spans="1:10" ht="24" hidden="1" customHeight="1" x14ac:dyDescent="0.25">
      <c r="A457" s="10">
        <v>44166</v>
      </c>
      <c r="B457" s="85" t="s">
        <v>473</v>
      </c>
      <c r="C457" s="7">
        <v>27025125</v>
      </c>
      <c r="D457" s="7">
        <v>5508481</v>
      </c>
      <c r="E457" s="7">
        <f>+IF(FINANCIACION[[#This Row],[$ CAPITAL]]&gt;=0,FINANCIACION[[#This Row],[$ CAPITAL]]+FINANCIACION[[#This Row],[$ INTERESES]],"")</f>
        <v>32533606</v>
      </c>
      <c r="F457" s="7">
        <f>+SUMIFS(FINANCIACION[$ CAPITAL],FINANCIACION[Fecha],"&lt;="&amp;FINANCIACION[[#This Row],[Fecha]],FINANCIACION[PRESTAMO],FINANCIACION[[#This Row],[PRESTAMO]])</f>
        <v>0</v>
      </c>
      <c r="G457" s="11"/>
      <c r="H457" s="11"/>
      <c r="I457" s="7">
        <f>+IF(FINANCIACION[[#This Row],[$ CAPITAL]]&gt;0,FINANCIACION[[#This Row],[$ CAPITAL]])</f>
        <v>27025125</v>
      </c>
      <c r="J457" s="49">
        <f>+IF(FINANCIACION[[#This Row],[$ CAPITAL]]&gt;=0,FINANCIACION[[#This Row],[$ CAPITAL]]+FINANCIACION[[#This Row],[$ INTERESES]],0)</f>
        <v>32533606</v>
      </c>
    </row>
    <row r="458" spans="1:10" ht="24" hidden="1" customHeight="1" x14ac:dyDescent="0.25">
      <c r="A458" s="10">
        <v>44110</v>
      </c>
      <c r="B458" s="85" t="s">
        <v>474</v>
      </c>
      <c r="C458" s="7">
        <v>-41521255</v>
      </c>
      <c r="D458" s="7"/>
      <c r="E458" s="7" t="str">
        <f>+IF(FINANCIACION[[#This Row],[$ CAPITAL]]&gt;=0,FINANCIACION[[#This Row],[$ CAPITAL]]+FINANCIACION[[#This Row],[$ INTERESES]],"")</f>
        <v/>
      </c>
      <c r="F458" s="7">
        <f>+SUMIFS(FINANCIACION[$ CAPITAL],FINANCIACION[Fecha],"&lt;="&amp;FINANCIACION[[#This Row],[Fecha]],FINANCIACION[PRESTAMO],FINANCIACION[[#This Row],[PRESTAMO]])</f>
        <v>-41521255</v>
      </c>
      <c r="G458" s="11" t="s">
        <v>513</v>
      </c>
      <c r="H458" s="91">
        <v>-11642.65</v>
      </c>
      <c r="I458" s="7" t="b">
        <f>+IF(FINANCIACION[[#This Row],[$ CAPITAL]]&gt;0,FINANCIACION[[#This Row],[$ CAPITAL]])</f>
        <v>0</v>
      </c>
      <c r="J458" s="49">
        <f>+IF(FINANCIACION[[#This Row],[$ CAPITAL]]&gt;=0,FINANCIACION[[#This Row],[$ CAPITAL]]+FINANCIACION[[#This Row],[$ INTERESES]],0)</f>
        <v>0</v>
      </c>
    </row>
    <row r="459" spans="1:10" ht="24" hidden="1" customHeight="1" x14ac:dyDescent="0.25">
      <c r="A459" s="10">
        <v>44278</v>
      </c>
      <c r="B459" s="85" t="s">
        <v>474</v>
      </c>
      <c r="C459" s="7">
        <v>1223595</v>
      </c>
      <c r="D459" s="7"/>
      <c r="E459" s="7">
        <f>+IF(FINANCIACION[[#This Row],[$ CAPITAL]]&gt;=0,FINANCIACION[[#This Row],[$ CAPITAL]]+FINANCIACION[[#This Row],[$ INTERESES]],"")</f>
        <v>1223595</v>
      </c>
      <c r="F459" s="7">
        <f>+SUMIFS(FINANCIACION[$ CAPITAL],FINANCIACION[Fecha],"&lt;="&amp;FINANCIACION[[#This Row],[Fecha]],FINANCIACION[PRESTAMO],FINANCIACION[[#This Row],[PRESTAMO]])</f>
        <v>-40297660</v>
      </c>
      <c r="G459" s="94" t="s">
        <v>578</v>
      </c>
      <c r="H459" s="91">
        <v>341.5</v>
      </c>
      <c r="I459" s="7">
        <f>+IF(FINANCIACION[[#This Row],[$ CAPITAL]]&gt;0,FINANCIACION[[#This Row],[$ CAPITAL]])</f>
        <v>1223595</v>
      </c>
      <c r="J459" s="12">
        <f>+IF(FINANCIACION[[#This Row],[$ CAPITAL]]&gt;=0,FINANCIACION[[#This Row],[$ CAPITAL]]+FINANCIACION[[#This Row],[$ INTERESES]],0)</f>
        <v>1223595</v>
      </c>
    </row>
    <row r="460" spans="1:10" ht="24" hidden="1" customHeight="1" x14ac:dyDescent="0.25">
      <c r="A460" s="10">
        <v>44316</v>
      </c>
      <c r="B460" s="85" t="s">
        <v>474</v>
      </c>
      <c r="C460" s="7"/>
      <c r="D460" s="7">
        <v>298702</v>
      </c>
      <c r="E460" s="7">
        <f>+IF(FINANCIACION[[#This Row],[$ CAPITAL]]&gt;=0,FINANCIACION[[#This Row],[$ CAPITAL]]+FINANCIACION[[#This Row],[$ INTERESES]],"")</f>
        <v>298702</v>
      </c>
      <c r="F460" s="7">
        <f>+SUMIFS(FINANCIACION[$ CAPITAL],FINANCIACION[Fecha],"&lt;="&amp;FINANCIACION[[#This Row],[Fecha]],FINANCIACION[PRESTAMO],FINANCIACION[[#This Row],[PRESTAMO]])</f>
        <v>-42552085</v>
      </c>
      <c r="G460" s="11"/>
      <c r="H460" s="91"/>
      <c r="I460" s="7" t="b">
        <f>+IF(FINANCIACION[[#This Row],[$ CAPITAL]]&gt;0,FINANCIACION[[#This Row],[$ CAPITAL]])</f>
        <v>0</v>
      </c>
      <c r="J460" s="12">
        <f>+IF(FINANCIACION[[#This Row],[$ CAPITAL]]&gt;=0,FINANCIACION[[#This Row],[$ CAPITAL]]+FINANCIACION[[#This Row],[$ INTERESES]],0)</f>
        <v>298702</v>
      </c>
    </row>
    <row r="461" spans="1:10" ht="24" hidden="1" customHeight="1" x14ac:dyDescent="0.25">
      <c r="A461" s="10">
        <v>44316</v>
      </c>
      <c r="B461" s="85" t="s">
        <v>474</v>
      </c>
      <c r="C461" s="7">
        <v>-2254425</v>
      </c>
      <c r="D461" s="7"/>
      <c r="E461" s="7" t="str">
        <f>+IF(FINANCIACION[[#This Row],[$ CAPITAL]]&gt;=0,FINANCIACION[[#This Row],[$ CAPITAL]]+FINANCIACION[[#This Row],[$ INTERESES]],"")</f>
        <v/>
      </c>
      <c r="F461" s="7">
        <f>+SUMIFS(FINANCIACION[$ CAPITAL],FINANCIACION[Fecha],"&lt;="&amp;FINANCIACION[[#This Row],[Fecha]],FINANCIACION[PRESTAMO],FINANCIACION[[#This Row],[PRESTAMO]])</f>
        <v>-42552085</v>
      </c>
      <c r="G461" s="11" t="s">
        <v>512</v>
      </c>
      <c r="H461" s="91"/>
      <c r="I461" s="7" t="b">
        <f>+IF(FINANCIACION[[#This Row],[$ CAPITAL]]&gt;0,FINANCIACION[[#This Row],[$ CAPITAL]])</f>
        <v>0</v>
      </c>
      <c r="J461" s="12">
        <f>+IF(FINANCIACION[[#This Row],[$ CAPITAL]]&gt;=0,FINANCIACION[[#This Row],[$ CAPITAL]]+FINANCIACION[[#This Row],[$ INTERESES]],0)</f>
        <v>0</v>
      </c>
    </row>
    <row r="462" spans="1:10" ht="24" hidden="1" customHeight="1" x14ac:dyDescent="0.25">
      <c r="A462" s="10">
        <v>44346</v>
      </c>
      <c r="B462" s="85" t="s">
        <v>474</v>
      </c>
      <c r="C462" s="7">
        <v>996000</v>
      </c>
      <c r="D462" s="7"/>
      <c r="E462" s="7">
        <f>+IF(FINANCIACION[[#This Row],[$ CAPITAL]]&gt;=0,FINANCIACION[[#This Row],[$ CAPITAL]]+FINANCIACION[[#This Row],[$ INTERESES]],"")</f>
        <v>996000</v>
      </c>
      <c r="F462" s="7">
        <f>+SUMIFS(FINANCIACION[$ CAPITAL],FINANCIACION[Fecha],"&lt;="&amp;FINANCIACION[[#This Row],[Fecha]],FINANCIACION[PRESTAMO],FINANCIACION[[#This Row],[PRESTAMO]])</f>
        <v>-41556085</v>
      </c>
      <c r="G462" s="91" t="s">
        <v>512</v>
      </c>
      <c r="H462" s="11"/>
      <c r="I462" s="7">
        <f>+IF(FINANCIACION[[#This Row],[$ CAPITAL]]&gt;0,FINANCIACION[[#This Row],[$ CAPITAL]])</f>
        <v>996000</v>
      </c>
      <c r="J462" s="49">
        <f>+IF(FINANCIACION[[#This Row],[$ CAPITAL]]&gt;=0,FINANCIACION[[#This Row],[$ CAPITAL]]+FINANCIACION[[#This Row],[$ INTERESES]],0)</f>
        <v>996000</v>
      </c>
    </row>
    <row r="463" spans="1:10" ht="24" hidden="1" customHeight="1" x14ac:dyDescent="0.25">
      <c r="A463" s="10">
        <v>44376</v>
      </c>
      <c r="B463" s="85" t="s">
        <v>474</v>
      </c>
      <c r="C463" s="7">
        <f>3634*6000</f>
        <v>21804000</v>
      </c>
      <c r="D463" s="7">
        <v>168429</v>
      </c>
      <c r="E463" s="7">
        <f>+IF(FINANCIACION[[#This Row],[$ CAPITAL]]&gt;=0,FINANCIACION[[#This Row],[$ CAPITAL]]+FINANCIACION[[#This Row],[$ INTERESES]],"")</f>
        <v>21972429</v>
      </c>
      <c r="F463" s="7">
        <f>+SUMIFS(FINANCIACION[$ CAPITAL],FINANCIACION[Fecha],"&lt;="&amp;FINANCIACION[[#This Row],[Fecha]],FINANCIACION[PRESTAMO],FINANCIACION[[#This Row],[PRESTAMO]])</f>
        <v>-19752085</v>
      </c>
      <c r="G463" s="130" t="s">
        <v>869</v>
      </c>
      <c r="H463" s="90">
        <v>6000</v>
      </c>
      <c r="I463" s="7">
        <f>+IF(FINANCIACION[[#This Row],[$ CAPITAL]]&gt;0,FINANCIACION[[#This Row],[$ CAPITAL]])</f>
        <v>21804000</v>
      </c>
      <c r="J463" s="49">
        <f>+IF(FINANCIACION[[#This Row],[$ CAPITAL]]&gt;=0,FINANCIACION[[#This Row],[$ CAPITAL]]+FINANCIACION[[#This Row],[$ INTERESES]],0)</f>
        <v>21972429</v>
      </c>
    </row>
    <row r="464" spans="1:10" ht="24" hidden="1" customHeight="1" x14ac:dyDescent="0.25">
      <c r="A464" s="10">
        <v>44408</v>
      </c>
      <c r="B464" s="85" t="s">
        <v>474</v>
      </c>
      <c r="C464" s="7">
        <v>-530115</v>
      </c>
      <c r="D464" s="7"/>
      <c r="E464" s="7" t="str">
        <f>+IF(FINANCIACION[[#This Row],[$ CAPITAL]]&gt;=0,FINANCIACION[[#This Row],[$ CAPITAL]]+FINANCIACION[[#This Row],[$ INTERESES]],"")</f>
        <v/>
      </c>
      <c r="F464" s="7">
        <f>+SUMIFS(FINANCIACION[$ CAPITAL],FINANCIACION[Fecha],"&lt;="&amp;FINANCIACION[[#This Row],[Fecha]],FINANCIACION[PRESTAMO],FINANCIACION[[#This Row],[PRESTAMO]])</f>
        <v>-20282200</v>
      </c>
      <c r="G464" s="11" t="s">
        <v>512</v>
      </c>
      <c r="H464" s="11"/>
      <c r="I464" s="7" t="b">
        <f>+IF(FINANCIACION[[#This Row],[$ CAPITAL]]&gt;0,FINANCIACION[[#This Row],[$ CAPITAL]])</f>
        <v>0</v>
      </c>
      <c r="J464" s="49">
        <f>+IF(FINANCIACION[[#This Row],[$ CAPITAL]]&gt;=0,FINANCIACION[[#This Row],[$ CAPITAL]]+FINANCIACION[[#This Row],[$ INTERESES]],0)</f>
        <v>0</v>
      </c>
    </row>
    <row r="465" spans="1:10" ht="24" hidden="1" customHeight="1" x14ac:dyDescent="0.25">
      <c r="A465" s="10">
        <v>44466</v>
      </c>
      <c r="B465" s="85" t="s">
        <v>474</v>
      </c>
      <c r="C465" s="7">
        <v>20282200</v>
      </c>
      <c r="D465" s="7">
        <v>74684</v>
      </c>
      <c r="E465" s="7">
        <f>+IF(FINANCIACION[[#This Row],[$ CAPITAL]]&gt;=0,FINANCIACION[[#This Row],[$ CAPITAL]]+FINANCIACION[[#This Row],[$ INTERESES]],"")</f>
        <v>20356884</v>
      </c>
      <c r="F465" s="7">
        <f>+SUMIFS(FINANCIACION[$ CAPITAL],FINANCIACION[Fecha],"&lt;="&amp;FINANCIACION[[#This Row],[Fecha]],FINANCIACION[PRESTAMO],FINANCIACION[[#This Row],[PRESTAMO]])</f>
        <v>0</v>
      </c>
      <c r="G465" s="130" t="s">
        <v>871</v>
      </c>
      <c r="H465" s="91">
        <v>5301.15</v>
      </c>
      <c r="I465" s="7">
        <f>+IF(FINANCIACION[[#This Row],[$ CAPITAL]]&gt;0,FINANCIACION[[#This Row],[$ CAPITAL]])</f>
        <v>20282200</v>
      </c>
      <c r="J465" s="49">
        <f>+IF(FINANCIACION[[#This Row],[$ CAPITAL]]&gt;=0,FINANCIACION[[#This Row],[$ CAPITAL]]+FINANCIACION[[#This Row],[$ INTERESES]],0)</f>
        <v>20356884</v>
      </c>
    </row>
    <row r="466" spans="1:10" ht="24" hidden="1" customHeight="1" x14ac:dyDescent="0.25">
      <c r="A466" s="10">
        <v>44166</v>
      </c>
      <c r="B466" s="85" t="s">
        <v>455</v>
      </c>
      <c r="C466" s="7">
        <v>-90130880</v>
      </c>
      <c r="D466" s="7"/>
      <c r="E466" s="7" t="str">
        <f>+IF(FINANCIACION[[#This Row],[$ CAPITAL]]&gt;=0,FINANCIACION[[#This Row],[$ CAPITAL]]+FINANCIACION[[#This Row],[$ INTERESES]],"")</f>
        <v/>
      </c>
      <c r="F466" s="7">
        <f>+SUMIFS(FINANCIACION[$ CAPITAL],FINANCIACION[Fecha],"&lt;="&amp;FINANCIACION[[#This Row],[Fecha]],FINANCIACION[PRESTAMO],FINANCIACION[[#This Row],[PRESTAMO]])</f>
        <v>-90130880</v>
      </c>
      <c r="G466" s="11" t="s">
        <v>514</v>
      </c>
      <c r="H466" s="91">
        <v>-25751.68</v>
      </c>
      <c r="I466" s="7" t="b">
        <f>+IF(FINANCIACION[[#This Row],[$ CAPITAL]]&gt;0,FINANCIACION[[#This Row],[$ CAPITAL]])</f>
        <v>0</v>
      </c>
      <c r="J466" s="49">
        <f>+IF(FINANCIACION[[#This Row],[$ CAPITAL]]&gt;=0,FINANCIACION[[#This Row],[$ CAPITAL]]+FINANCIACION[[#This Row],[$ INTERESES]],0)</f>
        <v>0</v>
      </c>
    </row>
    <row r="467" spans="1:10" ht="24" hidden="1" customHeight="1" x14ac:dyDescent="0.25">
      <c r="A467" s="10">
        <v>44255</v>
      </c>
      <c r="B467" s="85" t="s">
        <v>455</v>
      </c>
      <c r="C467" s="7">
        <v>-2575168</v>
      </c>
      <c r="D467" s="7"/>
      <c r="E467" s="7" t="str">
        <f>+IF(FINANCIACION[[#This Row],[$ CAPITAL]]&gt;=0,FINANCIACION[[#This Row],[$ CAPITAL]]+FINANCIACION[[#This Row],[$ INTERESES]],"")</f>
        <v/>
      </c>
      <c r="F467" s="7">
        <f>+SUMIFS(FINANCIACION[$ CAPITAL],FINANCIACION[Fecha],"&lt;="&amp;FINANCIACION[[#This Row],[Fecha]],FINANCIACION[PRESTAMO],FINANCIACION[[#This Row],[PRESTAMO]])</f>
        <v>-92706048</v>
      </c>
      <c r="G467" s="11" t="s">
        <v>512</v>
      </c>
      <c r="H467" s="91"/>
      <c r="I467" s="7" t="b">
        <f>+IF(FINANCIACION[[#This Row],[$ CAPITAL]]&gt;0,FINANCIACION[[#This Row],[$ CAPITAL]])</f>
        <v>0</v>
      </c>
      <c r="J467" s="12">
        <f>+IF(FINANCIACION[[#This Row],[$ CAPITAL]]&gt;=0,FINANCIACION[[#This Row],[$ CAPITAL]]+FINANCIACION[[#This Row],[$ INTERESES]],0)</f>
        <v>0</v>
      </c>
    </row>
    <row r="468" spans="1:10" ht="24" hidden="1" customHeight="1" x14ac:dyDescent="0.25">
      <c r="A468" s="10">
        <v>44316</v>
      </c>
      <c r="B468" s="85" t="s">
        <v>455</v>
      </c>
      <c r="C468" s="7">
        <v>-5150336</v>
      </c>
      <c r="D468" s="7"/>
      <c r="E468" s="7" t="str">
        <f>+IF(FINANCIACION[[#This Row],[$ CAPITAL]]&gt;=0,FINANCIACION[[#This Row],[$ CAPITAL]]+FINANCIACION[[#This Row],[$ INTERESES]],"")</f>
        <v/>
      </c>
      <c r="F468" s="7">
        <f>+SUMIFS(FINANCIACION[$ CAPITAL],FINANCIACION[Fecha],"&lt;="&amp;FINANCIACION[[#This Row],[Fecha]],FINANCIACION[PRESTAMO],FINANCIACION[[#This Row],[PRESTAMO]])</f>
        <v>-97856384</v>
      </c>
      <c r="G468" s="11" t="s">
        <v>512</v>
      </c>
      <c r="H468" s="91"/>
      <c r="I468" s="7" t="b">
        <f>+IF(FINANCIACION[[#This Row],[$ CAPITAL]]&gt;0,FINANCIACION[[#This Row],[$ CAPITAL]])</f>
        <v>0</v>
      </c>
      <c r="J468" s="12">
        <f>+IF(FINANCIACION[[#This Row],[$ CAPITAL]]&gt;=0,FINANCIACION[[#This Row],[$ CAPITAL]]+FINANCIACION[[#This Row],[$ INTERESES]],0)</f>
        <v>0</v>
      </c>
    </row>
    <row r="469" spans="1:10" ht="24" hidden="1" customHeight="1" x14ac:dyDescent="0.25">
      <c r="A469" s="10">
        <v>44408</v>
      </c>
      <c r="B469" s="85" t="s">
        <v>455</v>
      </c>
      <c r="C469" s="7">
        <v>-2575168</v>
      </c>
      <c r="D469" s="7"/>
      <c r="E469" s="7" t="str">
        <f>+IF(FINANCIACION[[#This Row],[$ CAPITAL]]&gt;=0,FINANCIACION[[#This Row],[$ CAPITAL]]+FINANCIACION[[#This Row],[$ INTERESES]],"")</f>
        <v/>
      </c>
      <c r="F469" s="7">
        <f>+SUMIFS(FINANCIACION[$ CAPITAL],FINANCIACION[Fecha],"&lt;="&amp;FINANCIACION[[#This Row],[Fecha]],FINANCIACION[PRESTAMO],FINANCIACION[[#This Row],[PRESTAMO]])</f>
        <v>-100431552</v>
      </c>
      <c r="G469" s="11" t="s">
        <v>512</v>
      </c>
      <c r="H469" s="91"/>
      <c r="I469" s="7" t="b">
        <f>+IF(FINANCIACION[[#This Row],[$ CAPITAL]]&gt;0,FINANCIACION[[#This Row],[$ CAPITAL]])</f>
        <v>0</v>
      </c>
      <c r="J469" s="49">
        <f>+IF(FINANCIACION[[#This Row],[$ CAPITAL]]&gt;=0,FINANCIACION[[#This Row],[$ CAPITAL]]+FINANCIACION[[#This Row],[$ INTERESES]],0)</f>
        <v>0</v>
      </c>
    </row>
    <row r="470" spans="1:10" ht="24" hidden="1" customHeight="1" x14ac:dyDescent="0.25">
      <c r="A470" s="10">
        <v>44466</v>
      </c>
      <c r="B470" s="85" t="s">
        <v>455</v>
      </c>
      <c r="C470" s="7">
        <v>2673800</v>
      </c>
      <c r="D470" s="7"/>
      <c r="E470" s="7">
        <f>+IF(FINANCIACION[[#This Row],[$ CAPITAL]]&gt;=0,FINANCIACION[[#This Row],[$ CAPITAL]]+FINANCIACION[[#This Row],[$ INTERESES]],"")</f>
        <v>2673800</v>
      </c>
      <c r="F470" s="7">
        <f>+SUMIFS(FINANCIACION[$ CAPITAL],FINANCIACION[Fecha],"&lt;="&amp;FINANCIACION[[#This Row],[Fecha]],FINANCIACION[PRESTAMO],FINANCIACION[[#This Row],[PRESTAMO]])</f>
        <v>-97757752</v>
      </c>
      <c r="G470" s="130" t="s">
        <v>870</v>
      </c>
      <c r="H470" s="91">
        <v>698.85</v>
      </c>
      <c r="I470" s="7">
        <f>+IF(FINANCIACION[[#This Row],[$ CAPITAL]]&gt;0,FINANCIACION[[#This Row],[$ CAPITAL]])</f>
        <v>2673800</v>
      </c>
      <c r="J470" s="49">
        <f>+IF(FINANCIACION[[#This Row],[$ CAPITAL]]&gt;=0,FINANCIACION[[#This Row],[$ CAPITAL]]+FINANCIACION[[#This Row],[$ INTERESES]],0)</f>
        <v>2673800</v>
      </c>
    </row>
    <row r="471" spans="1:10" ht="24" hidden="1" customHeight="1" x14ac:dyDescent="0.25">
      <c r="A471" s="10">
        <v>44469</v>
      </c>
      <c r="B471" s="85" t="s">
        <v>455</v>
      </c>
      <c r="C471" s="87">
        <v>1304356.5</v>
      </c>
      <c r="D471" s="7"/>
      <c r="E471" s="7">
        <f>+IF(FINANCIACION[[#This Row],[$ CAPITAL]]&gt;=0,FINANCIACION[[#This Row],[$ CAPITAL]]+FINANCIACION[[#This Row],[$ INTERESES]],"")</f>
        <v>1304356.5</v>
      </c>
      <c r="F471" s="7">
        <f>+SUMIFS(FINANCIACION[$ CAPITAL],FINANCIACION[Fecha],"&lt;="&amp;FINANCIACION[[#This Row],[Fecha]],FINANCIACION[PRESTAMO],FINANCIACION[[#This Row],[PRESTAMO]])</f>
        <v>-96453395.5</v>
      </c>
      <c r="G471" s="91" t="s">
        <v>512</v>
      </c>
      <c r="H471" s="11"/>
      <c r="I471" s="7">
        <f>+IF(FINANCIACION[[#This Row],[$ CAPITAL]]&gt;0,FINANCIACION[[#This Row],[$ CAPITAL]])</f>
        <v>1304356.5</v>
      </c>
      <c r="J471" s="49">
        <f>+IF(FINANCIACION[[#This Row],[$ CAPITAL]]&gt;=0,FINANCIACION[[#This Row],[$ CAPITAL]]+FINANCIACION[[#This Row],[$ INTERESES]],0)</f>
        <v>1304356.5</v>
      </c>
    </row>
    <row r="472" spans="1:10" ht="24" hidden="1" customHeight="1" x14ac:dyDescent="0.25">
      <c r="A472" s="10">
        <v>44474</v>
      </c>
      <c r="B472" s="85" t="s">
        <v>455</v>
      </c>
      <c r="C472" s="7">
        <f>+FINANCIACION[[#This Row],[VALOR EN DOLARES]]*3806</f>
        <v>30448000</v>
      </c>
      <c r="D472" s="7">
        <v>39337</v>
      </c>
      <c r="E472" s="7">
        <f>+IF(FINANCIACION[[#This Row],[$ CAPITAL]]&gt;=0,FINANCIACION[[#This Row],[$ CAPITAL]]+FINANCIACION[[#This Row],[$ INTERESES]],"")</f>
        <v>30487337</v>
      </c>
      <c r="F472" s="7">
        <f>+SUMIFS(FINANCIACION[$ CAPITAL],FINANCIACION[Fecha],"&lt;="&amp;FINANCIACION[[#This Row],[Fecha]],FINANCIACION[PRESTAMO],FINANCIACION[[#This Row],[PRESTAMO]])</f>
        <v>-66005395.5</v>
      </c>
      <c r="G472" s="91"/>
      <c r="H472" s="91">
        <v>8000</v>
      </c>
      <c r="I472" s="7">
        <f>+IF(FINANCIACION[[#This Row],[$ CAPITAL]]&gt;0,FINANCIACION[[#This Row],[$ CAPITAL]])</f>
        <v>30448000</v>
      </c>
      <c r="J472" s="49">
        <f>+IF(FINANCIACION[[#This Row],[$ CAPITAL]]&gt;=0,FINANCIACION[[#This Row],[$ CAPITAL]]+FINANCIACION[[#This Row],[$ INTERESES]],0)</f>
        <v>30487337</v>
      </c>
    </row>
    <row r="473" spans="1:10" ht="24" hidden="1" customHeight="1" x14ac:dyDescent="0.25">
      <c r="A473" s="10">
        <v>44500</v>
      </c>
      <c r="B473" s="85" t="s">
        <v>455</v>
      </c>
      <c r="C473" s="7">
        <v>369052.82999999076</v>
      </c>
      <c r="D473" s="7"/>
      <c r="E473" s="7">
        <f>+IF(FINANCIACION[[#This Row],[$ CAPITAL]]&gt;=0,FINANCIACION[[#This Row],[$ CAPITAL]]+FINANCIACION[[#This Row],[$ INTERESES]],"")</f>
        <v>369052.82999999076</v>
      </c>
      <c r="F473" s="7">
        <f>+SUMIFS(FINANCIACION[$ CAPITAL],FINANCIACION[Fecha],"&lt;="&amp;FINANCIACION[[#This Row],[Fecha]],FINANCIACION[PRESTAMO],FINANCIACION[[#This Row],[PRESTAMO]])</f>
        <v>-65636342.670000009</v>
      </c>
      <c r="G473" s="91" t="s">
        <v>512</v>
      </c>
      <c r="H473" s="11"/>
      <c r="I473" s="7">
        <f>+IF(FINANCIACION[[#This Row],[$ CAPITAL]]&gt;0,FINANCIACION[[#This Row],[$ CAPITAL]])</f>
        <v>369052.82999999076</v>
      </c>
      <c r="J473" s="49">
        <f>+IF(FINANCIACION[[#This Row],[$ CAPITAL]]&gt;=0,FINANCIACION[[#This Row],[$ CAPITAL]]+FINANCIACION[[#This Row],[$ INTERESES]],0)</f>
        <v>369052.82999999076</v>
      </c>
    </row>
    <row r="474" spans="1:10" ht="24" hidden="1" customHeight="1" x14ac:dyDescent="0.25">
      <c r="A474" s="10">
        <v>44530</v>
      </c>
      <c r="B474" s="85" t="s">
        <v>455</v>
      </c>
      <c r="C474" s="7">
        <v>-1637071.6799999997</v>
      </c>
      <c r="D474" s="7"/>
      <c r="E474" s="7" t="str">
        <f>+IF(FINANCIACION[[#This Row],[$ CAPITAL]]&gt;=0,FINANCIACION[[#This Row],[$ CAPITAL]]+FINANCIACION[[#This Row],[$ INTERESES]],"")</f>
        <v/>
      </c>
      <c r="F474" s="7">
        <f>+SUMIFS(FINANCIACION[$ CAPITAL],FINANCIACION[Fecha],"&lt;="&amp;FINANCIACION[[#This Row],[Fecha]],FINANCIACION[PRESTAMO],FINANCIACION[[#This Row],[PRESTAMO]])</f>
        <v>-67273414.350000009</v>
      </c>
      <c r="G474" s="91"/>
      <c r="H474" s="11"/>
      <c r="I474" s="7" t="b">
        <f>+IF(FINANCIACION[[#This Row],[$ CAPITAL]]&gt;0,FINANCIACION[[#This Row],[$ CAPITAL]])</f>
        <v>0</v>
      </c>
      <c r="J474" s="49">
        <f>+IF(FINANCIACION[[#This Row],[$ CAPITAL]]&gt;=0,FINANCIACION[[#This Row],[$ CAPITAL]]+FINANCIACION[[#This Row],[$ INTERESES]],0)</f>
        <v>0</v>
      </c>
    </row>
    <row r="475" spans="1:10" ht="24" hidden="1" customHeight="1" x14ac:dyDescent="0.25">
      <c r="A475" s="10">
        <v>44531</v>
      </c>
      <c r="B475" s="85" t="s">
        <v>455</v>
      </c>
      <c r="C475" s="7">
        <v>30376000</v>
      </c>
      <c r="D475" s="7"/>
      <c r="E475" s="7">
        <f>+IF(FINANCIACION[[#This Row],[$ CAPITAL]]&gt;=0,FINANCIACION[[#This Row],[$ CAPITAL]]+FINANCIACION[[#This Row],[$ INTERESES]],"")</f>
        <v>30376000</v>
      </c>
      <c r="F475" s="7">
        <f>+SUMIFS(FINANCIACION[$ CAPITAL],FINANCIACION[Fecha],"&lt;="&amp;FINANCIACION[[#This Row],[Fecha]],FINANCIACION[PRESTAMO],FINANCIACION[[#This Row],[PRESTAMO]])</f>
        <v>-1637071.68</v>
      </c>
      <c r="G475" s="91"/>
      <c r="H475" s="11">
        <v>8000</v>
      </c>
      <c r="I475" s="7">
        <f>+IF(FINANCIACION[[#This Row],[$ CAPITAL]]&gt;0,FINANCIACION[[#This Row],[$ CAPITAL]])</f>
        <v>30376000</v>
      </c>
      <c r="J475" s="49">
        <f>+IF(FINANCIACION[[#This Row],[$ CAPITAL]]&gt;=0,FINANCIACION[[#This Row],[$ CAPITAL]]+FINANCIACION[[#This Row],[$ INTERESES]],0)</f>
        <v>30376000</v>
      </c>
    </row>
    <row r="476" spans="1:10" ht="24" hidden="1" customHeight="1" x14ac:dyDescent="0.25">
      <c r="A476" s="10">
        <v>44531</v>
      </c>
      <c r="B476" s="85" t="s">
        <v>455</v>
      </c>
      <c r="C476" s="7">
        <v>35817522</v>
      </c>
      <c r="D476" s="7"/>
      <c r="E476" s="7">
        <f>+IF(FINANCIACION[[#This Row],[$ CAPITAL]]&gt;=0,FINANCIACION[[#This Row],[$ CAPITAL]]+FINANCIACION[[#This Row],[$ INTERESES]],"")</f>
        <v>35817522</v>
      </c>
      <c r="F476" s="7">
        <f>+SUMIFS(FINANCIACION[$ CAPITAL],FINANCIACION[Fecha],"&lt;="&amp;FINANCIACION[[#This Row],[Fecha]],FINANCIACION[PRESTAMO],FINANCIACION[[#This Row],[PRESTAMO]])</f>
        <v>-1637071.68</v>
      </c>
      <c r="G476" s="91"/>
      <c r="H476" s="11">
        <v>9052.83</v>
      </c>
      <c r="I476" s="7">
        <f>+IF(FINANCIACION[[#This Row],[$ CAPITAL]]&gt;0,FINANCIACION[[#This Row],[$ CAPITAL]])</f>
        <v>35817522</v>
      </c>
      <c r="J476" s="49">
        <f>+IF(FINANCIACION[[#This Row],[$ CAPITAL]]&gt;=0,FINANCIACION[[#This Row],[$ CAPITAL]]+FINANCIACION[[#This Row],[$ INTERESES]],0)</f>
        <v>35817522</v>
      </c>
    </row>
    <row r="477" spans="1:10" ht="24" hidden="1" customHeight="1" x14ac:dyDescent="0.25">
      <c r="A477" s="10">
        <v>44531</v>
      </c>
      <c r="B477" s="85" t="s">
        <v>455</v>
      </c>
      <c r="C477" s="7">
        <v>-557179.32999999099</v>
      </c>
      <c r="D477" s="7"/>
      <c r="E477" s="7" t="str">
        <f>+IF(FINANCIACION[[#This Row],[$ CAPITAL]]&gt;=0,FINANCIACION[[#This Row],[$ CAPITAL]]+FINANCIACION[[#This Row],[$ INTERESES]],"")</f>
        <v/>
      </c>
      <c r="F477" s="7">
        <f>+SUMIFS(FINANCIACION[$ CAPITAL],FINANCIACION[Fecha],"&lt;="&amp;FINANCIACION[[#This Row],[Fecha]],FINANCIACION[PRESTAMO],FINANCIACION[[#This Row],[PRESTAMO]])</f>
        <v>-1637071.68</v>
      </c>
      <c r="G477" s="91" t="s">
        <v>512</v>
      </c>
      <c r="H477" s="11"/>
      <c r="I477" s="7" t="b">
        <f>+IF(FINANCIACION[[#This Row],[$ CAPITAL]]&gt;0,FINANCIACION[[#This Row],[$ CAPITAL]])</f>
        <v>0</v>
      </c>
      <c r="J477" s="49">
        <f>+IF(FINANCIACION[[#This Row],[$ CAPITAL]]&gt;=0,FINANCIACION[[#This Row],[$ CAPITAL]]+FINANCIACION[[#This Row],[$ INTERESES]],0)</f>
        <v>0</v>
      </c>
    </row>
    <row r="478" spans="1:10" ht="24" hidden="1" customHeight="1" x14ac:dyDescent="0.25">
      <c r="A478" s="10">
        <v>44561</v>
      </c>
      <c r="B478" s="85" t="s">
        <v>455</v>
      </c>
      <c r="C478" s="7">
        <v>1637071.68</v>
      </c>
      <c r="D478" s="7"/>
      <c r="E478" s="7">
        <f>+IF(FINANCIACION[[#This Row],[$ CAPITAL]]&gt;=0,FINANCIACION[[#This Row],[$ CAPITAL]]+FINANCIACION[[#This Row],[$ INTERESES]],"")</f>
        <v>1637071.68</v>
      </c>
      <c r="F478" s="7">
        <f>+SUMIFS(FINANCIACION[$ CAPITAL],FINANCIACION[Fecha],"&lt;="&amp;FINANCIACION[[#This Row],[Fecha]],FINANCIACION[PRESTAMO],FINANCIACION[[#This Row],[PRESTAMO]])</f>
        <v>0</v>
      </c>
      <c r="G478" s="91" t="s">
        <v>512</v>
      </c>
      <c r="H478" s="11"/>
      <c r="I478" s="7">
        <f>+IF(FINANCIACION[[#This Row],[$ CAPITAL]]&gt;0,FINANCIACION[[#This Row],[$ CAPITAL]])</f>
        <v>1637071.68</v>
      </c>
      <c r="J478" s="49">
        <f>+IF(FINANCIACION[[#This Row],[$ CAPITAL]]&gt;=0,FINANCIACION[[#This Row],[$ CAPITAL]]+FINANCIACION[[#This Row],[$ INTERESES]],0)</f>
        <v>1637071.68</v>
      </c>
    </row>
    <row r="479" spans="1:10" ht="24" hidden="1" customHeight="1" x14ac:dyDescent="0.25">
      <c r="A479" s="10">
        <v>44285</v>
      </c>
      <c r="B479" s="85" t="s">
        <v>589</v>
      </c>
      <c r="C479" s="7">
        <v>-55440541</v>
      </c>
      <c r="D479" s="7"/>
      <c r="E479" s="7" t="str">
        <f>+IF(FINANCIACION[[#This Row],[$ CAPITAL]]&gt;=0,FINANCIACION[[#This Row],[$ CAPITAL]]+FINANCIACION[[#This Row],[$ INTERESES]],"")</f>
        <v/>
      </c>
      <c r="F479" s="7">
        <f>+SUMIFS(FINANCIACION[$ CAPITAL],FINANCIACION[Fecha],"&lt;="&amp;FINANCIACION[[#This Row],[Fecha]],FINANCIACION[PRESTAMO],FINANCIACION[[#This Row],[PRESTAMO]])</f>
        <v>-55440541</v>
      </c>
      <c r="G479" s="11"/>
      <c r="H479" s="91">
        <v>-14983.93</v>
      </c>
      <c r="I479" s="7" t="b">
        <f>+IF(FINANCIACION[[#This Row],[$ CAPITAL]]&gt;0,FINANCIACION[[#This Row],[$ CAPITAL]])</f>
        <v>0</v>
      </c>
      <c r="J479" s="12">
        <f>+IF(FINANCIACION[[#This Row],[$ CAPITAL]]&gt;=0,FINANCIACION[[#This Row],[$ CAPITAL]]+FINANCIACION[[#This Row],[$ INTERESES]],0)</f>
        <v>0</v>
      </c>
    </row>
    <row r="480" spans="1:10" ht="24" hidden="1" customHeight="1" x14ac:dyDescent="0.25">
      <c r="A480" s="10">
        <v>44316</v>
      </c>
      <c r="B480" s="85" t="s">
        <v>589</v>
      </c>
      <c r="C480" s="7">
        <v>-1498393</v>
      </c>
      <c r="D480" s="7"/>
      <c r="E480" s="7" t="str">
        <f>+IF(FINANCIACION[[#This Row],[$ CAPITAL]]&gt;=0,FINANCIACION[[#This Row],[$ CAPITAL]]+FINANCIACION[[#This Row],[$ INTERESES]],"")</f>
        <v/>
      </c>
      <c r="F480" s="7">
        <f>+SUMIFS(FINANCIACION[$ CAPITAL],FINANCIACION[Fecha],"&lt;="&amp;FINANCIACION[[#This Row],[Fecha]],FINANCIACION[PRESTAMO],FINANCIACION[[#This Row],[PRESTAMO]])</f>
        <v>-56938934</v>
      </c>
      <c r="G480" s="11" t="s">
        <v>512</v>
      </c>
      <c r="H480" s="91"/>
      <c r="I480" s="7" t="b">
        <f>+IF(FINANCIACION[[#This Row],[$ CAPITAL]]&gt;0,FINANCIACION[[#This Row],[$ CAPITAL]])</f>
        <v>0</v>
      </c>
      <c r="J480" s="12">
        <f>+IF(FINANCIACION[[#This Row],[$ CAPITAL]]&gt;=0,FINANCIACION[[#This Row],[$ CAPITAL]]+FINANCIACION[[#This Row],[$ INTERESES]],0)</f>
        <v>0</v>
      </c>
    </row>
    <row r="481" spans="1:10" ht="24" hidden="1" customHeight="1" x14ac:dyDescent="0.25">
      <c r="A481" s="10">
        <v>44408</v>
      </c>
      <c r="B481" s="85" t="s">
        <v>589</v>
      </c>
      <c r="C481" s="7">
        <v>-1498393</v>
      </c>
      <c r="D481" s="7"/>
      <c r="E481" s="7" t="str">
        <f>+IF(FINANCIACION[[#This Row],[$ CAPITAL]]&gt;=0,FINANCIACION[[#This Row],[$ CAPITAL]]+FINANCIACION[[#This Row],[$ INTERESES]],"")</f>
        <v/>
      </c>
      <c r="F481" s="7">
        <f>+SUMIFS(FINANCIACION[$ CAPITAL],FINANCIACION[Fecha],"&lt;="&amp;FINANCIACION[[#This Row],[Fecha]],FINANCIACION[PRESTAMO],FINANCIACION[[#This Row],[PRESTAMO]])</f>
        <v>-58437327</v>
      </c>
      <c r="G481" s="11" t="s">
        <v>512</v>
      </c>
      <c r="H481" s="11"/>
      <c r="I481" s="7" t="b">
        <f>+IF(FINANCIACION[[#This Row],[$ CAPITAL]]&gt;0,FINANCIACION[[#This Row],[$ CAPITAL]])</f>
        <v>0</v>
      </c>
      <c r="J481" s="49">
        <f>+IF(FINANCIACION[[#This Row],[$ CAPITAL]]&gt;=0,FINANCIACION[[#This Row],[$ CAPITAL]]+FINANCIACION[[#This Row],[$ INTERESES]],0)</f>
        <v>0</v>
      </c>
    </row>
    <row r="482" spans="1:10" ht="24" hidden="1" customHeight="1" x14ac:dyDescent="0.25">
      <c r="A482" s="10">
        <v>44469</v>
      </c>
      <c r="B482" s="85" t="s">
        <v>589</v>
      </c>
      <c r="C482" s="87">
        <v>749196.5</v>
      </c>
      <c r="D482" s="7"/>
      <c r="E482" s="7">
        <f>+IF(FINANCIACION[[#This Row],[$ CAPITAL]]&gt;=0,FINANCIACION[[#This Row],[$ CAPITAL]]+FINANCIACION[[#This Row],[$ INTERESES]],"")</f>
        <v>749196.5</v>
      </c>
      <c r="F482" s="7">
        <f>+SUMIFS(FINANCIACION[$ CAPITAL],FINANCIACION[Fecha],"&lt;="&amp;FINANCIACION[[#This Row],[Fecha]],FINANCIACION[PRESTAMO],FINANCIACION[[#This Row],[PRESTAMO]])</f>
        <v>-57688130.5</v>
      </c>
      <c r="G482" s="91" t="s">
        <v>512</v>
      </c>
      <c r="H482" s="11"/>
      <c r="I482" s="7">
        <f>+IF(FINANCIACION[[#This Row],[$ CAPITAL]]&gt;0,FINANCIACION[[#This Row],[$ CAPITAL]])</f>
        <v>749196.5</v>
      </c>
      <c r="J482" s="49">
        <f>+IF(FINANCIACION[[#This Row],[$ CAPITAL]]&gt;=0,FINANCIACION[[#This Row],[$ CAPITAL]]+FINANCIACION[[#This Row],[$ INTERESES]],0)</f>
        <v>749196.5</v>
      </c>
    </row>
    <row r="483" spans="1:10" ht="24" hidden="1" customHeight="1" x14ac:dyDescent="0.25">
      <c r="A483" s="10">
        <v>44500</v>
      </c>
      <c r="B483" s="85" t="s">
        <v>589</v>
      </c>
      <c r="C483" s="7">
        <v>14983.929999999702</v>
      </c>
      <c r="D483" s="7"/>
      <c r="E483" s="7">
        <f>+IF(FINANCIACION[[#This Row],[$ CAPITAL]]&gt;=0,FINANCIACION[[#This Row],[$ CAPITAL]]+FINANCIACION[[#This Row],[$ INTERESES]],"")</f>
        <v>14983.929999999702</v>
      </c>
      <c r="F483" s="7">
        <f>+SUMIFS(FINANCIACION[$ CAPITAL],FINANCIACION[Fecha],"&lt;="&amp;FINANCIACION[[#This Row],[Fecha]],FINANCIACION[PRESTAMO],FINANCIACION[[#This Row],[PRESTAMO]])</f>
        <v>-57673146.57</v>
      </c>
      <c r="G483" s="91" t="s">
        <v>512</v>
      </c>
      <c r="H483" s="11"/>
      <c r="I483" s="7">
        <f>+IF(FINANCIACION[[#This Row],[$ CAPITAL]]&gt;0,FINANCIACION[[#This Row],[$ CAPITAL]])</f>
        <v>14983.929999999702</v>
      </c>
      <c r="J483" s="49">
        <f>+IF(FINANCIACION[[#This Row],[$ CAPITAL]]&gt;=0,FINANCIACION[[#This Row],[$ CAPITAL]]+FINANCIACION[[#This Row],[$ INTERESES]],0)</f>
        <v>14983.929999999702</v>
      </c>
    </row>
    <row r="484" spans="1:10" ht="24" hidden="1" customHeight="1" x14ac:dyDescent="0.25">
      <c r="A484" s="10">
        <v>44530</v>
      </c>
      <c r="B484" s="85" t="s">
        <v>589</v>
      </c>
      <c r="C484" s="7">
        <v>-1438457.2800000012</v>
      </c>
      <c r="D484" s="7"/>
      <c r="E484" s="7" t="str">
        <f>+IF(FINANCIACION[[#This Row],[$ CAPITAL]]&gt;=0,FINANCIACION[[#This Row],[$ CAPITAL]]+FINANCIACION[[#This Row],[$ INTERESES]],"")</f>
        <v/>
      </c>
      <c r="F484" s="7">
        <f>+SUMIFS(FINANCIACION[$ CAPITAL],FINANCIACION[Fecha],"&lt;="&amp;FINANCIACION[[#This Row],[Fecha]],FINANCIACION[PRESTAMO],FINANCIACION[[#This Row],[PRESTAMO]])</f>
        <v>-59111603.850000001</v>
      </c>
      <c r="G484" s="91"/>
      <c r="H484" s="11"/>
      <c r="I484" s="7" t="b">
        <f>+IF(FINANCIACION[[#This Row],[$ CAPITAL]]&gt;0,FINANCIACION[[#This Row],[$ CAPITAL]])</f>
        <v>0</v>
      </c>
      <c r="J484" s="49">
        <f>+IF(FINANCIACION[[#This Row],[$ CAPITAL]]&gt;=0,FINANCIACION[[#This Row],[$ CAPITAL]]+FINANCIACION[[#This Row],[$ INTERESES]],0)</f>
        <v>0</v>
      </c>
    </row>
    <row r="485" spans="1:10" ht="24" hidden="1" customHeight="1" x14ac:dyDescent="0.25">
      <c r="A485" s="10">
        <v>44561</v>
      </c>
      <c r="B485" s="85" t="s">
        <v>589</v>
      </c>
      <c r="C485" s="7">
        <v>-2322509.1499999985</v>
      </c>
      <c r="D485" s="7"/>
      <c r="E485" s="7" t="str">
        <f>+IF(FINANCIACION[[#This Row],[$ CAPITAL]]&gt;=0,FINANCIACION[[#This Row],[$ CAPITAL]]+FINANCIACION[[#This Row],[$ INTERESES]],"")</f>
        <v/>
      </c>
      <c r="F485" s="7">
        <f>+SUMIFS(FINANCIACION[$ CAPITAL],FINANCIACION[Fecha],"&lt;="&amp;FINANCIACION[[#This Row],[Fecha]],FINANCIACION[PRESTAMO],FINANCIACION[[#This Row],[PRESTAMO]])</f>
        <v>-61434113</v>
      </c>
      <c r="G485" s="91"/>
      <c r="H485" s="11"/>
      <c r="I485" s="7" t="b">
        <f>+IF(FINANCIACION[[#This Row],[$ CAPITAL]]&gt;0,FINANCIACION[[#This Row],[$ CAPITAL]])</f>
        <v>0</v>
      </c>
      <c r="J485" s="49">
        <f>+IF(FINANCIACION[[#This Row],[$ CAPITAL]]&gt;=0,FINANCIACION[[#This Row],[$ CAPITAL]]+FINANCIACION[[#This Row],[$ INTERESES]],0)</f>
        <v>0</v>
      </c>
    </row>
    <row r="486" spans="1:10" ht="24" hidden="1" customHeight="1" x14ac:dyDescent="0.25">
      <c r="A486" s="10">
        <v>44377</v>
      </c>
      <c r="B486" s="85" t="s">
        <v>740</v>
      </c>
      <c r="C486" s="7">
        <f>+FINANCIACION[[#This Row],[VALOR EN DOLARES]]*3800</f>
        <v>-22522714</v>
      </c>
      <c r="D486" s="7"/>
      <c r="E486" s="7" t="str">
        <f>+IF(FINANCIACION[[#This Row],[$ CAPITAL]]&gt;=0,FINANCIACION[[#This Row],[$ CAPITAL]]+FINANCIACION[[#This Row],[$ INTERESES]],"")</f>
        <v/>
      </c>
      <c r="F486" s="7">
        <f>+SUMIFS(FINANCIACION[$ CAPITAL],FINANCIACION[Fecha],"&lt;="&amp;FINANCIACION[[#This Row],[Fecha]],FINANCIACION[PRESTAMO],FINANCIACION[[#This Row],[PRESTAMO]])</f>
        <v>-22522714</v>
      </c>
      <c r="G486" s="91" t="s">
        <v>742</v>
      </c>
      <c r="H486" s="131">
        <v>-5927.03</v>
      </c>
      <c r="I486" s="7" t="b">
        <f>+IF(FINANCIACION[[#This Row],[$ CAPITAL]]&gt;0,FINANCIACION[[#This Row],[$ CAPITAL]])</f>
        <v>0</v>
      </c>
      <c r="J486" s="49">
        <f>+IF(FINANCIACION[[#This Row],[$ CAPITAL]]&gt;=0,FINANCIACION[[#This Row],[$ CAPITAL]]+FINANCIACION[[#This Row],[$ INTERESES]],0)</f>
        <v>0</v>
      </c>
    </row>
    <row r="487" spans="1:10" ht="24" hidden="1" customHeight="1" x14ac:dyDescent="0.25">
      <c r="A487" s="10">
        <v>44408</v>
      </c>
      <c r="B487" s="85" t="s">
        <v>740</v>
      </c>
      <c r="C487" s="7">
        <v>-592703</v>
      </c>
      <c r="D487" s="7"/>
      <c r="E487" s="7" t="str">
        <f>+IF(FINANCIACION[[#This Row],[$ CAPITAL]]&gt;=0,FINANCIACION[[#This Row],[$ CAPITAL]]+FINANCIACION[[#This Row],[$ INTERESES]],"")</f>
        <v/>
      </c>
      <c r="F487" s="7">
        <f>+SUMIFS(FINANCIACION[$ CAPITAL],FINANCIACION[Fecha],"&lt;="&amp;FINANCIACION[[#This Row],[Fecha]],FINANCIACION[PRESTAMO],FINANCIACION[[#This Row],[PRESTAMO]])</f>
        <v>-23115417</v>
      </c>
      <c r="G487" s="11" t="s">
        <v>512</v>
      </c>
      <c r="H487" s="11"/>
      <c r="I487" s="7" t="b">
        <f>+IF(FINANCIACION[[#This Row],[$ CAPITAL]]&gt;0,FINANCIACION[[#This Row],[$ CAPITAL]])</f>
        <v>0</v>
      </c>
      <c r="J487" s="49">
        <f>+IF(FINANCIACION[[#This Row],[$ CAPITAL]]&gt;=0,FINANCIACION[[#This Row],[$ CAPITAL]]+FINANCIACION[[#This Row],[$ INTERESES]],0)</f>
        <v>0</v>
      </c>
    </row>
    <row r="488" spans="1:10" ht="24" hidden="1" customHeight="1" x14ac:dyDescent="0.25">
      <c r="A488" s="10">
        <v>44469</v>
      </c>
      <c r="B488" s="85" t="s">
        <v>740</v>
      </c>
      <c r="C488" s="87">
        <v>296351.5</v>
      </c>
      <c r="D488" s="7"/>
      <c r="E488" s="7">
        <f>+IF(FINANCIACION[[#This Row],[$ CAPITAL]]&gt;=0,FINANCIACION[[#This Row],[$ CAPITAL]]+FINANCIACION[[#This Row],[$ INTERESES]],"")</f>
        <v>296351.5</v>
      </c>
      <c r="F488" s="7">
        <f>+SUMIFS(FINANCIACION[$ CAPITAL],FINANCIACION[Fecha],"&lt;="&amp;FINANCIACION[[#This Row],[Fecha]],FINANCIACION[PRESTAMO],FINANCIACION[[#This Row],[PRESTAMO]])</f>
        <v>-22819065.5</v>
      </c>
      <c r="G488" s="91" t="s">
        <v>512</v>
      </c>
      <c r="H488" s="11"/>
      <c r="I488" s="7">
        <f>+IF(FINANCIACION[[#This Row],[$ CAPITAL]]&gt;0,FINANCIACION[[#This Row],[$ CAPITAL]])</f>
        <v>296351.5</v>
      </c>
      <c r="J488" s="49">
        <f>+IF(FINANCIACION[[#This Row],[$ CAPITAL]]&gt;=0,FINANCIACION[[#This Row],[$ CAPITAL]]+FINANCIACION[[#This Row],[$ INTERESES]],0)</f>
        <v>296351.5</v>
      </c>
    </row>
    <row r="489" spans="1:10" ht="24" hidden="1" customHeight="1" x14ac:dyDescent="0.25">
      <c r="A489" s="10">
        <v>44500</v>
      </c>
      <c r="B489" s="85" t="s">
        <v>740</v>
      </c>
      <c r="C489" s="7">
        <v>5927.0300000011921</v>
      </c>
      <c r="D489" s="7"/>
      <c r="E489" s="7">
        <f>+IF(FINANCIACION[[#This Row],[$ CAPITAL]]&gt;=0,FINANCIACION[[#This Row],[$ CAPITAL]]+FINANCIACION[[#This Row],[$ INTERESES]],"")</f>
        <v>5927.0300000011921</v>
      </c>
      <c r="F489" s="7">
        <f>+SUMIFS(FINANCIACION[$ CAPITAL],FINANCIACION[Fecha],"&lt;="&amp;FINANCIACION[[#This Row],[Fecha]],FINANCIACION[PRESTAMO],FINANCIACION[[#This Row],[PRESTAMO]])</f>
        <v>-22813138.469999999</v>
      </c>
      <c r="G489" s="91" t="s">
        <v>512</v>
      </c>
      <c r="H489" s="11"/>
      <c r="I489" s="7">
        <f>+IF(FINANCIACION[[#This Row],[$ CAPITAL]]&gt;0,FINANCIACION[[#This Row],[$ CAPITAL]])</f>
        <v>5927.0300000011921</v>
      </c>
      <c r="J489" s="49">
        <f>+IF(FINANCIACION[[#This Row],[$ CAPITAL]]&gt;=0,FINANCIACION[[#This Row],[$ CAPITAL]]+FINANCIACION[[#This Row],[$ INTERESES]],0)</f>
        <v>5927.0300000011921</v>
      </c>
    </row>
    <row r="490" spans="1:10" ht="24" hidden="1" customHeight="1" x14ac:dyDescent="0.25">
      <c r="A490" s="10">
        <v>44530</v>
      </c>
      <c r="B490" s="85" t="s">
        <v>740</v>
      </c>
      <c r="C490" s="7">
        <v>-568994.87999999896</v>
      </c>
      <c r="D490" s="7"/>
      <c r="E490" s="7" t="str">
        <f>+IF(FINANCIACION[[#This Row],[$ CAPITAL]]&gt;=0,FINANCIACION[[#This Row],[$ CAPITAL]]+FINANCIACION[[#This Row],[$ INTERESES]],"")</f>
        <v/>
      </c>
      <c r="F490" s="7">
        <f>+SUMIFS(FINANCIACION[$ CAPITAL],FINANCIACION[Fecha],"&lt;="&amp;FINANCIACION[[#This Row],[Fecha]],FINANCIACION[PRESTAMO],FINANCIACION[[#This Row],[PRESTAMO]])</f>
        <v>-23382133.349999998</v>
      </c>
      <c r="G490" s="91"/>
      <c r="H490" s="11"/>
      <c r="I490" s="7" t="b">
        <f>+IF(FINANCIACION[[#This Row],[$ CAPITAL]]&gt;0,FINANCIACION[[#This Row],[$ CAPITAL]])</f>
        <v>0</v>
      </c>
      <c r="J490" s="49">
        <f>+IF(FINANCIACION[[#This Row],[$ CAPITAL]]&gt;=0,FINANCIACION[[#This Row],[$ CAPITAL]]+FINANCIACION[[#This Row],[$ INTERESES]],0)</f>
        <v>0</v>
      </c>
    </row>
    <row r="491" spans="1:10" ht="24" hidden="1" customHeight="1" x14ac:dyDescent="0.25">
      <c r="A491" s="10">
        <v>44561</v>
      </c>
      <c r="B491" s="85" t="s">
        <v>740</v>
      </c>
      <c r="C491" s="7">
        <v>-918689.65000000224</v>
      </c>
      <c r="D491" s="7"/>
      <c r="E491" s="7" t="str">
        <f>+IF(FINANCIACION[[#This Row],[$ CAPITAL]]&gt;=0,FINANCIACION[[#This Row],[$ CAPITAL]]+FINANCIACION[[#This Row],[$ INTERESES]],"")</f>
        <v/>
      </c>
      <c r="F491" s="7">
        <f>+SUMIFS(FINANCIACION[$ CAPITAL],FINANCIACION[Fecha],"&lt;="&amp;FINANCIACION[[#This Row],[Fecha]],FINANCIACION[PRESTAMO],FINANCIACION[[#This Row],[PRESTAMO]])</f>
        <v>-24300823</v>
      </c>
      <c r="G491" s="91"/>
      <c r="H491" s="11"/>
      <c r="I491" s="7" t="b">
        <f>+IF(FINANCIACION[[#This Row],[$ CAPITAL]]&gt;0,FINANCIACION[[#This Row],[$ CAPITAL]])</f>
        <v>0</v>
      </c>
      <c r="J491" s="49">
        <f>+IF(FINANCIACION[[#This Row],[$ CAPITAL]]&gt;=0,FINANCIACION[[#This Row],[$ CAPITAL]]+FINANCIACION[[#This Row],[$ INTERESES]],0)</f>
        <v>0</v>
      </c>
    </row>
    <row r="492" spans="1:10" ht="24" hidden="1" customHeight="1" x14ac:dyDescent="0.25">
      <c r="A492" s="10">
        <v>44475</v>
      </c>
      <c r="B492" s="85" t="s">
        <v>881</v>
      </c>
      <c r="C492" s="7">
        <f>+FINANCIACION[[#This Row],[VALOR EN DOLARES]]*3850</f>
        <v>-52697606.5</v>
      </c>
      <c r="D492" s="7"/>
      <c r="E492" s="7" t="str">
        <f>+IF(FINANCIACION[[#This Row],[$ CAPITAL]]&gt;=0,FINANCIACION[[#This Row],[$ CAPITAL]]+FINANCIACION[[#This Row],[$ INTERESES]],"")</f>
        <v/>
      </c>
      <c r="F492" s="7">
        <f>+SUMIFS(FINANCIACION[$ CAPITAL],FINANCIACION[Fecha],"&lt;="&amp;FINANCIACION[[#This Row],[Fecha]],FINANCIACION[PRESTAMO],FINANCIACION[[#This Row],[PRESTAMO]])</f>
        <v>-52697606.5</v>
      </c>
      <c r="G492" s="91"/>
      <c r="H492" s="91">
        <v>-13687.69</v>
      </c>
      <c r="I492" s="7" t="b">
        <f>+IF(FINANCIACION[[#This Row],[$ CAPITAL]]&gt;0,FINANCIACION[[#This Row],[$ CAPITAL]])</f>
        <v>0</v>
      </c>
      <c r="J492" s="49">
        <f>+IF(FINANCIACION[[#This Row],[$ CAPITAL]]&gt;=0,FINANCIACION[[#This Row],[$ CAPITAL]]+FINANCIACION[[#This Row],[$ INTERESES]],0)</f>
        <v>0</v>
      </c>
    </row>
    <row r="493" spans="1:10" ht="24" hidden="1" customHeight="1" x14ac:dyDescent="0.25">
      <c r="A493" s="10">
        <v>44500</v>
      </c>
      <c r="B493" s="85" t="s">
        <v>881</v>
      </c>
      <c r="C493" s="7">
        <v>13687.689999997616</v>
      </c>
      <c r="D493" s="7"/>
      <c r="E493" s="7">
        <f>+IF(FINANCIACION[[#This Row],[$ CAPITAL]]&gt;=0,FINANCIACION[[#This Row],[$ CAPITAL]]+FINANCIACION[[#This Row],[$ INTERESES]],"")</f>
        <v>13687.689999997616</v>
      </c>
      <c r="F493" s="7">
        <f>+SUMIFS(FINANCIACION[$ CAPITAL],FINANCIACION[Fecha],"&lt;="&amp;FINANCIACION[[#This Row],[Fecha]],FINANCIACION[PRESTAMO],FINANCIACION[[#This Row],[PRESTAMO]])</f>
        <v>-52683918.810000002</v>
      </c>
      <c r="G493" s="91" t="s">
        <v>512</v>
      </c>
      <c r="H493" s="11"/>
      <c r="I493" s="7">
        <f>+IF(FINANCIACION[[#This Row],[$ CAPITAL]]&gt;0,FINANCIACION[[#This Row],[$ CAPITAL]])</f>
        <v>13687.689999997616</v>
      </c>
      <c r="J493" s="49">
        <f>+IF(FINANCIACION[[#This Row],[$ CAPITAL]]&gt;=0,FINANCIACION[[#This Row],[$ CAPITAL]]+FINANCIACION[[#This Row],[$ INTERESES]],0)</f>
        <v>13687.689999997616</v>
      </c>
    </row>
    <row r="494" spans="1:10" ht="24" hidden="1" customHeight="1" x14ac:dyDescent="0.25">
      <c r="A494" s="10">
        <v>44530</v>
      </c>
      <c r="B494" s="85" t="s">
        <v>881</v>
      </c>
      <c r="C494" s="7">
        <v>-1314018.2400000021</v>
      </c>
      <c r="D494" s="7"/>
      <c r="E494" s="7" t="str">
        <f>+IF(FINANCIACION[[#This Row],[$ CAPITAL]]&gt;=0,FINANCIACION[[#This Row],[$ CAPITAL]]+FINANCIACION[[#This Row],[$ INTERESES]],"")</f>
        <v/>
      </c>
      <c r="F494" s="7">
        <f>+SUMIFS(FINANCIACION[$ CAPITAL],FINANCIACION[Fecha],"&lt;="&amp;FINANCIACION[[#This Row],[Fecha]],FINANCIACION[PRESTAMO],FINANCIACION[[#This Row],[PRESTAMO]])</f>
        <v>-53997937.050000004</v>
      </c>
      <c r="G494" s="91"/>
      <c r="H494" s="11"/>
      <c r="I494" s="7" t="b">
        <f>+IF(FINANCIACION[[#This Row],[$ CAPITAL]]&gt;0,FINANCIACION[[#This Row],[$ CAPITAL]])</f>
        <v>0</v>
      </c>
      <c r="J494" s="49">
        <f>+IF(FINANCIACION[[#This Row],[$ CAPITAL]]&gt;=0,FINANCIACION[[#This Row],[$ CAPITAL]]+FINANCIACION[[#This Row],[$ INTERESES]],0)</f>
        <v>0</v>
      </c>
    </row>
    <row r="495" spans="1:10" ht="24" hidden="1" customHeight="1" x14ac:dyDescent="0.25">
      <c r="A495" s="10">
        <v>44561</v>
      </c>
      <c r="B495" s="85" t="s">
        <v>881</v>
      </c>
      <c r="C495" s="7">
        <v>-2121591.9499999955</v>
      </c>
      <c r="D495" s="7"/>
      <c r="E495" s="7" t="str">
        <f>+IF(FINANCIACION[[#This Row],[$ CAPITAL]]&gt;=0,FINANCIACION[[#This Row],[$ CAPITAL]]+FINANCIACION[[#This Row],[$ INTERESES]],"")</f>
        <v/>
      </c>
      <c r="F495" s="7">
        <f>+SUMIFS(FINANCIACION[$ CAPITAL],FINANCIACION[Fecha],"&lt;="&amp;FINANCIACION[[#This Row],[Fecha]],FINANCIACION[PRESTAMO],FINANCIACION[[#This Row],[PRESTAMO]])</f>
        <v>-56119529</v>
      </c>
      <c r="G495" s="91"/>
      <c r="H495" s="11"/>
      <c r="I495" s="7" t="b">
        <f>+IF(FINANCIACION[[#This Row],[$ CAPITAL]]&gt;0,FINANCIACION[[#This Row],[$ CAPITAL]])</f>
        <v>0</v>
      </c>
      <c r="J495" s="49">
        <f>+IF(FINANCIACION[[#This Row],[$ CAPITAL]]&gt;=0,FINANCIACION[[#This Row],[$ CAPITAL]]+FINANCIACION[[#This Row],[$ INTERESES]],0)</f>
        <v>0</v>
      </c>
    </row>
    <row r="496" spans="1:10" ht="24" hidden="1" customHeight="1" x14ac:dyDescent="0.25">
      <c r="A496" s="10">
        <v>43346</v>
      </c>
      <c r="B496" s="85" t="s">
        <v>456</v>
      </c>
      <c r="C496" s="7">
        <v>-150000000</v>
      </c>
      <c r="D496" s="7"/>
      <c r="E496" s="7" t="str">
        <f>+IF(FINANCIACION[[#This Row],[$ CAPITAL]]&gt;=0,FINANCIACION[[#This Row],[$ CAPITAL]]+FINANCIACION[[#This Row],[$ INTERESES]],"")</f>
        <v/>
      </c>
      <c r="F496" s="7">
        <f>+SUMIFS(FINANCIACION[$ CAPITAL],FINANCIACION[Fecha],"&lt;="&amp;FINANCIACION[[#This Row],[Fecha]],FINANCIACION[PRESTAMO],FINANCIACION[[#This Row],[PRESTAMO]])</f>
        <v>-150000000</v>
      </c>
      <c r="G496" s="11"/>
      <c r="H496" s="11"/>
      <c r="I496" s="7" t="b">
        <f>+IF(FINANCIACION[[#This Row],[$ CAPITAL]]&gt;0,FINANCIACION[[#This Row],[$ CAPITAL]])</f>
        <v>0</v>
      </c>
      <c r="J496" s="49">
        <f>+IF(FINANCIACION[[#This Row],[$ CAPITAL]]&gt;=0,FINANCIACION[[#This Row],[$ CAPITAL]]+FINANCIACION[[#This Row],[$ INTERESES]],0)</f>
        <v>0</v>
      </c>
    </row>
    <row r="497" spans="1:10" ht="24" hidden="1" customHeight="1" x14ac:dyDescent="0.25">
      <c r="A497" s="10">
        <v>43465</v>
      </c>
      <c r="B497" s="85" t="s">
        <v>456</v>
      </c>
      <c r="C497" s="7">
        <v>17500000</v>
      </c>
      <c r="D497" s="7"/>
      <c r="E497" s="7">
        <f>+IF(FINANCIACION[[#This Row],[$ CAPITAL]]&gt;=0,FINANCIACION[[#This Row],[$ CAPITAL]]+FINANCIACION[[#This Row],[$ INTERESES]],"")</f>
        <v>17500000</v>
      </c>
      <c r="F497" s="7">
        <f>+SUMIFS(FINANCIACION[$ CAPITAL],FINANCIACION[Fecha],"&lt;="&amp;FINANCIACION[[#This Row],[Fecha]],FINANCIACION[PRESTAMO],FINANCIACION[[#This Row],[PRESTAMO]])</f>
        <v>-132500000</v>
      </c>
      <c r="G497" s="11"/>
      <c r="H497" s="11"/>
      <c r="I497" s="7">
        <f>+IF(FINANCIACION[[#This Row],[$ CAPITAL]]&gt;0,FINANCIACION[[#This Row],[$ CAPITAL]])</f>
        <v>17500000</v>
      </c>
      <c r="J497" s="49">
        <f>+IF(FINANCIACION[[#This Row],[$ CAPITAL]]&gt;=0,FINANCIACION[[#This Row],[$ CAPITAL]]+FINANCIACION[[#This Row],[$ INTERESES]],0)</f>
        <v>17500000</v>
      </c>
    </row>
    <row r="498" spans="1:10" ht="24" hidden="1" customHeight="1" x14ac:dyDescent="0.25">
      <c r="A498" s="10">
        <v>43468</v>
      </c>
      <c r="B498" s="85" t="s">
        <v>456</v>
      </c>
      <c r="C498" s="7">
        <v>6250000</v>
      </c>
      <c r="D498" s="7">
        <v>1204483.46</v>
      </c>
      <c r="E498" s="7">
        <f>+IF(FINANCIACION[[#This Row],[$ CAPITAL]]&gt;=0,FINANCIACION[[#This Row],[$ CAPITAL]]+FINANCIACION[[#This Row],[$ INTERESES]],"")</f>
        <v>7454483.46</v>
      </c>
      <c r="F498" s="7">
        <f>+SUMIFS(FINANCIACION[$ CAPITAL],FINANCIACION[Fecha],"&lt;="&amp;FINANCIACION[[#This Row],[Fecha]],FINANCIACION[PRESTAMO],FINANCIACION[[#This Row],[PRESTAMO]])</f>
        <v>-126250000</v>
      </c>
      <c r="G498" s="11"/>
      <c r="H498" s="11"/>
      <c r="I498" s="7">
        <f>+IF(FINANCIACION[[#This Row],[$ CAPITAL]]&gt;0,FINANCIACION[[#This Row],[$ CAPITAL]])</f>
        <v>6250000</v>
      </c>
      <c r="J498" s="49">
        <f>+IF(FINANCIACION[[#This Row],[$ CAPITAL]]&gt;=0,FINANCIACION[[#This Row],[$ CAPITAL]]+FINANCIACION[[#This Row],[$ INTERESES]],0)</f>
        <v>7454483.46</v>
      </c>
    </row>
    <row r="499" spans="1:10" ht="24" hidden="1" customHeight="1" x14ac:dyDescent="0.25">
      <c r="A499" s="10">
        <v>43499</v>
      </c>
      <c r="B499" s="85" t="s">
        <v>456</v>
      </c>
      <c r="C499" s="7">
        <v>6250000</v>
      </c>
      <c r="D499" s="7">
        <v>1157485.2</v>
      </c>
      <c r="E499" s="7">
        <f>+IF(FINANCIACION[[#This Row],[$ CAPITAL]]&gt;=0,FINANCIACION[[#This Row],[$ CAPITAL]]+FINANCIACION[[#This Row],[$ INTERESES]],"")</f>
        <v>7407485.2000000002</v>
      </c>
      <c r="F499" s="7">
        <f>+SUMIFS(FINANCIACION[$ CAPITAL],FINANCIACION[Fecha],"&lt;="&amp;FINANCIACION[[#This Row],[Fecha]],FINANCIACION[PRESTAMO],FINANCIACION[[#This Row],[PRESTAMO]])</f>
        <v>-120000000</v>
      </c>
      <c r="G499" s="11"/>
      <c r="H499" s="11"/>
      <c r="I499" s="7">
        <f>+IF(FINANCIACION[[#This Row],[$ CAPITAL]]&gt;0,FINANCIACION[[#This Row],[$ CAPITAL]])</f>
        <v>6250000</v>
      </c>
      <c r="J499" s="49">
        <f>+IF(FINANCIACION[[#This Row],[$ CAPITAL]]&gt;=0,FINANCIACION[[#This Row],[$ CAPITAL]]+FINANCIACION[[#This Row],[$ INTERESES]],0)</f>
        <v>7407485.2000000002</v>
      </c>
    </row>
    <row r="500" spans="1:10" ht="24" hidden="1" customHeight="1" x14ac:dyDescent="0.25">
      <c r="A500" s="10">
        <v>43527</v>
      </c>
      <c r="B500" s="85" t="s">
        <v>456</v>
      </c>
      <c r="C500" s="7">
        <v>6250000</v>
      </c>
      <c r="D500" s="7">
        <v>1106761.69</v>
      </c>
      <c r="E500" s="7">
        <f>+IF(FINANCIACION[[#This Row],[$ CAPITAL]]&gt;=0,FINANCIACION[[#This Row],[$ CAPITAL]]+FINANCIACION[[#This Row],[$ INTERESES]],"")</f>
        <v>7356761.6899999995</v>
      </c>
      <c r="F500" s="7">
        <f>+SUMIFS(FINANCIACION[$ CAPITAL],FINANCIACION[Fecha],"&lt;="&amp;FINANCIACION[[#This Row],[Fecha]],FINANCIACION[PRESTAMO],FINANCIACION[[#This Row],[PRESTAMO]])</f>
        <v>-113750000</v>
      </c>
      <c r="G500" s="11"/>
      <c r="H500" s="11"/>
      <c r="I500" s="7">
        <f>+IF(FINANCIACION[[#This Row],[$ CAPITAL]]&gt;0,FINANCIACION[[#This Row],[$ CAPITAL]])</f>
        <v>6250000</v>
      </c>
      <c r="J500" s="49">
        <f>+IF(FINANCIACION[[#This Row],[$ CAPITAL]]&gt;=0,FINANCIACION[[#This Row],[$ CAPITAL]]+FINANCIACION[[#This Row],[$ INTERESES]],0)</f>
        <v>7356761.6899999995</v>
      </c>
    </row>
    <row r="501" spans="1:10" ht="24" hidden="1" customHeight="1" x14ac:dyDescent="0.25">
      <c r="A501" s="10">
        <v>43558</v>
      </c>
      <c r="B501" s="85" t="s">
        <v>456</v>
      </c>
      <c r="C501" s="7">
        <v>6250000</v>
      </c>
      <c r="D501" s="7">
        <v>1043853.64</v>
      </c>
      <c r="E501" s="7">
        <f>+IF(FINANCIACION[[#This Row],[$ CAPITAL]]&gt;=0,FINANCIACION[[#This Row],[$ CAPITAL]]+FINANCIACION[[#This Row],[$ INTERESES]],"")</f>
        <v>7293853.6399999997</v>
      </c>
      <c r="F501" s="7">
        <f>+SUMIFS(FINANCIACION[$ CAPITAL],FINANCIACION[Fecha],"&lt;="&amp;FINANCIACION[[#This Row],[Fecha]],FINANCIACION[PRESTAMO],FINANCIACION[[#This Row],[PRESTAMO]])</f>
        <v>-107500000</v>
      </c>
      <c r="G501" s="11"/>
      <c r="H501" s="11"/>
      <c r="I501" s="7">
        <f>+IF(FINANCIACION[[#This Row],[$ CAPITAL]]&gt;0,FINANCIACION[[#This Row],[$ CAPITAL]])</f>
        <v>6250000</v>
      </c>
      <c r="J501" s="49">
        <f>+IF(FINANCIACION[[#This Row],[$ CAPITAL]]&gt;=0,FINANCIACION[[#This Row],[$ CAPITAL]]+FINANCIACION[[#This Row],[$ INTERESES]],0)</f>
        <v>7293853.6399999997</v>
      </c>
    </row>
    <row r="502" spans="1:10" ht="24" hidden="1" customHeight="1" x14ac:dyDescent="0.25">
      <c r="A502" s="10">
        <v>43588</v>
      </c>
      <c r="B502" s="85" t="s">
        <v>456</v>
      </c>
      <c r="C502" s="7">
        <v>6250000</v>
      </c>
      <c r="D502" s="7">
        <v>987761.26</v>
      </c>
      <c r="E502" s="7">
        <f>+IF(FINANCIACION[[#This Row],[$ CAPITAL]]&gt;=0,FINANCIACION[[#This Row],[$ CAPITAL]]+FINANCIACION[[#This Row],[$ INTERESES]],"")</f>
        <v>7237761.2599999998</v>
      </c>
      <c r="F502" s="7">
        <f>+SUMIFS(FINANCIACION[$ CAPITAL],FINANCIACION[Fecha],"&lt;="&amp;FINANCIACION[[#This Row],[Fecha]],FINANCIACION[PRESTAMO],FINANCIACION[[#This Row],[PRESTAMO]])</f>
        <v>-101250000</v>
      </c>
      <c r="G502" s="11"/>
      <c r="H502" s="11"/>
      <c r="I502" s="7">
        <f>+IF(FINANCIACION[[#This Row],[$ CAPITAL]]&gt;0,FINANCIACION[[#This Row],[$ CAPITAL]])</f>
        <v>6250000</v>
      </c>
      <c r="J502" s="49">
        <f>+IF(FINANCIACION[[#This Row],[$ CAPITAL]]&gt;=0,FINANCIACION[[#This Row],[$ CAPITAL]]+FINANCIACION[[#This Row],[$ INTERESES]],0)</f>
        <v>7237761.2599999998</v>
      </c>
    </row>
    <row r="503" spans="1:10" ht="24" hidden="1" customHeight="1" x14ac:dyDescent="0.25">
      <c r="A503" s="10">
        <v>43619</v>
      </c>
      <c r="B503" s="85" t="s">
        <v>456</v>
      </c>
      <c r="C503" s="7">
        <v>6250000</v>
      </c>
      <c r="D503" s="7">
        <v>925893.52</v>
      </c>
      <c r="E503" s="7">
        <f>+IF(FINANCIACION[[#This Row],[$ CAPITAL]]&gt;=0,FINANCIACION[[#This Row],[$ CAPITAL]]+FINANCIACION[[#This Row],[$ INTERESES]],"")</f>
        <v>7175893.5199999996</v>
      </c>
      <c r="F503" s="7">
        <f>+SUMIFS(FINANCIACION[$ CAPITAL],FINANCIACION[Fecha],"&lt;="&amp;FINANCIACION[[#This Row],[Fecha]],FINANCIACION[PRESTAMO],FINANCIACION[[#This Row],[PRESTAMO]])</f>
        <v>-95000000</v>
      </c>
      <c r="G503" s="11"/>
      <c r="H503" s="11"/>
      <c r="I503" s="7">
        <f>+IF(FINANCIACION[[#This Row],[$ CAPITAL]]&gt;0,FINANCIACION[[#This Row],[$ CAPITAL]])</f>
        <v>6250000</v>
      </c>
      <c r="J503" s="49">
        <f>+IF(FINANCIACION[[#This Row],[$ CAPITAL]]&gt;=0,FINANCIACION[[#This Row],[$ CAPITAL]]+FINANCIACION[[#This Row],[$ INTERESES]],0)</f>
        <v>7175893.5199999996</v>
      </c>
    </row>
    <row r="504" spans="1:10" ht="24" hidden="1" customHeight="1" x14ac:dyDescent="0.25">
      <c r="A504" s="10">
        <v>43634</v>
      </c>
      <c r="B504" s="85" t="s">
        <v>456</v>
      </c>
      <c r="C504" s="7">
        <v>-55000000</v>
      </c>
      <c r="D504" s="7"/>
      <c r="E504" s="7" t="str">
        <f>+IF(FINANCIACION[[#This Row],[$ CAPITAL]]&gt;=0,FINANCIACION[[#This Row],[$ CAPITAL]]+FINANCIACION[[#This Row],[$ INTERESES]],"")</f>
        <v/>
      </c>
      <c r="F504" s="7">
        <f>+SUMIFS(FINANCIACION[$ CAPITAL],FINANCIACION[Fecha],"&lt;="&amp;FINANCIACION[[#This Row],[Fecha]],FINANCIACION[PRESTAMO],FINANCIACION[[#This Row],[PRESTAMO]])</f>
        <v>-150000000</v>
      </c>
      <c r="G504" s="11"/>
      <c r="H504" s="11"/>
      <c r="I504" s="7" t="b">
        <f>+IF(FINANCIACION[[#This Row],[$ CAPITAL]]&gt;0,FINANCIACION[[#This Row],[$ CAPITAL]])</f>
        <v>0</v>
      </c>
      <c r="J504" s="49">
        <f>+IF(FINANCIACION[[#This Row],[$ CAPITAL]]&gt;=0,FINANCIACION[[#This Row],[$ CAPITAL]]+FINANCIACION[[#This Row],[$ INTERESES]],0)</f>
        <v>0</v>
      </c>
    </row>
    <row r="505" spans="1:10" ht="24" hidden="1" customHeight="1" x14ac:dyDescent="0.25">
      <c r="A505" s="10">
        <v>43664</v>
      </c>
      <c r="B505" s="85" t="s">
        <v>456</v>
      </c>
      <c r="C505" s="7">
        <v>6250000</v>
      </c>
      <c r="D505" s="7">
        <v>1351023.03</v>
      </c>
      <c r="E505" s="7">
        <f>+IF(FINANCIACION[[#This Row],[$ CAPITAL]]&gt;=0,FINANCIACION[[#This Row],[$ CAPITAL]]+FINANCIACION[[#This Row],[$ INTERESES]],"")</f>
        <v>7601023.0300000003</v>
      </c>
      <c r="F505" s="7">
        <f>+SUMIFS(FINANCIACION[$ CAPITAL],FINANCIACION[Fecha],"&lt;="&amp;FINANCIACION[[#This Row],[Fecha]],FINANCIACION[PRESTAMO],FINANCIACION[[#This Row],[PRESTAMO]])</f>
        <v>-143750000</v>
      </c>
      <c r="G505" s="11"/>
      <c r="H505" s="11"/>
      <c r="I505" s="7">
        <f>+IF(FINANCIACION[[#This Row],[$ CAPITAL]]&gt;0,FINANCIACION[[#This Row],[$ CAPITAL]])</f>
        <v>6250000</v>
      </c>
      <c r="J505" s="49">
        <f>+IF(FINANCIACION[[#This Row],[$ CAPITAL]]&gt;=0,FINANCIACION[[#This Row],[$ CAPITAL]]+FINANCIACION[[#This Row],[$ INTERESES]],0)</f>
        <v>7601023.0300000003</v>
      </c>
    </row>
    <row r="506" spans="1:10" ht="24" hidden="1" customHeight="1" x14ac:dyDescent="0.25">
      <c r="A506" s="10">
        <v>43697</v>
      </c>
      <c r="B506" s="85" t="s">
        <v>456</v>
      </c>
      <c r="C506" s="7">
        <v>6250000</v>
      </c>
      <c r="D506" s="7">
        <v>1284958.1299999999</v>
      </c>
      <c r="E506" s="7">
        <f>+IF(FINANCIACION[[#This Row],[$ CAPITAL]]&gt;=0,FINANCIACION[[#This Row],[$ CAPITAL]]+FINANCIACION[[#This Row],[$ INTERESES]],"")</f>
        <v>7534958.1299999999</v>
      </c>
      <c r="F506" s="7">
        <f>+SUMIFS(FINANCIACION[$ CAPITAL],FINANCIACION[Fecha],"&lt;="&amp;FINANCIACION[[#This Row],[Fecha]],FINANCIACION[PRESTAMO],FINANCIACION[[#This Row],[PRESTAMO]])</f>
        <v>-137500000</v>
      </c>
      <c r="G506" s="11"/>
      <c r="H506" s="11"/>
      <c r="I506" s="7">
        <f>+IF(FINANCIACION[[#This Row],[$ CAPITAL]]&gt;0,FINANCIACION[[#This Row],[$ CAPITAL]])</f>
        <v>6250000</v>
      </c>
      <c r="J506" s="49">
        <f>+IF(FINANCIACION[[#This Row],[$ CAPITAL]]&gt;=0,FINANCIACION[[#This Row],[$ CAPITAL]]+FINANCIACION[[#This Row],[$ INTERESES]],0)</f>
        <v>7534958.1299999999</v>
      </c>
    </row>
    <row r="507" spans="1:10" ht="24" hidden="1" customHeight="1" x14ac:dyDescent="0.25">
      <c r="A507" s="10">
        <v>43726</v>
      </c>
      <c r="B507" s="85" t="s">
        <v>456</v>
      </c>
      <c r="C507" s="7">
        <v>6250000</v>
      </c>
      <c r="D507" s="7">
        <v>1234283.98</v>
      </c>
      <c r="E507" s="7">
        <f>+IF(FINANCIACION[[#This Row],[$ CAPITAL]]&gt;=0,FINANCIACION[[#This Row],[$ CAPITAL]]+FINANCIACION[[#This Row],[$ INTERESES]],"")</f>
        <v>7484283.9800000004</v>
      </c>
      <c r="F507" s="7">
        <f>+SUMIFS(FINANCIACION[$ CAPITAL],FINANCIACION[Fecha],"&lt;="&amp;FINANCIACION[[#This Row],[Fecha]],FINANCIACION[PRESTAMO],FINANCIACION[[#This Row],[PRESTAMO]])</f>
        <v>-131250000</v>
      </c>
      <c r="G507" s="11"/>
      <c r="H507" s="11"/>
      <c r="I507" s="7">
        <f>+IF(FINANCIACION[[#This Row],[$ CAPITAL]]&gt;0,FINANCIACION[[#This Row],[$ CAPITAL]])</f>
        <v>6250000</v>
      </c>
      <c r="J507" s="49">
        <f>+IF(FINANCIACION[[#This Row],[$ CAPITAL]]&gt;=0,FINANCIACION[[#This Row],[$ CAPITAL]]+FINANCIACION[[#This Row],[$ INTERESES]],0)</f>
        <v>7484283.9800000004</v>
      </c>
    </row>
    <row r="508" spans="1:10" ht="24" hidden="1" customHeight="1" x14ac:dyDescent="0.25">
      <c r="A508" s="10">
        <v>43756</v>
      </c>
      <c r="B508" s="85" t="s">
        <v>456</v>
      </c>
      <c r="C508" s="7">
        <v>6250000</v>
      </c>
      <c r="D508" s="7">
        <v>1184067.07</v>
      </c>
      <c r="E508" s="7">
        <f>+IF(FINANCIACION[[#This Row],[$ CAPITAL]]&gt;=0,FINANCIACION[[#This Row],[$ CAPITAL]]+FINANCIACION[[#This Row],[$ INTERESES]],"")</f>
        <v>7434067.0700000003</v>
      </c>
      <c r="F508" s="7">
        <f>+SUMIFS(FINANCIACION[$ CAPITAL],FINANCIACION[Fecha],"&lt;="&amp;FINANCIACION[[#This Row],[Fecha]],FINANCIACION[PRESTAMO],FINANCIACION[[#This Row],[PRESTAMO]])</f>
        <v>-125000000</v>
      </c>
      <c r="G508" s="11"/>
      <c r="H508" s="11"/>
      <c r="I508" s="7">
        <f>+IF(FINANCIACION[[#This Row],[$ CAPITAL]]&gt;0,FINANCIACION[[#This Row],[$ CAPITAL]])</f>
        <v>6250000</v>
      </c>
      <c r="J508" s="49">
        <f>+IF(FINANCIACION[[#This Row],[$ CAPITAL]]&gt;=0,FINANCIACION[[#This Row],[$ CAPITAL]]+FINANCIACION[[#This Row],[$ INTERESES]],0)</f>
        <v>7434067.0700000003</v>
      </c>
    </row>
    <row r="509" spans="1:10" ht="24" hidden="1" customHeight="1" x14ac:dyDescent="0.25">
      <c r="A509" s="10">
        <v>43787</v>
      </c>
      <c r="B509" s="85" t="s">
        <v>456</v>
      </c>
      <c r="C509" s="7">
        <v>6250000</v>
      </c>
      <c r="D509" s="7">
        <v>1114463.76</v>
      </c>
      <c r="E509" s="7">
        <f>+IF(FINANCIACION[[#This Row],[$ CAPITAL]]&gt;=0,FINANCIACION[[#This Row],[$ CAPITAL]]+FINANCIACION[[#This Row],[$ INTERESES]],"")</f>
        <v>7364463.7599999998</v>
      </c>
      <c r="F509" s="7">
        <f>+SUMIFS(FINANCIACION[$ CAPITAL],FINANCIACION[Fecha],"&lt;="&amp;FINANCIACION[[#This Row],[Fecha]],FINANCIACION[PRESTAMO],FINANCIACION[[#This Row],[PRESTAMO]])</f>
        <v>-118750000</v>
      </c>
      <c r="G509" s="11"/>
      <c r="H509" s="11"/>
      <c r="I509" s="7">
        <f>+IF(FINANCIACION[[#This Row],[$ CAPITAL]]&gt;0,FINANCIACION[[#This Row],[$ CAPITAL]])</f>
        <v>6250000</v>
      </c>
      <c r="J509" s="49">
        <f>+IF(FINANCIACION[[#This Row],[$ CAPITAL]]&gt;=0,FINANCIACION[[#This Row],[$ CAPITAL]]+FINANCIACION[[#This Row],[$ INTERESES]],0)</f>
        <v>7364463.7599999998</v>
      </c>
    </row>
    <row r="510" spans="1:10" ht="24" hidden="1" customHeight="1" x14ac:dyDescent="0.25">
      <c r="A510" s="10">
        <v>43805</v>
      </c>
      <c r="B510" s="85" t="s">
        <v>456</v>
      </c>
      <c r="C510" s="7">
        <v>-31250000</v>
      </c>
      <c r="D510" s="7"/>
      <c r="E510" s="7" t="str">
        <f>+IF(FINANCIACION[[#This Row],[$ CAPITAL]]&gt;=0,FINANCIACION[[#This Row],[$ CAPITAL]]+FINANCIACION[[#This Row],[$ INTERESES]],"")</f>
        <v/>
      </c>
      <c r="F510" s="7">
        <f>+SUMIFS(FINANCIACION[$ CAPITAL],FINANCIACION[Fecha],"&lt;="&amp;FINANCIACION[[#This Row],[Fecha]],FINANCIACION[PRESTAMO],FINANCIACION[[#This Row],[PRESTAMO]])</f>
        <v>-150000000</v>
      </c>
      <c r="G510" s="11"/>
      <c r="H510" s="11"/>
      <c r="I510" s="7" t="b">
        <f>+IF(FINANCIACION[[#This Row],[$ CAPITAL]]&gt;0,FINANCIACION[[#This Row],[$ CAPITAL]])</f>
        <v>0</v>
      </c>
      <c r="J510" s="49">
        <f>+IF(FINANCIACION[[#This Row],[$ CAPITAL]]&gt;=0,FINANCIACION[[#This Row],[$ CAPITAL]]+FINANCIACION[[#This Row],[$ INTERESES]],0)</f>
        <v>0</v>
      </c>
    </row>
    <row r="511" spans="1:10" ht="24" hidden="1" customHeight="1" x14ac:dyDescent="0.25">
      <c r="A511" s="10">
        <v>43836</v>
      </c>
      <c r="B511" s="85" t="s">
        <v>456</v>
      </c>
      <c r="C511" s="7">
        <v>6250000</v>
      </c>
      <c r="D511" s="7">
        <v>1309053.1200000001</v>
      </c>
      <c r="E511" s="7">
        <f>+IF(FINANCIACION[[#This Row],[$ CAPITAL]]&gt;=0,FINANCIACION[[#This Row],[$ CAPITAL]]+FINANCIACION[[#This Row],[$ INTERESES]],"")</f>
        <v>7559053.1200000001</v>
      </c>
      <c r="F511" s="7">
        <f>+SUMIFS(FINANCIACION[$ CAPITAL],FINANCIACION[Fecha],"&lt;="&amp;FINANCIACION[[#This Row],[Fecha]],FINANCIACION[PRESTAMO],FINANCIACION[[#This Row],[PRESTAMO]])</f>
        <v>-143750000</v>
      </c>
      <c r="G511" s="11"/>
      <c r="H511" s="11"/>
      <c r="I511" s="7">
        <f>+IF(FINANCIACION[[#This Row],[$ CAPITAL]]&gt;0,FINANCIACION[[#This Row],[$ CAPITAL]])</f>
        <v>6250000</v>
      </c>
      <c r="J511" s="49">
        <f>+IF(FINANCIACION[[#This Row],[$ CAPITAL]]&gt;=0,FINANCIACION[[#This Row],[$ CAPITAL]]+FINANCIACION[[#This Row],[$ INTERESES]],0)</f>
        <v>7559053.1200000001</v>
      </c>
    </row>
    <row r="512" spans="1:10" ht="24" hidden="1" customHeight="1" x14ac:dyDescent="0.25">
      <c r="A512" s="10">
        <v>43868</v>
      </c>
      <c r="B512" s="85" t="s">
        <v>456</v>
      </c>
      <c r="C512" s="7">
        <v>6250000</v>
      </c>
      <c r="D512" s="7">
        <v>1257774.8600000001</v>
      </c>
      <c r="E512" s="7">
        <f>+IF(FINANCIACION[[#This Row],[$ CAPITAL]]&gt;=0,FINANCIACION[[#This Row],[$ CAPITAL]]+FINANCIACION[[#This Row],[$ INTERESES]],"")</f>
        <v>7507774.8600000003</v>
      </c>
      <c r="F512" s="7">
        <f>+SUMIFS(FINANCIACION[$ CAPITAL],FINANCIACION[Fecha],"&lt;="&amp;FINANCIACION[[#This Row],[Fecha]],FINANCIACION[PRESTAMO],FINANCIACION[[#This Row],[PRESTAMO]])</f>
        <v>-137500000</v>
      </c>
      <c r="G512" s="11"/>
      <c r="H512" s="11"/>
      <c r="I512" s="7">
        <f>+IF(FINANCIACION[[#This Row],[$ CAPITAL]]&gt;0,FINANCIACION[[#This Row],[$ CAPITAL]])</f>
        <v>6250000</v>
      </c>
      <c r="J512" s="49">
        <f>+IF(FINANCIACION[[#This Row],[$ CAPITAL]]&gt;=0,FINANCIACION[[#This Row],[$ CAPITAL]]+FINANCIACION[[#This Row],[$ INTERESES]],0)</f>
        <v>7507774.8600000003</v>
      </c>
    </row>
    <row r="513" spans="1:10" ht="24" hidden="1" customHeight="1" x14ac:dyDescent="0.25">
      <c r="A513" s="10">
        <v>43899</v>
      </c>
      <c r="B513" s="85" t="s">
        <v>456</v>
      </c>
      <c r="C513" s="7">
        <v>6250000</v>
      </c>
      <c r="D513" s="7">
        <v>1229000</v>
      </c>
      <c r="E513" s="7">
        <f>+IF(FINANCIACION[[#This Row],[$ CAPITAL]]&gt;=0,FINANCIACION[[#This Row],[$ CAPITAL]]+FINANCIACION[[#This Row],[$ INTERESES]],"")</f>
        <v>7479000</v>
      </c>
      <c r="F513" s="7">
        <f>+SUMIFS(FINANCIACION[$ CAPITAL],FINANCIACION[Fecha],"&lt;="&amp;FINANCIACION[[#This Row],[Fecha]],FINANCIACION[PRESTAMO],FINANCIACION[[#This Row],[PRESTAMO]])</f>
        <v>-131250000</v>
      </c>
      <c r="G513" s="11"/>
      <c r="H513" s="11"/>
      <c r="I513" s="7">
        <f>+IF(FINANCIACION[[#This Row],[$ CAPITAL]]&gt;0,FINANCIACION[[#This Row],[$ CAPITAL]])</f>
        <v>6250000</v>
      </c>
      <c r="J513" s="49">
        <f>+IF(FINANCIACION[[#This Row],[$ CAPITAL]]&gt;=0,FINANCIACION[[#This Row],[$ CAPITAL]]+FINANCIACION[[#This Row],[$ INTERESES]],0)</f>
        <v>7479000</v>
      </c>
    </row>
    <row r="514" spans="1:10" ht="24" hidden="1" customHeight="1" x14ac:dyDescent="0.25">
      <c r="A514" s="10">
        <v>44019</v>
      </c>
      <c r="B514" s="85" t="s">
        <v>456</v>
      </c>
      <c r="C514" s="7">
        <v>6250000</v>
      </c>
      <c r="D514" s="7">
        <v>1097098</v>
      </c>
      <c r="E514" s="7">
        <f>+IF(FINANCIACION[[#This Row],[$ CAPITAL]]&gt;=0,FINANCIACION[[#This Row],[$ CAPITAL]]+FINANCIACION[[#This Row],[$ INTERESES]],"")</f>
        <v>7347098</v>
      </c>
      <c r="F514" s="7">
        <f>+SUMIFS(FINANCIACION[$ CAPITAL],FINANCIACION[Fecha],"&lt;="&amp;FINANCIACION[[#This Row],[Fecha]],FINANCIACION[PRESTAMO],FINANCIACION[[#This Row],[PRESTAMO]])</f>
        <v>-125000000</v>
      </c>
      <c r="G514" s="11"/>
      <c r="H514" s="11"/>
      <c r="I514" s="7">
        <f>+IF(FINANCIACION[[#This Row],[$ CAPITAL]]&gt;0,FINANCIACION[[#This Row],[$ CAPITAL]])</f>
        <v>6250000</v>
      </c>
      <c r="J514" s="49">
        <f>+IF(FINANCIACION[[#This Row],[$ CAPITAL]]&gt;=0,FINANCIACION[[#This Row],[$ CAPITAL]]+FINANCIACION[[#This Row],[$ INTERESES]],0)</f>
        <v>7347098</v>
      </c>
    </row>
    <row r="515" spans="1:10" ht="24" hidden="1" customHeight="1" x14ac:dyDescent="0.25">
      <c r="A515" s="10">
        <v>44050</v>
      </c>
      <c r="B515" s="85" t="s">
        <v>456</v>
      </c>
      <c r="C515" s="7">
        <v>1450874</v>
      </c>
      <c r="D515" s="7"/>
      <c r="E515" s="7">
        <f>+IF(FINANCIACION[[#This Row],[$ CAPITAL]]&gt;=0,FINANCIACION[[#This Row],[$ CAPITAL]]+FINANCIACION[[#This Row],[$ INTERESES]],"")</f>
        <v>1450874</v>
      </c>
      <c r="F515" s="7">
        <f>+SUMIFS(FINANCIACION[$ CAPITAL],FINANCIACION[Fecha],"&lt;="&amp;FINANCIACION[[#This Row],[Fecha]],FINANCIACION[PRESTAMO],FINANCIACION[[#This Row],[PRESTAMO]])</f>
        <v>-117299126</v>
      </c>
      <c r="G515" s="11"/>
      <c r="H515" s="11"/>
      <c r="I515" s="7">
        <f>+IF(FINANCIACION[[#This Row],[$ CAPITAL]]&gt;0,FINANCIACION[[#This Row],[$ CAPITAL]])</f>
        <v>1450874</v>
      </c>
      <c r="J515" s="49">
        <f>+IF(FINANCIACION[[#This Row],[$ CAPITAL]]&gt;=0,FINANCIACION[[#This Row],[$ CAPITAL]]+FINANCIACION[[#This Row],[$ INTERESES]],0)</f>
        <v>1450874</v>
      </c>
    </row>
    <row r="516" spans="1:10" ht="24" hidden="1" customHeight="1" x14ac:dyDescent="0.25">
      <c r="A516" s="10">
        <v>44050</v>
      </c>
      <c r="B516" s="85" t="s">
        <v>456</v>
      </c>
      <c r="C516" s="7">
        <v>6250000</v>
      </c>
      <c r="D516" s="7">
        <v>1004371.89</v>
      </c>
      <c r="E516" s="7">
        <f>+IF(FINANCIACION[[#This Row],[$ CAPITAL]]&gt;=0,FINANCIACION[[#This Row],[$ CAPITAL]]+FINANCIACION[[#This Row],[$ INTERESES]],"")</f>
        <v>7254371.8899999997</v>
      </c>
      <c r="F516" s="7">
        <f>+SUMIFS(FINANCIACION[$ CAPITAL],FINANCIACION[Fecha],"&lt;="&amp;FINANCIACION[[#This Row],[Fecha]],FINANCIACION[PRESTAMO],FINANCIACION[[#This Row],[PRESTAMO]])</f>
        <v>-117299126</v>
      </c>
      <c r="G516" s="11"/>
      <c r="H516" s="11"/>
      <c r="I516" s="7">
        <f>+IF(FINANCIACION[[#This Row],[$ CAPITAL]]&gt;0,FINANCIACION[[#This Row],[$ CAPITAL]])</f>
        <v>6250000</v>
      </c>
      <c r="J516" s="49">
        <f>+IF(FINANCIACION[[#This Row],[$ CAPITAL]]&gt;=0,FINANCIACION[[#This Row],[$ CAPITAL]]+FINANCIACION[[#This Row],[$ INTERESES]],0)</f>
        <v>7254371.8899999997</v>
      </c>
    </row>
    <row r="517" spans="1:10" ht="24" hidden="1" customHeight="1" x14ac:dyDescent="0.25">
      <c r="A517" s="10">
        <v>44078</v>
      </c>
      <c r="B517" s="85" t="s">
        <v>456</v>
      </c>
      <c r="C517" s="7">
        <v>6326000</v>
      </c>
      <c r="D517" s="7">
        <v>907029</v>
      </c>
      <c r="E517" s="7">
        <f>+IF(FINANCIACION[[#This Row],[$ CAPITAL]]&gt;=0,FINANCIACION[[#This Row],[$ CAPITAL]]+FINANCIACION[[#This Row],[$ INTERESES]],"")</f>
        <v>7233029</v>
      </c>
      <c r="F517" s="7">
        <f>+SUMIFS(FINANCIACION[$ CAPITAL],FINANCIACION[Fecha],"&lt;="&amp;FINANCIACION[[#This Row],[Fecha]],FINANCIACION[PRESTAMO],FINANCIACION[[#This Row],[PRESTAMO]])</f>
        <v>-110973126</v>
      </c>
      <c r="G517" s="11"/>
      <c r="H517" s="11"/>
      <c r="I517" s="7">
        <f>+IF(FINANCIACION[[#This Row],[$ CAPITAL]]&gt;0,FINANCIACION[[#This Row],[$ CAPITAL]])</f>
        <v>6326000</v>
      </c>
      <c r="J517" s="49">
        <f>+IF(FINANCIACION[[#This Row],[$ CAPITAL]]&gt;=0,FINANCIACION[[#This Row],[$ CAPITAL]]+FINANCIACION[[#This Row],[$ INTERESES]],0)</f>
        <v>7233029</v>
      </c>
    </row>
    <row r="518" spans="1:10" ht="24" hidden="1" customHeight="1" x14ac:dyDescent="0.25">
      <c r="A518" s="10">
        <v>44110</v>
      </c>
      <c r="B518" s="85" t="s">
        <v>456</v>
      </c>
      <c r="C518" s="7">
        <v>6326000</v>
      </c>
      <c r="D518" s="7">
        <v>805532.69</v>
      </c>
      <c r="E518" s="7">
        <f>+IF(FINANCIACION[[#This Row],[$ CAPITAL]]&gt;=0,FINANCIACION[[#This Row],[$ CAPITAL]]+FINANCIACION[[#This Row],[$ INTERESES]],"")</f>
        <v>7131532.6899999995</v>
      </c>
      <c r="F518" s="7">
        <f>+SUMIFS(FINANCIACION[$ CAPITAL],FINANCIACION[Fecha],"&lt;="&amp;FINANCIACION[[#This Row],[Fecha]],FINANCIACION[PRESTAMO],FINANCIACION[[#This Row],[PRESTAMO]])</f>
        <v>-104647126</v>
      </c>
      <c r="G518" s="11"/>
      <c r="H518" s="11"/>
      <c r="I518" s="7">
        <f>+IF(FINANCIACION[[#This Row],[$ CAPITAL]]&gt;0,FINANCIACION[[#This Row],[$ CAPITAL]])</f>
        <v>6326000</v>
      </c>
      <c r="J518" s="49">
        <f>+IF(FINANCIACION[[#This Row],[$ CAPITAL]]&gt;=0,FINANCIACION[[#This Row],[$ CAPITAL]]+FINANCIACION[[#This Row],[$ INTERESES]],0)</f>
        <v>7131532.6899999995</v>
      </c>
    </row>
    <row r="519" spans="1:10" ht="24" hidden="1" customHeight="1" x14ac:dyDescent="0.25">
      <c r="A519" s="10">
        <v>44141</v>
      </c>
      <c r="B519" s="85" t="s">
        <v>456</v>
      </c>
      <c r="C519" s="7">
        <v>6326000</v>
      </c>
      <c r="D519" s="7">
        <v>716774.57</v>
      </c>
      <c r="E519" s="7">
        <f>+IF(FINANCIACION[[#This Row],[$ CAPITAL]]&gt;=0,FINANCIACION[[#This Row],[$ CAPITAL]]+FINANCIACION[[#This Row],[$ INTERESES]],"")</f>
        <v>7042774.5700000003</v>
      </c>
      <c r="F519" s="7">
        <f>+SUMIFS(FINANCIACION[$ CAPITAL],FINANCIACION[Fecha],"&lt;="&amp;FINANCIACION[[#This Row],[Fecha]],FINANCIACION[PRESTAMO],FINANCIACION[[#This Row],[PRESTAMO]])</f>
        <v>-98321126</v>
      </c>
      <c r="G519" s="11"/>
      <c r="H519" s="11"/>
      <c r="I519" s="7">
        <f>+IF(FINANCIACION[[#This Row],[$ CAPITAL]]&gt;0,FINANCIACION[[#This Row],[$ CAPITAL]])</f>
        <v>6326000</v>
      </c>
      <c r="J519" s="49">
        <f>+IF(FINANCIACION[[#This Row],[$ CAPITAL]]&gt;=0,FINANCIACION[[#This Row],[$ CAPITAL]]+FINANCIACION[[#This Row],[$ INTERESES]],0)</f>
        <v>7042774.5700000003</v>
      </c>
    </row>
    <row r="520" spans="1:10" ht="24" hidden="1" customHeight="1" x14ac:dyDescent="0.25">
      <c r="A520" s="10">
        <v>44171</v>
      </c>
      <c r="B520" s="85" t="s">
        <v>456</v>
      </c>
      <c r="C520" s="7">
        <v>6326000</v>
      </c>
      <c r="D520" s="7">
        <v>662992.15</v>
      </c>
      <c r="E520" s="7">
        <f>+IF(FINANCIACION[[#This Row],[$ CAPITAL]]&gt;=0,FINANCIACION[[#This Row],[$ CAPITAL]]+FINANCIACION[[#This Row],[$ INTERESES]],"")</f>
        <v>6988992.1500000004</v>
      </c>
      <c r="F520" s="7">
        <f>+SUMIFS(FINANCIACION[$ CAPITAL],FINANCIACION[Fecha],"&lt;="&amp;FINANCIACION[[#This Row],[Fecha]],FINANCIACION[PRESTAMO],FINANCIACION[[#This Row],[PRESTAMO]])</f>
        <v>-91995126</v>
      </c>
      <c r="G520" s="11"/>
      <c r="H520" s="11"/>
      <c r="I520" s="7">
        <f>+IF(FINANCIACION[[#This Row],[$ CAPITAL]]&gt;0,FINANCIACION[[#This Row],[$ CAPITAL]])</f>
        <v>6326000</v>
      </c>
      <c r="J520" s="49">
        <f>+IF(FINANCIACION[[#This Row],[$ CAPITAL]]&gt;=0,FINANCIACION[[#This Row],[$ CAPITAL]]+FINANCIACION[[#This Row],[$ INTERESES]],0)</f>
        <v>6988992.1500000004</v>
      </c>
    </row>
    <row r="521" spans="1:10" ht="24" hidden="1" customHeight="1" x14ac:dyDescent="0.25">
      <c r="A521" s="10">
        <v>44202</v>
      </c>
      <c r="B521" s="85" t="s">
        <v>456</v>
      </c>
      <c r="C521" s="7">
        <v>6326000</v>
      </c>
      <c r="D521" s="7">
        <v>616570.43999999994</v>
      </c>
      <c r="E521" s="7">
        <f>+IF(FINANCIACION[[#This Row],[$ CAPITAL]]&gt;=0,FINANCIACION[[#This Row],[$ CAPITAL]]+FINANCIACION[[#This Row],[$ INTERESES]],"")</f>
        <v>6942570.4399999995</v>
      </c>
      <c r="F521" s="7">
        <f>+SUMIFS(FINANCIACION[$ CAPITAL],FINANCIACION[Fecha],"&lt;="&amp;FINANCIACION[[#This Row],[Fecha]],FINANCIACION[PRESTAMO],FINANCIACION[[#This Row],[PRESTAMO]])</f>
        <v>-85669126</v>
      </c>
      <c r="G521" s="11"/>
      <c r="H521" s="11"/>
      <c r="I521" s="7">
        <f>+IF(FINANCIACION[[#This Row],[$ CAPITAL]]&gt;0,FINANCIACION[[#This Row],[$ CAPITAL]])</f>
        <v>6326000</v>
      </c>
      <c r="J521" s="49">
        <f>+IF(FINANCIACION[[#This Row],[$ CAPITAL]]&gt;=0,FINANCIACION[[#This Row],[$ CAPITAL]]+FINANCIACION[[#This Row],[$ INTERESES]],0)</f>
        <v>6942570.4399999995</v>
      </c>
    </row>
    <row r="522" spans="1:10" ht="24" hidden="1" customHeight="1" x14ac:dyDescent="0.25">
      <c r="A522" s="10">
        <v>44233</v>
      </c>
      <c r="B522" s="85" t="s">
        <v>456</v>
      </c>
      <c r="C522" s="7">
        <v>6326000</v>
      </c>
      <c r="D522" s="7">
        <v>569963.18000000005</v>
      </c>
      <c r="E522" s="7">
        <f>+IF(FINANCIACION[[#This Row],[$ CAPITAL]]&gt;=0,FINANCIACION[[#This Row],[$ CAPITAL]]+FINANCIACION[[#This Row],[$ INTERESES]],"")</f>
        <v>6895963.1799999997</v>
      </c>
      <c r="F522" s="7">
        <f>+SUMIFS(FINANCIACION[$ CAPITAL],FINANCIACION[Fecha],"&lt;="&amp;FINANCIACION[[#This Row],[Fecha]],FINANCIACION[PRESTAMO],FINANCIACION[[#This Row],[PRESTAMO]])</f>
        <v>-79343126</v>
      </c>
      <c r="G522" s="11"/>
      <c r="H522" s="11"/>
      <c r="I522" s="7">
        <f>+IF(FINANCIACION[[#This Row],[$ CAPITAL]]&gt;0,FINANCIACION[[#This Row],[$ CAPITAL]])</f>
        <v>6326000</v>
      </c>
      <c r="J522" s="49">
        <f>+IF(FINANCIACION[[#This Row],[$ CAPITAL]]&gt;=0,FINANCIACION[[#This Row],[$ CAPITAL]]+FINANCIACION[[#This Row],[$ INTERESES]],0)</f>
        <v>6895963.1799999997</v>
      </c>
    </row>
    <row r="523" spans="1:10" ht="24" hidden="1" customHeight="1" x14ac:dyDescent="0.25">
      <c r="A523" s="10">
        <v>44261</v>
      </c>
      <c r="B523" s="85" t="s">
        <v>456</v>
      </c>
      <c r="C523" s="7">
        <v>6326000</v>
      </c>
      <c r="D523" s="7">
        <v>528525.73</v>
      </c>
      <c r="E523" s="7">
        <f>+IF(FINANCIACION[[#This Row],[$ CAPITAL]]&gt;=0,FINANCIACION[[#This Row],[$ CAPITAL]]+FINANCIACION[[#This Row],[$ INTERESES]],"")</f>
        <v>6854525.7300000004</v>
      </c>
      <c r="F523" s="7">
        <f>+SUMIFS(FINANCIACION[$ CAPITAL],FINANCIACION[Fecha],"&lt;="&amp;FINANCIACION[[#This Row],[Fecha]],FINANCIACION[PRESTAMO],FINANCIACION[[#This Row],[PRESTAMO]])</f>
        <v>-73017126</v>
      </c>
      <c r="G523" s="11"/>
      <c r="H523" s="91"/>
      <c r="I523" s="7">
        <f>+IF(FINANCIACION[[#This Row],[$ CAPITAL]]&gt;0,FINANCIACION[[#This Row],[$ CAPITAL]])</f>
        <v>6326000</v>
      </c>
      <c r="J523" s="12">
        <f>+IF(FINANCIACION[[#This Row],[$ CAPITAL]]&gt;=0,FINANCIACION[[#This Row],[$ CAPITAL]]+FINANCIACION[[#This Row],[$ INTERESES]],0)</f>
        <v>6854525.7300000004</v>
      </c>
    </row>
    <row r="524" spans="1:10" ht="24" hidden="1" customHeight="1" x14ac:dyDescent="0.25">
      <c r="A524" s="10">
        <v>44294</v>
      </c>
      <c r="B524" s="85" t="s">
        <v>456</v>
      </c>
      <c r="C524" s="7">
        <v>6326000</v>
      </c>
      <c r="D524" s="7">
        <v>510908.2</v>
      </c>
      <c r="E524" s="7">
        <f>+IF(FINANCIACION[[#This Row],[$ CAPITAL]]&gt;=0,FINANCIACION[[#This Row],[$ CAPITAL]]+FINANCIACION[[#This Row],[$ INTERESES]],"")</f>
        <v>6836908.2000000002</v>
      </c>
      <c r="F524" s="7">
        <f>+SUMIFS(FINANCIACION[$ CAPITAL],FINANCIACION[Fecha],"&lt;="&amp;FINANCIACION[[#This Row],[Fecha]],FINANCIACION[PRESTAMO],FINANCIACION[[#This Row],[PRESTAMO]])</f>
        <v>-66691126</v>
      </c>
      <c r="G524" s="11"/>
      <c r="H524" s="91"/>
      <c r="I524" s="7">
        <f>+IF(FINANCIACION[[#This Row],[$ CAPITAL]]&gt;0,FINANCIACION[[#This Row],[$ CAPITAL]])</f>
        <v>6326000</v>
      </c>
      <c r="J524" s="12">
        <f>+IF(FINANCIACION[[#This Row],[$ CAPITAL]]&gt;=0,FINANCIACION[[#This Row],[$ CAPITAL]]+FINANCIACION[[#This Row],[$ INTERESES]],0)</f>
        <v>6836908.2000000002</v>
      </c>
    </row>
    <row r="525" spans="1:10" ht="24" hidden="1" customHeight="1" x14ac:dyDescent="0.25">
      <c r="A525" s="10">
        <v>44328</v>
      </c>
      <c r="B525" s="85" t="s">
        <v>456</v>
      </c>
      <c r="C525" s="7">
        <f>6785477-FINANCIACION[[#This Row],[$ INTERESES]]</f>
        <v>6342416.9000000004</v>
      </c>
      <c r="D525" s="7">
        <v>443060.1</v>
      </c>
      <c r="E525" s="7">
        <f>+IF(FINANCIACION[[#This Row],[$ CAPITAL]]&gt;=0,FINANCIACION[[#This Row],[$ CAPITAL]]+FINANCIACION[[#This Row],[$ INTERESES]],"")</f>
        <v>6785477</v>
      </c>
      <c r="F525" s="7">
        <f>+SUMIFS(FINANCIACION[$ CAPITAL],FINANCIACION[Fecha],"&lt;="&amp;FINANCIACION[[#This Row],[Fecha]],FINANCIACION[PRESTAMO],FINANCIACION[[#This Row],[PRESTAMO]])</f>
        <v>-60348709.100000001</v>
      </c>
      <c r="G525" s="11"/>
      <c r="H525" s="91"/>
      <c r="I525" s="7">
        <f>+IF(FINANCIACION[[#This Row],[$ CAPITAL]]&gt;0,FINANCIACION[[#This Row],[$ CAPITAL]])</f>
        <v>6342416.9000000004</v>
      </c>
      <c r="J525" s="12">
        <f>+IF(FINANCIACION[[#This Row],[$ CAPITAL]]&gt;=0,FINANCIACION[[#This Row],[$ CAPITAL]]+FINANCIACION[[#This Row],[$ INTERESES]],0)</f>
        <v>6785477</v>
      </c>
    </row>
    <row r="526" spans="1:10" ht="24" hidden="1" customHeight="1" x14ac:dyDescent="0.25">
      <c r="A526" s="10">
        <v>44346</v>
      </c>
      <c r="B526" s="85" t="s">
        <v>456</v>
      </c>
      <c r="C526" s="7">
        <v>6309583.1000000015</v>
      </c>
      <c r="D526" s="7"/>
      <c r="E526" s="7">
        <f>+IF(FINANCIACION[[#This Row],[$ CAPITAL]]&gt;=0,FINANCIACION[[#This Row],[$ CAPITAL]]+FINANCIACION[[#This Row],[$ INTERESES]],"")</f>
        <v>6309583.1000000015</v>
      </c>
      <c r="F526" s="7">
        <f>+SUMIFS(FINANCIACION[$ CAPITAL],FINANCIACION[Fecha],"&lt;="&amp;FINANCIACION[[#This Row],[Fecha]],FINANCIACION[PRESTAMO],FINANCIACION[[#This Row],[PRESTAMO]])</f>
        <v>-54039126</v>
      </c>
      <c r="G526" s="91" t="s">
        <v>512</v>
      </c>
      <c r="H526" s="11"/>
      <c r="I526" s="7">
        <f>+IF(FINANCIACION[[#This Row],[$ CAPITAL]]&gt;0,FINANCIACION[[#This Row],[$ CAPITAL]])</f>
        <v>6309583.1000000015</v>
      </c>
      <c r="J526" s="49">
        <f>+IF(FINANCIACION[[#This Row],[$ CAPITAL]]&gt;=0,FINANCIACION[[#This Row],[$ CAPITAL]]+FINANCIACION[[#This Row],[$ INTERESES]],0)</f>
        <v>6309583.1000000015</v>
      </c>
    </row>
    <row r="527" spans="1:10" ht="24" hidden="1" customHeight="1" x14ac:dyDescent="0.25">
      <c r="A527" s="10">
        <v>44379</v>
      </c>
      <c r="B527" s="85" t="s">
        <v>456</v>
      </c>
      <c r="C527" s="7">
        <v>6326000</v>
      </c>
      <c r="D527" s="7">
        <v>365283.37</v>
      </c>
      <c r="E527" s="7">
        <f>+IF(FINANCIACION[[#This Row],[$ CAPITAL]]&gt;=0,FINANCIACION[[#This Row],[$ CAPITAL]]+FINANCIACION[[#This Row],[$ INTERESES]],"")</f>
        <v>6691283.3700000001</v>
      </c>
      <c r="F527" s="7">
        <f>+SUMIFS(FINANCIACION[$ CAPITAL],FINANCIACION[Fecha],"&lt;="&amp;FINANCIACION[[#This Row],[Fecha]],FINANCIACION[PRESTAMO],FINANCIACION[[#This Row],[PRESTAMO]])</f>
        <v>-47713126</v>
      </c>
      <c r="G527" s="91"/>
      <c r="H527" s="11"/>
      <c r="I527" s="7">
        <f>+IF(FINANCIACION[[#This Row],[$ CAPITAL]]&gt;0,FINANCIACION[[#This Row],[$ CAPITAL]])</f>
        <v>6326000</v>
      </c>
      <c r="J527" s="49">
        <f>+IF(FINANCIACION[[#This Row],[$ CAPITAL]]&gt;=0,FINANCIACION[[#This Row],[$ CAPITAL]]+FINANCIACION[[#This Row],[$ INTERESES]],0)</f>
        <v>6691283.3700000001</v>
      </c>
    </row>
    <row r="528" spans="1:10" ht="24" hidden="1" customHeight="1" x14ac:dyDescent="0.25">
      <c r="A528" s="10">
        <v>44414</v>
      </c>
      <c r="B528" s="85" t="s">
        <v>456</v>
      </c>
      <c r="C528" s="7">
        <v>6326000</v>
      </c>
      <c r="D528" s="7">
        <f>321045-4276.13</f>
        <v>316768.87</v>
      </c>
      <c r="E528" s="7">
        <f>+IF(FINANCIACION[[#This Row],[$ CAPITAL]]&gt;=0,FINANCIACION[[#This Row],[$ CAPITAL]]+FINANCIACION[[#This Row],[$ INTERESES]],"")</f>
        <v>6642768.8700000001</v>
      </c>
      <c r="F528" s="7">
        <f>+SUMIFS(FINANCIACION[$ CAPITAL],FINANCIACION[Fecha],"&lt;="&amp;FINANCIACION[[#This Row],[Fecha]],FINANCIACION[PRESTAMO],FINANCIACION[[#This Row],[PRESTAMO]])</f>
        <v>-41387126</v>
      </c>
      <c r="G528" s="91"/>
      <c r="H528" s="11"/>
      <c r="I528" s="7">
        <f>+IF(FINANCIACION[[#This Row],[$ CAPITAL]]&gt;0,FINANCIACION[[#This Row],[$ CAPITAL]])</f>
        <v>6326000</v>
      </c>
      <c r="J528" s="49">
        <f>+IF(FINANCIACION[[#This Row],[$ CAPITAL]]&gt;=0,FINANCIACION[[#This Row],[$ CAPITAL]]+FINANCIACION[[#This Row],[$ INTERESES]],0)</f>
        <v>6642768.8700000001</v>
      </c>
    </row>
    <row r="529" spans="1:10" ht="24" hidden="1" customHeight="1" x14ac:dyDescent="0.25">
      <c r="A529" s="10">
        <v>44445</v>
      </c>
      <c r="B529" s="85" t="s">
        <v>456</v>
      </c>
      <c r="C529" s="7">
        <v>6326000</v>
      </c>
      <c r="D529" s="7">
        <v>282642.03000000003</v>
      </c>
      <c r="E529" s="7">
        <f>+IF(FINANCIACION[[#This Row],[$ CAPITAL]]&gt;=0,FINANCIACION[[#This Row],[$ CAPITAL]]+FINANCIACION[[#This Row],[$ INTERESES]],"")</f>
        <v>6608642.0300000003</v>
      </c>
      <c r="F529" s="7">
        <f>+SUMIFS(FINANCIACION[$ CAPITAL],FINANCIACION[Fecha],"&lt;="&amp;FINANCIACION[[#This Row],[Fecha]],FINANCIACION[PRESTAMO],FINANCIACION[[#This Row],[PRESTAMO]])</f>
        <v>-35061126</v>
      </c>
      <c r="G529" s="91"/>
      <c r="H529" s="11"/>
      <c r="I529" s="7">
        <f>+IF(FINANCIACION[[#This Row],[$ CAPITAL]]&gt;0,FINANCIACION[[#This Row],[$ CAPITAL]])</f>
        <v>6326000</v>
      </c>
      <c r="J529" s="49">
        <f>+IF(FINANCIACION[[#This Row],[$ CAPITAL]]&gt;=0,FINANCIACION[[#This Row],[$ CAPITAL]]+FINANCIACION[[#This Row],[$ INTERESES]],0)</f>
        <v>6608642.0300000003</v>
      </c>
    </row>
    <row r="530" spans="1:10" ht="24" hidden="1" customHeight="1" x14ac:dyDescent="0.25">
      <c r="A530" s="10">
        <v>44480</v>
      </c>
      <c r="B530" s="85" t="s">
        <v>456</v>
      </c>
      <c r="C530" s="7">
        <f>6608642.04-FINANCIACION[[#This Row],[$ INTERESES]]</f>
        <v>6367304.5499999998</v>
      </c>
      <c r="D530" s="7">
        <v>241337.49</v>
      </c>
      <c r="E530" s="7">
        <f>+IF(FINANCIACION[[#This Row],[$ CAPITAL]]&gt;=0,FINANCIACION[[#This Row],[$ CAPITAL]]+FINANCIACION[[#This Row],[$ INTERESES]],"")</f>
        <v>6608642.04</v>
      </c>
      <c r="F530" s="7">
        <f>+SUMIFS(FINANCIACION[$ CAPITAL],FINANCIACION[Fecha],"&lt;="&amp;FINANCIACION[[#This Row],[Fecha]],FINANCIACION[PRESTAMO],FINANCIACION[[#This Row],[PRESTAMO]])</f>
        <v>-28693821.449999999</v>
      </c>
      <c r="G530" s="91"/>
      <c r="H530" s="11"/>
      <c r="I530" s="7">
        <f>+IF(FINANCIACION[[#This Row],[$ CAPITAL]]&gt;0,FINANCIACION[[#This Row],[$ CAPITAL]])</f>
        <v>6367304.5499999998</v>
      </c>
      <c r="J530" s="49">
        <f>+IF(FINANCIACION[[#This Row],[$ CAPITAL]]&gt;=0,FINANCIACION[[#This Row],[$ CAPITAL]]+FINANCIACION[[#This Row],[$ INTERESES]],0)</f>
        <v>6608642.04</v>
      </c>
    </row>
    <row r="531" spans="1:10" ht="24" hidden="1" customHeight="1" x14ac:dyDescent="0.25">
      <c r="A531" s="10">
        <v>44508</v>
      </c>
      <c r="B531" s="85" t="s">
        <v>456</v>
      </c>
      <c r="C531" s="7">
        <v>6326000</v>
      </c>
      <c r="D531" s="7">
        <v>197571.44</v>
      </c>
      <c r="E531" s="7">
        <f>+IF(FINANCIACION[[#This Row],[$ CAPITAL]]&gt;=0,FINANCIACION[[#This Row],[$ CAPITAL]]+FINANCIACION[[#This Row],[$ INTERESES]],"")</f>
        <v>6523571.4400000004</v>
      </c>
      <c r="F531" s="7">
        <f>+SUMIFS(FINANCIACION[$ CAPITAL],FINANCIACION[Fecha],"&lt;="&amp;FINANCIACION[[#This Row],[Fecha]],FINANCIACION[PRESTAMO],FINANCIACION[[#This Row],[PRESTAMO]])</f>
        <v>-22367821.449999999</v>
      </c>
      <c r="G531" s="91"/>
      <c r="H531" s="11"/>
      <c r="I531" s="7">
        <f>+IF(FINANCIACION[[#This Row],[$ CAPITAL]]&gt;0,FINANCIACION[[#This Row],[$ CAPITAL]])</f>
        <v>6326000</v>
      </c>
      <c r="J531" s="49">
        <f>+IF(FINANCIACION[[#This Row],[$ CAPITAL]]&gt;=0,FINANCIACION[[#This Row],[$ CAPITAL]]+FINANCIACION[[#This Row],[$ INTERESES]],0)</f>
        <v>6523571.4400000004</v>
      </c>
    </row>
    <row r="532" spans="1:10" ht="24" hidden="1" customHeight="1" x14ac:dyDescent="0.25">
      <c r="A532" s="10">
        <v>44530</v>
      </c>
      <c r="B532" s="85" t="s">
        <v>456</v>
      </c>
      <c r="C532" s="7">
        <v>-41304.550000000745</v>
      </c>
      <c r="D532" s="7"/>
      <c r="E532" s="7" t="str">
        <f>+IF(FINANCIACION[[#This Row],[$ CAPITAL]]&gt;=0,FINANCIACION[[#This Row],[$ CAPITAL]]+FINANCIACION[[#This Row],[$ INTERESES]],"")</f>
        <v/>
      </c>
      <c r="F532" s="7">
        <f>+SUMIFS(FINANCIACION[$ CAPITAL],FINANCIACION[Fecha],"&lt;="&amp;FINANCIACION[[#This Row],[Fecha]],FINANCIACION[PRESTAMO],FINANCIACION[[#This Row],[PRESTAMO]])</f>
        <v>-22409126</v>
      </c>
      <c r="G532" s="91" t="s">
        <v>512</v>
      </c>
      <c r="H532" s="11"/>
      <c r="I532" s="7" t="b">
        <f>+IF(FINANCIACION[[#This Row],[$ CAPITAL]]&gt;0,FINANCIACION[[#This Row],[$ CAPITAL]])</f>
        <v>0</v>
      </c>
      <c r="J532" s="49">
        <f>+IF(FINANCIACION[[#This Row],[$ CAPITAL]]&gt;=0,FINANCIACION[[#This Row],[$ CAPITAL]]+FINANCIACION[[#This Row],[$ INTERESES]],0)</f>
        <v>0</v>
      </c>
    </row>
    <row r="533" spans="1:10" ht="24" hidden="1" customHeight="1" x14ac:dyDescent="0.25">
      <c r="A533" s="10">
        <v>44537</v>
      </c>
      <c r="B533" s="85" t="s">
        <v>456</v>
      </c>
      <c r="C533" s="7">
        <v>6326000</v>
      </c>
      <c r="D533" s="7">
        <v>164148.5700000003</v>
      </c>
      <c r="E533" s="7">
        <f>+IF(FINANCIACION[[#This Row],[$ CAPITAL]]&gt;=0,FINANCIACION[[#This Row],[$ CAPITAL]]+FINANCIACION[[#This Row],[$ INTERESES]],"")</f>
        <v>6490148.5700000003</v>
      </c>
      <c r="F533" s="7">
        <f>+SUMIFS(FINANCIACION[$ CAPITAL],FINANCIACION[Fecha],"&lt;="&amp;FINANCIACION[[#This Row],[Fecha]],FINANCIACION[PRESTAMO],FINANCIACION[[#This Row],[PRESTAMO]])</f>
        <v>-16083126</v>
      </c>
      <c r="G533" s="91"/>
      <c r="H533" s="11"/>
      <c r="I533" s="7">
        <f>+IF(FINANCIACION[[#This Row],[$ CAPITAL]]&gt;0,FINANCIACION[[#This Row],[$ CAPITAL]])</f>
        <v>6326000</v>
      </c>
      <c r="J533" s="49">
        <f>+IF(FINANCIACION[[#This Row],[$ CAPITAL]]&gt;=0,FINANCIACION[[#This Row],[$ CAPITAL]]+FINANCIACION[[#This Row],[$ INTERESES]],0)</f>
        <v>6490148.5700000003</v>
      </c>
    </row>
    <row r="534" spans="1:10" ht="24" hidden="1" customHeight="1" x14ac:dyDescent="0.25">
      <c r="A534" s="10">
        <v>44565</v>
      </c>
      <c r="B534" s="85" t="s">
        <v>456</v>
      </c>
      <c r="C534" s="7">
        <v>6326000</v>
      </c>
      <c r="D534" s="7">
        <v>1249384.54</v>
      </c>
      <c r="E534" s="7">
        <f>+IF(FINANCIACION[[#This Row],[$ CAPITAL]]&gt;=0,FINANCIACION[[#This Row],[$ CAPITAL]]+FINANCIACION[[#This Row],[$ INTERESES]],"")</f>
        <v>7575384.54</v>
      </c>
      <c r="F534" s="7">
        <f>+SUMIFS(FINANCIACION[$ CAPITAL],FINANCIACION[Fecha],"&lt;="&amp;FINANCIACION[[#This Row],[Fecha]],FINANCIACION[PRESTAMO],FINANCIACION[[#This Row],[PRESTAMO]])</f>
        <v>-9757126</v>
      </c>
      <c r="G534" s="91"/>
      <c r="H534" s="11"/>
      <c r="I534" s="7">
        <f>+IF(FINANCIACION[[#This Row],[$ CAPITAL]]&gt;0,FINANCIACION[[#This Row],[$ CAPITAL]])</f>
        <v>6326000</v>
      </c>
      <c r="J534" s="49">
        <f>+IF(FINANCIACION[[#This Row],[$ CAPITAL]]&gt;=0,FINANCIACION[[#This Row],[$ CAPITAL]]+FINANCIACION[[#This Row],[$ INTERESES]],0)</f>
        <v>7575384.54</v>
      </c>
    </row>
    <row r="535" spans="1:10" ht="24" hidden="1" customHeight="1" x14ac:dyDescent="0.25">
      <c r="A535" s="10">
        <v>44161</v>
      </c>
      <c r="B535" s="85" t="s">
        <v>457</v>
      </c>
      <c r="C535" s="7">
        <v>0</v>
      </c>
      <c r="D535" s="7">
        <v>300000</v>
      </c>
      <c r="E535" s="7">
        <f>+IF(FINANCIACION[[#This Row],[$ CAPITAL]]&gt;=0,FINANCIACION[[#This Row],[$ CAPITAL]]+FINANCIACION[[#This Row],[$ INTERESES]],"")</f>
        <v>300000</v>
      </c>
      <c r="F535" s="7">
        <f>+SUMIFS(FINANCIACION[$ CAPITAL],FINANCIACION[Fecha],"&lt;="&amp;FINANCIACION[[#This Row],[Fecha]],FINANCIACION[PRESTAMO],FINANCIACION[[#This Row],[PRESTAMO]])</f>
        <v>0</v>
      </c>
      <c r="G535" s="11"/>
      <c r="H535" s="11"/>
      <c r="I535" s="7" t="b">
        <f>+IF(FINANCIACION[[#This Row],[$ CAPITAL]]&gt;0,FINANCIACION[[#This Row],[$ CAPITAL]])</f>
        <v>0</v>
      </c>
      <c r="J535" s="49">
        <f>+IF(FINANCIACION[[#This Row],[$ CAPITAL]]&gt;=0,FINANCIACION[[#This Row],[$ CAPITAL]]+FINANCIACION[[#This Row],[$ INTERESES]],0)</f>
        <v>300000</v>
      </c>
    </row>
    <row r="536" spans="1:10" ht="24" hidden="1" customHeight="1" x14ac:dyDescent="0.25">
      <c r="A536" s="10">
        <v>44165</v>
      </c>
      <c r="B536" s="85" t="s">
        <v>457</v>
      </c>
      <c r="C536" s="7">
        <v>-1606463.46</v>
      </c>
      <c r="D536" s="7"/>
      <c r="E536" s="7" t="str">
        <f>+IF(FINANCIACION[[#This Row],[$ CAPITAL]]&gt;=0,FINANCIACION[[#This Row],[$ CAPITAL]]+FINANCIACION[[#This Row],[$ INTERESES]],"")</f>
        <v/>
      </c>
      <c r="F536" s="7">
        <f>+SUMIFS(FINANCIACION[$ CAPITAL],FINANCIACION[Fecha],"&lt;="&amp;FINANCIACION[[#This Row],[Fecha]],FINANCIACION[PRESTAMO],FINANCIACION[[#This Row],[PRESTAMO]])</f>
        <v>-1606463.46</v>
      </c>
      <c r="G536" s="11"/>
      <c r="H536" s="11"/>
      <c r="I536" s="7" t="b">
        <f>+IF(FINANCIACION[[#This Row],[$ CAPITAL]]&gt;0,FINANCIACION[[#This Row],[$ CAPITAL]])</f>
        <v>0</v>
      </c>
      <c r="J536" s="49">
        <f>+IF(FINANCIACION[[#This Row],[$ CAPITAL]]&gt;=0,FINANCIACION[[#This Row],[$ CAPITAL]]+FINANCIACION[[#This Row],[$ INTERESES]],0)</f>
        <v>0</v>
      </c>
    </row>
    <row r="537" spans="1:10" ht="24" hidden="1" customHeight="1" x14ac:dyDescent="0.25">
      <c r="A537" s="10">
        <v>44187</v>
      </c>
      <c r="B537" s="85" t="s">
        <v>457</v>
      </c>
      <c r="C537" s="7">
        <v>1606463.46</v>
      </c>
      <c r="D537" s="7"/>
      <c r="E537" s="7">
        <f>+IF(FINANCIACION[[#This Row],[$ CAPITAL]]&gt;=0,FINANCIACION[[#This Row],[$ CAPITAL]]+FINANCIACION[[#This Row],[$ INTERESES]],"")</f>
        <v>1606463.46</v>
      </c>
      <c r="F537" s="7">
        <f>+SUMIFS(FINANCIACION[$ CAPITAL],FINANCIACION[Fecha],"&lt;="&amp;FINANCIACION[[#This Row],[Fecha]],FINANCIACION[PRESTAMO],FINANCIACION[[#This Row],[PRESTAMO]])</f>
        <v>0</v>
      </c>
      <c r="G537" s="11"/>
      <c r="H537" s="11"/>
      <c r="I537" s="7">
        <f>+IF(FINANCIACION[[#This Row],[$ CAPITAL]]&gt;0,FINANCIACION[[#This Row],[$ CAPITAL]])</f>
        <v>1606463.46</v>
      </c>
      <c r="J537" s="49">
        <f>+IF(FINANCIACION[[#This Row],[$ CAPITAL]]&gt;=0,FINANCIACION[[#This Row],[$ CAPITAL]]+FINANCIACION[[#This Row],[$ INTERESES]],0)</f>
        <v>1606463.46</v>
      </c>
    </row>
    <row r="538" spans="1:10" ht="24" hidden="1" customHeight="1" x14ac:dyDescent="0.25">
      <c r="A538" s="10">
        <v>44165</v>
      </c>
      <c r="B538" s="85" t="s">
        <v>458</v>
      </c>
      <c r="C538" s="7">
        <v>-1513629.61</v>
      </c>
      <c r="D538" s="7"/>
      <c r="E538" s="7" t="str">
        <f>+IF(FINANCIACION[[#This Row],[$ CAPITAL]]&gt;=0,FINANCIACION[[#This Row],[$ CAPITAL]]+FINANCIACION[[#This Row],[$ INTERESES]],"")</f>
        <v/>
      </c>
      <c r="F538" s="7">
        <f>+SUMIFS(FINANCIACION[$ CAPITAL],FINANCIACION[Fecha],"&lt;="&amp;FINANCIACION[[#This Row],[Fecha]],FINANCIACION[PRESTAMO],FINANCIACION[[#This Row],[PRESTAMO]])</f>
        <v>-1513629.61</v>
      </c>
      <c r="G538" s="11"/>
      <c r="H538" s="11"/>
      <c r="I538" s="7" t="b">
        <f>+IF(FINANCIACION[[#This Row],[$ CAPITAL]]&gt;0,FINANCIACION[[#This Row],[$ CAPITAL]])</f>
        <v>0</v>
      </c>
      <c r="J538" s="49">
        <f>+IF(FINANCIACION[[#This Row],[$ CAPITAL]]&gt;=0,FINANCIACION[[#This Row],[$ CAPITAL]]+FINANCIACION[[#This Row],[$ INTERESES]],0)</f>
        <v>0</v>
      </c>
    </row>
    <row r="539" spans="1:10" ht="24" hidden="1" customHeight="1" x14ac:dyDescent="0.25">
      <c r="A539" s="10">
        <v>44187</v>
      </c>
      <c r="B539" s="85" t="s">
        <v>458</v>
      </c>
      <c r="C539" s="7">
        <v>1513629.61</v>
      </c>
      <c r="D539" s="7"/>
      <c r="E539" s="7">
        <f>+IF(FINANCIACION[[#This Row],[$ CAPITAL]]&gt;=0,FINANCIACION[[#This Row],[$ CAPITAL]]+FINANCIACION[[#This Row],[$ INTERESES]],"")</f>
        <v>1513629.61</v>
      </c>
      <c r="F539" s="7">
        <f>+SUMIFS(FINANCIACION[$ CAPITAL],FINANCIACION[Fecha],"&lt;="&amp;FINANCIACION[[#This Row],[Fecha]],FINANCIACION[PRESTAMO],FINANCIACION[[#This Row],[PRESTAMO]])</f>
        <v>0</v>
      </c>
      <c r="G539" s="11"/>
      <c r="H539" s="11"/>
      <c r="I539" s="7">
        <f>+IF(FINANCIACION[[#This Row],[$ CAPITAL]]&gt;0,FINANCIACION[[#This Row],[$ CAPITAL]])</f>
        <v>1513629.61</v>
      </c>
      <c r="J539" s="49">
        <f>+IF(FINANCIACION[[#This Row],[$ CAPITAL]]&gt;=0,FINANCIACION[[#This Row],[$ CAPITAL]]+FINANCIACION[[#This Row],[$ INTERESES]],0)</f>
        <v>1513629.61</v>
      </c>
    </row>
    <row r="540" spans="1:10" ht="24" hidden="1" customHeight="1" x14ac:dyDescent="0.25">
      <c r="A540" s="10">
        <v>43118</v>
      </c>
      <c r="B540" s="85" t="s">
        <v>459</v>
      </c>
      <c r="C540" s="7">
        <v>-382491081</v>
      </c>
      <c r="D540" s="7"/>
      <c r="E540" s="7" t="str">
        <f>+IF(FINANCIACION[[#This Row],[$ CAPITAL]]&gt;=0,FINANCIACION[[#This Row],[$ CAPITAL]]+FINANCIACION[[#This Row],[$ INTERESES]],"")</f>
        <v/>
      </c>
      <c r="F540" s="7">
        <f>+SUMIFS(FINANCIACION[$ CAPITAL],FINANCIACION[Fecha],"&lt;="&amp;FINANCIACION[[#This Row],[Fecha]],FINANCIACION[PRESTAMO],FINANCIACION[[#This Row],[PRESTAMO]])</f>
        <v>-382491081</v>
      </c>
      <c r="G540" s="11"/>
      <c r="H540" s="11"/>
      <c r="I540" s="7" t="b">
        <f>+IF(FINANCIACION[[#This Row],[$ CAPITAL]]&gt;0,FINANCIACION[[#This Row],[$ CAPITAL]])</f>
        <v>0</v>
      </c>
      <c r="J540" s="49">
        <f>+IF(FINANCIACION[[#This Row],[$ CAPITAL]]&gt;=0,FINANCIACION[[#This Row],[$ CAPITAL]]+FINANCIACION[[#This Row],[$ INTERESES]],0)</f>
        <v>0</v>
      </c>
    </row>
    <row r="541" spans="1:10" ht="24" hidden="1" customHeight="1" x14ac:dyDescent="0.25">
      <c r="A541" s="10">
        <v>43483</v>
      </c>
      <c r="B541" s="85" t="s">
        <v>459</v>
      </c>
      <c r="C541" s="7">
        <v>1268533</v>
      </c>
      <c r="D541" s="7">
        <v>12694590</v>
      </c>
      <c r="E541" s="7">
        <f>+IF(FINANCIACION[[#This Row],[$ CAPITAL]]&gt;=0,FINANCIACION[[#This Row],[$ CAPITAL]]+FINANCIACION[[#This Row],[$ INTERESES]],"")</f>
        <v>13963123</v>
      </c>
      <c r="F541" s="7">
        <f>+SUMIFS(FINANCIACION[$ CAPITAL],FINANCIACION[Fecha],"&lt;="&amp;FINANCIACION[[#This Row],[Fecha]],FINANCIACION[PRESTAMO],FINANCIACION[[#This Row],[PRESTAMO]])</f>
        <v>-381222548</v>
      </c>
      <c r="G541" s="11"/>
      <c r="H541" s="11"/>
      <c r="I541" s="7">
        <f>+IF(FINANCIACION[[#This Row],[$ CAPITAL]]&gt;0,FINANCIACION[[#This Row],[$ CAPITAL]])</f>
        <v>1268533</v>
      </c>
      <c r="J541" s="49">
        <f>+IF(FINANCIACION[[#This Row],[$ CAPITAL]]&gt;=0,FINANCIACION[[#This Row],[$ CAPITAL]]+FINANCIACION[[#This Row],[$ INTERESES]],0)</f>
        <v>13963123</v>
      </c>
    </row>
    <row r="542" spans="1:10" ht="24" hidden="1" customHeight="1" x14ac:dyDescent="0.25">
      <c r="A542" s="10">
        <v>43485</v>
      </c>
      <c r="B542" s="85" t="s">
        <v>459</v>
      </c>
      <c r="C542" s="7">
        <v>1482486.9681818199</v>
      </c>
      <c r="D542" s="7">
        <v>4603361.0318181803</v>
      </c>
      <c r="E542" s="7">
        <f>+IF(FINANCIACION[[#This Row],[$ CAPITAL]]&gt;=0,FINANCIACION[[#This Row],[$ CAPITAL]]+FINANCIACION[[#This Row],[$ INTERESES]],"")</f>
        <v>6085848</v>
      </c>
      <c r="F542" s="7">
        <f>+SUMIFS(FINANCIACION[$ CAPITAL],FINANCIACION[Fecha],"&lt;="&amp;FINANCIACION[[#This Row],[Fecha]],FINANCIACION[PRESTAMO],FINANCIACION[[#This Row],[PRESTAMO]])</f>
        <v>-379740061.03181815</v>
      </c>
      <c r="G542" s="11"/>
      <c r="H542" s="11"/>
      <c r="I542" s="7">
        <f>+IF(FINANCIACION[[#This Row],[$ CAPITAL]]&gt;0,FINANCIACION[[#This Row],[$ CAPITAL]])</f>
        <v>1482486.9681818199</v>
      </c>
      <c r="J542" s="49">
        <f>+IF(FINANCIACION[[#This Row],[$ CAPITAL]]&gt;=0,FINANCIACION[[#This Row],[$ CAPITAL]]+FINANCIACION[[#This Row],[$ INTERESES]],0)</f>
        <v>6085848</v>
      </c>
    </row>
    <row r="543" spans="1:10" ht="24" hidden="1" customHeight="1" x14ac:dyDescent="0.25">
      <c r="A543" s="10">
        <v>43514</v>
      </c>
      <c r="B543" s="85" t="s">
        <v>459</v>
      </c>
      <c r="C543" s="7">
        <v>1286844</v>
      </c>
      <c r="D543" s="7">
        <v>4795368</v>
      </c>
      <c r="E543" s="7">
        <f>+IF(FINANCIACION[[#This Row],[$ CAPITAL]]&gt;=0,FINANCIACION[[#This Row],[$ CAPITAL]]+FINANCIACION[[#This Row],[$ INTERESES]],"")</f>
        <v>6082212</v>
      </c>
      <c r="F543" s="7">
        <f>+SUMIFS(FINANCIACION[$ CAPITAL],FINANCIACION[Fecha],"&lt;="&amp;FINANCIACION[[#This Row],[Fecha]],FINANCIACION[PRESTAMO],FINANCIACION[[#This Row],[PRESTAMO]])</f>
        <v>-378453217.03181815</v>
      </c>
      <c r="G543" s="11"/>
      <c r="H543" s="11"/>
      <c r="I543" s="7">
        <f>+IF(FINANCIACION[[#This Row],[$ CAPITAL]]&gt;0,FINANCIACION[[#This Row],[$ CAPITAL]])</f>
        <v>1286844</v>
      </c>
      <c r="J543" s="49">
        <f>+IF(FINANCIACION[[#This Row],[$ CAPITAL]]&gt;=0,FINANCIACION[[#This Row],[$ CAPITAL]]+FINANCIACION[[#This Row],[$ INTERESES]],0)</f>
        <v>6082212</v>
      </c>
    </row>
    <row r="544" spans="1:10" ht="24" hidden="1" customHeight="1" x14ac:dyDescent="0.25">
      <c r="A544" s="10">
        <v>43542</v>
      </c>
      <c r="B544" s="85" t="s">
        <v>459</v>
      </c>
      <c r="C544" s="7">
        <v>1302644</v>
      </c>
      <c r="D544" s="7">
        <v>4779568</v>
      </c>
      <c r="E544" s="7">
        <f>+IF(FINANCIACION[[#This Row],[$ CAPITAL]]&gt;=0,FINANCIACION[[#This Row],[$ CAPITAL]]+FINANCIACION[[#This Row],[$ INTERESES]],"")</f>
        <v>6082212</v>
      </c>
      <c r="F544" s="7">
        <f>+SUMIFS(FINANCIACION[$ CAPITAL],FINANCIACION[Fecha],"&lt;="&amp;FINANCIACION[[#This Row],[Fecha]],FINANCIACION[PRESTAMO],FINANCIACION[[#This Row],[PRESTAMO]])</f>
        <v>-377150573.03181815</v>
      </c>
      <c r="G544" s="11"/>
      <c r="H544" s="11"/>
      <c r="I544" s="7">
        <f>+IF(FINANCIACION[[#This Row],[$ CAPITAL]]&gt;0,FINANCIACION[[#This Row],[$ CAPITAL]])</f>
        <v>1302644</v>
      </c>
      <c r="J544" s="49">
        <f>+IF(FINANCIACION[[#This Row],[$ CAPITAL]]&gt;=0,FINANCIACION[[#This Row],[$ CAPITAL]]+FINANCIACION[[#This Row],[$ INTERESES]],0)</f>
        <v>6082212</v>
      </c>
    </row>
    <row r="545" spans="1:10" ht="24" hidden="1" customHeight="1" x14ac:dyDescent="0.25">
      <c r="A545" s="10">
        <v>43577</v>
      </c>
      <c r="B545" s="85" t="s">
        <v>459</v>
      </c>
      <c r="C545" s="7">
        <v>1302644</v>
      </c>
      <c r="D545" s="7">
        <v>4779568</v>
      </c>
      <c r="E545" s="7">
        <f>+IF(FINANCIACION[[#This Row],[$ CAPITAL]]&gt;=0,FINANCIACION[[#This Row],[$ CAPITAL]]+FINANCIACION[[#This Row],[$ INTERESES]],"")</f>
        <v>6082212</v>
      </c>
      <c r="F545" s="7">
        <f>+SUMIFS(FINANCIACION[$ CAPITAL],FINANCIACION[Fecha],"&lt;="&amp;FINANCIACION[[#This Row],[Fecha]],FINANCIACION[PRESTAMO],FINANCIACION[[#This Row],[PRESTAMO]])</f>
        <v>-375847929.03181815</v>
      </c>
      <c r="G545" s="11"/>
      <c r="H545" s="11"/>
      <c r="I545" s="7">
        <f>+IF(FINANCIACION[[#This Row],[$ CAPITAL]]&gt;0,FINANCIACION[[#This Row],[$ CAPITAL]])</f>
        <v>1302644</v>
      </c>
      <c r="J545" s="49">
        <f>+IF(FINANCIACION[[#This Row],[$ CAPITAL]]&gt;=0,FINANCIACION[[#This Row],[$ CAPITAL]]+FINANCIACION[[#This Row],[$ INTERESES]],0)</f>
        <v>6082212</v>
      </c>
    </row>
    <row r="546" spans="1:10" ht="24" hidden="1" customHeight="1" x14ac:dyDescent="0.25">
      <c r="A546" s="10">
        <v>43605</v>
      </c>
      <c r="B546" s="85" t="s">
        <v>459</v>
      </c>
      <c r="C546" s="7">
        <v>1334827</v>
      </c>
      <c r="D546" s="7">
        <v>4747385</v>
      </c>
      <c r="E546" s="7">
        <f>+IF(FINANCIACION[[#This Row],[$ CAPITAL]]&gt;=0,FINANCIACION[[#This Row],[$ CAPITAL]]+FINANCIACION[[#This Row],[$ INTERESES]],"")</f>
        <v>6082212</v>
      </c>
      <c r="F546" s="7">
        <f>+SUMIFS(FINANCIACION[$ CAPITAL],FINANCIACION[Fecha],"&lt;="&amp;FINANCIACION[[#This Row],[Fecha]],FINANCIACION[PRESTAMO],FINANCIACION[[#This Row],[PRESTAMO]])</f>
        <v>-374513102.03181815</v>
      </c>
      <c r="G546" s="11"/>
      <c r="H546" s="11"/>
      <c r="I546" s="7">
        <f>+IF(FINANCIACION[[#This Row],[$ CAPITAL]]&gt;0,FINANCIACION[[#This Row],[$ CAPITAL]])</f>
        <v>1334827</v>
      </c>
      <c r="J546" s="49">
        <f>+IF(FINANCIACION[[#This Row],[$ CAPITAL]]&gt;=0,FINANCIACION[[#This Row],[$ CAPITAL]]+FINANCIACION[[#This Row],[$ INTERESES]],0)</f>
        <v>6082212</v>
      </c>
    </row>
    <row r="547" spans="1:10" ht="24" hidden="1" customHeight="1" x14ac:dyDescent="0.25">
      <c r="A547" s="10">
        <v>43634</v>
      </c>
      <c r="B547" s="85" t="s">
        <v>459</v>
      </c>
      <c r="C547" s="7">
        <v>1351215</v>
      </c>
      <c r="D547" s="7">
        <v>4730997</v>
      </c>
      <c r="E547" s="7">
        <f>+IF(FINANCIACION[[#This Row],[$ CAPITAL]]&gt;=0,FINANCIACION[[#This Row],[$ CAPITAL]]+FINANCIACION[[#This Row],[$ INTERESES]],"")</f>
        <v>6082212</v>
      </c>
      <c r="F547" s="7">
        <f>+SUMIFS(FINANCIACION[$ CAPITAL],FINANCIACION[Fecha],"&lt;="&amp;FINANCIACION[[#This Row],[Fecha]],FINANCIACION[PRESTAMO],FINANCIACION[[#This Row],[PRESTAMO]])</f>
        <v>-373161887.03181815</v>
      </c>
      <c r="G547" s="11"/>
      <c r="H547" s="11"/>
      <c r="I547" s="7">
        <f>+IF(FINANCIACION[[#This Row],[$ CAPITAL]]&gt;0,FINANCIACION[[#This Row],[$ CAPITAL]])</f>
        <v>1351215</v>
      </c>
      <c r="J547" s="49">
        <f>+IF(FINANCIACION[[#This Row],[$ CAPITAL]]&gt;=0,FINANCIACION[[#This Row],[$ CAPITAL]]+FINANCIACION[[#This Row],[$ INTERESES]],0)</f>
        <v>6082212</v>
      </c>
    </row>
    <row r="548" spans="1:10" ht="24" hidden="1" customHeight="1" x14ac:dyDescent="0.25">
      <c r="A548" s="10">
        <v>43664</v>
      </c>
      <c r="B548" s="85" t="s">
        <v>459</v>
      </c>
      <c r="C548" s="7">
        <v>1367805</v>
      </c>
      <c r="D548" s="7">
        <v>4714407</v>
      </c>
      <c r="E548" s="7">
        <f>+IF(FINANCIACION[[#This Row],[$ CAPITAL]]&gt;=0,FINANCIACION[[#This Row],[$ CAPITAL]]+FINANCIACION[[#This Row],[$ INTERESES]],"")</f>
        <v>6082212</v>
      </c>
      <c r="F548" s="7">
        <f>+SUMIFS(FINANCIACION[$ CAPITAL],FINANCIACION[Fecha],"&lt;="&amp;FINANCIACION[[#This Row],[Fecha]],FINANCIACION[PRESTAMO],FINANCIACION[[#This Row],[PRESTAMO]])</f>
        <v>-371794082.03181815</v>
      </c>
      <c r="G548" s="11"/>
      <c r="H548" s="11"/>
      <c r="I548" s="7">
        <f>+IF(FINANCIACION[[#This Row],[$ CAPITAL]]&gt;0,FINANCIACION[[#This Row],[$ CAPITAL]])</f>
        <v>1367805</v>
      </c>
      <c r="J548" s="49">
        <f>+IF(FINANCIACION[[#This Row],[$ CAPITAL]]&gt;=0,FINANCIACION[[#This Row],[$ CAPITAL]]+FINANCIACION[[#This Row],[$ INTERESES]],0)</f>
        <v>6082212</v>
      </c>
    </row>
    <row r="549" spans="1:10" ht="24" hidden="1" customHeight="1" x14ac:dyDescent="0.25">
      <c r="A549" s="10">
        <v>43697</v>
      </c>
      <c r="B549" s="85" t="s">
        <v>459</v>
      </c>
      <c r="C549" s="7">
        <v>1392137</v>
      </c>
      <c r="D549" s="7">
        <v>4667683</v>
      </c>
      <c r="E549" s="7">
        <f>+IF(FINANCIACION[[#This Row],[$ CAPITAL]]&gt;=0,FINANCIACION[[#This Row],[$ CAPITAL]]+FINANCIACION[[#This Row],[$ INTERESES]],"")</f>
        <v>6059820</v>
      </c>
      <c r="F549" s="7">
        <f>+SUMIFS(FINANCIACION[$ CAPITAL],FINANCIACION[Fecha],"&lt;="&amp;FINANCIACION[[#This Row],[Fecha]],FINANCIACION[PRESTAMO],FINANCIACION[[#This Row],[PRESTAMO]])</f>
        <v>-370401945.03181815</v>
      </c>
      <c r="G549" s="11"/>
      <c r="H549" s="11"/>
      <c r="I549" s="7">
        <f>+IF(FINANCIACION[[#This Row],[$ CAPITAL]]&gt;0,FINANCIACION[[#This Row],[$ CAPITAL]])</f>
        <v>1392137</v>
      </c>
      <c r="J549" s="49">
        <f>+IF(FINANCIACION[[#This Row],[$ CAPITAL]]&gt;=0,FINANCIACION[[#This Row],[$ CAPITAL]]+FINANCIACION[[#This Row],[$ INTERESES]],0)</f>
        <v>6059820</v>
      </c>
    </row>
    <row r="550" spans="1:10" ht="24" hidden="1" customHeight="1" x14ac:dyDescent="0.25">
      <c r="A550" s="10">
        <v>43726</v>
      </c>
      <c r="B550" s="85" t="s">
        <v>459</v>
      </c>
      <c r="C550" s="7">
        <v>1409118</v>
      </c>
      <c r="D550" s="7">
        <v>4650702</v>
      </c>
      <c r="E550" s="7">
        <f>+IF(FINANCIACION[[#This Row],[$ CAPITAL]]&gt;=0,FINANCIACION[[#This Row],[$ CAPITAL]]+FINANCIACION[[#This Row],[$ INTERESES]],"")</f>
        <v>6059820</v>
      </c>
      <c r="F550" s="7">
        <f>+SUMIFS(FINANCIACION[$ CAPITAL],FINANCIACION[Fecha],"&lt;="&amp;FINANCIACION[[#This Row],[Fecha]],FINANCIACION[PRESTAMO],FINANCIACION[[#This Row],[PRESTAMO]])</f>
        <v>-368992827.03181815</v>
      </c>
      <c r="G550" s="11"/>
      <c r="H550" s="11"/>
      <c r="I550" s="7">
        <f>+IF(FINANCIACION[[#This Row],[$ CAPITAL]]&gt;0,FINANCIACION[[#This Row],[$ CAPITAL]])</f>
        <v>1409118</v>
      </c>
      <c r="J550" s="49">
        <f>+IF(FINANCIACION[[#This Row],[$ CAPITAL]]&gt;=0,FINANCIACION[[#This Row],[$ CAPITAL]]+FINANCIACION[[#This Row],[$ INTERESES]],0)</f>
        <v>6059820</v>
      </c>
    </row>
    <row r="551" spans="1:10" ht="24" hidden="1" customHeight="1" x14ac:dyDescent="0.25">
      <c r="A551" s="10">
        <v>43756</v>
      </c>
      <c r="B551" s="85" t="s">
        <v>459</v>
      </c>
      <c r="C551" s="7">
        <v>1426306</v>
      </c>
      <c r="D551" s="7">
        <v>4592899</v>
      </c>
      <c r="E551" s="7">
        <f>+IF(FINANCIACION[[#This Row],[$ CAPITAL]]&gt;=0,FINANCIACION[[#This Row],[$ CAPITAL]]+FINANCIACION[[#This Row],[$ INTERESES]],"")</f>
        <v>6019205</v>
      </c>
      <c r="F551" s="7">
        <f>+SUMIFS(FINANCIACION[$ CAPITAL],FINANCIACION[Fecha],"&lt;="&amp;FINANCIACION[[#This Row],[Fecha]],FINANCIACION[PRESTAMO],FINANCIACION[[#This Row],[PRESTAMO]])</f>
        <v>-367566521.03181815</v>
      </c>
      <c r="G551" s="11"/>
      <c r="H551" s="11"/>
      <c r="I551" s="7">
        <f>+IF(FINANCIACION[[#This Row],[$ CAPITAL]]&gt;0,FINANCIACION[[#This Row],[$ CAPITAL]])</f>
        <v>1426306</v>
      </c>
      <c r="J551" s="49">
        <f>+IF(FINANCIACION[[#This Row],[$ CAPITAL]]&gt;=0,FINANCIACION[[#This Row],[$ CAPITAL]]+FINANCIACION[[#This Row],[$ INTERESES]],0)</f>
        <v>6019205</v>
      </c>
    </row>
    <row r="552" spans="1:10" ht="24" hidden="1" customHeight="1" x14ac:dyDescent="0.25">
      <c r="A552" s="10">
        <v>43787</v>
      </c>
      <c r="B552" s="85" t="s">
        <v>459</v>
      </c>
      <c r="C552" s="7">
        <v>1442047.66666667</v>
      </c>
      <c r="D552" s="7">
        <v>4639789.3333333302</v>
      </c>
      <c r="E552" s="7">
        <f>+IF(FINANCIACION[[#This Row],[$ CAPITAL]]&gt;=0,FINANCIACION[[#This Row],[$ CAPITAL]]+FINANCIACION[[#This Row],[$ INTERESES]],"")</f>
        <v>6081837</v>
      </c>
      <c r="F552" s="7">
        <f>+SUMIFS(FINANCIACION[$ CAPITAL],FINANCIACION[Fecha],"&lt;="&amp;FINANCIACION[[#This Row],[Fecha]],FINANCIACION[PRESTAMO],FINANCIACION[[#This Row],[PRESTAMO]])</f>
        <v>-366124473.36515146</v>
      </c>
      <c r="G552" s="11"/>
      <c r="H552" s="11"/>
      <c r="I552" s="7">
        <f>+IF(FINANCIACION[[#This Row],[$ CAPITAL]]&gt;0,FINANCIACION[[#This Row],[$ CAPITAL]])</f>
        <v>1442047.66666667</v>
      </c>
      <c r="J552" s="49">
        <f>+IF(FINANCIACION[[#This Row],[$ CAPITAL]]&gt;=0,FINANCIACION[[#This Row],[$ CAPITAL]]+FINANCIACION[[#This Row],[$ INTERESES]],0)</f>
        <v>6081837</v>
      </c>
    </row>
    <row r="553" spans="1:10" ht="24" hidden="1" customHeight="1" x14ac:dyDescent="0.25">
      <c r="A553" s="10">
        <v>43817</v>
      </c>
      <c r="B553" s="85" t="s">
        <v>459</v>
      </c>
      <c r="C553" s="7">
        <v>1459836.82424242</v>
      </c>
      <c r="D553" s="7">
        <v>4622000.1757575795</v>
      </c>
      <c r="E553" s="7">
        <f>+IF(FINANCIACION[[#This Row],[$ CAPITAL]]&gt;=0,FINANCIACION[[#This Row],[$ CAPITAL]]+FINANCIACION[[#This Row],[$ INTERESES]],"")</f>
        <v>6081837</v>
      </c>
      <c r="F553" s="7">
        <f>+SUMIFS(FINANCIACION[$ CAPITAL],FINANCIACION[Fecha],"&lt;="&amp;FINANCIACION[[#This Row],[Fecha]],FINANCIACION[PRESTAMO],FINANCIACION[[#This Row],[PRESTAMO]])</f>
        <v>-364664636.54090905</v>
      </c>
      <c r="G553" s="11"/>
      <c r="H553" s="11"/>
      <c r="I553" s="7">
        <f>+IF(FINANCIACION[[#This Row],[$ CAPITAL]]&gt;0,FINANCIACION[[#This Row],[$ CAPITAL]])</f>
        <v>1459836.82424242</v>
      </c>
      <c r="J553" s="49">
        <f>+IF(FINANCIACION[[#This Row],[$ CAPITAL]]&gt;=0,FINANCIACION[[#This Row],[$ CAPITAL]]+FINANCIACION[[#This Row],[$ INTERESES]],0)</f>
        <v>6081837</v>
      </c>
    </row>
    <row r="554" spans="1:10" ht="24" hidden="1" customHeight="1" x14ac:dyDescent="0.25">
      <c r="A554" s="10">
        <v>43830</v>
      </c>
      <c r="B554" s="85" t="s">
        <v>459</v>
      </c>
      <c r="C554" s="7">
        <v>-24464288.602231398</v>
      </c>
      <c r="D554" s="7"/>
      <c r="E554" s="7" t="str">
        <f>+IF(FINANCIACION[[#This Row],[$ CAPITAL]]&gt;=0,FINANCIACION[[#This Row],[$ CAPITAL]]+FINANCIACION[[#This Row],[$ INTERESES]],"")</f>
        <v/>
      </c>
      <c r="F554" s="7">
        <f>+SUMIFS(FINANCIACION[$ CAPITAL],FINANCIACION[Fecha],"&lt;="&amp;FINANCIACION[[#This Row],[Fecha]],FINANCIACION[PRESTAMO],FINANCIACION[[#This Row],[PRESTAMO]])</f>
        <v>-389128925.14314044</v>
      </c>
      <c r="G554" s="11"/>
      <c r="H554" s="11"/>
      <c r="I554" s="7" t="b">
        <f>+IF(FINANCIACION[[#This Row],[$ CAPITAL]]&gt;0,FINANCIACION[[#This Row],[$ CAPITAL]])</f>
        <v>0</v>
      </c>
      <c r="J554" s="49">
        <f>+IF(FINANCIACION[[#This Row],[$ CAPITAL]]&gt;=0,FINANCIACION[[#This Row],[$ CAPITAL]]+FINANCIACION[[#This Row],[$ INTERESES]],0)</f>
        <v>0</v>
      </c>
    </row>
    <row r="555" spans="1:10" ht="24" hidden="1" customHeight="1" x14ac:dyDescent="0.25">
      <c r="A555" s="10">
        <v>43848</v>
      </c>
      <c r="B555" s="85" t="s">
        <v>459</v>
      </c>
      <c r="C555" s="7">
        <v>1471610</v>
      </c>
      <c r="D555" s="7">
        <v>4614238</v>
      </c>
      <c r="E555" s="7">
        <f>+IF(FINANCIACION[[#This Row],[$ CAPITAL]]&gt;=0,FINANCIACION[[#This Row],[$ CAPITAL]]+FINANCIACION[[#This Row],[$ INTERESES]],"")</f>
        <v>6085848</v>
      </c>
      <c r="F555" s="7">
        <f>+SUMIFS(FINANCIACION[$ CAPITAL],FINANCIACION[Fecha],"&lt;="&amp;FINANCIACION[[#This Row],[Fecha]],FINANCIACION[PRESTAMO],FINANCIACION[[#This Row],[PRESTAMO]])</f>
        <v>-387657315.14314044</v>
      </c>
      <c r="G555" s="11"/>
      <c r="H555" s="11"/>
      <c r="I555" s="7">
        <f>+IF(FINANCIACION[[#This Row],[$ CAPITAL]]&gt;0,FINANCIACION[[#This Row],[$ CAPITAL]])</f>
        <v>1471610</v>
      </c>
      <c r="J555" s="49">
        <f>+IF(FINANCIACION[[#This Row],[$ CAPITAL]]&gt;=0,FINANCIACION[[#This Row],[$ CAPITAL]]+FINANCIACION[[#This Row],[$ INTERESES]],0)</f>
        <v>6085848</v>
      </c>
    </row>
    <row r="556" spans="1:10" ht="24" hidden="1" customHeight="1" x14ac:dyDescent="0.25">
      <c r="A556" s="10">
        <v>43879</v>
      </c>
      <c r="B556" s="85" t="s">
        <v>459</v>
      </c>
      <c r="C556" s="7">
        <v>1491748</v>
      </c>
      <c r="D556" s="7">
        <v>4588198</v>
      </c>
      <c r="E556" s="7">
        <f>+IF(FINANCIACION[[#This Row],[$ CAPITAL]]&gt;=0,FINANCIACION[[#This Row],[$ CAPITAL]]+FINANCIACION[[#This Row],[$ INTERESES]],"")</f>
        <v>6079946</v>
      </c>
      <c r="F556" s="7">
        <f>+SUMIFS(FINANCIACION[$ CAPITAL],FINANCIACION[Fecha],"&lt;="&amp;FINANCIACION[[#This Row],[Fecha]],FINANCIACION[PRESTAMO],FINANCIACION[[#This Row],[PRESTAMO]])</f>
        <v>-386165567.14314044</v>
      </c>
      <c r="G556" s="11"/>
      <c r="H556" s="11"/>
      <c r="I556" s="7">
        <f>+IF(FINANCIACION[[#This Row],[$ CAPITAL]]&gt;0,FINANCIACION[[#This Row],[$ CAPITAL]])</f>
        <v>1491748</v>
      </c>
      <c r="J556" s="49">
        <f>+IF(FINANCIACION[[#This Row],[$ CAPITAL]]&gt;=0,FINANCIACION[[#This Row],[$ CAPITAL]]+FINANCIACION[[#This Row],[$ INTERESES]],0)</f>
        <v>6079946</v>
      </c>
    </row>
    <row r="557" spans="1:10" ht="24" hidden="1" customHeight="1" x14ac:dyDescent="0.25">
      <c r="A557" s="10">
        <v>43908</v>
      </c>
      <c r="B557" s="85" t="s">
        <v>459</v>
      </c>
      <c r="C557" s="7">
        <v>1513636.1431404999</v>
      </c>
      <c r="D557" s="7">
        <v>4992178.8568594996</v>
      </c>
      <c r="E557" s="7">
        <f>+IF(FINANCIACION[[#This Row],[$ CAPITAL]]&gt;=0,FINANCIACION[[#This Row],[$ CAPITAL]]+FINANCIACION[[#This Row],[$ INTERESES]],"")</f>
        <v>6505815</v>
      </c>
      <c r="F557" s="7">
        <f>+SUMIFS(FINANCIACION[$ CAPITAL],FINANCIACION[Fecha],"&lt;="&amp;FINANCIACION[[#This Row],[Fecha]],FINANCIACION[PRESTAMO],FINANCIACION[[#This Row],[PRESTAMO]])</f>
        <v>-384651930.99999994</v>
      </c>
      <c r="G557" s="11"/>
      <c r="H557" s="11"/>
      <c r="I557" s="7">
        <f>+IF(FINANCIACION[[#This Row],[$ CAPITAL]]&gt;0,FINANCIACION[[#This Row],[$ CAPITAL]])</f>
        <v>1513636.1431404999</v>
      </c>
      <c r="J557" s="49">
        <f>+IF(FINANCIACION[[#This Row],[$ CAPITAL]]&gt;=0,FINANCIACION[[#This Row],[$ CAPITAL]]+FINANCIACION[[#This Row],[$ INTERESES]],0)</f>
        <v>6505815</v>
      </c>
    </row>
    <row r="558" spans="1:10" ht="24" hidden="1" customHeight="1" x14ac:dyDescent="0.25">
      <c r="A558" s="10">
        <v>44043</v>
      </c>
      <c r="B558" s="85" t="s">
        <v>459</v>
      </c>
      <c r="C558" s="7">
        <v>-183255600</v>
      </c>
      <c r="D558" s="7"/>
      <c r="E558" s="7" t="str">
        <f>+IF(FINANCIACION[[#This Row],[$ CAPITAL]]&gt;=0,FINANCIACION[[#This Row],[$ CAPITAL]]+FINANCIACION[[#This Row],[$ INTERESES]],"")</f>
        <v/>
      </c>
      <c r="F558" s="7">
        <f>+SUMIFS(FINANCIACION[$ CAPITAL],FINANCIACION[Fecha],"&lt;="&amp;FINANCIACION[[#This Row],[Fecha]],FINANCIACION[PRESTAMO],FINANCIACION[[#This Row],[PRESTAMO]])</f>
        <v>-380443064</v>
      </c>
      <c r="G558" s="11"/>
      <c r="H558" s="11"/>
      <c r="I558" s="7" t="b">
        <f>+IF(FINANCIACION[[#This Row],[$ CAPITAL]]&gt;0,FINANCIACION[[#This Row],[$ CAPITAL]])</f>
        <v>0</v>
      </c>
      <c r="J558" s="49">
        <f>+IF(FINANCIACION[[#This Row],[$ CAPITAL]]&gt;=0,FINANCIACION[[#This Row],[$ CAPITAL]]+FINANCIACION[[#This Row],[$ INTERESES]],0)</f>
        <v>0</v>
      </c>
    </row>
    <row r="559" spans="1:10" ht="24" hidden="1" customHeight="1" x14ac:dyDescent="0.25">
      <c r="A559" s="10">
        <v>44043</v>
      </c>
      <c r="B559" s="85" t="s">
        <v>459</v>
      </c>
      <c r="C559" s="7">
        <v>187464467</v>
      </c>
      <c r="D559" s="7"/>
      <c r="E559" s="7">
        <f>+IF(FINANCIACION[[#This Row],[$ CAPITAL]]&gt;=0,FINANCIACION[[#This Row],[$ CAPITAL]]+FINANCIACION[[#This Row],[$ INTERESES]],"")</f>
        <v>187464467</v>
      </c>
      <c r="F559" s="7">
        <f>+SUMIFS(FINANCIACION[$ CAPITAL],FINANCIACION[Fecha],"&lt;="&amp;FINANCIACION[[#This Row],[Fecha]],FINANCIACION[PRESTAMO],FINANCIACION[[#This Row],[PRESTAMO]])</f>
        <v>-380443064</v>
      </c>
      <c r="G559" s="11"/>
      <c r="H559" s="11"/>
      <c r="I559" s="7">
        <f>+IF(FINANCIACION[[#This Row],[$ CAPITAL]]&gt;0,FINANCIACION[[#This Row],[$ CAPITAL]])</f>
        <v>187464467</v>
      </c>
      <c r="J559" s="49">
        <f>+IF(FINANCIACION[[#This Row],[$ CAPITAL]]&gt;=0,FINANCIACION[[#This Row],[$ CAPITAL]]+FINANCIACION[[#This Row],[$ INTERESES]],0)</f>
        <v>187464467</v>
      </c>
    </row>
    <row r="560" spans="1:10" ht="24" hidden="1" customHeight="1" x14ac:dyDescent="0.25">
      <c r="A560" s="10">
        <v>44092</v>
      </c>
      <c r="B560" s="85" t="s">
        <v>459</v>
      </c>
      <c r="C560" s="7">
        <v>3000000</v>
      </c>
      <c r="D560" s="7"/>
      <c r="E560" s="7">
        <f>+IF(FINANCIACION[[#This Row],[$ CAPITAL]]&gt;=0,FINANCIACION[[#This Row],[$ CAPITAL]]+FINANCIACION[[#This Row],[$ INTERESES]],"")</f>
        <v>3000000</v>
      </c>
      <c r="F560" s="7">
        <f>+SUMIFS(FINANCIACION[$ CAPITAL],FINANCIACION[Fecha],"&lt;="&amp;FINANCIACION[[#This Row],[Fecha]],FINANCIACION[PRESTAMO],FINANCIACION[[#This Row],[PRESTAMO]])</f>
        <v>-377443064</v>
      </c>
      <c r="G560" s="11"/>
      <c r="H560" s="11"/>
      <c r="I560" s="7">
        <f>+IF(FINANCIACION[[#This Row],[$ CAPITAL]]&gt;0,FINANCIACION[[#This Row],[$ CAPITAL]])</f>
        <v>3000000</v>
      </c>
      <c r="J560" s="49">
        <f>+IF(FINANCIACION[[#This Row],[$ CAPITAL]]&gt;=0,FINANCIACION[[#This Row],[$ CAPITAL]]+FINANCIACION[[#This Row],[$ INTERESES]],0)</f>
        <v>3000000</v>
      </c>
    </row>
    <row r="561" spans="1:10" ht="24" hidden="1" customHeight="1" x14ac:dyDescent="0.25">
      <c r="A561" s="10">
        <v>44104</v>
      </c>
      <c r="B561" s="85" t="s">
        <v>459</v>
      </c>
      <c r="C561" s="7">
        <v>-39568203</v>
      </c>
      <c r="D561" s="7"/>
      <c r="E561" s="7" t="str">
        <f>+IF(FINANCIACION[[#This Row],[$ CAPITAL]]&gt;=0,FINANCIACION[[#This Row],[$ CAPITAL]]+FINANCIACION[[#This Row],[$ INTERESES]],"")</f>
        <v/>
      </c>
      <c r="F561" s="7">
        <f>+SUMIFS(FINANCIACION[$ CAPITAL],FINANCIACION[Fecha],"&lt;="&amp;FINANCIACION[[#This Row],[Fecha]],FINANCIACION[PRESTAMO],FINANCIACION[[#This Row],[PRESTAMO]])</f>
        <v>-417011267</v>
      </c>
      <c r="G561" s="11"/>
      <c r="H561" s="11"/>
      <c r="I561" s="7" t="b">
        <f>+IF(FINANCIACION[[#This Row],[$ CAPITAL]]&gt;0,FINANCIACION[[#This Row],[$ CAPITAL]])</f>
        <v>0</v>
      </c>
      <c r="J561" s="49">
        <f>+IF(FINANCIACION[[#This Row],[$ CAPITAL]]&gt;=0,FINANCIACION[[#This Row],[$ CAPITAL]]+FINANCIACION[[#This Row],[$ INTERESES]],0)</f>
        <v>0</v>
      </c>
    </row>
    <row r="562" spans="1:10" ht="24" hidden="1" customHeight="1" x14ac:dyDescent="0.25">
      <c r="A562" s="10">
        <v>44111</v>
      </c>
      <c r="B562" s="85" t="s">
        <v>459</v>
      </c>
      <c r="C562" s="7">
        <v>3000000</v>
      </c>
      <c r="D562" s="7"/>
      <c r="E562" s="7">
        <f>+IF(FINANCIACION[[#This Row],[$ CAPITAL]]&gt;=0,FINANCIACION[[#This Row],[$ CAPITAL]]+FINANCIACION[[#This Row],[$ INTERESES]],"")</f>
        <v>3000000</v>
      </c>
      <c r="F562" s="7">
        <f>+SUMIFS(FINANCIACION[$ CAPITAL],FINANCIACION[Fecha],"&lt;="&amp;FINANCIACION[[#This Row],[Fecha]],FINANCIACION[PRESTAMO],FINANCIACION[[#This Row],[PRESTAMO]])</f>
        <v>-414011267</v>
      </c>
      <c r="G562" s="11"/>
      <c r="H562" s="11"/>
      <c r="I562" s="7">
        <f>+IF(FINANCIACION[[#This Row],[$ CAPITAL]]&gt;0,FINANCIACION[[#This Row],[$ CAPITAL]])</f>
        <v>3000000</v>
      </c>
      <c r="J562" s="49">
        <f>+IF(FINANCIACION[[#This Row],[$ CAPITAL]]&gt;=0,FINANCIACION[[#This Row],[$ CAPITAL]]+FINANCIACION[[#This Row],[$ INTERESES]],0)</f>
        <v>3000000</v>
      </c>
    </row>
    <row r="563" spans="1:10" ht="24" hidden="1" customHeight="1" x14ac:dyDescent="0.25">
      <c r="A563" s="10">
        <v>44131</v>
      </c>
      <c r="B563" s="85" t="s">
        <v>459</v>
      </c>
      <c r="C563" s="7">
        <v>5000000</v>
      </c>
      <c r="D563" s="7"/>
      <c r="E563" s="7">
        <f>+IF(FINANCIACION[[#This Row],[$ CAPITAL]]&gt;=0,FINANCIACION[[#This Row],[$ CAPITAL]]+FINANCIACION[[#This Row],[$ INTERESES]],"")</f>
        <v>5000000</v>
      </c>
      <c r="F563" s="7">
        <f>+SUMIFS(FINANCIACION[$ CAPITAL],FINANCIACION[Fecha],"&lt;="&amp;FINANCIACION[[#This Row],[Fecha]],FINANCIACION[PRESTAMO],FINANCIACION[[#This Row],[PRESTAMO]])</f>
        <v>-409011267</v>
      </c>
      <c r="G563" s="11"/>
      <c r="H563" s="11"/>
      <c r="I563" s="7">
        <f>+IF(FINANCIACION[[#This Row],[$ CAPITAL]]&gt;0,FINANCIACION[[#This Row],[$ CAPITAL]])</f>
        <v>5000000</v>
      </c>
      <c r="J563" s="49">
        <f>+IF(FINANCIACION[[#This Row],[$ CAPITAL]]&gt;=0,FINANCIACION[[#This Row],[$ CAPITAL]]+FINANCIACION[[#This Row],[$ INTERESES]],0)</f>
        <v>5000000</v>
      </c>
    </row>
    <row r="564" spans="1:10" ht="24" hidden="1" customHeight="1" x14ac:dyDescent="0.25">
      <c r="A564" s="10">
        <v>44135</v>
      </c>
      <c r="B564" s="85" t="s">
        <v>459</v>
      </c>
      <c r="C564" s="7">
        <v>6521200</v>
      </c>
      <c r="D564" s="7"/>
      <c r="E564" s="7">
        <f>+IF(FINANCIACION[[#This Row],[$ CAPITAL]]&gt;=0,FINANCIACION[[#This Row],[$ CAPITAL]]+FINANCIACION[[#This Row],[$ INTERESES]],"")</f>
        <v>6521200</v>
      </c>
      <c r="F564" s="7">
        <f>+SUMIFS(FINANCIACION[$ CAPITAL],FINANCIACION[Fecha],"&lt;="&amp;FINANCIACION[[#This Row],[Fecha]],FINANCIACION[PRESTAMO],FINANCIACION[[#This Row],[PRESTAMO]])</f>
        <v>-402490067</v>
      </c>
      <c r="G564" s="11"/>
      <c r="H564" s="11"/>
      <c r="I564" s="7">
        <f>+IF(FINANCIACION[[#This Row],[$ CAPITAL]]&gt;0,FINANCIACION[[#This Row],[$ CAPITAL]])</f>
        <v>6521200</v>
      </c>
      <c r="J564" s="49">
        <f>+IF(FINANCIACION[[#This Row],[$ CAPITAL]]&gt;=0,FINANCIACION[[#This Row],[$ CAPITAL]]+FINANCIACION[[#This Row],[$ INTERESES]],0)</f>
        <v>6521200</v>
      </c>
    </row>
    <row r="565" spans="1:10" ht="24" hidden="1" customHeight="1" x14ac:dyDescent="0.25">
      <c r="A565" s="10">
        <v>44161</v>
      </c>
      <c r="B565" s="85" t="s">
        <v>459</v>
      </c>
      <c r="C565" s="7">
        <v>0</v>
      </c>
      <c r="D565" s="7">
        <v>2000000</v>
      </c>
      <c r="E565" s="7">
        <f>+IF(FINANCIACION[[#This Row],[$ CAPITAL]]&gt;=0,FINANCIACION[[#This Row],[$ CAPITAL]]+FINANCIACION[[#This Row],[$ INTERESES]],"")</f>
        <v>2000000</v>
      </c>
      <c r="F565" s="7">
        <f>+SUMIFS(FINANCIACION[$ CAPITAL],FINANCIACION[Fecha],"&lt;="&amp;FINANCIACION[[#This Row],[Fecha]],FINANCIACION[PRESTAMO],FINANCIACION[[#This Row],[PRESTAMO]])</f>
        <v>-402490067</v>
      </c>
      <c r="G565" s="11"/>
      <c r="H565" s="11"/>
      <c r="I565" s="7" t="b">
        <f>+IF(FINANCIACION[[#This Row],[$ CAPITAL]]&gt;0,FINANCIACION[[#This Row],[$ CAPITAL]])</f>
        <v>0</v>
      </c>
      <c r="J565" s="49">
        <f>+IF(FINANCIACION[[#This Row],[$ CAPITAL]]&gt;=0,FINANCIACION[[#This Row],[$ CAPITAL]]+FINANCIACION[[#This Row],[$ INTERESES]],0)</f>
        <v>2000000</v>
      </c>
    </row>
    <row r="566" spans="1:10" ht="24" hidden="1" customHeight="1" x14ac:dyDescent="0.25">
      <c r="A566" s="10">
        <v>44165</v>
      </c>
      <c r="B566" s="85" t="s">
        <v>459</v>
      </c>
      <c r="C566" s="7">
        <v>5494197</v>
      </c>
      <c r="D566" s="7"/>
      <c r="E566" s="7">
        <f>+IF(FINANCIACION[[#This Row],[$ CAPITAL]]&gt;=0,FINANCIACION[[#This Row],[$ CAPITAL]]+FINANCIACION[[#This Row],[$ INTERESES]],"")</f>
        <v>5494197</v>
      </c>
      <c r="F566" s="7">
        <f>+SUMIFS(FINANCIACION[$ CAPITAL],FINANCIACION[Fecha],"&lt;="&amp;FINANCIACION[[#This Row],[Fecha]],FINANCIACION[PRESTAMO],FINANCIACION[[#This Row],[PRESTAMO]])</f>
        <v>-396995870</v>
      </c>
      <c r="G566" s="11"/>
      <c r="H566" s="11"/>
      <c r="I566" s="7">
        <f>+IF(FINANCIACION[[#This Row],[$ CAPITAL]]&gt;0,FINANCIACION[[#This Row],[$ CAPITAL]])</f>
        <v>5494197</v>
      </c>
      <c r="J566" s="49">
        <f>+IF(FINANCIACION[[#This Row],[$ CAPITAL]]&gt;=0,FINANCIACION[[#This Row],[$ CAPITAL]]+FINANCIACION[[#This Row],[$ INTERESES]],0)</f>
        <v>5494197</v>
      </c>
    </row>
    <row r="567" spans="1:10" ht="24" hidden="1" customHeight="1" x14ac:dyDescent="0.25">
      <c r="A567" s="10">
        <v>44187</v>
      </c>
      <c r="B567" s="85" t="s">
        <v>459</v>
      </c>
      <c r="C567" s="7">
        <v>5215587</v>
      </c>
      <c r="D567" s="7"/>
      <c r="E567" s="7">
        <f>+IF(FINANCIACION[[#This Row],[$ CAPITAL]]&gt;=0,FINANCIACION[[#This Row],[$ CAPITAL]]+FINANCIACION[[#This Row],[$ INTERESES]],"")</f>
        <v>5215587</v>
      </c>
      <c r="F567" s="7">
        <f>+SUMIFS(FINANCIACION[$ CAPITAL],FINANCIACION[Fecha],"&lt;="&amp;FINANCIACION[[#This Row],[Fecha]],FINANCIACION[PRESTAMO],FINANCIACION[[#This Row],[PRESTAMO]])</f>
        <v>-391780283</v>
      </c>
      <c r="G567" s="11"/>
      <c r="H567" s="11"/>
      <c r="I567" s="7">
        <f>+IF(FINANCIACION[[#This Row],[$ CAPITAL]]&gt;0,FINANCIACION[[#This Row],[$ CAPITAL]])</f>
        <v>5215587</v>
      </c>
      <c r="J567" s="49">
        <f>+IF(FINANCIACION[[#This Row],[$ CAPITAL]]&gt;=0,FINANCIACION[[#This Row],[$ CAPITAL]]+FINANCIACION[[#This Row],[$ INTERESES]],0)</f>
        <v>5215587</v>
      </c>
    </row>
    <row r="568" spans="1:10" ht="24" hidden="1" customHeight="1" x14ac:dyDescent="0.25">
      <c r="A568" s="10">
        <v>44196</v>
      </c>
      <c r="B568" s="85" t="s">
        <v>459</v>
      </c>
      <c r="C568" s="7">
        <v>36112485</v>
      </c>
      <c r="D568" s="7"/>
      <c r="E568" s="7">
        <f>+IF(FINANCIACION[[#This Row],[$ CAPITAL]]&gt;=0,FINANCIACION[[#This Row],[$ CAPITAL]]+FINANCIACION[[#This Row],[$ INTERESES]],"")</f>
        <v>36112485</v>
      </c>
      <c r="F568" s="7">
        <f>+SUMIFS(FINANCIACION[$ CAPITAL],FINANCIACION[Fecha],"&lt;="&amp;FINANCIACION[[#This Row],[Fecha]],FINANCIACION[PRESTAMO],FINANCIACION[[#This Row],[PRESTAMO]])</f>
        <v>-349958312</v>
      </c>
      <c r="G568" s="91" t="s">
        <v>805</v>
      </c>
      <c r="H568" s="11"/>
      <c r="I568" s="7">
        <f>+IF(FINANCIACION[[#This Row],[$ CAPITAL]]&gt;0,FINANCIACION[[#This Row],[$ CAPITAL]])</f>
        <v>36112485</v>
      </c>
      <c r="J568" s="49">
        <f>+IF(FINANCIACION[[#This Row],[$ CAPITAL]]&gt;=0,FINANCIACION[[#This Row],[$ CAPITAL]]+FINANCIACION[[#This Row],[$ INTERESES]],0)</f>
        <v>36112485</v>
      </c>
    </row>
    <row r="569" spans="1:10" ht="24" hidden="1" customHeight="1" x14ac:dyDescent="0.25">
      <c r="A569" s="10">
        <v>44196</v>
      </c>
      <c r="B569" s="85" t="s">
        <v>459</v>
      </c>
      <c r="C569" s="7">
        <v>5709486</v>
      </c>
      <c r="D569" s="7"/>
      <c r="E569" s="7">
        <f>+IF(FINANCIACION[[#This Row],[$ CAPITAL]]&gt;=0,FINANCIACION[[#This Row],[$ CAPITAL]]+FINANCIACION[[#This Row],[$ INTERESES]],"")</f>
        <v>5709486</v>
      </c>
      <c r="F569" s="7">
        <f>+SUMIFS(FINANCIACION[$ CAPITAL],FINANCIACION[Fecha],"&lt;="&amp;FINANCIACION[[#This Row],[Fecha]],FINANCIACION[PRESTAMO],FINANCIACION[[#This Row],[PRESTAMO]])</f>
        <v>-349958312</v>
      </c>
      <c r="G569" s="91"/>
      <c r="H569" s="11"/>
      <c r="I569" s="7">
        <f>+IF(FINANCIACION[[#This Row],[$ CAPITAL]]&gt;0,FINANCIACION[[#This Row],[$ CAPITAL]])</f>
        <v>5709486</v>
      </c>
      <c r="J569" s="49">
        <f>+IF(FINANCIACION[[#This Row],[$ CAPITAL]]&gt;=0,FINANCIACION[[#This Row],[$ CAPITAL]]+FINANCIACION[[#This Row],[$ INTERESES]],0)</f>
        <v>5709486</v>
      </c>
    </row>
    <row r="570" spans="1:10" ht="24" hidden="1" customHeight="1" x14ac:dyDescent="0.25">
      <c r="A570" s="10">
        <v>44244</v>
      </c>
      <c r="B570" s="85" t="s">
        <v>459</v>
      </c>
      <c r="C570" s="7">
        <v>108181</v>
      </c>
      <c r="D570" s="7"/>
      <c r="E570" s="7">
        <f>+IF(FINANCIACION[[#This Row],[$ CAPITAL]]&gt;=0,FINANCIACION[[#This Row],[$ CAPITAL]]+FINANCIACION[[#This Row],[$ INTERESES]],"")</f>
        <v>108181</v>
      </c>
      <c r="F570" s="7">
        <f>+SUMIFS(FINANCIACION[$ CAPITAL],FINANCIACION[Fecha],"&lt;="&amp;FINANCIACION[[#This Row],[Fecha]],FINANCIACION[PRESTAMO],FINANCIACION[[#This Row],[PRESTAMO]])</f>
        <v>-346350131</v>
      </c>
      <c r="G570" s="11"/>
      <c r="H570" s="11"/>
      <c r="I570" s="7">
        <f>+IF(FINANCIACION[[#This Row],[$ CAPITAL]]&gt;0,FINANCIACION[[#This Row],[$ CAPITAL]])</f>
        <v>108181</v>
      </c>
      <c r="J570" s="12">
        <f>+IF(FINANCIACION[[#This Row],[$ CAPITAL]]&gt;=0,FINANCIACION[[#This Row],[$ CAPITAL]]+FINANCIACION[[#This Row],[$ INTERESES]],0)</f>
        <v>108181</v>
      </c>
    </row>
    <row r="571" spans="1:10" ht="24" hidden="1" customHeight="1" x14ac:dyDescent="0.25">
      <c r="A571" s="10">
        <v>44244</v>
      </c>
      <c r="B571" s="85" t="s">
        <v>459</v>
      </c>
      <c r="C571" s="7">
        <v>3500000</v>
      </c>
      <c r="D571" s="7"/>
      <c r="E571" s="7">
        <f>+IF(FINANCIACION[[#This Row],[$ CAPITAL]]&gt;=0,FINANCIACION[[#This Row],[$ CAPITAL]]+FINANCIACION[[#This Row],[$ INTERESES]],"")</f>
        <v>3500000</v>
      </c>
      <c r="F571" s="7">
        <f>+SUMIFS(FINANCIACION[$ CAPITAL],FINANCIACION[Fecha],"&lt;="&amp;FINANCIACION[[#This Row],[Fecha]],FINANCIACION[PRESTAMO],FINANCIACION[[#This Row],[PRESTAMO]])</f>
        <v>-346350131</v>
      </c>
      <c r="G571" s="11"/>
      <c r="H571" s="11"/>
      <c r="I571" s="7">
        <f>+IF(FINANCIACION[[#This Row],[$ CAPITAL]]&gt;0,FINANCIACION[[#This Row],[$ CAPITAL]])</f>
        <v>3500000</v>
      </c>
      <c r="J571" s="12">
        <f>+IF(FINANCIACION[[#This Row],[$ CAPITAL]]&gt;=0,FINANCIACION[[#This Row],[$ CAPITAL]]+FINANCIACION[[#This Row],[$ INTERESES]],0)</f>
        <v>3500000</v>
      </c>
    </row>
    <row r="572" spans="1:10" ht="24" hidden="1" customHeight="1" x14ac:dyDescent="0.25">
      <c r="A572" s="10">
        <v>44255</v>
      </c>
      <c r="B572" s="85" t="s">
        <v>459</v>
      </c>
      <c r="C572" s="7">
        <v>-8929573</v>
      </c>
      <c r="D572" s="7"/>
      <c r="E572" s="7" t="str">
        <f>+IF(FINANCIACION[[#This Row],[$ CAPITAL]]&gt;=0,FINANCIACION[[#This Row],[$ CAPITAL]]+FINANCIACION[[#This Row],[$ INTERESES]],"")</f>
        <v/>
      </c>
      <c r="F572" s="7">
        <f>+SUMIFS(FINANCIACION[$ CAPITAL],FINANCIACION[Fecha],"&lt;="&amp;FINANCIACION[[#This Row],[Fecha]],FINANCIACION[PRESTAMO],FINANCIACION[[#This Row],[PRESTAMO]])</f>
        <v>-355279704</v>
      </c>
      <c r="G572" s="11" t="s">
        <v>512</v>
      </c>
      <c r="H572" s="11"/>
      <c r="I572" s="7" t="b">
        <f>+IF(FINANCIACION[[#This Row],[$ CAPITAL]]&gt;0,FINANCIACION[[#This Row],[$ CAPITAL]])</f>
        <v>0</v>
      </c>
      <c r="J572" s="12">
        <f>+IF(FINANCIACION[[#This Row],[$ CAPITAL]]&gt;=0,FINANCIACION[[#This Row],[$ CAPITAL]]+FINANCIACION[[#This Row],[$ INTERESES]],0)</f>
        <v>0</v>
      </c>
    </row>
    <row r="573" spans="1:10" ht="24" hidden="1" customHeight="1" x14ac:dyDescent="0.25">
      <c r="A573" s="10">
        <v>44284</v>
      </c>
      <c r="B573" s="85" t="s">
        <v>459</v>
      </c>
      <c r="C573" s="7">
        <v>8286154</v>
      </c>
      <c r="D573" s="7">
        <v>120765</v>
      </c>
      <c r="E573" s="7">
        <f>+IF(FINANCIACION[[#This Row],[$ CAPITAL]]&gt;=0,FINANCIACION[[#This Row],[$ CAPITAL]]+FINANCIACION[[#This Row],[$ INTERESES]],"")</f>
        <v>8406919</v>
      </c>
      <c r="F573" s="7">
        <f>+SUMIFS(FINANCIACION[$ CAPITAL],FINANCIACION[Fecha],"&lt;="&amp;FINANCIACION[[#This Row],[Fecha]],FINANCIACION[PRESTAMO],FINANCIACION[[#This Row],[PRESTAMO]])</f>
        <v>-346993550</v>
      </c>
      <c r="G573" s="11"/>
      <c r="H573" s="91"/>
      <c r="I573" s="7">
        <f>+IF(FINANCIACION[[#This Row],[$ CAPITAL]]&gt;0,FINANCIACION[[#This Row],[$ CAPITAL]])</f>
        <v>8286154</v>
      </c>
      <c r="J573" s="12">
        <f>+IF(FINANCIACION[[#This Row],[$ CAPITAL]]&gt;=0,FINANCIACION[[#This Row],[$ CAPITAL]]+FINANCIACION[[#This Row],[$ INTERESES]],0)</f>
        <v>8406919</v>
      </c>
    </row>
    <row r="574" spans="1:10" ht="24" hidden="1" customHeight="1" x14ac:dyDescent="0.25">
      <c r="A574" s="10">
        <v>44286</v>
      </c>
      <c r="B574" s="85" t="s">
        <v>459</v>
      </c>
      <c r="C574" s="7">
        <v>-4128919</v>
      </c>
      <c r="D574" s="7"/>
      <c r="E574" s="7" t="str">
        <f>+IF(FINANCIACION[[#This Row],[$ CAPITAL]]&gt;=0,FINANCIACION[[#This Row],[$ CAPITAL]]+FINANCIACION[[#This Row],[$ INTERESES]],"")</f>
        <v/>
      </c>
      <c r="F574" s="7">
        <f>+SUMIFS(FINANCIACION[$ CAPITAL],FINANCIACION[Fecha],"&lt;="&amp;FINANCIACION[[#This Row],[Fecha]],FINANCIACION[PRESTAMO],FINANCIACION[[#This Row],[PRESTAMO]])</f>
        <v>-351122469</v>
      </c>
      <c r="G574" s="11" t="s">
        <v>512</v>
      </c>
      <c r="H574" s="91"/>
      <c r="I574" s="7" t="b">
        <f>+IF(FINANCIACION[[#This Row],[$ CAPITAL]]&gt;0,FINANCIACION[[#This Row],[$ CAPITAL]])</f>
        <v>0</v>
      </c>
      <c r="J574" s="12">
        <f>+IF(FINANCIACION[[#This Row],[$ CAPITAL]]&gt;=0,FINANCIACION[[#This Row],[$ CAPITAL]]+FINANCIACION[[#This Row],[$ INTERESES]],0)</f>
        <v>0</v>
      </c>
    </row>
    <row r="575" spans="1:10" ht="24" hidden="1" customHeight="1" x14ac:dyDescent="0.25">
      <c r="A575" s="10">
        <v>44316</v>
      </c>
      <c r="B575" s="85" t="s">
        <v>459</v>
      </c>
      <c r="C575" s="7">
        <v>-3722340</v>
      </c>
      <c r="D575" s="7"/>
      <c r="E575" s="7" t="str">
        <f>+IF(FINANCIACION[[#This Row],[$ CAPITAL]]&gt;=0,FINANCIACION[[#This Row],[$ CAPITAL]]+FINANCIACION[[#This Row],[$ INTERESES]],"")</f>
        <v/>
      </c>
      <c r="F575" s="7">
        <f>+SUMIFS(FINANCIACION[$ CAPITAL],FINANCIACION[Fecha],"&lt;="&amp;FINANCIACION[[#This Row],[Fecha]],FINANCIACION[PRESTAMO],FINANCIACION[[#This Row],[PRESTAMO]])</f>
        <v>-354844809</v>
      </c>
      <c r="G575" s="11" t="s">
        <v>512</v>
      </c>
      <c r="H575" s="91"/>
      <c r="I575" s="7" t="b">
        <f>+IF(FINANCIACION[[#This Row],[$ CAPITAL]]&gt;0,FINANCIACION[[#This Row],[$ CAPITAL]])</f>
        <v>0</v>
      </c>
      <c r="J575" s="12">
        <f>+IF(FINANCIACION[[#This Row],[$ CAPITAL]]&gt;=0,FINANCIACION[[#This Row],[$ CAPITAL]]+FINANCIACION[[#This Row],[$ INTERESES]],0)</f>
        <v>0</v>
      </c>
    </row>
    <row r="576" spans="1:10" ht="24" hidden="1" customHeight="1" x14ac:dyDescent="0.25">
      <c r="A576" s="10">
        <v>44320</v>
      </c>
      <c r="B576" s="85" t="s">
        <v>459</v>
      </c>
      <c r="C576" s="7">
        <v>5000000</v>
      </c>
      <c r="D576" s="7"/>
      <c r="E576" s="7">
        <f>+IF(FINANCIACION[[#This Row],[$ CAPITAL]]&gt;=0,FINANCIACION[[#This Row],[$ CAPITAL]]+FINANCIACION[[#This Row],[$ INTERESES]],"")</f>
        <v>5000000</v>
      </c>
      <c r="F576" s="7">
        <f>+SUMIFS(FINANCIACION[$ CAPITAL],FINANCIACION[Fecha],"&lt;="&amp;FINANCIACION[[#This Row],[Fecha]],FINANCIACION[PRESTAMO],FINANCIACION[[#This Row],[PRESTAMO]])</f>
        <v>-349844809</v>
      </c>
      <c r="G576" s="11"/>
      <c r="H576" s="91"/>
      <c r="I576" s="7">
        <f>+IF(FINANCIACION[[#This Row],[$ CAPITAL]]&gt;0,FINANCIACION[[#This Row],[$ CAPITAL]])</f>
        <v>5000000</v>
      </c>
      <c r="J576" s="12">
        <f>+IF(FINANCIACION[[#This Row],[$ CAPITAL]]&gt;=0,FINANCIACION[[#This Row],[$ CAPITAL]]+FINANCIACION[[#This Row],[$ INTERESES]],0)</f>
        <v>5000000</v>
      </c>
    </row>
    <row r="577" spans="1:10" ht="24" hidden="1" customHeight="1" x14ac:dyDescent="0.25">
      <c r="A577" s="10">
        <v>44328</v>
      </c>
      <c r="B577" s="85" t="s">
        <v>459</v>
      </c>
      <c r="C577" s="7">
        <v>918187</v>
      </c>
      <c r="D577" s="7"/>
      <c r="E577" s="7">
        <f>+IF(FINANCIACION[[#This Row],[$ CAPITAL]]&gt;=0,FINANCIACION[[#This Row],[$ CAPITAL]]+FINANCIACION[[#This Row],[$ INTERESES]],"")</f>
        <v>918187</v>
      </c>
      <c r="F577" s="7">
        <f>+SUMIFS(FINANCIACION[$ CAPITAL],FINANCIACION[Fecha],"&lt;="&amp;FINANCIACION[[#This Row],[Fecha]],FINANCIACION[PRESTAMO],FINANCIACION[[#This Row],[PRESTAMO]])</f>
        <v>-348926622</v>
      </c>
      <c r="G577" s="11"/>
      <c r="H577" s="91"/>
      <c r="I577" s="7">
        <f>+IF(FINANCIACION[[#This Row],[$ CAPITAL]]&gt;0,FINANCIACION[[#This Row],[$ CAPITAL]])</f>
        <v>918187</v>
      </c>
      <c r="J577" s="12">
        <f>+IF(FINANCIACION[[#This Row],[$ CAPITAL]]&gt;=0,FINANCIACION[[#This Row],[$ CAPITAL]]+FINANCIACION[[#This Row],[$ INTERESES]],0)</f>
        <v>918187</v>
      </c>
    </row>
    <row r="578" spans="1:10" ht="24" hidden="1" customHeight="1" x14ac:dyDescent="0.25">
      <c r="A578" s="10">
        <v>44346</v>
      </c>
      <c r="B578" s="85" t="s">
        <v>459</v>
      </c>
      <c r="C578" s="7">
        <v>-7131410</v>
      </c>
      <c r="D578" s="7"/>
      <c r="E578" s="7" t="str">
        <f>+IF(FINANCIACION[[#This Row],[$ CAPITAL]]&gt;=0,FINANCIACION[[#This Row],[$ CAPITAL]]+FINANCIACION[[#This Row],[$ INTERESES]],"")</f>
        <v/>
      </c>
      <c r="F578" s="7">
        <f>+SUMIFS(FINANCIACION[$ CAPITAL],FINANCIACION[Fecha],"&lt;="&amp;FINANCIACION[[#This Row],[Fecha]],FINANCIACION[PRESTAMO],FINANCIACION[[#This Row],[PRESTAMO]])</f>
        <v>-356058032</v>
      </c>
      <c r="G578" s="91" t="s">
        <v>512</v>
      </c>
      <c r="H578" s="11"/>
      <c r="I578" s="7" t="b">
        <f>+IF(FINANCIACION[[#This Row],[$ CAPITAL]]&gt;0,FINANCIACION[[#This Row],[$ CAPITAL]])</f>
        <v>0</v>
      </c>
      <c r="J578" s="49">
        <f>+IF(FINANCIACION[[#This Row],[$ CAPITAL]]&gt;=0,FINANCIACION[[#This Row],[$ CAPITAL]]+FINANCIACION[[#This Row],[$ INTERESES]],0)</f>
        <v>0</v>
      </c>
    </row>
    <row r="579" spans="1:10" ht="24" hidden="1" customHeight="1" x14ac:dyDescent="0.25">
      <c r="A579" s="10">
        <v>44375</v>
      </c>
      <c r="B579" s="85" t="s">
        <v>459</v>
      </c>
      <c r="C579" s="7">
        <v>11613334</v>
      </c>
      <c r="D579" s="7">
        <v>235877</v>
      </c>
      <c r="E579" s="7">
        <f>+IF(FINANCIACION[[#This Row],[$ CAPITAL]]&gt;=0,FINANCIACION[[#This Row],[$ CAPITAL]]+FINANCIACION[[#This Row],[$ INTERESES]],"")</f>
        <v>11849211</v>
      </c>
      <c r="F579" s="7">
        <f>+SUMIFS(FINANCIACION[$ CAPITAL],FINANCIACION[Fecha],"&lt;="&amp;FINANCIACION[[#This Row],[Fecha]],FINANCIACION[PRESTAMO],FINANCIACION[[#This Row],[PRESTAMO]])</f>
        <v>-344444698</v>
      </c>
      <c r="G579" s="91"/>
      <c r="H579" s="11"/>
      <c r="I579" s="7">
        <f>+IF(FINANCIACION[[#This Row],[$ CAPITAL]]&gt;0,FINANCIACION[[#This Row],[$ CAPITAL]])</f>
        <v>11613334</v>
      </c>
      <c r="J579" s="49">
        <f>+IF(FINANCIACION[[#This Row],[$ CAPITAL]]&gt;=0,FINANCIACION[[#This Row],[$ CAPITAL]]+FINANCIACION[[#This Row],[$ INTERESES]],0)</f>
        <v>11849211</v>
      </c>
    </row>
    <row r="580" spans="1:10" ht="24" hidden="1" customHeight="1" x14ac:dyDescent="0.25">
      <c r="A580" s="10">
        <v>44426</v>
      </c>
      <c r="B580" s="85" t="s">
        <v>459</v>
      </c>
      <c r="C580" s="7">
        <v>5709486</v>
      </c>
      <c r="D580" s="7">
        <v>242086</v>
      </c>
      <c r="E580" s="7">
        <f>+IF(FINANCIACION[[#This Row],[$ CAPITAL]]&gt;=0,FINANCIACION[[#This Row],[$ CAPITAL]]+FINANCIACION[[#This Row],[$ INTERESES]],"")</f>
        <v>5951572</v>
      </c>
      <c r="F580" s="7">
        <f>+SUMIFS(FINANCIACION[$ CAPITAL],FINANCIACION[Fecha],"&lt;="&amp;FINANCIACION[[#This Row],[Fecha]],FINANCIACION[PRESTAMO],FINANCIACION[[#This Row],[PRESTAMO]])</f>
        <v>-338735212</v>
      </c>
      <c r="G580" s="91"/>
      <c r="H580" s="11"/>
      <c r="I580" s="7">
        <f>+IF(FINANCIACION[[#This Row],[$ CAPITAL]]&gt;0,FINANCIACION[[#This Row],[$ CAPITAL]])</f>
        <v>5709486</v>
      </c>
      <c r="J580" s="49">
        <f>+IF(FINANCIACION[[#This Row],[$ CAPITAL]]&gt;=0,FINANCIACION[[#This Row],[$ CAPITAL]]+FINANCIACION[[#This Row],[$ INTERESES]],0)</f>
        <v>5951572</v>
      </c>
    </row>
    <row r="581" spans="1:10" ht="24" hidden="1" customHeight="1" x14ac:dyDescent="0.25">
      <c r="A581" s="10">
        <v>44459</v>
      </c>
      <c r="B581" s="85" t="s">
        <v>459</v>
      </c>
      <c r="C581" s="7">
        <v>5238034</v>
      </c>
      <c r="D581" s="7">
        <v>713538</v>
      </c>
      <c r="E581" s="7">
        <f>+IF(FINANCIACION[[#This Row],[$ CAPITAL]]&gt;=0,FINANCIACION[[#This Row],[$ CAPITAL]]+FINANCIACION[[#This Row],[$ INTERESES]],"")</f>
        <v>5951572</v>
      </c>
      <c r="F581" s="7">
        <f>+SUMIFS(FINANCIACION[$ CAPITAL],FINANCIACION[Fecha],"&lt;="&amp;FINANCIACION[[#This Row],[Fecha]],FINANCIACION[PRESTAMO],FINANCIACION[[#This Row],[PRESTAMO]])</f>
        <v>-333497178</v>
      </c>
      <c r="G581" s="91"/>
      <c r="H581" s="11"/>
      <c r="I581" s="7">
        <f>+IF(FINANCIACION[[#This Row],[$ CAPITAL]]&gt;0,FINANCIACION[[#This Row],[$ CAPITAL]])</f>
        <v>5238034</v>
      </c>
      <c r="J581" s="49">
        <f>+IF(FINANCIACION[[#This Row],[$ CAPITAL]]&gt;=0,FINANCIACION[[#This Row],[$ CAPITAL]]+FINANCIACION[[#This Row],[$ INTERESES]],0)</f>
        <v>5951572</v>
      </c>
    </row>
    <row r="582" spans="1:10" ht="24" hidden="1" customHeight="1" x14ac:dyDescent="0.25">
      <c r="A582" s="10">
        <v>44488</v>
      </c>
      <c r="B582" s="85" t="s">
        <v>459</v>
      </c>
      <c r="C582" s="7">
        <v>5238034</v>
      </c>
      <c r="D582" s="7">
        <v>683538</v>
      </c>
      <c r="E582" s="7">
        <f>+IF(FINANCIACION[[#This Row],[$ CAPITAL]]&gt;=0,FINANCIACION[[#This Row],[$ CAPITAL]]+FINANCIACION[[#This Row],[$ INTERESES]],"")</f>
        <v>5921572</v>
      </c>
      <c r="F582" s="7">
        <f>+SUMIFS(FINANCIACION[$ CAPITAL],FINANCIACION[Fecha],"&lt;="&amp;FINANCIACION[[#This Row],[Fecha]],FINANCIACION[PRESTAMO],FINANCIACION[[#This Row],[PRESTAMO]])</f>
        <v>-328259144</v>
      </c>
      <c r="G582" s="91"/>
      <c r="H582" s="11"/>
      <c r="I582" s="7">
        <f>+IF(FINANCIACION[[#This Row],[$ CAPITAL]]&gt;0,FINANCIACION[[#This Row],[$ CAPITAL]])</f>
        <v>5238034</v>
      </c>
      <c r="J582" s="49">
        <f>+IF(FINANCIACION[[#This Row],[$ CAPITAL]]&gt;=0,FINANCIACION[[#This Row],[$ CAPITAL]]+FINANCIACION[[#This Row],[$ INTERESES]],0)</f>
        <v>5921572</v>
      </c>
    </row>
    <row r="583" spans="1:10" ht="24" hidden="1" customHeight="1" x14ac:dyDescent="0.25">
      <c r="A583" s="10">
        <v>44518</v>
      </c>
      <c r="B583" s="85" t="s">
        <v>459</v>
      </c>
      <c r="C583" s="7">
        <v>5143385</v>
      </c>
      <c r="D583" s="7">
        <v>835554</v>
      </c>
      <c r="E583" s="7">
        <f>+IF(FINANCIACION[[#This Row],[$ CAPITAL]]&gt;=0,FINANCIACION[[#This Row],[$ CAPITAL]]+FINANCIACION[[#This Row],[$ INTERESES]],"")</f>
        <v>5978939</v>
      </c>
      <c r="F583" s="7">
        <f>+SUMIFS(FINANCIACION[$ CAPITAL],FINANCIACION[Fecha],"&lt;="&amp;FINANCIACION[[#This Row],[Fecha]],FINANCIACION[PRESTAMO],FINANCIACION[[#This Row],[PRESTAMO]])</f>
        <v>-323115759</v>
      </c>
      <c r="G583" s="91"/>
      <c r="H583" s="11"/>
      <c r="I583" s="7">
        <f>+IF(FINANCIACION[[#This Row],[$ CAPITAL]]&gt;0,FINANCIACION[[#This Row],[$ CAPITAL]])</f>
        <v>5143385</v>
      </c>
      <c r="J583" s="49">
        <f>+IF(FINANCIACION[[#This Row],[$ CAPITAL]]&gt;=0,FINANCIACION[[#This Row],[$ CAPITAL]]+FINANCIACION[[#This Row],[$ INTERESES]],0)</f>
        <v>5978939</v>
      </c>
    </row>
    <row r="584" spans="1:10" ht="24" hidden="1" customHeight="1" x14ac:dyDescent="0.25">
      <c r="A584" s="10">
        <v>44544</v>
      </c>
      <c r="B584" s="85" t="s">
        <v>459</v>
      </c>
      <c r="C584" s="7">
        <v>4796627</v>
      </c>
      <c r="D584" s="7">
        <v>1182312</v>
      </c>
      <c r="E584" s="7">
        <f>+IF(FINANCIACION[[#This Row],[$ CAPITAL]]&gt;=0,FINANCIACION[[#This Row],[$ CAPITAL]]+FINANCIACION[[#This Row],[$ INTERESES]],"")</f>
        <v>5978939</v>
      </c>
      <c r="F584" s="7">
        <f>+SUMIFS(FINANCIACION[$ CAPITAL],FINANCIACION[Fecha],"&lt;="&amp;FINANCIACION[[#This Row],[Fecha]],FINANCIACION[PRESTAMO],FINANCIACION[[#This Row],[PRESTAMO]])</f>
        <v>-318319132</v>
      </c>
      <c r="G584" s="91"/>
      <c r="H584" s="11"/>
      <c r="I584" s="7">
        <f>+IF(FINANCIACION[[#This Row],[$ CAPITAL]]&gt;0,FINANCIACION[[#This Row],[$ CAPITAL]])</f>
        <v>4796627</v>
      </c>
      <c r="J584" s="49">
        <f>+IF(FINANCIACION[[#This Row],[$ CAPITAL]]&gt;=0,FINANCIACION[[#This Row],[$ CAPITAL]]+FINANCIACION[[#This Row],[$ INTERESES]],0)</f>
        <v>5978939</v>
      </c>
    </row>
    <row r="585" spans="1:10" ht="24" hidden="1" customHeight="1" x14ac:dyDescent="0.25">
      <c r="A585" s="10">
        <v>44561</v>
      </c>
      <c r="B585" s="85" t="s">
        <v>459</v>
      </c>
      <c r="C585" s="7">
        <v>-18803895</v>
      </c>
      <c r="D585" s="7"/>
      <c r="E585" s="7" t="str">
        <f>+IF(FINANCIACION[[#This Row],[$ CAPITAL]]&gt;=0,FINANCIACION[[#This Row],[$ CAPITAL]]+FINANCIACION[[#This Row],[$ INTERESES]],"")</f>
        <v/>
      </c>
      <c r="F585" s="7">
        <f>+SUMIFS(FINANCIACION[$ CAPITAL],FINANCIACION[Fecha],"&lt;="&amp;FINANCIACION[[#This Row],[Fecha]],FINANCIACION[PRESTAMO],FINANCIACION[[#This Row],[PRESTAMO]])</f>
        <v>-337123027</v>
      </c>
      <c r="G585" s="91" t="s">
        <v>512</v>
      </c>
      <c r="H585" s="11"/>
      <c r="I585" s="7" t="b">
        <f>+IF(FINANCIACION[[#This Row],[$ CAPITAL]]&gt;0,FINANCIACION[[#This Row],[$ CAPITAL]])</f>
        <v>0</v>
      </c>
      <c r="J585" s="49">
        <f>+IF(FINANCIACION[[#This Row],[$ CAPITAL]]&gt;=0,FINANCIACION[[#This Row],[$ CAPITAL]]+FINANCIACION[[#This Row],[$ INTERESES]],0)</f>
        <v>0</v>
      </c>
    </row>
    <row r="586" spans="1:10" ht="24" hidden="1" customHeight="1" x14ac:dyDescent="0.25">
      <c r="A586" s="10">
        <v>43620</v>
      </c>
      <c r="B586" s="85" t="s">
        <v>723</v>
      </c>
      <c r="C586" s="7">
        <v>-2426470</v>
      </c>
      <c r="D586" s="7"/>
      <c r="E586" s="7" t="str">
        <f>+IF(FINANCIACION[[#This Row],[$ CAPITAL]]&gt;=0,FINANCIACION[[#This Row],[$ CAPITAL]]+FINANCIACION[[#This Row],[$ INTERESES]],"")</f>
        <v/>
      </c>
      <c r="F586" s="7">
        <f>+SUMIFS(FINANCIACION[$ CAPITAL],FINANCIACION[Fecha],"&lt;="&amp;FINANCIACION[[#This Row],[Fecha]],FINANCIACION[PRESTAMO],FINANCIACION[[#This Row],[PRESTAMO]])</f>
        <v>-2426470</v>
      </c>
      <c r="G586" s="11"/>
      <c r="H586" s="11"/>
      <c r="I586" s="7" t="b">
        <f>+IF(FINANCIACION[[#This Row],[$ CAPITAL]]&gt;0,FINANCIACION[[#This Row],[$ CAPITAL]])</f>
        <v>0</v>
      </c>
      <c r="J586" s="49">
        <f>+IF(FINANCIACION[[#This Row],[$ CAPITAL]]&gt;=0,FINANCIACION[[#This Row],[$ CAPITAL]]+FINANCIACION[[#This Row],[$ INTERESES]],0)</f>
        <v>0</v>
      </c>
    </row>
    <row r="587" spans="1:10" ht="24" hidden="1" customHeight="1" x14ac:dyDescent="0.25">
      <c r="A587" s="10">
        <v>43640</v>
      </c>
      <c r="B587" s="85" t="s">
        <v>723</v>
      </c>
      <c r="C587" s="7">
        <v>-1017880</v>
      </c>
      <c r="D587" s="7"/>
      <c r="E587" s="7" t="str">
        <f>+IF(FINANCIACION[[#This Row],[$ CAPITAL]]&gt;=0,FINANCIACION[[#This Row],[$ CAPITAL]]+FINANCIACION[[#This Row],[$ INTERESES]],"")</f>
        <v/>
      </c>
      <c r="F587" s="7">
        <f>+SUMIFS(FINANCIACION[$ CAPITAL],FINANCIACION[Fecha],"&lt;="&amp;FINANCIACION[[#This Row],[Fecha]],FINANCIACION[PRESTAMO],FINANCIACION[[#This Row],[PRESTAMO]])</f>
        <v>-3444350</v>
      </c>
      <c r="G587" s="11"/>
      <c r="H587" s="11"/>
      <c r="I587" s="7" t="b">
        <f>+IF(FINANCIACION[[#This Row],[$ CAPITAL]]&gt;0,FINANCIACION[[#This Row],[$ CAPITAL]])</f>
        <v>0</v>
      </c>
      <c r="J587" s="49">
        <f>+IF(FINANCIACION[[#This Row],[$ CAPITAL]]&gt;=0,FINANCIACION[[#This Row],[$ CAPITAL]]+FINANCIACION[[#This Row],[$ INTERESES]],0)</f>
        <v>0</v>
      </c>
    </row>
    <row r="588" spans="1:10" ht="24" hidden="1" customHeight="1" x14ac:dyDescent="0.25">
      <c r="A588" s="10">
        <v>43672</v>
      </c>
      <c r="B588" s="85" t="s">
        <v>723</v>
      </c>
      <c r="C588" s="7">
        <v>-1150527.75</v>
      </c>
      <c r="D588" s="7"/>
      <c r="E588" s="7" t="str">
        <f>+IF(FINANCIACION[[#This Row],[$ CAPITAL]]&gt;=0,FINANCIACION[[#This Row],[$ CAPITAL]]+FINANCIACION[[#This Row],[$ INTERESES]],"")</f>
        <v/>
      </c>
      <c r="F588" s="7">
        <f>+SUMIFS(FINANCIACION[$ CAPITAL],FINANCIACION[Fecha],"&lt;="&amp;FINANCIACION[[#This Row],[Fecha]],FINANCIACION[PRESTAMO],FINANCIACION[[#This Row],[PRESTAMO]])</f>
        <v>-4594877.75</v>
      </c>
      <c r="G588" s="11"/>
      <c r="H588" s="11"/>
      <c r="I588" s="7" t="b">
        <f>+IF(FINANCIACION[[#This Row],[$ CAPITAL]]&gt;0,FINANCIACION[[#This Row],[$ CAPITAL]])</f>
        <v>0</v>
      </c>
      <c r="J588" s="49">
        <f>+IF(FINANCIACION[[#This Row],[$ CAPITAL]]&gt;=0,FINANCIACION[[#This Row],[$ CAPITAL]]+FINANCIACION[[#This Row],[$ INTERESES]],0)</f>
        <v>0</v>
      </c>
    </row>
    <row r="589" spans="1:10" ht="24" hidden="1" customHeight="1" x14ac:dyDescent="0.25">
      <c r="A589" s="10">
        <v>43682</v>
      </c>
      <c r="B589" s="85" t="s">
        <v>723</v>
      </c>
      <c r="C589" s="7">
        <v>-187636</v>
      </c>
      <c r="D589" s="7"/>
      <c r="E589" s="7" t="str">
        <f>+IF(FINANCIACION[[#This Row],[$ CAPITAL]]&gt;=0,FINANCIACION[[#This Row],[$ CAPITAL]]+FINANCIACION[[#This Row],[$ INTERESES]],"")</f>
        <v/>
      </c>
      <c r="F589" s="7">
        <f>+SUMIFS(FINANCIACION[$ CAPITAL],FINANCIACION[Fecha],"&lt;="&amp;FINANCIACION[[#This Row],[Fecha]],FINANCIACION[PRESTAMO],FINANCIACION[[#This Row],[PRESTAMO]])</f>
        <v>-4782513.75</v>
      </c>
      <c r="G589" s="11"/>
      <c r="H589" s="11"/>
      <c r="I589" s="7" t="b">
        <f>+IF(FINANCIACION[[#This Row],[$ CAPITAL]]&gt;0,FINANCIACION[[#This Row],[$ CAPITAL]])</f>
        <v>0</v>
      </c>
      <c r="J589" s="49">
        <f>+IF(FINANCIACION[[#This Row],[$ CAPITAL]]&gt;=0,FINANCIACION[[#This Row],[$ CAPITAL]]+FINANCIACION[[#This Row],[$ INTERESES]],0)</f>
        <v>0</v>
      </c>
    </row>
    <row r="590" spans="1:10" ht="24" hidden="1" customHeight="1" x14ac:dyDescent="0.25">
      <c r="A590" s="10">
        <v>43703</v>
      </c>
      <c r="B590" s="85" t="s">
        <v>723</v>
      </c>
      <c r="C590" s="7">
        <v>-3381228.82</v>
      </c>
      <c r="D590" s="7"/>
      <c r="E590" s="7" t="str">
        <f>+IF(FINANCIACION[[#This Row],[$ CAPITAL]]&gt;=0,FINANCIACION[[#This Row],[$ CAPITAL]]+FINANCIACION[[#This Row],[$ INTERESES]],"")</f>
        <v/>
      </c>
      <c r="F590" s="7">
        <f>+SUMIFS(FINANCIACION[$ CAPITAL],FINANCIACION[Fecha],"&lt;="&amp;FINANCIACION[[#This Row],[Fecha]],FINANCIACION[PRESTAMO],FINANCIACION[[#This Row],[PRESTAMO]])</f>
        <v>-8163742.5700000003</v>
      </c>
      <c r="G590" s="11"/>
      <c r="H590" s="11"/>
      <c r="I590" s="7" t="b">
        <f>+IF(FINANCIACION[[#This Row],[$ CAPITAL]]&gt;0,FINANCIACION[[#This Row],[$ CAPITAL]])</f>
        <v>0</v>
      </c>
      <c r="J590" s="49">
        <f>+IF(FINANCIACION[[#This Row],[$ CAPITAL]]&gt;=0,FINANCIACION[[#This Row],[$ CAPITAL]]+FINANCIACION[[#This Row],[$ INTERESES]],0)</f>
        <v>0</v>
      </c>
    </row>
    <row r="591" spans="1:10" ht="24" hidden="1" customHeight="1" x14ac:dyDescent="0.25">
      <c r="A591" s="10">
        <v>43707</v>
      </c>
      <c r="B591" s="85" t="s">
        <v>723</v>
      </c>
      <c r="C591" s="7">
        <v>-1123154</v>
      </c>
      <c r="D591" s="7"/>
      <c r="E591" s="7" t="str">
        <f>+IF(FINANCIACION[[#This Row],[$ CAPITAL]]&gt;=0,FINANCIACION[[#This Row],[$ CAPITAL]]+FINANCIACION[[#This Row],[$ INTERESES]],"")</f>
        <v/>
      </c>
      <c r="F591" s="7">
        <f>+SUMIFS(FINANCIACION[$ CAPITAL],FINANCIACION[Fecha],"&lt;="&amp;FINANCIACION[[#This Row],[Fecha]],FINANCIACION[PRESTAMO],FINANCIACION[[#This Row],[PRESTAMO]])</f>
        <v>-9286896.5700000003</v>
      </c>
      <c r="G591" s="11"/>
      <c r="H591" s="11"/>
      <c r="I591" s="7" t="b">
        <f>+IF(FINANCIACION[[#This Row],[$ CAPITAL]]&gt;0,FINANCIACION[[#This Row],[$ CAPITAL]])</f>
        <v>0</v>
      </c>
      <c r="J591" s="49">
        <f>+IF(FINANCIACION[[#This Row],[$ CAPITAL]]&gt;=0,FINANCIACION[[#This Row],[$ CAPITAL]]+FINANCIACION[[#This Row],[$ INTERESES]],0)</f>
        <v>0</v>
      </c>
    </row>
    <row r="592" spans="1:10" ht="24" hidden="1" customHeight="1" x14ac:dyDescent="0.25">
      <c r="A592" s="10">
        <v>43710</v>
      </c>
      <c r="B592" s="85" t="s">
        <v>723</v>
      </c>
      <c r="C592" s="7">
        <v>2500000</v>
      </c>
      <c r="D592" s="7"/>
      <c r="E592" s="7">
        <f>+IF(FINANCIACION[[#This Row],[$ CAPITAL]]&gt;=0,FINANCIACION[[#This Row],[$ CAPITAL]]+FINANCIACION[[#This Row],[$ INTERESES]],"")</f>
        <v>2500000</v>
      </c>
      <c r="F592" s="7">
        <f>+SUMIFS(FINANCIACION[$ CAPITAL],FINANCIACION[Fecha],"&lt;="&amp;FINANCIACION[[#This Row],[Fecha]],FINANCIACION[PRESTAMO],FINANCIACION[[#This Row],[PRESTAMO]])</f>
        <v>213103.4299999997</v>
      </c>
      <c r="G592" s="11"/>
      <c r="H592" s="11"/>
      <c r="I592" s="7">
        <f>+IF(FINANCIACION[[#This Row],[$ CAPITAL]]&gt;0,FINANCIACION[[#This Row],[$ CAPITAL]])</f>
        <v>2500000</v>
      </c>
      <c r="J592" s="49">
        <f>+IF(FINANCIACION[[#This Row],[$ CAPITAL]]&gt;=0,FINANCIACION[[#This Row],[$ CAPITAL]]+FINANCIACION[[#This Row],[$ INTERESES]],0)</f>
        <v>2500000</v>
      </c>
    </row>
    <row r="593" spans="1:10" ht="24" hidden="1" customHeight="1" x14ac:dyDescent="0.25">
      <c r="A593" s="10">
        <v>43710</v>
      </c>
      <c r="B593" s="85" t="s">
        <v>723</v>
      </c>
      <c r="C593" s="7">
        <v>7000000</v>
      </c>
      <c r="D593" s="7"/>
      <c r="E593" s="7">
        <f>+IF(FINANCIACION[[#This Row],[$ CAPITAL]]&gt;=0,FINANCIACION[[#This Row],[$ CAPITAL]]+FINANCIACION[[#This Row],[$ INTERESES]],"")</f>
        <v>7000000</v>
      </c>
      <c r="F593" s="7">
        <f>+SUMIFS(FINANCIACION[$ CAPITAL],FINANCIACION[Fecha],"&lt;="&amp;FINANCIACION[[#This Row],[Fecha]],FINANCIACION[PRESTAMO],FINANCIACION[[#This Row],[PRESTAMO]])</f>
        <v>213103.4299999997</v>
      </c>
      <c r="G593" s="11"/>
      <c r="H593" s="11"/>
      <c r="I593" s="7">
        <f>+IF(FINANCIACION[[#This Row],[$ CAPITAL]]&gt;0,FINANCIACION[[#This Row],[$ CAPITAL]])</f>
        <v>7000000</v>
      </c>
      <c r="J593" s="49">
        <f>+IF(FINANCIACION[[#This Row],[$ CAPITAL]]&gt;=0,FINANCIACION[[#This Row],[$ CAPITAL]]+FINANCIACION[[#This Row],[$ INTERESES]],0)</f>
        <v>7000000</v>
      </c>
    </row>
    <row r="594" spans="1:10" ht="24" hidden="1" customHeight="1" x14ac:dyDescent="0.25">
      <c r="A594" s="10">
        <v>43714</v>
      </c>
      <c r="B594" s="85" t="s">
        <v>723</v>
      </c>
      <c r="C594" s="7">
        <v>-1036207.93</v>
      </c>
      <c r="D594" s="7"/>
      <c r="E594" s="7" t="str">
        <f>+IF(FINANCIACION[[#This Row],[$ CAPITAL]]&gt;=0,FINANCIACION[[#This Row],[$ CAPITAL]]+FINANCIACION[[#This Row],[$ INTERESES]],"")</f>
        <v/>
      </c>
      <c r="F594" s="7">
        <f>+SUMIFS(FINANCIACION[$ CAPITAL],FINANCIACION[Fecha],"&lt;="&amp;FINANCIACION[[#This Row],[Fecha]],FINANCIACION[PRESTAMO],FINANCIACION[[#This Row],[PRESTAMO]])</f>
        <v>-823104.50000000035</v>
      </c>
      <c r="G594" s="11"/>
      <c r="H594" s="11"/>
      <c r="I594" s="7" t="b">
        <f>+IF(FINANCIACION[[#This Row],[$ CAPITAL]]&gt;0,FINANCIACION[[#This Row],[$ CAPITAL]])</f>
        <v>0</v>
      </c>
      <c r="J594" s="49">
        <f>+IF(FINANCIACION[[#This Row],[$ CAPITAL]]&gt;=0,FINANCIACION[[#This Row],[$ CAPITAL]]+FINANCIACION[[#This Row],[$ INTERESES]],0)</f>
        <v>0</v>
      </c>
    </row>
    <row r="595" spans="1:10" ht="24" hidden="1" customHeight="1" x14ac:dyDescent="0.25">
      <c r="A595" s="10">
        <v>43718</v>
      </c>
      <c r="B595" s="85" t="s">
        <v>723</v>
      </c>
      <c r="C595" s="7">
        <v>-2626534</v>
      </c>
      <c r="D595" s="7"/>
      <c r="E595" s="7" t="str">
        <f>+IF(FINANCIACION[[#This Row],[$ CAPITAL]]&gt;=0,FINANCIACION[[#This Row],[$ CAPITAL]]+FINANCIACION[[#This Row],[$ INTERESES]],"")</f>
        <v/>
      </c>
      <c r="F595" s="7">
        <f>+SUMIFS(FINANCIACION[$ CAPITAL],FINANCIACION[Fecha],"&lt;="&amp;FINANCIACION[[#This Row],[Fecha]],FINANCIACION[PRESTAMO],FINANCIACION[[#This Row],[PRESTAMO]])</f>
        <v>-3449638.5000000005</v>
      </c>
      <c r="G595" s="11"/>
      <c r="H595" s="11"/>
      <c r="I595" s="7" t="b">
        <f>+IF(FINANCIACION[[#This Row],[$ CAPITAL]]&gt;0,FINANCIACION[[#This Row],[$ CAPITAL]])</f>
        <v>0</v>
      </c>
      <c r="J595" s="49">
        <f>+IF(FINANCIACION[[#This Row],[$ CAPITAL]]&gt;=0,FINANCIACION[[#This Row],[$ CAPITAL]]+FINANCIACION[[#This Row],[$ INTERESES]],0)</f>
        <v>0</v>
      </c>
    </row>
    <row r="596" spans="1:10" ht="24" hidden="1" customHeight="1" x14ac:dyDescent="0.25">
      <c r="A596" s="10">
        <v>43719</v>
      </c>
      <c r="B596" s="85" t="s">
        <v>723</v>
      </c>
      <c r="C596" s="7">
        <v>-244800</v>
      </c>
      <c r="D596" s="7"/>
      <c r="E596" s="7" t="str">
        <f>+IF(FINANCIACION[[#This Row],[$ CAPITAL]]&gt;=0,FINANCIACION[[#This Row],[$ CAPITAL]]+FINANCIACION[[#This Row],[$ INTERESES]],"")</f>
        <v/>
      </c>
      <c r="F596" s="7">
        <f>+SUMIFS(FINANCIACION[$ CAPITAL],FINANCIACION[Fecha],"&lt;="&amp;FINANCIACION[[#This Row],[Fecha]],FINANCIACION[PRESTAMO],FINANCIACION[[#This Row],[PRESTAMO]])</f>
        <v>-8239721.3200000003</v>
      </c>
      <c r="G596" s="11"/>
      <c r="H596" s="11"/>
      <c r="I596" s="7" t="b">
        <f>+IF(FINANCIACION[[#This Row],[$ CAPITAL]]&gt;0,FINANCIACION[[#This Row],[$ CAPITAL]])</f>
        <v>0</v>
      </c>
      <c r="J596" s="49">
        <f>+IF(FINANCIACION[[#This Row],[$ CAPITAL]]&gt;=0,FINANCIACION[[#This Row],[$ CAPITAL]]+FINANCIACION[[#This Row],[$ INTERESES]],0)</f>
        <v>0</v>
      </c>
    </row>
    <row r="597" spans="1:10" ht="24" hidden="1" customHeight="1" x14ac:dyDescent="0.25">
      <c r="A597" s="10">
        <v>43719</v>
      </c>
      <c r="B597" s="85" t="s">
        <v>723</v>
      </c>
      <c r="C597" s="7">
        <v>-4545282.82</v>
      </c>
      <c r="D597" s="7"/>
      <c r="E597" s="7" t="str">
        <f>+IF(FINANCIACION[[#This Row],[$ CAPITAL]]&gt;=0,FINANCIACION[[#This Row],[$ CAPITAL]]+FINANCIACION[[#This Row],[$ INTERESES]],"")</f>
        <v/>
      </c>
      <c r="F597" s="7">
        <f>+SUMIFS(FINANCIACION[$ CAPITAL],FINANCIACION[Fecha],"&lt;="&amp;FINANCIACION[[#This Row],[Fecha]],FINANCIACION[PRESTAMO],FINANCIACION[[#This Row],[PRESTAMO]])</f>
        <v>-8239721.3200000003</v>
      </c>
      <c r="G597" s="11"/>
      <c r="H597" s="11"/>
      <c r="I597" s="7" t="b">
        <f>+IF(FINANCIACION[[#This Row],[$ CAPITAL]]&gt;0,FINANCIACION[[#This Row],[$ CAPITAL]])</f>
        <v>0</v>
      </c>
      <c r="J597" s="49">
        <f>+IF(FINANCIACION[[#This Row],[$ CAPITAL]]&gt;=0,FINANCIACION[[#This Row],[$ CAPITAL]]+FINANCIACION[[#This Row],[$ INTERESES]],0)</f>
        <v>0</v>
      </c>
    </row>
    <row r="598" spans="1:10" ht="24" hidden="1" customHeight="1" x14ac:dyDescent="0.25">
      <c r="A598" s="10">
        <v>43723</v>
      </c>
      <c r="B598" s="85" t="s">
        <v>723</v>
      </c>
      <c r="C598" s="7">
        <v>-97324.79</v>
      </c>
      <c r="D598" s="7">
        <v>97324.790000000008</v>
      </c>
      <c r="E598" s="7" t="str">
        <f>+IF(FINANCIACION[[#This Row],[$ CAPITAL]]&gt;=0,FINANCIACION[[#This Row],[$ CAPITAL]]+FINANCIACION[[#This Row],[$ INTERESES]],"")</f>
        <v/>
      </c>
      <c r="F598" s="7">
        <f>+SUMIFS(FINANCIACION[$ CAPITAL],FINANCIACION[Fecha],"&lt;="&amp;FINANCIACION[[#This Row],[Fecha]],FINANCIACION[PRESTAMO],FINANCIACION[[#This Row],[PRESTAMO]])</f>
        <v>-8337046.1100000003</v>
      </c>
      <c r="G598" s="11"/>
      <c r="H598" s="11"/>
      <c r="I598" s="7" t="b">
        <f>+IF(FINANCIACION[[#This Row],[$ CAPITAL]]&gt;0,FINANCIACION[[#This Row],[$ CAPITAL]])</f>
        <v>0</v>
      </c>
      <c r="J598" s="49">
        <f>+IF(FINANCIACION[[#This Row],[$ CAPITAL]]&gt;=0,FINANCIACION[[#This Row],[$ CAPITAL]]+FINANCIACION[[#This Row],[$ INTERESES]],0)</f>
        <v>0</v>
      </c>
    </row>
    <row r="599" spans="1:10" ht="24" hidden="1" customHeight="1" x14ac:dyDescent="0.25">
      <c r="A599" s="10">
        <v>43727</v>
      </c>
      <c r="B599" s="85" t="s">
        <v>723</v>
      </c>
      <c r="C599" s="7">
        <v>6000000</v>
      </c>
      <c r="D599" s="7"/>
      <c r="E599" s="7">
        <f>+IF(FINANCIACION[[#This Row],[$ CAPITAL]]&gt;=0,FINANCIACION[[#This Row],[$ CAPITAL]]+FINANCIACION[[#This Row],[$ INTERESES]],"")</f>
        <v>6000000</v>
      </c>
      <c r="F599" s="7">
        <f>+SUMIFS(FINANCIACION[$ CAPITAL],FINANCIACION[Fecha],"&lt;="&amp;FINANCIACION[[#This Row],[Fecha]],FINANCIACION[PRESTAMO],FINANCIACION[[#This Row],[PRESTAMO]])</f>
        <v>-4000433.1100000003</v>
      </c>
      <c r="G599" s="11"/>
      <c r="H599" s="11"/>
      <c r="I599" s="7">
        <f>+IF(FINANCIACION[[#This Row],[$ CAPITAL]]&gt;0,FINANCIACION[[#This Row],[$ CAPITAL]])</f>
        <v>6000000</v>
      </c>
      <c r="J599" s="49">
        <f>+IF(FINANCIACION[[#This Row],[$ CAPITAL]]&gt;=0,FINANCIACION[[#This Row],[$ CAPITAL]]+FINANCIACION[[#This Row],[$ INTERESES]],0)</f>
        <v>6000000</v>
      </c>
    </row>
    <row r="600" spans="1:10" ht="24" hidden="1" customHeight="1" x14ac:dyDescent="0.25">
      <c r="A600" s="10">
        <v>43727</v>
      </c>
      <c r="B600" s="85" t="s">
        <v>723</v>
      </c>
      <c r="C600" s="7">
        <v>-1398740</v>
      </c>
      <c r="D600" s="7"/>
      <c r="E600" s="7" t="str">
        <f>+IF(FINANCIACION[[#This Row],[$ CAPITAL]]&gt;=0,FINANCIACION[[#This Row],[$ CAPITAL]]+FINANCIACION[[#This Row],[$ INTERESES]],"")</f>
        <v/>
      </c>
      <c r="F600" s="7">
        <f>+SUMIFS(FINANCIACION[$ CAPITAL],FINANCIACION[Fecha],"&lt;="&amp;FINANCIACION[[#This Row],[Fecha]],FINANCIACION[PRESTAMO],FINANCIACION[[#This Row],[PRESTAMO]])</f>
        <v>-4000433.1100000003</v>
      </c>
      <c r="G600" s="11"/>
      <c r="H600" s="11"/>
      <c r="I600" s="7" t="b">
        <f>+IF(FINANCIACION[[#This Row],[$ CAPITAL]]&gt;0,FINANCIACION[[#This Row],[$ CAPITAL]])</f>
        <v>0</v>
      </c>
      <c r="J600" s="49">
        <f>+IF(FINANCIACION[[#This Row],[$ CAPITAL]]&gt;=0,FINANCIACION[[#This Row],[$ CAPITAL]]+FINANCIACION[[#This Row],[$ INTERESES]],0)</f>
        <v>0</v>
      </c>
    </row>
    <row r="601" spans="1:10" ht="24" hidden="1" customHeight="1" x14ac:dyDescent="0.25">
      <c r="A601" s="10">
        <v>43727</v>
      </c>
      <c r="B601" s="85" t="s">
        <v>723</v>
      </c>
      <c r="C601" s="7">
        <v>-179647</v>
      </c>
      <c r="D601" s="7"/>
      <c r="E601" s="7" t="str">
        <f>+IF(FINANCIACION[[#This Row],[$ CAPITAL]]&gt;=0,FINANCIACION[[#This Row],[$ CAPITAL]]+FINANCIACION[[#This Row],[$ INTERESES]],"")</f>
        <v/>
      </c>
      <c r="F601" s="7">
        <f>+SUMIFS(FINANCIACION[$ CAPITAL],FINANCIACION[Fecha],"&lt;="&amp;FINANCIACION[[#This Row],[Fecha]],FINANCIACION[PRESTAMO],FINANCIACION[[#This Row],[PRESTAMO]])</f>
        <v>-4000433.1100000003</v>
      </c>
      <c r="G601" s="11"/>
      <c r="H601" s="11"/>
      <c r="I601" s="7" t="b">
        <f>+IF(FINANCIACION[[#This Row],[$ CAPITAL]]&gt;0,FINANCIACION[[#This Row],[$ CAPITAL]])</f>
        <v>0</v>
      </c>
      <c r="J601" s="49">
        <f>+IF(FINANCIACION[[#This Row],[$ CAPITAL]]&gt;=0,FINANCIACION[[#This Row],[$ CAPITAL]]+FINANCIACION[[#This Row],[$ INTERESES]],0)</f>
        <v>0</v>
      </c>
    </row>
    <row r="602" spans="1:10" ht="24" hidden="1" customHeight="1" x14ac:dyDescent="0.25">
      <c r="A602" s="10">
        <v>43727</v>
      </c>
      <c r="B602" s="85" t="s">
        <v>723</v>
      </c>
      <c r="C602" s="7">
        <v>-85000</v>
      </c>
      <c r="D602" s="7"/>
      <c r="E602" s="7" t="str">
        <f>+IF(FINANCIACION[[#This Row],[$ CAPITAL]]&gt;=0,FINANCIACION[[#This Row],[$ CAPITAL]]+FINANCIACION[[#This Row],[$ INTERESES]],"")</f>
        <v/>
      </c>
      <c r="F602" s="7">
        <f>+SUMIFS(FINANCIACION[$ CAPITAL],FINANCIACION[Fecha],"&lt;="&amp;FINANCIACION[[#This Row],[Fecha]],FINANCIACION[PRESTAMO],FINANCIACION[[#This Row],[PRESTAMO]])</f>
        <v>-4000433.1100000003</v>
      </c>
      <c r="G602" s="11"/>
      <c r="H602" s="11"/>
      <c r="I602" s="7" t="b">
        <f>+IF(FINANCIACION[[#This Row],[$ CAPITAL]]&gt;0,FINANCIACION[[#This Row],[$ CAPITAL]])</f>
        <v>0</v>
      </c>
      <c r="J602" s="49">
        <f>+IF(FINANCIACION[[#This Row],[$ CAPITAL]]&gt;=0,FINANCIACION[[#This Row],[$ CAPITAL]]+FINANCIACION[[#This Row],[$ INTERESES]],0)</f>
        <v>0</v>
      </c>
    </row>
    <row r="603" spans="1:10" ht="24" hidden="1" customHeight="1" x14ac:dyDescent="0.25">
      <c r="A603" s="10">
        <v>43731</v>
      </c>
      <c r="B603" s="85" t="s">
        <v>723</v>
      </c>
      <c r="C603" s="7">
        <v>-153982.59</v>
      </c>
      <c r="D603" s="7"/>
      <c r="E603" s="7" t="str">
        <f>+IF(FINANCIACION[[#This Row],[$ CAPITAL]]&gt;=0,FINANCIACION[[#This Row],[$ CAPITAL]]+FINANCIACION[[#This Row],[$ INTERESES]],"")</f>
        <v/>
      </c>
      <c r="F603" s="7">
        <f>+SUMIFS(FINANCIACION[$ CAPITAL],FINANCIACION[Fecha],"&lt;="&amp;FINANCIACION[[#This Row],[Fecha]],FINANCIACION[PRESTAMO],FINANCIACION[[#This Row],[PRESTAMO]])</f>
        <v>-4154415.7</v>
      </c>
      <c r="G603" s="11"/>
      <c r="H603" s="11"/>
      <c r="I603" s="7" t="b">
        <f>+IF(FINANCIACION[[#This Row],[$ CAPITAL]]&gt;0,FINANCIACION[[#This Row],[$ CAPITAL]])</f>
        <v>0</v>
      </c>
      <c r="J603" s="49">
        <f>+IF(FINANCIACION[[#This Row],[$ CAPITAL]]&gt;=0,FINANCIACION[[#This Row],[$ CAPITAL]]+FINANCIACION[[#This Row],[$ INTERESES]],0)</f>
        <v>0</v>
      </c>
    </row>
    <row r="604" spans="1:10" ht="24" hidden="1" customHeight="1" x14ac:dyDescent="0.25">
      <c r="A604" s="10">
        <v>43734</v>
      </c>
      <c r="B604" s="85" t="s">
        <v>723</v>
      </c>
      <c r="C604" s="7">
        <v>-27977629</v>
      </c>
      <c r="D604" s="7"/>
      <c r="E604" s="7" t="str">
        <f>+IF(FINANCIACION[[#This Row],[$ CAPITAL]]&gt;=0,FINANCIACION[[#This Row],[$ CAPITAL]]+FINANCIACION[[#This Row],[$ INTERESES]],"")</f>
        <v/>
      </c>
      <c r="F604" s="7">
        <f>+SUMIFS(FINANCIACION[$ CAPITAL],FINANCIACION[Fecha],"&lt;="&amp;FINANCIACION[[#This Row],[Fecha]],FINANCIACION[PRESTAMO],FINANCIACION[[#This Row],[PRESTAMO]])</f>
        <v>-32132044.699999999</v>
      </c>
      <c r="G604" s="11"/>
      <c r="H604" s="11"/>
      <c r="I604" s="7" t="b">
        <f>+IF(FINANCIACION[[#This Row],[$ CAPITAL]]&gt;0,FINANCIACION[[#This Row],[$ CAPITAL]])</f>
        <v>0</v>
      </c>
      <c r="J604" s="49">
        <f>+IF(FINANCIACION[[#This Row],[$ CAPITAL]]&gt;=0,FINANCIACION[[#This Row],[$ CAPITAL]]+FINANCIACION[[#This Row],[$ INTERESES]],0)</f>
        <v>0</v>
      </c>
    </row>
    <row r="605" spans="1:10" ht="24" hidden="1" customHeight="1" x14ac:dyDescent="0.25">
      <c r="A605" s="10">
        <v>43738</v>
      </c>
      <c r="B605" s="85" t="s">
        <v>723</v>
      </c>
      <c r="C605" s="7">
        <v>-2074108</v>
      </c>
      <c r="D605" s="7"/>
      <c r="E605" s="7" t="str">
        <f>+IF(FINANCIACION[[#This Row],[$ CAPITAL]]&gt;=0,FINANCIACION[[#This Row],[$ CAPITAL]]+FINANCIACION[[#This Row],[$ INTERESES]],"")</f>
        <v/>
      </c>
      <c r="F605" s="7">
        <f>+SUMIFS(FINANCIACION[$ CAPITAL],FINANCIACION[Fecha],"&lt;="&amp;FINANCIACION[[#This Row],[Fecha]],FINANCIACION[PRESTAMO],FINANCIACION[[#This Row],[PRESTAMO]])</f>
        <v>-34206152.700000003</v>
      </c>
      <c r="G605" s="11"/>
      <c r="H605" s="11"/>
      <c r="I605" s="7" t="b">
        <f>+IF(FINANCIACION[[#This Row],[$ CAPITAL]]&gt;0,FINANCIACION[[#This Row],[$ CAPITAL]])</f>
        <v>0</v>
      </c>
      <c r="J605" s="49">
        <f>+IF(FINANCIACION[[#This Row],[$ CAPITAL]]&gt;=0,FINANCIACION[[#This Row],[$ CAPITAL]]+FINANCIACION[[#This Row],[$ INTERESES]],0)</f>
        <v>0</v>
      </c>
    </row>
    <row r="606" spans="1:10" ht="24" hidden="1" customHeight="1" x14ac:dyDescent="0.25">
      <c r="A606" s="10">
        <v>43740</v>
      </c>
      <c r="B606" s="85" t="s">
        <v>723</v>
      </c>
      <c r="C606" s="7">
        <v>2000000</v>
      </c>
      <c r="D606" s="7"/>
      <c r="E606" s="7">
        <f>+IF(FINANCIACION[[#This Row],[$ CAPITAL]]&gt;=0,FINANCIACION[[#This Row],[$ CAPITAL]]+FINANCIACION[[#This Row],[$ INTERESES]],"")</f>
        <v>2000000</v>
      </c>
      <c r="F606" s="7">
        <f>+SUMIFS(FINANCIACION[$ CAPITAL],FINANCIACION[Fecha],"&lt;="&amp;FINANCIACION[[#This Row],[Fecha]],FINANCIACION[PRESTAMO],FINANCIACION[[#This Row],[PRESTAMO]])</f>
        <v>-32206152.700000003</v>
      </c>
      <c r="G606" s="11"/>
      <c r="H606" s="11"/>
      <c r="I606" s="7">
        <f>+IF(FINANCIACION[[#This Row],[$ CAPITAL]]&gt;0,FINANCIACION[[#This Row],[$ CAPITAL]])</f>
        <v>2000000</v>
      </c>
      <c r="J606" s="49">
        <f>+IF(FINANCIACION[[#This Row],[$ CAPITAL]]&gt;=0,FINANCIACION[[#This Row],[$ CAPITAL]]+FINANCIACION[[#This Row],[$ INTERESES]],0)</f>
        <v>2000000</v>
      </c>
    </row>
    <row r="607" spans="1:10" ht="24" hidden="1" customHeight="1" x14ac:dyDescent="0.25">
      <c r="A607" s="10">
        <v>43742</v>
      </c>
      <c r="B607" s="85" t="s">
        <v>723</v>
      </c>
      <c r="C607" s="7">
        <v>2500000</v>
      </c>
      <c r="D607" s="7">
        <v>470066.66000000015</v>
      </c>
      <c r="E607" s="7">
        <f>+IF(FINANCIACION[[#This Row],[$ CAPITAL]]&gt;=0,FINANCIACION[[#This Row],[$ CAPITAL]]+FINANCIACION[[#This Row],[$ INTERESES]],"")</f>
        <v>2970066.66</v>
      </c>
      <c r="F607" s="7">
        <f>+SUMIFS(FINANCIACION[$ CAPITAL],FINANCIACION[Fecha],"&lt;="&amp;FINANCIACION[[#This Row],[Fecha]],FINANCIACION[PRESTAMO],FINANCIACION[[#This Row],[PRESTAMO]])</f>
        <v>-29706152.700000003</v>
      </c>
      <c r="G607" s="11"/>
      <c r="H607" s="11"/>
      <c r="I607" s="7">
        <f>+IF(FINANCIACION[[#This Row],[$ CAPITAL]]&gt;0,FINANCIACION[[#This Row],[$ CAPITAL]])</f>
        <v>2500000</v>
      </c>
      <c r="J607" s="49">
        <f>+IF(FINANCIACION[[#This Row],[$ CAPITAL]]&gt;=0,FINANCIACION[[#This Row],[$ CAPITAL]]+FINANCIACION[[#This Row],[$ INTERESES]],0)</f>
        <v>2970066.66</v>
      </c>
    </row>
    <row r="608" spans="1:10" ht="24" hidden="1" customHeight="1" x14ac:dyDescent="0.25">
      <c r="A608" s="10">
        <v>43748</v>
      </c>
      <c r="B608" s="85" t="s">
        <v>723</v>
      </c>
      <c r="C608" s="7">
        <v>3000000</v>
      </c>
      <c r="D608" s="7"/>
      <c r="E608" s="7">
        <f>+IF(FINANCIACION[[#This Row],[$ CAPITAL]]&gt;=0,FINANCIACION[[#This Row],[$ CAPITAL]]+FINANCIACION[[#This Row],[$ INTERESES]],"")</f>
        <v>3000000</v>
      </c>
      <c r="F608" s="7">
        <f>+SUMIFS(FINANCIACION[$ CAPITAL],FINANCIACION[Fecha],"&lt;="&amp;FINANCIACION[[#This Row],[Fecha]],FINANCIACION[PRESTAMO],FINANCIACION[[#This Row],[PRESTAMO]])</f>
        <v>-26706152.700000003</v>
      </c>
      <c r="G608" s="11"/>
      <c r="H608" s="11"/>
      <c r="I608" s="7">
        <f>+IF(FINANCIACION[[#This Row],[$ CAPITAL]]&gt;0,FINANCIACION[[#This Row],[$ CAPITAL]])</f>
        <v>3000000</v>
      </c>
      <c r="J608" s="49">
        <f>+IF(FINANCIACION[[#This Row],[$ CAPITAL]]&gt;=0,FINANCIACION[[#This Row],[$ CAPITAL]]+FINANCIACION[[#This Row],[$ INTERESES]],0)</f>
        <v>3000000</v>
      </c>
    </row>
    <row r="609" spans="1:10" ht="24" hidden="1" customHeight="1" x14ac:dyDescent="0.25">
      <c r="A609" s="10">
        <v>43753</v>
      </c>
      <c r="B609" s="85" t="s">
        <v>723</v>
      </c>
      <c r="C609" s="7">
        <v>-92202</v>
      </c>
      <c r="D609" s="7"/>
      <c r="E609" s="7" t="str">
        <f>+IF(FINANCIACION[[#This Row],[$ CAPITAL]]&gt;=0,FINANCIACION[[#This Row],[$ CAPITAL]]+FINANCIACION[[#This Row],[$ INTERESES]],"")</f>
        <v/>
      </c>
      <c r="F609" s="7">
        <f>+SUMIFS(FINANCIACION[$ CAPITAL],FINANCIACION[Fecha],"&lt;="&amp;FINANCIACION[[#This Row],[Fecha]],FINANCIACION[PRESTAMO],FINANCIACION[[#This Row],[PRESTAMO]])</f>
        <v>-26798354.700000003</v>
      </c>
      <c r="G609" s="11"/>
      <c r="H609" s="11"/>
      <c r="I609" s="7" t="b">
        <f>+IF(FINANCIACION[[#This Row],[$ CAPITAL]]&gt;0,FINANCIACION[[#This Row],[$ CAPITAL]])</f>
        <v>0</v>
      </c>
      <c r="J609" s="49">
        <f>+IF(FINANCIACION[[#This Row],[$ CAPITAL]]&gt;=0,FINANCIACION[[#This Row],[$ CAPITAL]]+FINANCIACION[[#This Row],[$ INTERESES]],0)</f>
        <v>0</v>
      </c>
    </row>
    <row r="610" spans="1:10" ht="24" hidden="1" customHeight="1" x14ac:dyDescent="0.25">
      <c r="A610" s="10">
        <v>43754</v>
      </c>
      <c r="B610" s="85" t="s">
        <v>723</v>
      </c>
      <c r="C610" s="7">
        <v>-5877675.5300000003</v>
      </c>
      <c r="D610" s="7"/>
      <c r="E610" s="7" t="str">
        <f>+IF(FINANCIACION[[#This Row],[$ CAPITAL]]&gt;=0,FINANCIACION[[#This Row],[$ CAPITAL]]+FINANCIACION[[#This Row],[$ INTERESES]],"")</f>
        <v/>
      </c>
      <c r="F610" s="7">
        <f>+SUMIFS(FINANCIACION[$ CAPITAL],FINANCIACION[Fecha],"&lt;="&amp;FINANCIACION[[#This Row],[Fecha]],FINANCIACION[PRESTAMO],FINANCIACION[[#This Row],[PRESTAMO]])</f>
        <v>-34784152.560000002</v>
      </c>
      <c r="G610" s="11"/>
      <c r="H610" s="11"/>
      <c r="I610" s="7" t="b">
        <f>+IF(FINANCIACION[[#This Row],[$ CAPITAL]]&gt;0,FINANCIACION[[#This Row],[$ CAPITAL]])</f>
        <v>0</v>
      </c>
      <c r="J610" s="49">
        <f>+IF(FINANCIACION[[#This Row],[$ CAPITAL]]&gt;=0,FINANCIACION[[#This Row],[$ CAPITAL]]+FINANCIACION[[#This Row],[$ INTERESES]],0)</f>
        <v>0</v>
      </c>
    </row>
    <row r="611" spans="1:10" ht="24" hidden="1" customHeight="1" x14ac:dyDescent="0.25">
      <c r="A611" s="10">
        <v>43754</v>
      </c>
      <c r="B611" s="85" t="s">
        <v>723</v>
      </c>
      <c r="C611" s="7">
        <v>-2108122.33</v>
      </c>
      <c r="D611" s="7"/>
      <c r="E611" s="7" t="str">
        <f>+IF(FINANCIACION[[#This Row],[$ CAPITAL]]&gt;=0,FINANCIACION[[#This Row],[$ CAPITAL]]+FINANCIACION[[#This Row],[$ INTERESES]],"")</f>
        <v/>
      </c>
      <c r="F611" s="7">
        <f>+SUMIFS(FINANCIACION[$ CAPITAL],FINANCIACION[Fecha],"&lt;="&amp;FINANCIACION[[#This Row],[Fecha]],FINANCIACION[PRESTAMO],FINANCIACION[[#This Row],[PRESTAMO]])</f>
        <v>-34784152.560000002</v>
      </c>
      <c r="G611" s="11"/>
      <c r="H611" s="11"/>
      <c r="I611" s="7" t="b">
        <f>+IF(FINANCIACION[[#This Row],[$ CAPITAL]]&gt;0,FINANCIACION[[#This Row],[$ CAPITAL]])</f>
        <v>0</v>
      </c>
      <c r="J611" s="49">
        <f>+IF(FINANCIACION[[#This Row],[$ CAPITAL]]&gt;=0,FINANCIACION[[#This Row],[$ CAPITAL]]+FINANCIACION[[#This Row],[$ INTERESES]],0)</f>
        <v>0</v>
      </c>
    </row>
    <row r="612" spans="1:10" ht="24" hidden="1" customHeight="1" x14ac:dyDescent="0.25">
      <c r="A612" s="10">
        <v>43758</v>
      </c>
      <c r="B612" s="85" t="s">
        <v>723</v>
      </c>
      <c r="C612" s="7">
        <v>-89902</v>
      </c>
      <c r="D612" s="7"/>
      <c r="E612" s="7" t="str">
        <f>+IF(FINANCIACION[[#This Row],[$ CAPITAL]]&gt;=0,FINANCIACION[[#This Row],[$ CAPITAL]]+FINANCIACION[[#This Row],[$ INTERESES]],"")</f>
        <v/>
      </c>
      <c r="F612" s="7">
        <f>+SUMIFS(FINANCIACION[$ CAPITAL],FINANCIACION[Fecha],"&lt;="&amp;FINANCIACION[[#This Row],[Fecha]],FINANCIACION[PRESTAMO],FINANCIACION[[#This Row],[PRESTAMO]])</f>
        <v>-34874054.560000002</v>
      </c>
      <c r="G612" s="11"/>
      <c r="H612" s="11"/>
      <c r="I612" s="7" t="b">
        <f>+IF(FINANCIACION[[#This Row],[$ CAPITAL]]&gt;0,FINANCIACION[[#This Row],[$ CAPITAL]])</f>
        <v>0</v>
      </c>
      <c r="J612" s="49">
        <f>+IF(FINANCIACION[[#This Row],[$ CAPITAL]]&gt;=0,FINANCIACION[[#This Row],[$ CAPITAL]]+FINANCIACION[[#This Row],[$ INTERESES]],0)</f>
        <v>0</v>
      </c>
    </row>
    <row r="613" spans="1:10" ht="24" hidden="1" customHeight="1" x14ac:dyDescent="0.25">
      <c r="A613" s="10">
        <v>43760</v>
      </c>
      <c r="B613" s="85" t="s">
        <v>723</v>
      </c>
      <c r="C613" s="7">
        <v>-1837182.36</v>
      </c>
      <c r="D613" s="7"/>
      <c r="E613" s="7" t="str">
        <f>+IF(FINANCIACION[[#This Row],[$ CAPITAL]]&gt;=0,FINANCIACION[[#This Row],[$ CAPITAL]]+FINANCIACION[[#This Row],[$ INTERESES]],"")</f>
        <v/>
      </c>
      <c r="F613" s="7">
        <f>+SUMIFS(FINANCIACION[$ CAPITAL],FINANCIACION[Fecha],"&lt;="&amp;FINANCIACION[[#This Row],[Fecha]],FINANCIACION[PRESTAMO],FINANCIACION[[#This Row],[PRESTAMO]])</f>
        <v>-36711236.920000002</v>
      </c>
      <c r="G613" s="11"/>
      <c r="H613" s="11"/>
      <c r="I613" s="7" t="b">
        <f>+IF(FINANCIACION[[#This Row],[$ CAPITAL]]&gt;0,FINANCIACION[[#This Row],[$ CAPITAL]])</f>
        <v>0</v>
      </c>
      <c r="J613" s="49">
        <f>+IF(FINANCIACION[[#This Row],[$ CAPITAL]]&gt;=0,FINANCIACION[[#This Row],[$ CAPITAL]]+FINANCIACION[[#This Row],[$ INTERESES]],0)</f>
        <v>0</v>
      </c>
    </row>
    <row r="614" spans="1:10" ht="24" hidden="1" customHeight="1" x14ac:dyDescent="0.25">
      <c r="A614" s="10">
        <v>43761</v>
      </c>
      <c r="B614" s="85" t="s">
        <v>723</v>
      </c>
      <c r="C614" s="7">
        <v>2000000</v>
      </c>
      <c r="D614" s="7"/>
      <c r="E614" s="7">
        <f>+IF(FINANCIACION[[#This Row],[$ CAPITAL]]&gt;=0,FINANCIACION[[#This Row],[$ CAPITAL]]+FINANCIACION[[#This Row],[$ INTERESES]],"")</f>
        <v>2000000</v>
      </c>
      <c r="F614" s="7">
        <f>+SUMIFS(FINANCIACION[$ CAPITAL],FINANCIACION[Fecha],"&lt;="&amp;FINANCIACION[[#This Row],[Fecha]],FINANCIACION[PRESTAMO],FINANCIACION[[#This Row],[PRESTAMO]])</f>
        <v>-32927774.380000003</v>
      </c>
      <c r="G614" s="11"/>
      <c r="H614" s="11"/>
      <c r="I614" s="7">
        <f>+IF(FINANCIACION[[#This Row],[$ CAPITAL]]&gt;0,FINANCIACION[[#This Row],[$ CAPITAL]])</f>
        <v>2000000</v>
      </c>
      <c r="J614" s="49">
        <f>+IF(FINANCIACION[[#This Row],[$ CAPITAL]]&gt;=0,FINANCIACION[[#This Row],[$ CAPITAL]]+FINANCIACION[[#This Row],[$ INTERESES]],0)</f>
        <v>2000000</v>
      </c>
    </row>
    <row r="615" spans="1:10" ht="24" hidden="1" customHeight="1" x14ac:dyDescent="0.25">
      <c r="A615" s="10">
        <v>43761</v>
      </c>
      <c r="B615" s="85" t="s">
        <v>723</v>
      </c>
      <c r="C615" s="7">
        <v>2000000</v>
      </c>
      <c r="D615" s="7"/>
      <c r="E615" s="7">
        <f>+IF(FINANCIACION[[#This Row],[$ CAPITAL]]&gt;=0,FINANCIACION[[#This Row],[$ CAPITAL]]+FINANCIACION[[#This Row],[$ INTERESES]],"")</f>
        <v>2000000</v>
      </c>
      <c r="F615" s="7">
        <f>+SUMIFS(FINANCIACION[$ CAPITAL],FINANCIACION[Fecha],"&lt;="&amp;FINANCIACION[[#This Row],[Fecha]],FINANCIACION[PRESTAMO],FINANCIACION[[#This Row],[PRESTAMO]])</f>
        <v>-32927774.380000003</v>
      </c>
      <c r="G615" s="11"/>
      <c r="H615" s="11"/>
      <c r="I615" s="7">
        <f>+IF(FINANCIACION[[#This Row],[$ CAPITAL]]&gt;0,FINANCIACION[[#This Row],[$ CAPITAL]])</f>
        <v>2000000</v>
      </c>
      <c r="J615" s="49">
        <f>+IF(FINANCIACION[[#This Row],[$ CAPITAL]]&gt;=0,FINANCIACION[[#This Row],[$ CAPITAL]]+FINANCIACION[[#This Row],[$ INTERESES]],0)</f>
        <v>2000000</v>
      </c>
    </row>
    <row r="616" spans="1:10" ht="24" hidden="1" customHeight="1" x14ac:dyDescent="0.25">
      <c r="A616" s="10">
        <v>43761</v>
      </c>
      <c r="B616" s="85" t="s">
        <v>723</v>
      </c>
      <c r="C616" s="7">
        <v>-216537.46</v>
      </c>
      <c r="D616" s="7"/>
      <c r="E616" s="7" t="str">
        <f>+IF(FINANCIACION[[#This Row],[$ CAPITAL]]&gt;=0,FINANCIACION[[#This Row],[$ CAPITAL]]+FINANCIACION[[#This Row],[$ INTERESES]],"")</f>
        <v/>
      </c>
      <c r="F616" s="7">
        <f>+SUMIFS(FINANCIACION[$ CAPITAL],FINANCIACION[Fecha],"&lt;="&amp;FINANCIACION[[#This Row],[Fecha]],FINANCIACION[PRESTAMO],FINANCIACION[[#This Row],[PRESTAMO]])</f>
        <v>-32927774.380000003</v>
      </c>
      <c r="G616" s="11"/>
      <c r="H616" s="11"/>
      <c r="I616" s="7" t="b">
        <f>+IF(FINANCIACION[[#This Row],[$ CAPITAL]]&gt;0,FINANCIACION[[#This Row],[$ CAPITAL]])</f>
        <v>0</v>
      </c>
      <c r="J616" s="49">
        <f>+IF(FINANCIACION[[#This Row],[$ CAPITAL]]&gt;=0,FINANCIACION[[#This Row],[$ CAPITAL]]+FINANCIACION[[#This Row],[$ INTERESES]],0)</f>
        <v>0</v>
      </c>
    </row>
    <row r="617" spans="1:10" ht="24" hidden="1" customHeight="1" x14ac:dyDescent="0.25">
      <c r="A617" s="10">
        <v>43762</v>
      </c>
      <c r="B617" s="85" t="s">
        <v>723</v>
      </c>
      <c r="C617" s="7">
        <v>-371885.62</v>
      </c>
      <c r="D617" s="7"/>
      <c r="E617" s="7" t="str">
        <f>+IF(FINANCIACION[[#This Row],[$ CAPITAL]]&gt;=0,FINANCIACION[[#This Row],[$ CAPITAL]]+FINANCIACION[[#This Row],[$ INTERESES]],"")</f>
        <v/>
      </c>
      <c r="F617" s="7">
        <f>+SUMIFS(FINANCIACION[$ CAPITAL],FINANCIACION[Fecha],"&lt;="&amp;FINANCIACION[[#This Row],[Fecha]],FINANCIACION[PRESTAMO],FINANCIACION[[#This Row],[PRESTAMO]])</f>
        <v>-33299660.000000004</v>
      </c>
      <c r="G617" s="11"/>
      <c r="H617" s="11"/>
      <c r="I617" s="7" t="b">
        <f>+IF(FINANCIACION[[#This Row],[$ CAPITAL]]&gt;0,FINANCIACION[[#This Row],[$ CAPITAL]])</f>
        <v>0</v>
      </c>
      <c r="J617" s="49">
        <f>+IF(FINANCIACION[[#This Row],[$ CAPITAL]]&gt;=0,FINANCIACION[[#This Row],[$ CAPITAL]]+FINANCIACION[[#This Row],[$ INTERESES]],0)</f>
        <v>0</v>
      </c>
    </row>
    <row r="618" spans="1:10" ht="24" hidden="1" customHeight="1" x14ac:dyDescent="0.25">
      <c r="A618" s="10">
        <v>43768</v>
      </c>
      <c r="B618" s="85" t="s">
        <v>723</v>
      </c>
      <c r="C618" s="7">
        <v>-1673208.71</v>
      </c>
      <c r="D618" s="7"/>
      <c r="E618" s="7" t="str">
        <f>+IF(FINANCIACION[[#This Row],[$ CAPITAL]]&gt;=0,FINANCIACION[[#This Row],[$ CAPITAL]]+FINANCIACION[[#This Row],[$ INTERESES]],"")</f>
        <v/>
      </c>
      <c r="F618" s="7">
        <f>+SUMIFS(FINANCIACION[$ CAPITAL],FINANCIACION[Fecha],"&lt;="&amp;FINANCIACION[[#This Row],[Fecha]],FINANCIACION[PRESTAMO],FINANCIACION[[#This Row],[PRESTAMO]])</f>
        <v>-35675757.710000001</v>
      </c>
      <c r="G618" s="11"/>
      <c r="H618" s="11"/>
      <c r="I618" s="7" t="b">
        <f>+IF(FINANCIACION[[#This Row],[$ CAPITAL]]&gt;0,FINANCIACION[[#This Row],[$ CAPITAL]])</f>
        <v>0</v>
      </c>
      <c r="J618" s="49">
        <f>+IF(FINANCIACION[[#This Row],[$ CAPITAL]]&gt;=0,FINANCIACION[[#This Row],[$ CAPITAL]]+FINANCIACION[[#This Row],[$ INTERESES]],0)</f>
        <v>0</v>
      </c>
    </row>
    <row r="619" spans="1:10" ht="24" hidden="1" customHeight="1" x14ac:dyDescent="0.25">
      <c r="A619" s="10">
        <v>43768</v>
      </c>
      <c r="B619" s="85" t="s">
        <v>723</v>
      </c>
      <c r="C619" s="7">
        <v>-702889</v>
      </c>
      <c r="D619" s="7"/>
      <c r="E619" s="7" t="str">
        <f>+IF(FINANCIACION[[#This Row],[$ CAPITAL]]&gt;=0,FINANCIACION[[#This Row],[$ CAPITAL]]+FINANCIACION[[#This Row],[$ INTERESES]],"")</f>
        <v/>
      </c>
      <c r="F619" s="7">
        <f>+SUMIFS(FINANCIACION[$ CAPITAL],FINANCIACION[Fecha],"&lt;="&amp;FINANCIACION[[#This Row],[Fecha]],FINANCIACION[PRESTAMO],FINANCIACION[[#This Row],[PRESTAMO]])</f>
        <v>-35675757.710000001</v>
      </c>
      <c r="G619" s="11"/>
      <c r="H619" s="11"/>
      <c r="I619" s="7" t="b">
        <f>+IF(FINANCIACION[[#This Row],[$ CAPITAL]]&gt;0,FINANCIACION[[#This Row],[$ CAPITAL]])</f>
        <v>0</v>
      </c>
      <c r="J619" s="49">
        <f>+IF(FINANCIACION[[#This Row],[$ CAPITAL]]&gt;=0,FINANCIACION[[#This Row],[$ CAPITAL]]+FINANCIACION[[#This Row],[$ INTERESES]],0)</f>
        <v>0</v>
      </c>
    </row>
    <row r="620" spans="1:10" ht="24" hidden="1" customHeight="1" x14ac:dyDescent="0.25">
      <c r="A620" s="10">
        <v>43769</v>
      </c>
      <c r="B620" s="85" t="s">
        <v>723</v>
      </c>
      <c r="C620" s="7">
        <v>-17400</v>
      </c>
      <c r="D620" s="7"/>
      <c r="E620" s="7" t="str">
        <f>+IF(FINANCIACION[[#This Row],[$ CAPITAL]]&gt;=0,FINANCIACION[[#This Row],[$ CAPITAL]]+FINANCIACION[[#This Row],[$ INTERESES]],"")</f>
        <v/>
      </c>
      <c r="F620" s="7">
        <f>+SUMIFS(FINANCIACION[$ CAPITAL],FINANCIACION[Fecha],"&lt;="&amp;FINANCIACION[[#This Row],[Fecha]],FINANCIACION[PRESTAMO],FINANCIACION[[#This Row],[PRESTAMO]])</f>
        <v>-35693157.710000001</v>
      </c>
      <c r="G620" s="11"/>
      <c r="H620" s="11"/>
      <c r="I620" s="7" t="b">
        <f>+IF(FINANCIACION[[#This Row],[$ CAPITAL]]&gt;0,FINANCIACION[[#This Row],[$ CAPITAL]])</f>
        <v>0</v>
      </c>
      <c r="J620" s="49">
        <f>+IF(FINANCIACION[[#This Row],[$ CAPITAL]]&gt;=0,FINANCIACION[[#This Row],[$ CAPITAL]]+FINANCIACION[[#This Row],[$ INTERESES]],0)</f>
        <v>0</v>
      </c>
    </row>
    <row r="621" spans="1:10" ht="24" hidden="1" customHeight="1" x14ac:dyDescent="0.25">
      <c r="A621" s="10">
        <v>43774</v>
      </c>
      <c r="B621" s="85" t="s">
        <v>723</v>
      </c>
      <c r="C621" s="7">
        <v>2500000</v>
      </c>
      <c r="D621" s="7">
        <v>440687.5</v>
      </c>
      <c r="E621" s="7">
        <f>+IF(FINANCIACION[[#This Row],[$ CAPITAL]]&gt;=0,FINANCIACION[[#This Row],[$ CAPITAL]]+FINANCIACION[[#This Row],[$ INTERESES]],"")</f>
        <v>2940687.5</v>
      </c>
      <c r="F621" s="7">
        <f>+SUMIFS(FINANCIACION[$ CAPITAL],FINANCIACION[Fecha],"&lt;="&amp;FINANCIACION[[#This Row],[Fecha]],FINANCIACION[PRESTAMO],FINANCIACION[[#This Row],[PRESTAMO]])</f>
        <v>-33193157.710000001</v>
      </c>
      <c r="G621" s="11"/>
      <c r="H621" s="11"/>
      <c r="I621" s="7">
        <f>+IF(FINANCIACION[[#This Row],[$ CAPITAL]]&gt;0,FINANCIACION[[#This Row],[$ CAPITAL]])</f>
        <v>2500000</v>
      </c>
      <c r="J621" s="49">
        <f>+IF(FINANCIACION[[#This Row],[$ CAPITAL]]&gt;=0,FINANCIACION[[#This Row],[$ CAPITAL]]+FINANCIACION[[#This Row],[$ INTERESES]],0)</f>
        <v>2940687.5</v>
      </c>
    </row>
    <row r="622" spans="1:10" ht="24" hidden="1" customHeight="1" x14ac:dyDescent="0.25">
      <c r="A622" s="10">
        <v>43781</v>
      </c>
      <c r="B622" s="85" t="s">
        <v>723</v>
      </c>
      <c r="C622" s="7">
        <v>2384506</v>
      </c>
      <c r="D622" s="7"/>
      <c r="E622" s="7">
        <f>+IF(FINANCIACION[[#This Row],[$ CAPITAL]]&gt;=0,FINANCIACION[[#This Row],[$ CAPITAL]]+FINANCIACION[[#This Row],[$ INTERESES]],"")</f>
        <v>2384506</v>
      </c>
      <c r="F622" s="7">
        <f>+SUMIFS(FINANCIACION[$ CAPITAL],FINANCIACION[Fecha],"&lt;="&amp;FINANCIACION[[#This Row],[Fecha]],FINANCIACION[PRESTAMO],FINANCIACION[[#This Row],[PRESTAMO]])</f>
        <v>-30808651.710000001</v>
      </c>
      <c r="G622" s="11"/>
      <c r="H622" s="11"/>
      <c r="I622" s="7">
        <f>+IF(FINANCIACION[[#This Row],[$ CAPITAL]]&gt;0,FINANCIACION[[#This Row],[$ CAPITAL]])</f>
        <v>2384506</v>
      </c>
      <c r="J622" s="49">
        <f>+IF(FINANCIACION[[#This Row],[$ CAPITAL]]&gt;=0,FINANCIACION[[#This Row],[$ CAPITAL]]+FINANCIACION[[#This Row],[$ INTERESES]],0)</f>
        <v>2384506</v>
      </c>
    </row>
    <row r="623" spans="1:10" ht="24" hidden="1" customHeight="1" x14ac:dyDescent="0.25">
      <c r="A623" s="10">
        <v>43783</v>
      </c>
      <c r="B623" s="85" t="s">
        <v>723</v>
      </c>
      <c r="C623" s="7">
        <v>-201556.42</v>
      </c>
      <c r="D623" s="7"/>
      <c r="E623" s="7" t="str">
        <f>+IF(FINANCIACION[[#This Row],[$ CAPITAL]]&gt;=0,FINANCIACION[[#This Row],[$ CAPITAL]]+FINANCIACION[[#This Row],[$ INTERESES]],"")</f>
        <v/>
      </c>
      <c r="F623" s="7">
        <f>+SUMIFS(FINANCIACION[$ CAPITAL],FINANCIACION[Fecha],"&lt;="&amp;FINANCIACION[[#This Row],[Fecha]],FINANCIACION[PRESTAMO],FINANCIACION[[#This Row],[PRESTAMO]])</f>
        <v>-31010208.130000003</v>
      </c>
      <c r="G623" s="11"/>
      <c r="H623" s="11"/>
      <c r="I623" s="7" t="b">
        <f>+IF(FINANCIACION[[#This Row],[$ CAPITAL]]&gt;0,FINANCIACION[[#This Row],[$ CAPITAL]])</f>
        <v>0</v>
      </c>
      <c r="J623" s="49">
        <f>+IF(FINANCIACION[[#This Row],[$ CAPITAL]]&gt;=0,FINANCIACION[[#This Row],[$ CAPITAL]]+FINANCIACION[[#This Row],[$ INTERESES]],0)</f>
        <v>0</v>
      </c>
    </row>
    <row r="624" spans="1:10" ht="24" hidden="1" customHeight="1" x14ac:dyDescent="0.25">
      <c r="A624" s="10">
        <v>43784</v>
      </c>
      <c r="B624" s="85" t="s">
        <v>723</v>
      </c>
      <c r="C624" s="7">
        <v>-202187.61</v>
      </c>
      <c r="D624" s="7"/>
      <c r="E624" s="7" t="str">
        <f>+IF(FINANCIACION[[#This Row],[$ CAPITAL]]&gt;=0,FINANCIACION[[#This Row],[$ CAPITAL]]+FINANCIACION[[#This Row],[$ INTERESES]],"")</f>
        <v/>
      </c>
      <c r="F624" s="7">
        <f>+SUMIFS(FINANCIACION[$ CAPITAL],FINANCIACION[Fecha],"&lt;="&amp;FINANCIACION[[#This Row],[Fecha]],FINANCIACION[PRESTAMO],FINANCIACION[[#This Row],[PRESTAMO]])</f>
        <v>-31212395.740000002</v>
      </c>
      <c r="G624" s="11"/>
      <c r="H624" s="11"/>
      <c r="I624" s="7" t="b">
        <f>+IF(FINANCIACION[[#This Row],[$ CAPITAL]]&gt;0,FINANCIACION[[#This Row],[$ CAPITAL]])</f>
        <v>0</v>
      </c>
      <c r="J624" s="49">
        <f>+IF(FINANCIACION[[#This Row],[$ CAPITAL]]&gt;=0,FINANCIACION[[#This Row],[$ CAPITAL]]+FINANCIACION[[#This Row],[$ INTERESES]],0)</f>
        <v>0</v>
      </c>
    </row>
    <row r="625" spans="1:10" ht="24" hidden="1" customHeight="1" x14ac:dyDescent="0.25">
      <c r="A625" s="10">
        <v>43786</v>
      </c>
      <c r="B625" s="85" t="s">
        <v>723</v>
      </c>
      <c r="C625" s="7">
        <v>-36552.420000000006</v>
      </c>
      <c r="D625" s="7"/>
      <c r="E625" s="7" t="str">
        <f>+IF(FINANCIACION[[#This Row],[$ CAPITAL]]&gt;=0,FINANCIACION[[#This Row],[$ CAPITAL]]+FINANCIACION[[#This Row],[$ INTERESES]],"")</f>
        <v/>
      </c>
      <c r="F625" s="7">
        <f>+SUMIFS(FINANCIACION[$ CAPITAL],FINANCIACION[Fecha],"&lt;="&amp;FINANCIACION[[#This Row],[Fecha]],FINANCIACION[PRESTAMO],FINANCIACION[[#This Row],[PRESTAMO]])</f>
        <v>-31248948.160000004</v>
      </c>
      <c r="G625" s="11"/>
      <c r="H625" s="11"/>
      <c r="I625" s="7" t="b">
        <f>+IF(FINANCIACION[[#This Row],[$ CAPITAL]]&gt;0,FINANCIACION[[#This Row],[$ CAPITAL]])</f>
        <v>0</v>
      </c>
      <c r="J625" s="49">
        <f>+IF(FINANCIACION[[#This Row],[$ CAPITAL]]&gt;=0,FINANCIACION[[#This Row],[$ CAPITAL]]+FINANCIACION[[#This Row],[$ INTERESES]],0)</f>
        <v>0</v>
      </c>
    </row>
    <row r="626" spans="1:10" ht="24" hidden="1" customHeight="1" x14ac:dyDescent="0.25">
      <c r="A626" s="10">
        <v>43791</v>
      </c>
      <c r="B626" s="85" t="s">
        <v>723</v>
      </c>
      <c r="C626" s="7">
        <v>-52091.23</v>
      </c>
      <c r="D626" s="7"/>
      <c r="E626" s="7" t="str">
        <f>+IF(FINANCIACION[[#This Row],[$ CAPITAL]]&gt;=0,FINANCIACION[[#This Row],[$ CAPITAL]]+FINANCIACION[[#This Row],[$ INTERESES]],"")</f>
        <v/>
      </c>
      <c r="F626" s="7">
        <f>+SUMIFS(FINANCIACION[$ CAPITAL],FINANCIACION[Fecha],"&lt;="&amp;FINANCIACION[[#This Row],[Fecha]],FINANCIACION[PRESTAMO],FINANCIACION[[#This Row],[PRESTAMO]])</f>
        <v>-31301039.390000004</v>
      </c>
      <c r="G626" s="11"/>
      <c r="H626" s="11"/>
      <c r="I626" s="7" t="b">
        <f>+IF(FINANCIACION[[#This Row],[$ CAPITAL]]&gt;0,FINANCIACION[[#This Row],[$ CAPITAL]])</f>
        <v>0</v>
      </c>
      <c r="J626" s="49">
        <f>+IF(FINANCIACION[[#This Row],[$ CAPITAL]]&gt;=0,FINANCIACION[[#This Row],[$ CAPITAL]]+FINANCIACION[[#This Row],[$ INTERESES]],0)</f>
        <v>0</v>
      </c>
    </row>
    <row r="627" spans="1:10" ht="24" hidden="1" customHeight="1" x14ac:dyDescent="0.25">
      <c r="A627" s="10">
        <v>43799</v>
      </c>
      <c r="B627" s="85" t="s">
        <v>723</v>
      </c>
      <c r="C627" s="7">
        <v>104672.72000000067</v>
      </c>
      <c r="D627" s="7"/>
      <c r="E627" s="7">
        <f>+IF(FINANCIACION[[#This Row],[$ CAPITAL]]&gt;=0,FINANCIACION[[#This Row],[$ CAPITAL]]+FINANCIACION[[#This Row],[$ INTERESES]],"")</f>
        <v>104672.72000000067</v>
      </c>
      <c r="F627" s="7">
        <f>+SUMIFS(FINANCIACION[$ CAPITAL],FINANCIACION[Fecha],"&lt;="&amp;FINANCIACION[[#This Row],[Fecha]],FINANCIACION[PRESTAMO],FINANCIACION[[#This Row],[PRESTAMO]])</f>
        <v>-31196366.670000002</v>
      </c>
      <c r="G627" s="11"/>
      <c r="H627" s="11"/>
      <c r="I627" s="7">
        <f>+IF(FINANCIACION[[#This Row],[$ CAPITAL]]&gt;0,FINANCIACION[[#This Row],[$ CAPITAL]])</f>
        <v>104672.72000000067</v>
      </c>
      <c r="J627" s="49">
        <f>+IF(FINANCIACION[[#This Row],[$ CAPITAL]]&gt;=0,FINANCIACION[[#This Row],[$ CAPITAL]]+FINANCIACION[[#This Row],[$ INTERESES]],0)</f>
        <v>104672.72000000067</v>
      </c>
    </row>
    <row r="628" spans="1:10" ht="24" hidden="1" customHeight="1" x14ac:dyDescent="0.25">
      <c r="A628" s="10">
        <v>43801</v>
      </c>
      <c r="B628" s="85" t="s">
        <v>723</v>
      </c>
      <c r="C628" s="7">
        <v>2000000</v>
      </c>
      <c r="D628" s="7"/>
      <c r="E628" s="7">
        <f>+IF(FINANCIACION[[#This Row],[$ CAPITAL]]&gt;=0,FINANCIACION[[#This Row],[$ CAPITAL]]+FINANCIACION[[#This Row],[$ INTERESES]],"")</f>
        <v>2000000</v>
      </c>
      <c r="F628" s="7">
        <f>+SUMIFS(FINANCIACION[$ CAPITAL],FINANCIACION[Fecha],"&lt;="&amp;FINANCIACION[[#This Row],[Fecha]],FINANCIACION[PRESTAMO],FINANCIACION[[#This Row],[PRESTAMO]])</f>
        <v>-26683131.670000002</v>
      </c>
      <c r="G628" s="11"/>
      <c r="H628" s="11"/>
      <c r="I628" s="7">
        <f>+IF(FINANCIACION[[#This Row],[$ CAPITAL]]&gt;0,FINANCIACION[[#This Row],[$ CAPITAL]])</f>
        <v>2000000</v>
      </c>
      <c r="J628" s="49">
        <f>+IF(FINANCIACION[[#This Row],[$ CAPITAL]]&gt;=0,FINANCIACION[[#This Row],[$ CAPITAL]]+FINANCIACION[[#This Row],[$ INTERESES]],0)</f>
        <v>2000000</v>
      </c>
    </row>
    <row r="629" spans="1:10" ht="24" hidden="1" customHeight="1" x14ac:dyDescent="0.25">
      <c r="A629" s="10">
        <v>43801</v>
      </c>
      <c r="B629" s="85" t="s">
        <v>723</v>
      </c>
      <c r="C629" s="7">
        <v>2513235</v>
      </c>
      <c r="D629" s="7"/>
      <c r="E629" s="7">
        <f>+IF(FINANCIACION[[#This Row],[$ CAPITAL]]&gt;=0,FINANCIACION[[#This Row],[$ CAPITAL]]+FINANCIACION[[#This Row],[$ INTERESES]],"")</f>
        <v>2513235</v>
      </c>
      <c r="F629" s="7">
        <f>+SUMIFS(FINANCIACION[$ CAPITAL],FINANCIACION[Fecha],"&lt;="&amp;FINANCIACION[[#This Row],[Fecha]],FINANCIACION[PRESTAMO],FINANCIACION[[#This Row],[PRESTAMO]])</f>
        <v>-26683131.670000002</v>
      </c>
      <c r="G629" s="11"/>
      <c r="H629" s="11"/>
      <c r="I629" s="7">
        <f>+IF(FINANCIACION[[#This Row],[$ CAPITAL]]&gt;0,FINANCIACION[[#This Row],[$ CAPITAL]])</f>
        <v>2513235</v>
      </c>
      <c r="J629" s="49">
        <f>+IF(FINANCIACION[[#This Row],[$ CAPITAL]]&gt;=0,FINANCIACION[[#This Row],[$ CAPITAL]]+FINANCIACION[[#This Row],[$ INTERESES]],0)</f>
        <v>2513235</v>
      </c>
    </row>
    <row r="630" spans="1:10" ht="24" hidden="1" customHeight="1" x14ac:dyDescent="0.25">
      <c r="A630" s="10">
        <v>43802</v>
      </c>
      <c r="B630" s="85" t="s">
        <v>723</v>
      </c>
      <c r="C630" s="7">
        <v>-1222427.73</v>
      </c>
      <c r="D630" s="7"/>
      <c r="E630" s="7" t="str">
        <f>+IF(FINANCIACION[[#This Row],[$ CAPITAL]]&gt;=0,FINANCIACION[[#This Row],[$ CAPITAL]]+FINANCIACION[[#This Row],[$ INTERESES]],"")</f>
        <v/>
      </c>
      <c r="F630" s="7">
        <f>+SUMIFS(FINANCIACION[$ CAPITAL],FINANCIACION[Fecha],"&lt;="&amp;FINANCIACION[[#This Row],[Fecha]],FINANCIACION[PRESTAMO],FINANCIACION[[#This Row],[PRESTAMO]])</f>
        <v>-19405559.400000002</v>
      </c>
      <c r="G630" s="11"/>
      <c r="H630" s="11"/>
      <c r="I630" s="7" t="b">
        <f>+IF(FINANCIACION[[#This Row],[$ CAPITAL]]&gt;0,FINANCIACION[[#This Row],[$ CAPITAL]])</f>
        <v>0</v>
      </c>
      <c r="J630" s="49">
        <f>+IF(FINANCIACION[[#This Row],[$ CAPITAL]]&gt;=0,FINANCIACION[[#This Row],[$ CAPITAL]]+FINANCIACION[[#This Row],[$ INTERESES]],0)</f>
        <v>0</v>
      </c>
    </row>
    <row r="631" spans="1:10" ht="24" hidden="1" customHeight="1" x14ac:dyDescent="0.25">
      <c r="A631" s="10">
        <v>43802</v>
      </c>
      <c r="B631" s="85" t="s">
        <v>723</v>
      </c>
      <c r="C631" s="7">
        <v>8500000</v>
      </c>
      <c r="D631" s="7"/>
      <c r="E631" s="7">
        <f>+IF(FINANCIACION[[#This Row],[$ CAPITAL]]&gt;=0,FINANCIACION[[#This Row],[$ CAPITAL]]+FINANCIACION[[#This Row],[$ INTERESES]],"")</f>
        <v>8500000</v>
      </c>
      <c r="F631" s="7">
        <f>+SUMIFS(FINANCIACION[$ CAPITAL],FINANCIACION[Fecha],"&lt;="&amp;FINANCIACION[[#This Row],[Fecha]],FINANCIACION[PRESTAMO],FINANCIACION[[#This Row],[PRESTAMO]])</f>
        <v>-19405559.400000002</v>
      </c>
      <c r="G631" s="11"/>
      <c r="H631" s="11"/>
      <c r="I631" s="7">
        <f>+IF(FINANCIACION[[#This Row],[$ CAPITAL]]&gt;0,FINANCIACION[[#This Row],[$ CAPITAL]])</f>
        <v>8500000</v>
      </c>
      <c r="J631" s="49">
        <f>+IF(FINANCIACION[[#This Row],[$ CAPITAL]]&gt;=0,FINANCIACION[[#This Row],[$ CAPITAL]]+FINANCIACION[[#This Row],[$ INTERESES]],0)</f>
        <v>8500000</v>
      </c>
    </row>
    <row r="632" spans="1:10" ht="24" hidden="1" customHeight="1" x14ac:dyDescent="0.25">
      <c r="A632" s="10">
        <v>43803</v>
      </c>
      <c r="B632" s="85" t="s">
        <v>723</v>
      </c>
      <c r="C632" s="7">
        <v>2500000</v>
      </c>
      <c r="D632" s="7">
        <v>411308.33000000007</v>
      </c>
      <c r="E632" s="7">
        <f>+IF(FINANCIACION[[#This Row],[$ CAPITAL]]&gt;=0,FINANCIACION[[#This Row],[$ CAPITAL]]+FINANCIACION[[#This Row],[$ INTERESES]],"")</f>
        <v>2911308.33</v>
      </c>
      <c r="F632" s="7">
        <f>+SUMIFS(FINANCIACION[$ CAPITAL],FINANCIACION[Fecha],"&lt;="&amp;FINANCIACION[[#This Row],[Fecha]],FINANCIACION[PRESTAMO],FINANCIACION[[#This Row],[PRESTAMO]])</f>
        <v>-17478237.280000001</v>
      </c>
      <c r="G632" s="11"/>
      <c r="H632" s="11"/>
      <c r="I632" s="7">
        <f>+IF(FINANCIACION[[#This Row],[$ CAPITAL]]&gt;0,FINANCIACION[[#This Row],[$ CAPITAL]])</f>
        <v>2500000</v>
      </c>
      <c r="J632" s="49">
        <f>+IF(FINANCIACION[[#This Row],[$ CAPITAL]]&gt;=0,FINANCIACION[[#This Row],[$ CAPITAL]]+FINANCIACION[[#This Row],[$ INTERESES]],0)</f>
        <v>2911308.33</v>
      </c>
    </row>
    <row r="633" spans="1:10" ht="24" hidden="1" customHeight="1" x14ac:dyDescent="0.25">
      <c r="A633" s="10">
        <v>43803</v>
      </c>
      <c r="B633" s="85" t="s">
        <v>723</v>
      </c>
      <c r="C633" s="7">
        <v>-572677.88</v>
      </c>
      <c r="D633" s="7"/>
      <c r="E633" s="7" t="str">
        <f>+IF(FINANCIACION[[#This Row],[$ CAPITAL]]&gt;=0,FINANCIACION[[#This Row],[$ CAPITAL]]+FINANCIACION[[#This Row],[$ INTERESES]],"")</f>
        <v/>
      </c>
      <c r="F633" s="7">
        <f>+SUMIFS(FINANCIACION[$ CAPITAL],FINANCIACION[Fecha],"&lt;="&amp;FINANCIACION[[#This Row],[Fecha]],FINANCIACION[PRESTAMO],FINANCIACION[[#This Row],[PRESTAMO]])</f>
        <v>-17478237.280000001</v>
      </c>
      <c r="G633" s="11"/>
      <c r="H633" s="11"/>
      <c r="I633" s="7" t="b">
        <f>+IF(FINANCIACION[[#This Row],[$ CAPITAL]]&gt;0,FINANCIACION[[#This Row],[$ CAPITAL]])</f>
        <v>0</v>
      </c>
      <c r="J633" s="49">
        <f>+IF(FINANCIACION[[#This Row],[$ CAPITAL]]&gt;=0,FINANCIACION[[#This Row],[$ CAPITAL]]+FINANCIACION[[#This Row],[$ INTERESES]],0)</f>
        <v>0</v>
      </c>
    </row>
    <row r="634" spans="1:10" ht="24" hidden="1" customHeight="1" x14ac:dyDescent="0.25">
      <c r="A634" s="10">
        <v>43804</v>
      </c>
      <c r="B634" s="85" t="s">
        <v>723</v>
      </c>
      <c r="C634" s="7">
        <v>-961006.19</v>
      </c>
      <c r="D634" s="7"/>
      <c r="E634" s="7" t="str">
        <f>+IF(FINANCIACION[[#This Row],[$ CAPITAL]]&gt;=0,FINANCIACION[[#This Row],[$ CAPITAL]]+FINANCIACION[[#This Row],[$ INTERESES]],"")</f>
        <v/>
      </c>
      <c r="F634" s="7">
        <f>+SUMIFS(FINANCIACION[$ CAPITAL],FINANCIACION[Fecha],"&lt;="&amp;FINANCIACION[[#This Row],[Fecha]],FINANCIACION[PRESTAMO],FINANCIACION[[#This Row],[PRESTAMO]])</f>
        <v>-18439243.470000003</v>
      </c>
      <c r="G634" s="11"/>
      <c r="H634" s="11"/>
      <c r="I634" s="7" t="b">
        <f>+IF(FINANCIACION[[#This Row],[$ CAPITAL]]&gt;0,FINANCIACION[[#This Row],[$ CAPITAL]])</f>
        <v>0</v>
      </c>
      <c r="J634" s="49">
        <f>+IF(FINANCIACION[[#This Row],[$ CAPITAL]]&gt;=0,FINANCIACION[[#This Row],[$ CAPITAL]]+FINANCIACION[[#This Row],[$ INTERESES]],0)</f>
        <v>0</v>
      </c>
    </row>
    <row r="635" spans="1:10" ht="24" hidden="1" customHeight="1" x14ac:dyDescent="0.25">
      <c r="A635" s="10">
        <v>43805</v>
      </c>
      <c r="B635" s="85" t="s">
        <v>723</v>
      </c>
      <c r="C635" s="7">
        <v>-87634.19</v>
      </c>
      <c r="D635" s="7"/>
      <c r="E635" s="7" t="str">
        <f>+IF(FINANCIACION[[#This Row],[$ CAPITAL]]&gt;=0,FINANCIACION[[#This Row],[$ CAPITAL]]+FINANCIACION[[#This Row],[$ INTERESES]],"")</f>
        <v/>
      </c>
      <c r="F635" s="7">
        <f>+SUMIFS(FINANCIACION[$ CAPITAL],FINANCIACION[Fecha],"&lt;="&amp;FINANCIACION[[#This Row],[Fecha]],FINANCIACION[PRESTAMO],FINANCIACION[[#This Row],[PRESTAMO]])</f>
        <v>-18526877.660000004</v>
      </c>
      <c r="G635" s="11"/>
      <c r="H635" s="11"/>
      <c r="I635" s="7" t="b">
        <f>+IF(FINANCIACION[[#This Row],[$ CAPITAL]]&gt;0,FINANCIACION[[#This Row],[$ CAPITAL]])</f>
        <v>0</v>
      </c>
      <c r="J635" s="49">
        <f>+IF(FINANCIACION[[#This Row],[$ CAPITAL]]&gt;=0,FINANCIACION[[#This Row],[$ CAPITAL]]+FINANCIACION[[#This Row],[$ INTERESES]],0)</f>
        <v>0</v>
      </c>
    </row>
    <row r="636" spans="1:10" ht="24" hidden="1" customHeight="1" x14ac:dyDescent="0.25">
      <c r="A636" s="10">
        <v>43809</v>
      </c>
      <c r="B636" s="85" t="s">
        <v>723</v>
      </c>
      <c r="C636" s="7">
        <v>-875903.97</v>
      </c>
      <c r="D636" s="7"/>
      <c r="E636" s="7" t="str">
        <f>+IF(FINANCIACION[[#This Row],[$ CAPITAL]]&gt;=0,FINANCIACION[[#This Row],[$ CAPITAL]]+FINANCIACION[[#This Row],[$ INTERESES]],"")</f>
        <v/>
      </c>
      <c r="F636" s="7">
        <f>+SUMIFS(FINANCIACION[$ CAPITAL],FINANCIACION[Fecha],"&lt;="&amp;FINANCIACION[[#This Row],[Fecha]],FINANCIACION[PRESTAMO],FINANCIACION[[#This Row],[PRESTAMO]])</f>
        <v>-24930475.09</v>
      </c>
      <c r="G636" s="11"/>
      <c r="H636" s="11"/>
      <c r="I636" s="7" t="b">
        <f>+IF(FINANCIACION[[#This Row],[$ CAPITAL]]&gt;0,FINANCIACION[[#This Row],[$ CAPITAL]])</f>
        <v>0</v>
      </c>
      <c r="J636" s="49">
        <f>+IF(FINANCIACION[[#This Row],[$ CAPITAL]]&gt;=0,FINANCIACION[[#This Row],[$ CAPITAL]]+FINANCIACION[[#This Row],[$ INTERESES]],0)</f>
        <v>0</v>
      </c>
    </row>
    <row r="637" spans="1:10" ht="24" hidden="1" customHeight="1" x14ac:dyDescent="0.25">
      <c r="A637" s="10">
        <v>43809</v>
      </c>
      <c r="B637" s="85" t="s">
        <v>723</v>
      </c>
      <c r="C637" s="7">
        <v>-322754.74</v>
      </c>
      <c r="D637" s="7"/>
      <c r="E637" s="7" t="str">
        <f>+IF(FINANCIACION[[#This Row],[$ CAPITAL]]&gt;=0,FINANCIACION[[#This Row],[$ CAPITAL]]+FINANCIACION[[#This Row],[$ INTERESES]],"")</f>
        <v/>
      </c>
      <c r="F637" s="7">
        <f>+SUMIFS(FINANCIACION[$ CAPITAL],FINANCIACION[Fecha],"&lt;="&amp;FINANCIACION[[#This Row],[Fecha]],FINANCIACION[PRESTAMO],FINANCIACION[[#This Row],[PRESTAMO]])</f>
        <v>-24930475.09</v>
      </c>
      <c r="G637" s="11"/>
      <c r="H637" s="11"/>
      <c r="I637" s="7" t="b">
        <f>+IF(FINANCIACION[[#This Row],[$ CAPITAL]]&gt;0,FINANCIACION[[#This Row],[$ CAPITAL]])</f>
        <v>0</v>
      </c>
      <c r="J637" s="49">
        <f>+IF(FINANCIACION[[#This Row],[$ CAPITAL]]&gt;=0,FINANCIACION[[#This Row],[$ CAPITAL]]+FINANCIACION[[#This Row],[$ INTERESES]],0)</f>
        <v>0</v>
      </c>
    </row>
    <row r="638" spans="1:10" ht="24" hidden="1" customHeight="1" x14ac:dyDescent="0.25">
      <c r="A638" s="10">
        <v>43809</v>
      </c>
      <c r="B638" s="85" t="s">
        <v>723</v>
      </c>
      <c r="C638" s="7">
        <v>-69021.289999999994</v>
      </c>
      <c r="D638" s="7"/>
      <c r="E638" s="7" t="str">
        <f>+IF(FINANCIACION[[#This Row],[$ CAPITAL]]&gt;=0,FINANCIACION[[#This Row],[$ CAPITAL]]+FINANCIACION[[#This Row],[$ INTERESES]],"")</f>
        <v/>
      </c>
      <c r="F638" s="7">
        <f>+SUMIFS(FINANCIACION[$ CAPITAL],FINANCIACION[Fecha],"&lt;="&amp;FINANCIACION[[#This Row],[Fecha]],FINANCIACION[PRESTAMO],FINANCIACION[[#This Row],[PRESTAMO]])</f>
        <v>-24930475.09</v>
      </c>
      <c r="G638" s="11"/>
      <c r="H638" s="11"/>
      <c r="I638" s="7" t="b">
        <f>+IF(FINANCIACION[[#This Row],[$ CAPITAL]]&gt;0,FINANCIACION[[#This Row],[$ CAPITAL]])</f>
        <v>0</v>
      </c>
      <c r="J638" s="49">
        <f>+IF(FINANCIACION[[#This Row],[$ CAPITAL]]&gt;=0,FINANCIACION[[#This Row],[$ CAPITAL]]+FINANCIACION[[#This Row],[$ INTERESES]],0)</f>
        <v>0</v>
      </c>
    </row>
    <row r="639" spans="1:10" ht="24" hidden="1" customHeight="1" x14ac:dyDescent="0.25">
      <c r="A639" s="10">
        <v>43809</v>
      </c>
      <c r="B639" s="85" t="s">
        <v>723</v>
      </c>
      <c r="C639" s="7">
        <v>-82794.81</v>
      </c>
      <c r="D639" s="7"/>
      <c r="E639" s="7" t="str">
        <f>+IF(FINANCIACION[[#This Row],[$ CAPITAL]]&gt;=0,FINANCIACION[[#This Row],[$ CAPITAL]]+FINANCIACION[[#This Row],[$ INTERESES]],"")</f>
        <v/>
      </c>
      <c r="F639" s="7">
        <f>+SUMIFS(FINANCIACION[$ CAPITAL],FINANCIACION[Fecha],"&lt;="&amp;FINANCIACION[[#This Row],[Fecha]],FINANCIACION[PRESTAMO],FINANCIACION[[#This Row],[PRESTAMO]])</f>
        <v>-24930475.09</v>
      </c>
      <c r="G639" s="11"/>
      <c r="H639" s="11"/>
      <c r="I639" s="7" t="b">
        <f>+IF(FINANCIACION[[#This Row],[$ CAPITAL]]&gt;0,FINANCIACION[[#This Row],[$ CAPITAL]])</f>
        <v>0</v>
      </c>
      <c r="J639" s="49">
        <f>+IF(FINANCIACION[[#This Row],[$ CAPITAL]]&gt;=0,FINANCIACION[[#This Row],[$ CAPITAL]]+FINANCIACION[[#This Row],[$ INTERESES]],0)</f>
        <v>0</v>
      </c>
    </row>
    <row r="640" spans="1:10" ht="24" hidden="1" customHeight="1" x14ac:dyDescent="0.25">
      <c r="A640" s="10">
        <v>43809</v>
      </c>
      <c r="B640" s="85" t="s">
        <v>723</v>
      </c>
      <c r="C640" s="7">
        <v>-57245.120000000003</v>
      </c>
      <c r="D640" s="7"/>
      <c r="E640" s="7" t="str">
        <f>+IF(FINANCIACION[[#This Row],[$ CAPITAL]]&gt;=0,FINANCIACION[[#This Row],[$ CAPITAL]]+FINANCIACION[[#This Row],[$ INTERESES]],"")</f>
        <v/>
      </c>
      <c r="F640" s="7">
        <f>+SUMIFS(FINANCIACION[$ CAPITAL],FINANCIACION[Fecha],"&lt;="&amp;FINANCIACION[[#This Row],[Fecha]],FINANCIACION[PRESTAMO],FINANCIACION[[#This Row],[PRESTAMO]])</f>
        <v>-24930475.09</v>
      </c>
      <c r="G640" s="11"/>
      <c r="H640" s="11"/>
      <c r="I640" s="7" t="b">
        <f>+IF(FINANCIACION[[#This Row],[$ CAPITAL]]&gt;0,FINANCIACION[[#This Row],[$ CAPITAL]])</f>
        <v>0</v>
      </c>
      <c r="J640" s="49">
        <f>+IF(FINANCIACION[[#This Row],[$ CAPITAL]]&gt;=0,FINANCIACION[[#This Row],[$ CAPITAL]]+FINANCIACION[[#This Row],[$ INTERESES]],0)</f>
        <v>0</v>
      </c>
    </row>
    <row r="641" spans="1:10" ht="24" hidden="1" customHeight="1" x14ac:dyDescent="0.25">
      <c r="A641" s="10">
        <v>43809</v>
      </c>
      <c r="B641" s="85" t="s">
        <v>723</v>
      </c>
      <c r="C641" s="7">
        <v>-4995877.5</v>
      </c>
      <c r="D641" s="7"/>
      <c r="E641" s="7" t="str">
        <f>+IF(FINANCIACION[[#This Row],[$ CAPITAL]]&gt;=0,FINANCIACION[[#This Row],[$ CAPITAL]]+FINANCIACION[[#This Row],[$ INTERESES]],"")</f>
        <v/>
      </c>
      <c r="F641" s="7">
        <f>+SUMIFS(FINANCIACION[$ CAPITAL],FINANCIACION[Fecha],"&lt;="&amp;FINANCIACION[[#This Row],[Fecha]],FINANCIACION[PRESTAMO],FINANCIACION[[#This Row],[PRESTAMO]])</f>
        <v>-24930475.09</v>
      </c>
      <c r="G641" s="11"/>
      <c r="H641" s="11"/>
      <c r="I641" s="7" t="b">
        <f>+IF(FINANCIACION[[#This Row],[$ CAPITAL]]&gt;0,FINANCIACION[[#This Row],[$ CAPITAL]])</f>
        <v>0</v>
      </c>
      <c r="J641" s="49">
        <f>+IF(FINANCIACION[[#This Row],[$ CAPITAL]]&gt;=0,FINANCIACION[[#This Row],[$ CAPITAL]]+FINANCIACION[[#This Row],[$ INTERESES]],0)</f>
        <v>0</v>
      </c>
    </row>
    <row r="642" spans="1:10" ht="24" hidden="1" customHeight="1" x14ac:dyDescent="0.25">
      <c r="A642" s="10">
        <v>43810</v>
      </c>
      <c r="B642" s="85" t="s">
        <v>723</v>
      </c>
      <c r="C642" s="7">
        <v>-6179068.2499999898</v>
      </c>
      <c r="D642" s="7"/>
      <c r="E642" s="7" t="str">
        <f>+IF(FINANCIACION[[#This Row],[$ CAPITAL]]&gt;=0,FINANCIACION[[#This Row],[$ CAPITAL]]+FINANCIACION[[#This Row],[$ INTERESES]],"")</f>
        <v/>
      </c>
      <c r="F642" s="7">
        <f>+SUMIFS(FINANCIACION[$ CAPITAL],FINANCIACION[Fecha],"&lt;="&amp;FINANCIACION[[#This Row],[Fecha]],FINANCIACION[PRESTAMO],FINANCIACION[[#This Row],[PRESTAMO]])</f>
        <v>-31109543.339999989</v>
      </c>
      <c r="G642" s="11"/>
      <c r="H642" s="11"/>
      <c r="I642" s="7" t="b">
        <f>+IF(FINANCIACION[[#This Row],[$ CAPITAL]]&gt;0,FINANCIACION[[#This Row],[$ CAPITAL]])</f>
        <v>0</v>
      </c>
      <c r="J642" s="49">
        <f>+IF(FINANCIACION[[#This Row],[$ CAPITAL]]&gt;=0,FINANCIACION[[#This Row],[$ CAPITAL]]+FINANCIACION[[#This Row],[$ INTERESES]],0)</f>
        <v>0</v>
      </c>
    </row>
    <row r="643" spans="1:10" ht="24" hidden="1" customHeight="1" x14ac:dyDescent="0.25">
      <c r="A643" s="10">
        <v>43811</v>
      </c>
      <c r="B643" s="85" t="s">
        <v>723</v>
      </c>
      <c r="C643" s="7">
        <v>7000000</v>
      </c>
      <c r="D643" s="7"/>
      <c r="E643" s="7">
        <f>+IF(FINANCIACION[[#This Row],[$ CAPITAL]]&gt;=0,FINANCIACION[[#This Row],[$ CAPITAL]]+FINANCIACION[[#This Row],[$ INTERESES]],"")</f>
        <v>7000000</v>
      </c>
      <c r="F643" s="7">
        <f>+SUMIFS(FINANCIACION[$ CAPITAL],FINANCIACION[Fecha],"&lt;="&amp;FINANCIACION[[#This Row],[Fecha]],FINANCIACION[PRESTAMO],FINANCIACION[[#This Row],[PRESTAMO]])</f>
        <v>-29858218.229999989</v>
      </c>
      <c r="G643" s="11"/>
      <c r="H643" s="11"/>
      <c r="I643" s="7">
        <f>+IF(FINANCIACION[[#This Row],[$ CAPITAL]]&gt;0,FINANCIACION[[#This Row],[$ CAPITAL]])</f>
        <v>7000000</v>
      </c>
      <c r="J643" s="49">
        <f>+IF(FINANCIACION[[#This Row],[$ CAPITAL]]&gt;=0,FINANCIACION[[#This Row],[$ CAPITAL]]+FINANCIACION[[#This Row],[$ INTERESES]],0)</f>
        <v>7000000</v>
      </c>
    </row>
    <row r="644" spans="1:10" ht="24" hidden="1" customHeight="1" x14ac:dyDescent="0.25">
      <c r="A644" s="10">
        <v>43811</v>
      </c>
      <c r="B644" s="85" t="s">
        <v>723</v>
      </c>
      <c r="C644" s="7">
        <v>-5748674.8899999997</v>
      </c>
      <c r="D644" s="7"/>
      <c r="E644" s="7" t="str">
        <f>+IF(FINANCIACION[[#This Row],[$ CAPITAL]]&gt;=0,FINANCIACION[[#This Row],[$ CAPITAL]]+FINANCIACION[[#This Row],[$ INTERESES]],"")</f>
        <v/>
      </c>
      <c r="F644" s="7">
        <f>+SUMIFS(FINANCIACION[$ CAPITAL],FINANCIACION[Fecha],"&lt;="&amp;FINANCIACION[[#This Row],[Fecha]],FINANCIACION[PRESTAMO],FINANCIACION[[#This Row],[PRESTAMO]])</f>
        <v>-29858218.229999989</v>
      </c>
      <c r="G644" s="11"/>
      <c r="H644" s="11"/>
      <c r="I644" s="7" t="b">
        <f>+IF(FINANCIACION[[#This Row],[$ CAPITAL]]&gt;0,FINANCIACION[[#This Row],[$ CAPITAL]])</f>
        <v>0</v>
      </c>
      <c r="J644" s="49">
        <f>+IF(FINANCIACION[[#This Row],[$ CAPITAL]]&gt;=0,FINANCIACION[[#This Row],[$ CAPITAL]]+FINANCIACION[[#This Row],[$ INTERESES]],0)</f>
        <v>0</v>
      </c>
    </row>
    <row r="645" spans="1:10" ht="24" hidden="1" customHeight="1" x14ac:dyDescent="0.25">
      <c r="A645" s="10">
        <v>43822</v>
      </c>
      <c r="B645" s="85" t="s">
        <v>723</v>
      </c>
      <c r="C645" s="7">
        <v>3000000</v>
      </c>
      <c r="D645" s="7"/>
      <c r="E645" s="7">
        <f>+IF(FINANCIACION[[#This Row],[$ CAPITAL]]&gt;=0,FINANCIACION[[#This Row],[$ CAPITAL]]+FINANCIACION[[#This Row],[$ INTERESES]],"")</f>
        <v>3000000</v>
      </c>
      <c r="F645" s="7">
        <f>+SUMIFS(FINANCIACION[$ CAPITAL],FINANCIACION[Fecha],"&lt;="&amp;FINANCIACION[[#This Row],[Fecha]],FINANCIACION[PRESTAMO],FINANCIACION[[#This Row],[PRESTAMO]])</f>
        <v>-20307307.229999989</v>
      </c>
      <c r="G645" s="11"/>
      <c r="H645" s="11"/>
      <c r="I645" s="7">
        <f>+IF(FINANCIACION[[#This Row],[$ CAPITAL]]&gt;0,FINANCIACION[[#This Row],[$ CAPITAL]])</f>
        <v>3000000</v>
      </c>
      <c r="J645" s="49">
        <f>+IF(FINANCIACION[[#This Row],[$ CAPITAL]]&gt;=0,FINANCIACION[[#This Row],[$ CAPITAL]]+FINANCIACION[[#This Row],[$ INTERESES]],0)</f>
        <v>3000000</v>
      </c>
    </row>
    <row r="646" spans="1:10" ht="24" hidden="1" customHeight="1" x14ac:dyDescent="0.25">
      <c r="A646" s="10">
        <v>43822</v>
      </c>
      <c r="B646" s="85" t="s">
        <v>723</v>
      </c>
      <c r="C646" s="7">
        <v>7000000</v>
      </c>
      <c r="D646" s="7"/>
      <c r="E646" s="7">
        <f>+IF(FINANCIACION[[#This Row],[$ CAPITAL]]&gt;=0,FINANCIACION[[#This Row],[$ CAPITAL]]+FINANCIACION[[#This Row],[$ INTERESES]],"")</f>
        <v>7000000</v>
      </c>
      <c r="F646" s="7">
        <f>+SUMIFS(FINANCIACION[$ CAPITAL],FINANCIACION[Fecha],"&lt;="&amp;FINANCIACION[[#This Row],[Fecha]],FINANCIACION[PRESTAMO],FINANCIACION[[#This Row],[PRESTAMO]])</f>
        <v>-20307307.229999989</v>
      </c>
      <c r="G646" s="11"/>
      <c r="H646" s="11"/>
      <c r="I646" s="7">
        <f>+IF(FINANCIACION[[#This Row],[$ CAPITAL]]&gt;0,FINANCIACION[[#This Row],[$ CAPITAL]])</f>
        <v>7000000</v>
      </c>
      <c r="J646" s="49">
        <f>+IF(FINANCIACION[[#This Row],[$ CAPITAL]]&gt;=0,FINANCIACION[[#This Row],[$ CAPITAL]]+FINANCIACION[[#This Row],[$ INTERESES]],0)</f>
        <v>7000000</v>
      </c>
    </row>
    <row r="647" spans="1:10" ht="24" hidden="1" customHeight="1" x14ac:dyDescent="0.25">
      <c r="A647" s="10">
        <v>43822</v>
      </c>
      <c r="B647" s="85" t="s">
        <v>723</v>
      </c>
      <c r="C647" s="7">
        <v>1307962</v>
      </c>
      <c r="D647" s="7"/>
      <c r="E647" s="7">
        <f>+IF(FINANCIACION[[#This Row],[$ CAPITAL]]&gt;=0,FINANCIACION[[#This Row],[$ CAPITAL]]+FINANCIACION[[#This Row],[$ INTERESES]],"")</f>
        <v>1307962</v>
      </c>
      <c r="F647" s="7">
        <f>+SUMIFS(FINANCIACION[$ CAPITAL],FINANCIACION[Fecha],"&lt;="&amp;FINANCIACION[[#This Row],[Fecha]],FINANCIACION[PRESTAMO],FINANCIACION[[#This Row],[PRESTAMO]])</f>
        <v>-20307307.229999989</v>
      </c>
      <c r="G647" s="11"/>
      <c r="H647" s="11"/>
      <c r="I647" s="7">
        <f>+IF(FINANCIACION[[#This Row],[$ CAPITAL]]&gt;0,FINANCIACION[[#This Row],[$ CAPITAL]])</f>
        <v>1307962</v>
      </c>
      <c r="J647" s="49">
        <f>+IF(FINANCIACION[[#This Row],[$ CAPITAL]]&gt;=0,FINANCIACION[[#This Row],[$ CAPITAL]]+FINANCIACION[[#This Row],[$ INTERESES]],0)</f>
        <v>1307962</v>
      </c>
    </row>
    <row r="648" spans="1:10" ht="24" hidden="1" customHeight="1" x14ac:dyDescent="0.25">
      <c r="A648" s="10">
        <v>43822</v>
      </c>
      <c r="B648" s="85" t="s">
        <v>723</v>
      </c>
      <c r="C648" s="7">
        <v>-1757051</v>
      </c>
      <c r="D648" s="7"/>
      <c r="E648" s="7" t="str">
        <f>+IF(FINANCIACION[[#This Row],[$ CAPITAL]]&gt;=0,FINANCIACION[[#This Row],[$ CAPITAL]]+FINANCIACION[[#This Row],[$ INTERESES]],"")</f>
        <v/>
      </c>
      <c r="F648" s="7">
        <f>+SUMIFS(FINANCIACION[$ CAPITAL],FINANCIACION[Fecha],"&lt;="&amp;FINANCIACION[[#This Row],[Fecha]],FINANCIACION[PRESTAMO],FINANCIACION[[#This Row],[PRESTAMO]])</f>
        <v>-20307307.229999989</v>
      </c>
      <c r="G648" s="11"/>
      <c r="H648" s="11"/>
      <c r="I648" s="7" t="b">
        <f>+IF(FINANCIACION[[#This Row],[$ CAPITAL]]&gt;0,FINANCIACION[[#This Row],[$ CAPITAL]])</f>
        <v>0</v>
      </c>
      <c r="J648" s="49">
        <f>+IF(FINANCIACION[[#This Row],[$ CAPITAL]]&gt;=0,FINANCIACION[[#This Row],[$ CAPITAL]]+FINANCIACION[[#This Row],[$ INTERESES]],0)</f>
        <v>0</v>
      </c>
    </row>
    <row r="649" spans="1:10" ht="24" hidden="1" customHeight="1" x14ac:dyDescent="0.25">
      <c r="A649" s="10">
        <v>43825</v>
      </c>
      <c r="B649" s="85" t="s">
        <v>723</v>
      </c>
      <c r="C649" s="7">
        <v>1393603</v>
      </c>
      <c r="D649" s="7"/>
      <c r="E649" s="7">
        <f>+IF(FINANCIACION[[#This Row],[$ CAPITAL]]&gt;=0,FINANCIACION[[#This Row],[$ CAPITAL]]+FINANCIACION[[#This Row],[$ INTERESES]],"")</f>
        <v>1393603</v>
      </c>
      <c r="F649" s="7">
        <f>+SUMIFS(FINANCIACION[$ CAPITAL],FINANCIACION[Fecha],"&lt;="&amp;FINANCIACION[[#This Row],[Fecha]],FINANCIACION[PRESTAMO],FINANCIACION[[#This Row],[PRESTAMO]])</f>
        <v>-10323014.229999989</v>
      </c>
      <c r="G649" s="11"/>
      <c r="H649" s="11"/>
      <c r="I649" s="7">
        <f>+IF(FINANCIACION[[#This Row],[$ CAPITAL]]&gt;0,FINANCIACION[[#This Row],[$ CAPITAL]])</f>
        <v>1393603</v>
      </c>
      <c r="J649" s="49">
        <f>+IF(FINANCIACION[[#This Row],[$ CAPITAL]]&gt;=0,FINANCIACION[[#This Row],[$ CAPITAL]]+FINANCIACION[[#This Row],[$ INTERESES]],0)</f>
        <v>1393603</v>
      </c>
    </row>
    <row r="650" spans="1:10" ht="24" hidden="1" customHeight="1" x14ac:dyDescent="0.25">
      <c r="A650" s="10">
        <v>43825</v>
      </c>
      <c r="B650" s="85" t="s">
        <v>723</v>
      </c>
      <c r="C650" s="7">
        <v>8590690</v>
      </c>
      <c r="D650" s="7"/>
      <c r="E650" s="7">
        <f>+IF(FINANCIACION[[#This Row],[$ CAPITAL]]&gt;=0,FINANCIACION[[#This Row],[$ CAPITAL]]+FINANCIACION[[#This Row],[$ INTERESES]],"")</f>
        <v>8590690</v>
      </c>
      <c r="F650" s="7">
        <f>+SUMIFS(FINANCIACION[$ CAPITAL],FINANCIACION[Fecha],"&lt;="&amp;FINANCIACION[[#This Row],[Fecha]],FINANCIACION[PRESTAMO],FINANCIACION[[#This Row],[PRESTAMO]])</f>
        <v>-10323014.229999989</v>
      </c>
      <c r="G650" s="11"/>
      <c r="H650" s="11"/>
      <c r="I650" s="7">
        <f>+IF(FINANCIACION[[#This Row],[$ CAPITAL]]&gt;0,FINANCIACION[[#This Row],[$ CAPITAL]])</f>
        <v>8590690</v>
      </c>
      <c r="J650" s="49">
        <f>+IF(FINANCIACION[[#This Row],[$ CAPITAL]]&gt;=0,FINANCIACION[[#This Row],[$ CAPITAL]]+FINANCIACION[[#This Row],[$ INTERESES]],0)</f>
        <v>8590690</v>
      </c>
    </row>
    <row r="651" spans="1:10" ht="24" hidden="1" customHeight="1" x14ac:dyDescent="0.25">
      <c r="A651" s="10">
        <v>43830</v>
      </c>
      <c r="B651" s="85" t="s">
        <v>723</v>
      </c>
      <c r="C651" s="7">
        <v>3100264.0500000007</v>
      </c>
      <c r="D651" s="7"/>
      <c r="E651" s="7">
        <f>+IF(FINANCIACION[[#This Row],[$ CAPITAL]]&gt;=0,FINANCIACION[[#This Row],[$ CAPITAL]]+FINANCIACION[[#This Row],[$ INTERESES]],"")</f>
        <v>3100264.0500000007</v>
      </c>
      <c r="F651" s="7">
        <f>+SUMIFS(FINANCIACION[$ CAPITAL],FINANCIACION[Fecha],"&lt;="&amp;FINANCIACION[[#This Row],[Fecha]],FINANCIACION[PRESTAMO],FINANCIACION[[#This Row],[PRESTAMO]])</f>
        <v>-11040476.949999999</v>
      </c>
      <c r="G651" s="11"/>
      <c r="H651" s="11"/>
      <c r="I651" s="7">
        <f>+IF(FINANCIACION[[#This Row],[$ CAPITAL]]&gt;0,FINANCIACION[[#This Row],[$ CAPITAL]])</f>
        <v>3100264.0500000007</v>
      </c>
      <c r="J651" s="49">
        <f>+IF(FINANCIACION[[#This Row],[$ CAPITAL]]&gt;=0,FINANCIACION[[#This Row],[$ CAPITAL]]+FINANCIACION[[#This Row],[$ INTERESES]],0)</f>
        <v>3100264.0500000007</v>
      </c>
    </row>
    <row r="652" spans="1:10" ht="24" hidden="1" customHeight="1" x14ac:dyDescent="0.25">
      <c r="A652" s="10">
        <v>43830</v>
      </c>
      <c r="B652" s="85" t="s">
        <v>723</v>
      </c>
      <c r="C652" s="7">
        <v>-534158</v>
      </c>
      <c r="D652" s="7"/>
      <c r="E652" s="7" t="str">
        <f>+IF(FINANCIACION[[#This Row],[$ CAPITAL]]&gt;=0,FINANCIACION[[#This Row],[$ CAPITAL]]+FINANCIACION[[#This Row],[$ INTERESES]],"")</f>
        <v/>
      </c>
      <c r="F652" s="7">
        <f>+SUMIFS(FINANCIACION[$ CAPITAL],FINANCIACION[Fecha],"&lt;="&amp;FINANCIACION[[#This Row],[Fecha]],FINANCIACION[PRESTAMO],FINANCIACION[[#This Row],[PRESTAMO]])</f>
        <v>-11040476.949999999</v>
      </c>
      <c r="G652" s="11"/>
      <c r="H652" s="11"/>
      <c r="I652" s="7" t="b">
        <f>+IF(FINANCIACION[[#This Row],[$ CAPITAL]]&gt;0,FINANCIACION[[#This Row],[$ CAPITAL]])</f>
        <v>0</v>
      </c>
      <c r="J652" s="49">
        <f>+IF(FINANCIACION[[#This Row],[$ CAPITAL]]&gt;=0,FINANCIACION[[#This Row],[$ CAPITAL]]+FINANCIACION[[#This Row],[$ INTERESES]],0)</f>
        <v>0</v>
      </c>
    </row>
    <row r="653" spans="1:10" ht="24" hidden="1" customHeight="1" x14ac:dyDescent="0.25">
      <c r="A653" s="10">
        <v>43830</v>
      </c>
      <c r="B653" s="85" t="s">
        <v>723</v>
      </c>
      <c r="C653" s="7">
        <v>-3253321.7700000107</v>
      </c>
      <c r="D653" s="7"/>
      <c r="E653" s="7" t="str">
        <f>+IF(FINANCIACION[[#This Row],[$ CAPITAL]]&gt;=0,FINANCIACION[[#This Row],[$ CAPITAL]]+FINANCIACION[[#This Row],[$ INTERESES]],"")</f>
        <v/>
      </c>
      <c r="F653" s="7">
        <f>+SUMIFS(FINANCIACION[$ CAPITAL],FINANCIACION[Fecha],"&lt;="&amp;FINANCIACION[[#This Row],[Fecha]],FINANCIACION[PRESTAMO],FINANCIACION[[#This Row],[PRESTAMO]])</f>
        <v>-11040476.949999999</v>
      </c>
      <c r="G653" s="11"/>
      <c r="H653" s="11"/>
      <c r="I653" s="7" t="b">
        <f>+IF(FINANCIACION[[#This Row],[$ CAPITAL]]&gt;0,FINANCIACION[[#This Row],[$ CAPITAL]])</f>
        <v>0</v>
      </c>
      <c r="J653" s="49">
        <f>+IF(FINANCIACION[[#This Row],[$ CAPITAL]]&gt;=0,FINANCIACION[[#This Row],[$ CAPITAL]]+FINANCIACION[[#This Row],[$ INTERESES]],0)</f>
        <v>0</v>
      </c>
    </row>
    <row r="654" spans="1:10" ht="24" hidden="1" customHeight="1" x14ac:dyDescent="0.25">
      <c r="A654" s="10">
        <v>43830</v>
      </c>
      <c r="B654" s="85" t="s">
        <v>723</v>
      </c>
      <c r="C654" s="7">
        <v>-30247</v>
      </c>
      <c r="D654" s="7"/>
      <c r="E654" s="7" t="str">
        <f>+IF(FINANCIACION[[#This Row],[$ CAPITAL]]&gt;=0,FINANCIACION[[#This Row],[$ CAPITAL]]+FINANCIACION[[#This Row],[$ INTERESES]],"")</f>
        <v/>
      </c>
      <c r="F654" s="7">
        <f>+SUMIFS(FINANCIACION[$ CAPITAL],FINANCIACION[Fecha],"&lt;="&amp;FINANCIACION[[#This Row],[Fecha]],FINANCIACION[PRESTAMO],FINANCIACION[[#This Row],[PRESTAMO]])</f>
        <v>-11040476.949999999</v>
      </c>
      <c r="G654" s="11"/>
      <c r="H654" s="11"/>
      <c r="I654" s="7" t="b">
        <f>+IF(FINANCIACION[[#This Row],[$ CAPITAL]]&gt;0,FINANCIACION[[#This Row],[$ CAPITAL]])</f>
        <v>0</v>
      </c>
      <c r="J654" s="49">
        <f>+IF(FINANCIACION[[#This Row],[$ CAPITAL]]&gt;=0,FINANCIACION[[#This Row],[$ CAPITAL]]+FINANCIACION[[#This Row],[$ INTERESES]],0)</f>
        <v>0</v>
      </c>
    </row>
    <row r="655" spans="1:10" ht="24" hidden="1" customHeight="1" x14ac:dyDescent="0.25">
      <c r="A655" s="10">
        <v>43837</v>
      </c>
      <c r="B655" s="85" t="s">
        <v>723</v>
      </c>
      <c r="C655" s="7">
        <v>2500000</v>
      </c>
      <c r="D655" s="7">
        <v>381929.16999999993</v>
      </c>
      <c r="E655" s="7">
        <f>+IF(FINANCIACION[[#This Row],[$ CAPITAL]]&gt;=0,FINANCIACION[[#This Row],[$ CAPITAL]]+FINANCIACION[[#This Row],[$ INTERESES]],"")</f>
        <v>2881929.17</v>
      </c>
      <c r="F655" s="7">
        <f>+SUMIFS(FINANCIACION[$ CAPITAL],FINANCIACION[Fecha],"&lt;="&amp;FINANCIACION[[#This Row],[Fecha]],FINANCIACION[PRESTAMO],FINANCIACION[[#This Row],[PRESTAMO]])</f>
        <v>-8619483.6999999993</v>
      </c>
      <c r="G655" s="11"/>
      <c r="H655" s="11"/>
      <c r="I655" s="7">
        <f>+IF(FINANCIACION[[#This Row],[$ CAPITAL]]&gt;0,FINANCIACION[[#This Row],[$ CAPITAL]])</f>
        <v>2500000</v>
      </c>
      <c r="J655" s="49">
        <f>+IF(FINANCIACION[[#This Row],[$ CAPITAL]]&gt;=0,FINANCIACION[[#This Row],[$ CAPITAL]]+FINANCIACION[[#This Row],[$ INTERESES]],0)</f>
        <v>2881929.17</v>
      </c>
    </row>
    <row r="656" spans="1:10" ht="24" hidden="1" customHeight="1" x14ac:dyDescent="0.25">
      <c r="A656" s="10">
        <v>43837</v>
      </c>
      <c r="B656" s="85" t="s">
        <v>723</v>
      </c>
      <c r="C656" s="7">
        <v>-79006.75</v>
      </c>
      <c r="D656" s="7"/>
      <c r="E656" s="7" t="str">
        <f>+IF(FINANCIACION[[#This Row],[$ CAPITAL]]&gt;=0,FINANCIACION[[#This Row],[$ CAPITAL]]+FINANCIACION[[#This Row],[$ INTERESES]],"")</f>
        <v/>
      </c>
      <c r="F656" s="7">
        <f>+SUMIFS(FINANCIACION[$ CAPITAL],FINANCIACION[Fecha],"&lt;="&amp;FINANCIACION[[#This Row],[Fecha]],FINANCIACION[PRESTAMO],FINANCIACION[[#This Row],[PRESTAMO]])</f>
        <v>-8619483.6999999993</v>
      </c>
      <c r="G656" s="11"/>
      <c r="H656" s="11"/>
      <c r="I656" s="7" t="b">
        <f>+IF(FINANCIACION[[#This Row],[$ CAPITAL]]&gt;0,FINANCIACION[[#This Row],[$ CAPITAL]])</f>
        <v>0</v>
      </c>
      <c r="J656" s="49">
        <f>+IF(FINANCIACION[[#This Row],[$ CAPITAL]]&gt;=0,FINANCIACION[[#This Row],[$ CAPITAL]]+FINANCIACION[[#This Row],[$ INTERESES]],0)</f>
        <v>0</v>
      </c>
    </row>
    <row r="657" spans="1:10" ht="24" hidden="1" customHeight="1" x14ac:dyDescent="0.25">
      <c r="A657" s="10">
        <v>43840</v>
      </c>
      <c r="B657" s="85" t="s">
        <v>723</v>
      </c>
      <c r="C657" s="7">
        <v>6179068.2499999898</v>
      </c>
      <c r="D657" s="7"/>
      <c r="E657" s="7">
        <f>+IF(FINANCIACION[[#This Row],[$ CAPITAL]]&gt;=0,FINANCIACION[[#This Row],[$ CAPITAL]]+FINANCIACION[[#This Row],[$ INTERESES]],"")</f>
        <v>6179068.2499999898</v>
      </c>
      <c r="F657" s="7">
        <f>+SUMIFS(FINANCIACION[$ CAPITAL],FINANCIACION[Fecha],"&lt;="&amp;FINANCIACION[[#This Row],[Fecha]],FINANCIACION[PRESTAMO],FINANCIACION[[#This Row],[PRESTAMO]])</f>
        <v>-2440415.4500000095</v>
      </c>
      <c r="G657" s="11"/>
      <c r="H657" s="11"/>
      <c r="I657" s="7">
        <f>+IF(FINANCIACION[[#This Row],[$ CAPITAL]]&gt;0,FINANCIACION[[#This Row],[$ CAPITAL]])</f>
        <v>6179068.2499999898</v>
      </c>
      <c r="J657" s="49">
        <f>+IF(FINANCIACION[[#This Row],[$ CAPITAL]]&gt;=0,FINANCIACION[[#This Row],[$ CAPITAL]]+FINANCIACION[[#This Row],[$ INTERESES]],0)</f>
        <v>6179068.2499999898</v>
      </c>
    </row>
    <row r="658" spans="1:10" ht="24" hidden="1" customHeight="1" x14ac:dyDescent="0.25">
      <c r="A658" s="10">
        <v>43845</v>
      </c>
      <c r="B658" s="85" t="s">
        <v>723</v>
      </c>
      <c r="C658" s="7">
        <v>-4662.7700000000004</v>
      </c>
      <c r="D658" s="7"/>
      <c r="E658" s="7" t="str">
        <f>+IF(FINANCIACION[[#This Row],[$ CAPITAL]]&gt;=0,FINANCIACION[[#This Row],[$ CAPITAL]]+FINANCIACION[[#This Row],[$ INTERESES]],"")</f>
        <v/>
      </c>
      <c r="F658" s="7">
        <f>+SUMIFS(FINANCIACION[$ CAPITAL],FINANCIACION[Fecha],"&lt;="&amp;FINANCIACION[[#This Row],[Fecha]],FINANCIACION[PRESTAMO],FINANCIACION[[#This Row],[PRESTAMO]])</f>
        <v>-2445078.2200000095</v>
      </c>
      <c r="G658" s="11"/>
      <c r="H658" s="11"/>
      <c r="I658" s="7" t="b">
        <f>+IF(FINANCIACION[[#This Row],[$ CAPITAL]]&gt;0,FINANCIACION[[#This Row],[$ CAPITAL]])</f>
        <v>0</v>
      </c>
      <c r="J658" s="49">
        <f>+IF(FINANCIACION[[#This Row],[$ CAPITAL]]&gt;=0,FINANCIACION[[#This Row],[$ CAPITAL]]+FINANCIACION[[#This Row],[$ INTERESES]],0)</f>
        <v>0</v>
      </c>
    </row>
    <row r="659" spans="1:10" ht="24" hidden="1" customHeight="1" x14ac:dyDescent="0.25">
      <c r="A659" s="10">
        <v>43846</v>
      </c>
      <c r="B659" s="85" t="s">
        <v>723</v>
      </c>
      <c r="C659" s="7">
        <v>-85886</v>
      </c>
      <c r="D659" s="7"/>
      <c r="E659" s="7" t="str">
        <f>+IF(FINANCIACION[[#This Row],[$ CAPITAL]]&gt;=0,FINANCIACION[[#This Row],[$ CAPITAL]]+FINANCIACION[[#This Row],[$ INTERESES]],"")</f>
        <v/>
      </c>
      <c r="F659" s="7">
        <f>+SUMIFS(FINANCIACION[$ CAPITAL],FINANCIACION[Fecha],"&lt;="&amp;FINANCIACION[[#This Row],[Fecha]],FINANCIACION[PRESTAMO],FINANCIACION[[#This Row],[PRESTAMO]])</f>
        <v>-2530964.2200000095</v>
      </c>
      <c r="G659" s="11"/>
      <c r="H659" s="11"/>
      <c r="I659" s="7" t="b">
        <f>+IF(FINANCIACION[[#This Row],[$ CAPITAL]]&gt;0,FINANCIACION[[#This Row],[$ CAPITAL]])</f>
        <v>0</v>
      </c>
      <c r="J659" s="49">
        <f>+IF(FINANCIACION[[#This Row],[$ CAPITAL]]&gt;=0,FINANCIACION[[#This Row],[$ CAPITAL]]+FINANCIACION[[#This Row],[$ INTERESES]],0)</f>
        <v>0</v>
      </c>
    </row>
    <row r="660" spans="1:10" ht="24" hidden="1" customHeight="1" x14ac:dyDescent="0.25">
      <c r="A660" s="10">
        <v>43847</v>
      </c>
      <c r="B660" s="85" t="s">
        <v>723</v>
      </c>
      <c r="C660" s="7">
        <v>-294360</v>
      </c>
      <c r="D660" s="7"/>
      <c r="E660" s="7" t="str">
        <f>+IF(FINANCIACION[[#This Row],[$ CAPITAL]]&gt;=0,FINANCIACION[[#This Row],[$ CAPITAL]]+FINANCIACION[[#This Row],[$ INTERESES]],"")</f>
        <v/>
      </c>
      <c r="F660" s="7">
        <f>+SUMIFS(FINANCIACION[$ CAPITAL],FINANCIACION[Fecha],"&lt;="&amp;FINANCIACION[[#This Row],[Fecha]],FINANCIACION[PRESTAMO],FINANCIACION[[#This Row],[PRESTAMO]])</f>
        <v>-2825324.2200000095</v>
      </c>
      <c r="G660" s="11"/>
      <c r="H660" s="11"/>
      <c r="I660" s="7" t="b">
        <f>+IF(FINANCIACION[[#This Row],[$ CAPITAL]]&gt;0,FINANCIACION[[#This Row],[$ CAPITAL]])</f>
        <v>0</v>
      </c>
      <c r="J660" s="49">
        <f>+IF(FINANCIACION[[#This Row],[$ CAPITAL]]&gt;=0,FINANCIACION[[#This Row],[$ CAPITAL]]+FINANCIACION[[#This Row],[$ INTERESES]],0)</f>
        <v>0</v>
      </c>
    </row>
    <row r="661" spans="1:10" ht="24" hidden="1" customHeight="1" x14ac:dyDescent="0.25">
      <c r="A661" s="10">
        <v>43848</v>
      </c>
      <c r="B661" s="85" t="s">
        <v>723</v>
      </c>
      <c r="C661" s="7">
        <v>-38733</v>
      </c>
      <c r="D661" s="7"/>
      <c r="E661" s="7" t="str">
        <f>+IF(FINANCIACION[[#This Row],[$ CAPITAL]]&gt;=0,FINANCIACION[[#This Row],[$ CAPITAL]]+FINANCIACION[[#This Row],[$ INTERESES]],"")</f>
        <v/>
      </c>
      <c r="F661" s="7">
        <f>+SUMIFS(FINANCIACION[$ CAPITAL],FINANCIACION[Fecha],"&lt;="&amp;FINANCIACION[[#This Row],[Fecha]],FINANCIACION[PRESTAMO],FINANCIACION[[#This Row],[PRESTAMO]])</f>
        <v>-2864057.2200000095</v>
      </c>
      <c r="G661" s="11"/>
      <c r="H661" s="11"/>
      <c r="I661" s="7" t="b">
        <f>+IF(FINANCIACION[[#This Row],[$ CAPITAL]]&gt;0,FINANCIACION[[#This Row],[$ CAPITAL]])</f>
        <v>0</v>
      </c>
      <c r="J661" s="49">
        <f>+IF(FINANCIACION[[#This Row],[$ CAPITAL]]&gt;=0,FINANCIACION[[#This Row],[$ CAPITAL]]+FINANCIACION[[#This Row],[$ INTERESES]],0)</f>
        <v>0</v>
      </c>
    </row>
    <row r="662" spans="1:10" ht="24" hidden="1" customHeight="1" x14ac:dyDescent="0.25">
      <c r="A662" s="10">
        <v>43852</v>
      </c>
      <c r="B662" s="85" t="s">
        <v>723</v>
      </c>
      <c r="C662" s="7">
        <v>-435739</v>
      </c>
      <c r="D662" s="7"/>
      <c r="E662" s="7" t="str">
        <f>+IF(FINANCIACION[[#This Row],[$ CAPITAL]]&gt;=0,FINANCIACION[[#This Row],[$ CAPITAL]]+FINANCIACION[[#This Row],[$ INTERESES]],"")</f>
        <v/>
      </c>
      <c r="F662" s="7">
        <f>+SUMIFS(FINANCIACION[$ CAPITAL],FINANCIACION[Fecha],"&lt;="&amp;FINANCIACION[[#This Row],[Fecha]],FINANCIACION[PRESTAMO],FINANCIACION[[#This Row],[PRESTAMO]])</f>
        <v>-3299796.2200000095</v>
      </c>
      <c r="G662" s="11"/>
      <c r="H662" s="11"/>
      <c r="I662" s="7" t="b">
        <f>+IF(FINANCIACION[[#This Row],[$ CAPITAL]]&gt;0,FINANCIACION[[#This Row],[$ CAPITAL]])</f>
        <v>0</v>
      </c>
      <c r="J662" s="49">
        <f>+IF(FINANCIACION[[#This Row],[$ CAPITAL]]&gt;=0,FINANCIACION[[#This Row],[$ CAPITAL]]+FINANCIACION[[#This Row],[$ INTERESES]],0)</f>
        <v>0</v>
      </c>
    </row>
    <row r="663" spans="1:10" ht="24" hidden="1" customHeight="1" x14ac:dyDescent="0.25">
      <c r="A663" s="10">
        <v>43853</v>
      </c>
      <c r="B663" s="85" t="s">
        <v>723</v>
      </c>
      <c r="C663" s="7">
        <v>1788226.67</v>
      </c>
      <c r="D663" s="7"/>
      <c r="E663" s="7">
        <f>+IF(FINANCIACION[[#This Row],[$ CAPITAL]]&gt;=0,FINANCIACION[[#This Row],[$ CAPITAL]]+FINANCIACION[[#This Row],[$ INTERESES]],"")</f>
        <v>1788226.67</v>
      </c>
      <c r="F663" s="7">
        <f>+SUMIFS(FINANCIACION[$ CAPITAL],FINANCIACION[Fecha],"&lt;="&amp;FINANCIACION[[#This Row],[Fecha]],FINANCIACION[PRESTAMO],FINANCIACION[[#This Row],[PRESTAMO]])</f>
        <v>-1511569.5500000096</v>
      </c>
      <c r="G663" s="11"/>
      <c r="H663" s="11"/>
      <c r="I663" s="7">
        <f>+IF(FINANCIACION[[#This Row],[$ CAPITAL]]&gt;0,FINANCIACION[[#This Row],[$ CAPITAL]])</f>
        <v>1788226.67</v>
      </c>
      <c r="J663" s="49">
        <f>+IF(FINANCIACION[[#This Row],[$ CAPITAL]]&gt;=0,FINANCIACION[[#This Row],[$ CAPITAL]]+FINANCIACION[[#This Row],[$ INTERESES]],0)</f>
        <v>1788226.67</v>
      </c>
    </row>
    <row r="664" spans="1:10" ht="24" hidden="1" customHeight="1" x14ac:dyDescent="0.25">
      <c r="A664" s="10">
        <v>43854</v>
      </c>
      <c r="B664" s="85" t="s">
        <v>723</v>
      </c>
      <c r="C664" s="7">
        <v>226778</v>
      </c>
      <c r="D664" s="7"/>
      <c r="E664" s="7">
        <f>+IF(FINANCIACION[[#This Row],[$ CAPITAL]]&gt;=0,FINANCIACION[[#This Row],[$ CAPITAL]]+FINANCIACION[[#This Row],[$ INTERESES]],"")</f>
        <v>226778</v>
      </c>
      <c r="F664" s="7">
        <f>+SUMIFS(FINANCIACION[$ CAPITAL],FINANCIACION[Fecha],"&lt;="&amp;FINANCIACION[[#This Row],[Fecha]],FINANCIACION[PRESTAMO],FINANCIACION[[#This Row],[PRESTAMO]])</f>
        <v>-1063956.1400000094</v>
      </c>
      <c r="G664" s="11"/>
      <c r="H664" s="11"/>
      <c r="I664" s="7">
        <f>+IF(FINANCIACION[[#This Row],[$ CAPITAL]]&gt;0,FINANCIACION[[#This Row],[$ CAPITAL]])</f>
        <v>226778</v>
      </c>
      <c r="J664" s="49">
        <f>+IF(FINANCIACION[[#This Row],[$ CAPITAL]]&gt;=0,FINANCIACION[[#This Row],[$ CAPITAL]]+FINANCIACION[[#This Row],[$ INTERESES]],0)</f>
        <v>226778</v>
      </c>
    </row>
    <row r="665" spans="1:10" ht="24" hidden="1" customHeight="1" x14ac:dyDescent="0.25">
      <c r="A665" s="10">
        <v>43854</v>
      </c>
      <c r="B665" s="85" t="s">
        <v>723</v>
      </c>
      <c r="C665" s="7">
        <v>-617423.48</v>
      </c>
      <c r="D665" s="7"/>
      <c r="E665" s="7" t="str">
        <f>+IF(FINANCIACION[[#This Row],[$ CAPITAL]]&gt;=0,FINANCIACION[[#This Row],[$ CAPITAL]]+FINANCIACION[[#This Row],[$ INTERESES]],"")</f>
        <v/>
      </c>
      <c r="F665" s="7">
        <f>+SUMIFS(FINANCIACION[$ CAPITAL],FINANCIACION[Fecha],"&lt;="&amp;FINANCIACION[[#This Row],[Fecha]],FINANCIACION[PRESTAMO],FINANCIACION[[#This Row],[PRESTAMO]])</f>
        <v>-1063956.1400000094</v>
      </c>
      <c r="G665" s="11"/>
      <c r="H665" s="11"/>
      <c r="I665" s="7" t="b">
        <f>+IF(FINANCIACION[[#This Row],[$ CAPITAL]]&gt;0,FINANCIACION[[#This Row],[$ CAPITAL]])</f>
        <v>0</v>
      </c>
      <c r="J665" s="49">
        <f>+IF(FINANCIACION[[#This Row],[$ CAPITAL]]&gt;=0,FINANCIACION[[#This Row],[$ CAPITAL]]+FINANCIACION[[#This Row],[$ INTERESES]],0)</f>
        <v>0</v>
      </c>
    </row>
    <row r="666" spans="1:10" ht="24" hidden="1" customHeight="1" x14ac:dyDescent="0.25">
      <c r="A666" s="10">
        <v>43854</v>
      </c>
      <c r="B666" s="85" t="s">
        <v>723</v>
      </c>
      <c r="C666" s="7">
        <v>838258.89</v>
      </c>
      <c r="D666" s="7"/>
      <c r="E666" s="7">
        <f>+IF(FINANCIACION[[#This Row],[$ CAPITAL]]&gt;=0,FINANCIACION[[#This Row],[$ CAPITAL]]+FINANCIACION[[#This Row],[$ INTERESES]],"")</f>
        <v>838258.89</v>
      </c>
      <c r="F666" s="7">
        <f>+SUMIFS(FINANCIACION[$ CAPITAL],FINANCIACION[Fecha],"&lt;="&amp;FINANCIACION[[#This Row],[Fecha]],FINANCIACION[PRESTAMO],FINANCIACION[[#This Row],[PRESTAMO]])</f>
        <v>-1063956.1400000094</v>
      </c>
      <c r="G666" s="11"/>
      <c r="H666" s="11"/>
      <c r="I666" s="7">
        <f>+IF(FINANCIACION[[#This Row],[$ CAPITAL]]&gt;0,FINANCIACION[[#This Row],[$ CAPITAL]])</f>
        <v>838258.89</v>
      </c>
      <c r="J666" s="49">
        <f>+IF(FINANCIACION[[#This Row],[$ CAPITAL]]&gt;=0,FINANCIACION[[#This Row],[$ CAPITAL]]+FINANCIACION[[#This Row],[$ INTERESES]],0)</f>
        <v>838258.89</v>
      </c>
    </row>
    <row r="667" spans="1:10" ht="24" hidden="1" customHeight="1" x14ac:dyDescent="0.25">
      <c r="A667" s="10">
        <v>43855</v>
      </c>
      <c r="B667" s="85" t="s">
        <v>723</v>
      </c>
      <c r="C667" s="7">
        <v>-205807.83</v>
      </c>
      <c r="D667" s="7"/>
      <c r="E667" s="7" t="str">
        <f>+IF(FINANCIACION[[#This Row],[$ CAPITAL]]&gt;=0,FINANCIACION[[#This Row],[$ CAPITAL]]+FINANCIACION[[#This Row],[$ INTERESES]],"")</f>
        <v/>
      </c>
      <c r="F667" s="7">
        <f>+SUMIFS(FINANCIACION[$ CAPITAL],FINANCIACION[Fecha],"&lt;="&amp;FINANCIACION[[#This Row],[Fecha]],FINANCIACION[PRESTAMO],FINANCIACION[[#This Row],[PRESTAMO]])</f>
        <v>-1269763.9700000095</v>
      </c>
      <c r="G667" s="11"/>
      <c r="H667" s="11"/>
      <c r="I667" s="7" t="b">
        <f>+IF(FINANCIACION[[#This Row],[$ CAPITAL]]&gt;0,FINANCIACION[[#This Row],[$ CAPITAL]])</f>
        <v>0</v>
      </c>
      <c r="J667" s="49">
        <f>+IF(FINANCIACION[[#This Row],[$ CAPITAL]]&gt;=0,FINANCIACION[[#This Row],[$ CAPITAL]]+FINANCIACION[[#This Row],[$ INTERESES]],0)</f>
        <v>0</v>
      </c>
    </row>
    <row r="668" spans="1:10" ht="24" hidden="1" customHeight="1" x14ac:dyDescent="0.25">
      <c r="A668" s="10">
        <v>43857</v>
      </c>
      <c r="B668" s="85" t="s">
        <v>723</v>
      </c>
      <c r="C668" s="7">
        <v>-6278.5417429600011</v>
      </c>
      <c r="D668" s="7"/>
      <c r="E668" s="7" t="str">
        <f>+IF(FINANCIACION[[#This Row],[$ CAPITAL]]&gt;=0,FINANCIACION[[#This Row],[$ CAPITAL]]+FINANCIACION[[#This Row],[$ INTERESES]],"")</f>
        <v/>
      </c>
      <c r="F668" s="7">
        <f>+SUMIFS(FINANCIACION[$ CAPITAL],FINANCIACION[Fecha],"&lt;="&amp;FINANCIACION[[#This Row],[Fecha]],FINANCIACION[PRESTAMO],FINANCIACION[[#This Row],[PRESTAMO]])</f>
        <v>5723957.48825703</v>
      </c>
      <c r="G668" s="11"/>
      <c r="H668" s="11"/>
      <c r="I668" s="7" t="b">
        <f>+IF(FINANCIACION[[#This Row],[$ CAPITAL]]&gt;0,FINANCIACION[[#This Row],[$ CAPITAL]])</f>
        <v>0</v>
      </c>
      <c r="J668" s="49">
        <f>+IF(FINANCIACION[[#This Row],[$ CAPITAL]]&gt;=0,FINANCIACION[[#This Row],[$ CAPITAL]]+FINANCIACION[[#This Row],[$ INTERESES]],0)</f>
        <v>0</v>
      </c>
    </row>
    <row r="669" spans="1:10" ht="24" hidden="1" customHeight="1" x14ac:dyDescent="0.25">
      <c r="A669" s="10">
        <v>43857</v>
      </c>
      <c r="B669" s="85" t="s">
        <v>723</v>
      </c>
      <c r="C669" s="7">
        <v>7000000</v>
      </c>
      <c r="D669" s="7"/>
      <c r="E669" s="7">
        <f>+IF(FINANCIACION[[#This Row],[$ CAPITAL]]&gt;=0,FINANCIACION[[#This Row],[$ CAPITAL]]+FINANCIACION[[#This Row],[$ INTERESES]],"")</f>
        <v>7000000</v>
      </c>
      <c r="F669" s="7">
        <f>+SUMIFS(FINANCIACION[$ CAPITAL],FINANCIACION[Fecha],"&lt;="&amp;FINANCIACION[[#This Row],[Fecha]],FINANCIACION[PRESTAMO],FINANCIACION[[#This Row],[PRESTAMO]])</f>
        <v>5723957.48825703</v>
      </c>
      <c r="G669" s="11"/>
      <c r="H669" s="11"/>
      <c r="I669" s="7">
        <f>+IF(FINANCIACION[[#This Row],[$ CAPITAL]]&gt;0,FINANCIACION[[#This Row],[$ CAPITAL]])</f>
        <v>7000000</v>
      </c>
      <c r="J669" s="49">
        <f>+IF(FINANCIACION[[#This Row],[$ CAPITAL]]&gt;=0,FINANCIACION[[#This Row],[$ CAPITAL]]+FINANCIACION[[#This Row],[$ INTERESES]],0)</f>
        <v>7000000</v>
      </c>
    </row>
    <row r="670" spans="1:10" ht="24" hidden="1" customHeight="1" x14ac:dyDescent="0.25">
      <c r="A670" s="10">
        <v>43859</v>
      </c>
      <c r="B670" s="85" t="s">
        <v>723</v>
      </c>
      <c r="C670" s="7">
        <v>17947</v>
      </c>
      <c r="D670" s="7"/>
      <c r="E670" s="7">
        <f>+IF(FINANCIACION[[#This Row],[$ CAPITAL]]&gt;=0,FINANCIACION[[#This Row],[$ CAPITAL]]+FINANCIACION[[#This Row],[$ INTERESES]],"")</f>
        <v>17947</v>
      </c>
      <c r="F670" s="7">
        <f>+SUMIFS(FINANCIACION[$ CAPITAL],FINANCIACION[Fecha],"&lt;="&amp;FINANCIACION[[#This Row],[Fecha]],FINANCIACION[PRESTAMO],FINANCIACION[[#This Row],[PRESTAMO]])</f>
        <v>3512916.7682570303</v>
      </c>
      <c r="G670" s="11"/>
      <c r="H670" s="11"/>
      <c r="I670" s="7">
        <f>+IF(FINANCIACION[[#This Row],[$ CAPITAL]]&gt;0,FINANCIACION[[#This Row],[$ CAPITAL]])</f>
        <v>17947</v>
      </c>
      <c r="J670" s="49">
        <f>+IF(FINANCIACION[[#This Row],[$ CAPITAL]]&gt;=0,FINANCIACION[[#This Row],[$ CAPITAL]]+FINANCIACION[[#This Row],[$ INTERESES]],0)</f>
        <v>17947</v>
      </c>
    </row>
    <row r="671" spans="1:10" ht="24" hidden="1" customHeight="1" x14ac:dyDescent="0.25">
      <c r="A671" s="10">
        <v>43859</v>
      </c>
      <c r="B671" s="85" t="s">
        <v>723</v>
      </c>
      <c r="C671" s="7">
        <v>-188459.05</v>
      </c>
      <c r="D671" s="7"/>
      <c r="E671" s="7" t="str">
        <f>+IF(FINANCIACION[[#This Row],[$ CAPITAL]]&gt;=0,FINANCIACION[[#This Row],[$ CAPITAL]]+FINANCIACION[[#This Row],[$ INTERESES]],"")</f>
        <v/>
      </c>
      <c r="F671" s="7">
        <f>+SUMIFS(FINANCIACION[$ CAPITAL],FINANCIACION[Fecha],"&lt;="&amp;FINANCIACION[[#This Row],[Fecha]],FINANCIACION[PRESTAMO],FINANCIACION[[#This Row],[PRESTAMO]])</f>
        <v>3512916.7682570303</v>
      </c>
      <c r="G671" s="11"/>
      <c r="H671" s="11"/>
      <c r="I671" s="7" t="b">
        <f>+IF(FINANCIACION[[#This Row],[$ CAPITAL]]&gt;0,FINANCIACION[[#This Row],[$ CAPITAL]])</f>
        <v>0</v>
      </c>
      <c r="J671" s="49">
        <f>+IF(FINANCIACION[[#This Row],[$ CAPITAL]]&gt;=0,FINANCIACION[[#This Row],[$ CAPITAL]]+FINANCIACION[[#This Row],[$ INTERESES]],0)</f>
        <v>0</v>
      </c>
    </row>
    <row r="672" spans="1:10" ht="24" hidden="1" customHeight="1" x14ac:dyDescent="0.25">
      <c r="A672" s="10">
        <v>43859</v>
      </c>
      <c r="B672" s="85" t="s">
        <v>723</v>
      </c>
      <c r="C672" s="7">
        <v>-305459.05</v>
      </c>
      <c r="D672" s="7"/>
      <c r="E672" s="7" t="str">
        <f>+IF(FINANCIACION[[#This Row],[$ CAPITAL]]&gt;=0,FINANCIACION[[#This Row],[$ CAPITAL]]+FINANCIACION[[#This Row],[$ INTERESES]],"")</f>
        <v/>
      </c>
      <c r="F672" s="7">
        <f>+SUMIFS(FINANCIACION[$ CAPITAL],FINANCIACION[Fecha],"&lt;="&amp;FINANCIACION[[#This Row],[Fecha]],FINANCIACION[PRESTAMO],FINANCIACION[[#This Row],[PRESTAMO]])</f>
        <v>3512916.7682570303</v>
      </c>
      <c r="G672" s="11"/>
      <c r="H672" s="11"/>
      <c r="I672" s="7" t="b">
        <f>+IF(FINANCIACION[[#This Row],[$ CAPITAL]]&gt;0,FINANCIACION[[#This Row],[$ CAPITAL]])</f>
        <v>0</v>
      </c>
      <c r="J672" s="49">
        <f>+IF(FINANCIACION[[#This Row],[$ CAPITAL]]&gt;=0,FINANCIACION[[#This Row],[$ CAPITAL]]+FINANCIACION[[#This Row],[$ INTERESES]],0)</f>
        <v>0</v>
      </c>
    </row>
    <row r="673" spans="1:10" ht="24" hidden="1" customHeight="1" x14ac:dyDescent="0.25">
      <c r="A673" s="10">
        <v>43859</v>
      </c>
      <c r="B673" s="85" t="s">
        <v>723</v>
      </c>
      <c r="C673" s="7">
        <v>-1999310.62</v>
      </c>
      <c r="D673" s="7"/>
      <c r="E673" s="7" t="str">
        <f>+IF(FINANCIACION[[#This Row],[$ CAPITAL]]&gt;=0,FINANCIACION[[#This Row],[$ CAPITAL]]+FINANCIACION[[#This Row],[$ INTERESES]],"")</f>
        <v/>
      </c>
      <c r="F673" s="7">
        <f>+SUMIFS(FINANCIACION[$ CAPITAL],FINANCIACION[Fecha],"&lt;="&amp;FINANCIACION[[#This Row],[Fecha]],FINANCIACION[PRESTAMO],FINANCIACION[[#This Row],[PRESTAMO]])</f>
        <v>3512916.7682570303</v>
      </c>
      <c r="G673" s="11"/>
      <c r="H673" s="11"/>
      <c r="I673" s="7" t="b">
        <f>+IF(FINANCIACION[[#This Row],[$ CAPITAL]]&gt;0,FINANCIACION[[#This Row],[$ CAPITAL]])</f>
        <v>0</v>
      </c>
      <c r="J673" s="49">
        <f>+IF(FINANCIACION[[#This Row],[$ CAPITAL]]&gt;=0,FINANCIACION[[#This Row],[$ CAPITAL]]+FINANCIACION[[#This Row],[$ INTERESES]],0)</f>
        <v>0</v>
      </c>
    </row>
    <row r="674" spans="1:10" ht="24" hidden="1" customHeight="1" x14ac:dyDescent="0.25">
      <c r="A674" s="10">
        <v>43859</v>
      </c>
      <c r="B674" s="85" t="s">
        <v>723</v>
      </c>
      <c r="C674" s="7">
        <v>264241</v>
      </c>
      <c r="D674" s="7"/>
      <c r="E674" s="7">
        <f>+IF(FINANCIACION[[#This Row],[$ CAPITAL]]&gt;=0,FINANCIACION[[#This Row],[$ CAPITAL]]+FINANCIACION[[#This Row],[$ INTERESES]],"")</f>
        <v>264241</v>
      </c>
      <c r="F674" s="7">
        <f>+SUMIFS(FINANCIACION[$ CAPITAL],FINANCIACION[Fecha],"&lt;="&amp;FINANCIACION[[#This Row],[Fecha]],FINANCIACION[PRESTAMO],FINANCIACION[[#This Row],[PRESTAMO]])</f>
        <v>3512916.7682570303</v>
      </c>
      <c r="G674" s="11"/>
      <c r="H674" s="11"/>
      <c r="I674" s="7">
        <f>+IF(FINANCIACION[[#This Row],[$ CAPITAL]]&gt;0,FINANCIACION[[#This Row],[$ CAPITAL]])</f>
        <v>264241</v>
      </c>
      <c r="J674" s="49">
        <f>+IF(FINANCIACION[[#This Row],[$ CAPITAL]]&gt;=0,FINANCIACION[[#This Row],[$ CAPITAL]]+FINANCIACION[[#This Row],[$ INTERESES]],0)</f>
        <v>264241</v>
      </c>
    </row>
    <row r="675" spans="1:10" ht="24" hidden="1" customHeight="1" x14ac:dyDescent="0.25">
      <c r="A675" s="10">
        <v>43860</v>
      </c>
      <c r="B675" s="85" t="s">
        <v>723</v>
      </c>
      <c r="C675" s="7">
        <v>-53287.48</v>
      </c>
      <c r="D675" s="7"/>
      <c r="E675" s="7" t="str">
        <f>+IF(FINANCIACION[[#This Row],[$ CAPITAL]]&gt;=0,FINANCIACION[[#This Row],[$ CAPITAL]]+FINANCIACION[[#This Row],[$ INTERESES]],"")</f>
        <v/>
      </c>
      <c r="F675" s="7">
        <f>+SUMIFS(FINANCIACION[$ CAPITAL],FINANCIACION[Fecha],"&lt;="&amp;FINANCIACION[[#This Row],[Fecha]],FINANCIACION[PRESTAMO],FINANCIACION[[#This Row],[PRESTAMO]])</f>
        <v>3459629.2882570303</v>
      </c>
      <c r="G675" s="11"/>
      <c r="H675" s="11"/>
      <c r="I675" s="7" t="b">
        <f>+IF(FINANCIACION[[#This Row],[$ CAPITAL]]&gt;0,FINANCIACION[[#This Row],[$ CAPITAL]])</f>
        <v>0</v>
      </c>
      <c r="J675" s="49">
        <f>+IF(FINANCIACION[[#This Row],[$ CAPITAL]]&gt;=0,FINANCIACION[[#This Row],[$ CAPITAL]]+FINANCIACION[[#This Row],[$ INTERESES]],0)</f>
        <v>0</v>
      </c>
    </row>
    <row r="676" spans="1:10" ht="24" hidden="1" customHeight="1" x14ac:dyDescent="0.25">
      <c r="A676" s="10">
        <v>43862</v>
      </c>
      <c r="B676" s="85" t="s">
        <v>723</v>
      </c>
      <c r="C676" s="7">
        <v>1000000</v>
      </c>
      <c r="D676" s="7"/>
      <c r="E676" s="7">
        <f>+IF(FINANCIACION[[#This Row],[$ CAPITAL]]&gt;=0,FINANCIACION[[#This Row],[$ CAPITAL]]+FINANCIACION[[#This Row],[$ INTERESES]],"")</f>
        <v>1000000</v>
      </c>
      <c r="F676" s="7">
        <f>+SUMIFS(FINANCIACION[$ CAPITAL],FINANCIACION[Fecha],"&lt;="&amp;FINANCIACION[[#This Row],[Fecha]],FINANCIACION[PRESTAMO],FINANCIACION[[#This Row],[PRESTAMO]])</f>
        <v>4459629.2882570308</v>
      </c>
      <c r="G676" s="11"/>
      <c r="H676" s="11"/>
      <c r="I676" s="7">
        <f>+IF(FINANCIACION[[#This Row],[$ CAPITAL]]&gt;0,FINANCIACION[[#This Row],[$ CAPITAL]])</f>
        <v>1000000</v>
      </c>
      <c r="J676" s="49">
        <f>+IF(FINANCIACION[[#This Row],[$ CAPITAL]]&gt;=0,FINANCIACION[[#This Row],[$ CAPITAL]]+FINANCIACION[[#This Row],[$ INTERESES]],0)</f>
        <v>1000000</v>
      </c>
    </row>
    <row r="677" spans="1:10" ht="24" hidden="1" customHeight="1" x14ac:dyDescent="0.25">
      <c r="A677" s="10">
        <v>43865</v>
      </c>
      <c r="B677" s="85" t="s">
        <v>723</v>
      </c>
      <c r="C677" s="7">
        <v>2500000</v>
      </c>
      <c r="D677" s="7">
        <v>352550</v>
      </c>
      <c r="E677" s="7">
        <f>+IF(FINANCIACION[[#This Row],[$ CAPITAL]]&gt;=0,FINANCIACION[[#This Row],[$ CAPITAL]]+FINANCIACION[[#This Row],[$ INTERESES]],"")</f>
        <v>2852550</v>
      </c>
      <c r="F677" s="7">
        <f>+SUMIFS(FINANCIACION[$ CAPITAL],FINANCIACION[Fecha],"&lt;="&amp;FINANCIACION[[#This Row],[Fecha]],FINANCIACION[PRESTAMO],FINANCIACION[[#This Row],[PRESTAMO]])</f>
        <v>6925619.2882570308</v>
      </c>
      <c r="G677" s="11"/>
      <c r="H677" s="11"/>
      <c r="I677" s="7">
        <f>+IF(FINANCIACION[[#This Row],[$ CAPITAL]]&gt;0,FINANCIACION[[#This Row],[$ CAPITAL]])</f>
        <v>2500000</v>
      </c>
      <c r="J677" s="49">
        <f>+IF(FINANCIACION[[#This Row],[$ CAPITAL]]&gt;=0,FINANCIACION[[#This Row],[$ CAPITAL]]+FINANCIACION[[#This Row],[$ INTERESES]],0)</f>
        <v>2852550</v>
      </c>
    </row>
    <row r="678" spans="1:10" ht="24" hidden="1" customHeight="1" x14ac:dyDescent="0.25">
      <c r="A678" s="10">
        <v>43865</v>
      </c>
      <c r="B678" s="85" t="s">
        <v>723</v>
      </c>
      <c r="C678" s="7">
        <v>-34010</v>
      </c>
      <c r="D678" s="7"/>
      <c r="E678" s="7" t="str">
        <f>+IF(FINANCIACION[[#This Row],[$ CAPITAL]]&gt;=0,FINANCIACION[[#This Row],[$ CAPITAL]]+FINANCIACION[[#This Row],[$ INTERESES]],"")</f>
        <v/>
      </c>
      <c r="F678" s="7">
        <f>+SUMIFS(FINANCIACION[$ CAPITAL],FINANCIACION[Fecha],"&lt;="&amp;FINANCIACION[[#This Row],[Fecha]],FINANCIACION[PRESTAMO],FINANCIACION[[#This Row],[PRESTAMO]])</f>
        <v>6925619.2882570308</v>
      </c>
      <c r="G678" s="11"/>
      <c r="H678" s="11"/>
      <c r="I678" s="7" t="b">
        <f>+IF(FINANCIACION[[#This Row],[$ CAPITAL]]&gt;0,FINANCIACION[[#This Row],[$ CAPITAL]])</f>
        <v>0</v>
      </c>
      <c r="J678" s="49">
        <f>+IF(FINANCIACION[[#This Row],[$ CAPITAL]]&gt;=0,FINANCIACION[[#This Row],[$ CAPITAL]]+FINANCIACION[[#This Row],[$ INTERESES]],0)</f>
        <v>0</v>
      </c>
    </row>
    <row r="679" spans="1:10" ht="24" hidden="1" customHeight="1" x14ac:dyDescent="0.25">
      <c r="A679" s="10">
        <v>43867</v>
      </c>
      <c r="B679" s="85" t="s">
        <v>723</v>
      </c>
      <c r="C679" s="7">
        <v>-16776</v>
      </c>
      <c r="D679" s="7"/>
      <c r="E679" s="7" t="str">
        <f>+IF(FINANCIACION[[#This Row],[$ CAPITAL]]&gt;=0,FINANCIACION[[#This Row],[$ CAPITAL]]+FINANCIACION[[#This Row],[$ INTERESES]],"")</f>
        <v/>
      </c>
      <c r="F679" s="7">
        <f>+SUMIFS(FINANCIACION[$ CAPITAL],FINANCIACION[Fecha],"&lt;="&amp;FINANCIACION[[#This Row],[Fecha]],FINANCIACION[PRESTAMO],FINANCIACION[[#This Row],[PRESTAMO]])</f>
        <v>-32089.491742968559</v>
      </c>
      <c r="G679" s="11"/>
      <c r="H679" s="11"/>
      <c r="I679" s="7" t="b">
        <f>+IF(FINANCIACION[[#This Row],[$ CAPITAL]]&gt;0,FINANCIACION[[#This Row],[$ CAPITAL]])</f>
        <v>0</v>
      </c>
      <c r="J679" s="49">
        <f>+IF(FINANCIACION[[#This Row],[$ CAPITAL]]&gt;=0,FINANCIACION[[#This Row],[$ CAPITAL]]+FINANCIACION[[#This Row],[$ INTERESES]],0)</f>
        <v>0</v>
      </c>
    </row>
    <row r="680" spans="1:10" ht="24" hidden="1" customHeight="1" x14ac:dyDescent="0.25">
      <c r="A680" s="10">
        <v>43867</v>
      </c>
      <c r="B680" s="85" t="s">
        <v>723</v>
      </c>
      <c r="C680" s="7">
        <v>-370225.85</v>
      </c>
      <c r="D680" s="7"/>
      <c r="E680" s="7" t="str">
        <f>+IF(FINANCIACION[[#This Row],[$ CAPITAL]]&gt;=0,FINANCIACION[[#This Row],[$ CAPITAL]]+FINANCIACION[[#This Row],[$ INTERESES]],"")</f>
        <v/>
      </c>
      <c r="F680" s="7">
        <f>+SUMIFS(FINANCIACION[$ CAPITAL],FINANCIACION[Fecha],"&lt;="&amp;FINANCIACION[[#This Row],[Fecha]],FINANCIACION[PRESTAMO],FINANCIACION[[#This Row],[PRESTAMO]])</f>
        <v>-32089.491742968559</v>
      </c>
      <c r="G680" s="11"/>
      <c r="H680" s="11"/>
      <c r="I680" s="7" t="b">
        <f>+IF(FINANCIACION[[#This Row],[$ CAPITAL]]&gt;0,FINANCIACION[[#This Row],[$ CAPITAL]])</f>
        <v>0</v>
      </c>
      <c r="J680" s="49">
        <f>+IF(FINANCIACION[[#This Row],[$ CAPITAL]]&gt;=0,FINANCIACION[[#This Row],[$ CAPITAL]]+FINANCIACION[[#This Row],[$ INTERESES]],0)</f>
        <v>0</v>
      </c>
    </row>
    <row r="681" spans="1:10" ht="24" hidden="1" customHeight="1" x14ac:dyDescent="0.25">
      <c r="A681" s="10">
        <v>43867</v>
      </c>
      <c r="B681" s="85" t="s">
        <v>723</v>
      </c>
      <c r="C681" s="7">
        <v>-6570706.9299999997</v>
      </c>
      <c r="D681" s="7"/>
      <c r="E681" s="7" t="str">
        <f>+IF(FINANCIACION[[#This Row],[$ CAPITAL]]&gt;=0,FINANCIACION[[#This Row],[$ CAPITAL]]+FINANCIACION[[#This Row],[$ INTERESES]],"")</f>
        <v/>
      </c>
      <c r="F681" s="7">
        <f>+SUMIFS(FINANCIACION[$ CAPITAL],FINANCIACION[Fecha],"&lt;="&amp;FINANCIACION[[#This Row],[Fecha]],FINANCIACION[PRESTAMO],FINANCIACION[[#This Row],[PRESTAMO]])</f>
        <v>-32089.491742968559</v>
      </c>
      <c r="G681" s="11"/>
      <c r="H681" s="11"/>
      <c r="I681" s="7" t="b">
        <f>+IF(FINANCIACION[[#This Row],[$ CAPITAL]]&gt;0,FINANCIACION[[#This Row],[$ CAPITAL]])</f>
        <v>0</v>
      </c>
      <c r="J681" s="49">
        <f>+IF(FINANCIACION[[#This Row],[$ CAPITAL]]&gt;=0,FINANCIACION[[#This Row],[$ CAPITAL]]+FINANCIACION[[#This Row],[$ INTERESES]],0)</f>
        <v>0</v>
      </c>
    </row>
    <row r="682" spans="1:10" ht="24" hidden="1" customHeight="1" x14ac:dyDescent="0.25">
      <c r="A682" s="10">
        <v>43871</v>
      </c>
      <c r="B682" s="85" t="s">
        <v>723</v>
      </c>
      <c r="C682" s="7">
        <v>-496426.88</v>
      </c>
      <c r="D682" s="7"/>
      <c r="E682" s="7" t="str">
        <f>+IF(FINANCIACION[[#This Row],[$ CAPITAL]]&gt;=0,FINANCIACION[[#This Row],[$ CAPITAL]]+FINANCIACION[[#This Row],[$ INTERESES]],"")</f>
        <v/>
      </c>
      <c r="F682" s="7">
        <f>+SUMIFS(FINANCIACION[$ CAPITAL],FINANCIACION[Fecha],"&lt;="&amp;FINANCIACION[[#This Row],[Fecha]],FINANCIACION[PRESTAMO],FINANCIACION[[#This Row],[PRESTAMO]])</f>
        <v>-528516.37174296856</v>
      </c>
      <c r="G682" s="11"/>
      <c r="H682" s="11"/>
      <c r="I682" s="7" t="b">
        <f>+IF(FINANCIACION[[#This Row],[$ CAPITAL]]&gt;0,FINANCIACION[[#This Row],[$ CAPITAL]])</f>
        <v>0</v>
      </c>
      <c r="J682" s="49">
        <f>+IF(FINANCIACION[[#This Row],[$ CAPITAL]]&gt;=0,FINANCIACION[[#This Row],[$ CAPITAL]]+FINANCIACION[[#This Row],[$ INTERESES]],0)</f>
        <v>0</v>
      </c>
    </row>
    <row r="683" spans="1:10" ht="24" hidden="1" customHeight="1" x14ac:dyDescent="0.25">
      <c r="A683" s="10">
        <v>43874</v>
      </c>
      <c r="B683" s="85" t="s">
        <v>723</v>
      </c>
      <c r="C683" s="7">
        <v>-75897.36</v>
      </c>
      <c r="D683" s="7"/>
      <c r="E683" s="7" t="str">
        <f>+IF(FINANCIACION[[#This Row],[$ CAPITAL]]&gt;=0,FINANCIACION[[#This Row],[$ CAPITAL]]+FINANCIACION[[#This Row],[$ INTERESES]],"")</f>
        <v/>
      </c>
      <c r="F683" s="7">
        <f>+SUMIFS(FINANCIACION[$ CAPITAL],FINANCIACION[Fecha],"&lt;="&amp;FINANCIACION[[#This Row],[Fecha]],FINANCIACION[PRESTAMO],FINANCIACION[[#This Row],[PRESTAMO]])</f>
        <v>-604413.73174296855</v>
      </c>
      <c r="G683" s="11"/>
      <c r="H683" s="11"/>
      <c r="I683" s="7" t="b">
        <f>+IF(FINANCIACION[[#This Row],[$ CAPITAL]]&gt;0,FINANCIACION[[#This Row],[$ CAPITAL]])</f>
        <v>0</v>
      </c>
      <c r="J683" s="49">
        <f>+IF(FINANCIACION[[#This Row],[$ CAPITAL]]&gt;=0,FINANCIACION[[#This Row],[$ CAPITAL]]+FINANCIACION[[#This Row],[$ INTERESES]],0)</f>
        <v>0</v>
      </c>
    </row>
    <row r="684" spans="1:10" ht="24" hidden="1" customHeight="1" x14ac:dyDescent="0.25">
      <c r="A684" s="10">
        <v>43879</v>
      </c>
      <c r="B684" s="85" t="s">
        <v>723</v>
      </c>
      <c r="C684" s="7">
        <v>1181094</v>
      </c>
      <c r="D684" s="7"/>
      <c r="E684" s="7">
        <f>+IF(FINANCIACION[[#This Row],[$ CAPITAL]]&gt;=0,FINANCIACION[[#This Row],[$ CAPITAL]]+FINANCIACION[[#This Row],[$ INTERESES]],"")</f>
        <v>1181094</v>
      </c>
      <c r="F684" s="7">
        <f>+SUMIFS(FINANCIACION[$ CAPITAL],FINANCIACION[Fecha],"&lt;="&amp;FINANCIACION[[#This Row],[Fecha]],FINANCIACION[PRESTAMO],FINANCIACION[[#This Row],[PRESTAMO]])</f>
        <v>5076680.2682570312</v>
      </c>
      <c r="G684" s="11"/>
      <c r="H684" s="11"/>
      <c r="I684" s="7">
        <f>+IF(FINANCIACION[[#This Row],[$ CAPITAL]]&gt;0,FINANCIACION[[#This Row],[$ CAPITAL]])</f>
        <v>1181094</v>
      </c>
      <c r="J684" s="49">
        <f>+IF(FINANCIACION[[#This Row],[$ CAPITAL]]&gt;=0,FINANCIACION[[#This Row],[$ CAPITAL]]+FINANCIACION[[#This Row],[$ INTERESES]],0)</f>
        <v>1181094</v>
      </c>
    </row>
    <row r="685" spans="1:10" ht="24" hidden="1" customHeight="1" x14ac:dyDescent="0.25">
      <c r="A685" s="10">
        <v>43879</v>
      </c>
      <c r="B685" s="85" t="s">
        <v>723</v>
      </c>
      <c r="C685" s="7">
        <v>1500000</v>
      </c>
      <c r="D685" s="7"/>
      <c r="E685" s="7">
        <f>+IF(FINANCIACION[[#This Row],[$ CAPITAL]]&gt;=0,FINANCIACION[[#This Row],[$ CAPITAL]]+FINANCIACION[[#This Row],[$ INTERESES]],"")</f>
        <v>1500000</v>
      </c>
      <c r="F685" s="7">
        <f>+SUMIFS(FINANCIACION[$ CAPITAL],FINANCIACION[Fecha],"&lt;="&amp;FINANCIACION[[#This Row],[Fecha]],FINANCIACION[PRESTAMO],FINANCIACION[[#This Row],[PRESTAMO]])</f>
        <v>5076680.2682570312</v>
      </c>
      <c r="G685" s="11"/>
      <c r="H685" s="11"/>
      <c r="I685" s="7">
        <f>+IF(FINANCIACION[[#This Row],[$ CAPITAL]]&gt;0,FINANCIACION[[#This Row],[$ CAPITAL]])</f>
        <v>1500000</v>
      </c>
      <c r="J685" s="49">
        <f>+IF(FINANCIACION[[#This Row],[$ CAPITAL]]&gt;=0,FINANCIACION[[#This Row],[$ CAPITAL]]+FINANCIACION[[#This Row],[$ INTERESES]],0)</f>
        <v>1500000</v>
      </c>
    </row>
    <row r="686" spans="1:10" ht="24" hidden="1" customHeight="1" x14ac:dyDescent="0.25">
      <c r="A686" s="10">
        <v>43879</v>
      </c>
      <c r="B686" s="85" t="s">
        <v>723</v>
      </c>
      <c r="C686" s="7">
        <v>3000000</v>
      </c>
      <c r="D686" s="7"/>
      <c r="E686" s="7">
        <f>+IF(FINANCIACION[[#This Row],[$ CAPITAL]]&gt;=0,FINANCIACION[[#This Row],[$ CAPITAL]]+FINANCIACION[[#This Row],[$ INTERESES]],"")</f>
        <v>3000000</v>
      </c>
      <c r="F686" s="7">
        <f>+SUMIFS(FINANCIACION[$ CAPITAL],FINANCIACION[Fecha],"&lt;="&amp;FINANCIACION[[#This Row],[Fecha]],FINANCIACION[PRESTAMO],FINANCIACION[[#This Row],[PRESTAMO]])</f>
        <v>5076680.2682570312</v>
      </c>
      <c r="G686" s="11"/>
      <c r="H686" s="11"/>
      <c r="I686" s="7">
        <f>+IF(FINANCIACION[[#This Row],[$ CAPITAL]]&gt;0,FINANCIACION[[#This Row],[$ CAPITAL]])</f>
        <v>3000000</v>
      </c>
      <c r="J686" s="49">
        <f>+IF(FINANCIACION[[#This Row],[$ CAPITAL]]&gt;=0,FINANCIACION[[#This Row],[$ CAPITAL]]+FINANCIACION[[#This Row],[$ INTERESES]],0)</f>
        <v>3000000</v>
      </c>
    </row>
    <row r="687" spans="1:10" ht="24" hidden="1" customHeight="1" x14ac:dyDescent="0.25">
      <c r="A687" s="10">
        <v>43880</v>
      </c>
      <c r="B687" s="85" t="s">
        <v>723</v>
      </c>
      <c r="C687" s="7">
        <v>-2091546</v>
      </c>
      <c r="D687" s="7"/>
      <c r="E687" s="7" t="str">
        <f>+IF(FINANCIACION[[#This Row],[$ CAPITAL]]&gt;=0,FINANCIACION[[#This Row],[$ CAPITAL]]+FINANCIACION[[#This Row],[$ INTERESES]],"")</f>
        <v/>
      </c>
      <c r="F687" s="7">
        <f>+SUMIFS(FINANCIACION[$ CAPITAL],FINANCIACION[Fecha],"&lt;="&amp;FINANCIACION[[#This Row],[Fecha]],FINANCIACION[PRESTAMO],FINANCIACION[[#This Row],[PRESTAMO]])</f>
        <v>2985134.2682570312</v>
      </c>
      <c r="G687" s="11"/>
      <c r="H687" s="11"/>
      <c r="I687" s="7" t="b">
        <f>+IF(FINANCIACION[[#This Row],[$ CAPITAL]]&gt;0,FINANCIACION[[#This Row],[$ CAPITAL]])</f>
        <v>0</v>
      </c>
      <c r="J687" s="49">
        <f>+IF(FINANCIACION[[#This Row],[$ CAPITAL]]&gt;=0,FINANCIACION[[#This Row],[$ CAPITAL]]+FINANCIACION[[#This Row],[$ INTERESES]],0)</f>
        <v>0</v>
      </c>
    </row>
    <row r="688" spans="1:10" ht="24" hidden="1" customHeight="1" x14ac:dyDescent="0.25">
      <c r="A688" s="10">
        <v>43881</v>
      </c>
      <c r="B688" s="85" t="s">
        <v>723</v>
      </c>
      <c r="C688" s="7">
        <v>500000</v>
      </c>
      <c r="D688" s="7"/>
      <c r="E688" s="7">
        <f>+IF(FINANCIACION[[#This Row],[$ CAPITAL]]&gt;=0,FINANCIACION[[#This Row],[$ CAPITAL]]+FINANCIACION[[#This Row],[$ INTERESES]],"")</f>
        <v>500000</v>
      </c>
      <c r="F688" s="7">
        <f>+SUMIFS(FINANCIACION[$ CAPITAL],FINANCIACION[Fecha],"&lt;="&amp;FINANCIACION[[#This Row],[Fecha]],FINANCIACION[PRESTAMO],FINANCIACION[[#This Row],[PRESTAMO]])</f>
        <v>4985134.2682570312</v>
      </c>
      <c r="G688" s="11"/>
      <c r="H688" s="11"/>
      <c r="I688" s="7">
        <f>+IF(FINANCIACION[[#This Row],[$ CAPITAL]]&gt;0,FINANCIACION[[#This Row],[$ CAPITAL]])</f>
        <v>500000</v>
      </c>
      <c r="J688" s="49">
        <f>+IF(FINANCIACION[[#This Row],[$ CAPITAL]]&gt;=0,FINANCIACION[[#This Row],[$ CAPITAL]]+FINANCIACION[[#This Row],[$ INTERESES]],0)</f>
        <v>500000</v>
      </c>
    </row>
    <row r="689" spans="1:16" ht="24" hidden="1" customHeight="1" x14ac:dyDescent="0.25">
      <c r="A689" s="10">
        <v>43881</v>
      </c>
      <c r="B689" s="85" t="s">
        <v>723</v>
      </c>
      <c r="C689" s="7">
        <v>1500000</v>
      </c>
      <c r="D689" s="7"/>
      <c r="E689" s="7">
        <f>+IF(FINANCIACION[[#This Row],[$ CAPITAL]]&gt;=0,FINANCIACION[[#This Row],[$ CAPITAL]]+FINANCIACION[[#This Row],[$ INTERESES]],"")</f>
        <v>1500000</v>
      </c>
      <c r="F689" s="7">
        <f>+SUMIFS(FINANCIACION[$ CAPITAL],FINANCIACION[Fecha],"&lt;="&amp;FINANCIACION[[#This Row],[Fecha]],FINANCIACION[PRESTAMO],FINANCIACION[[#This Row],[PRESTAMO]])</f>
        <v>4985134.2682570312</v>
      </c>
      <c r="G689" s="11"/>
      <c r="H689" s="11"/>
      <c r="I689" s="7">
        <f>+IF(FINANCIACION[[#This Row],[$ CAPITAL]]&gt;0,FINANCIACION[[#This Row],[$ CAPITAL]])</f>
        <v>1500000</v>
      </c>
      <c r="J689" s="49">
        <f>+IF(FINANCIACION[[#This Row],[$ CAPITAL]]&gt;=0,FINANCIACION[[#This Row],[$ CAPITAL]]+FINANCIACION[[#This Row],[$ INTERESES]],0)</f>
        <v>1500000</v>
      </c>
    </row>
    <row r="690" spans="1:16" ht="24" hidden="1" customHeight="1" x14ac:dyDescent="0.25">
      <c r="A690" s="10">
        <v>43882</v>
      </c>
      <c r="B690" s="85" t="s">
        <v>723</v>
      </c>
      <c r="C690" s="7">
        <v>-238000</v>
      </c>
      <c r="D690" s="7"/>
      <c r="E690" s="7" t="str">
        <f>+IF(FINANCIACION[[#This Row],[$ CAPITAL]]&gt;=0,FINANCIACION[[#This Row],[$ CAPITAL]]+FINANCIACION[[#This Row],[$ INTERESES]],"")</f>
        <v/>
      </c>
      <c r="F690" s="7">
        <f>+SUMIFS(FINANCIACION[$ CAPITAL],FINANCIACION[Fecha],"&lt;="&amp;FINANCIACION[[#This Row],[Fecha]],FINANCIACION[PRESTAMO],FINANCIACION[[#This Row],[PRESTAMO]])</f>
        <v>4747134.2682570312</v>
      </c>
      <c r="G690" s="11"/>
      <c r="H690" s="11"/>
      <c r="I690" s="7" t="b">
        <f>+IF(FINANCIACION[[#This Row],[$ CAPITAL]]&gt;0,FINANCIACION[[#This Row],[$ CAPITAL]])</f>
        <v>0</v>
      </c>
      <c r="J690" s="49">
        <f>+IF(FINANCIACION[[#This Row],[$ CAPITAL]]&gt;=0,FINANCIACION[[#This Row],[$ CAPITAL]]+FINANCIACION[[#This Row],[$ INTERESES]],0)</f>
        <v>0</v>
      </c>
    </row>
    <row r="691" spans="1:16" ht="24" hidden="1" customHeight="1" x14ac:dyDescent="0.25">
      <c r="A691" s="10">
        <v>43887</v>
      </c>
      <c r="B691" s="85" t="s">
        <v>723</v>
      </c>
      <c r="C691" s="7">
        <v>-204035</v>
      </c>
      <c r="D691" s="7"/>
      <c r="E691" s="7" t="str">
        <f>+IF(FINANCIACION[[#This Row],[$ CAPITAL]]&gt;=0,FINANCIACION[[#This Row],[$ CAPITAL]]+FINANCIACION[[#This Row],[$ INTERESES]],"")</f>
        <v/>
      </c>
      <c r="F691" s="7">
        <f>+SUMIFS(FINANCIACION[$ CAPITAL],FINANCIACION[Fecha],"&lt;="&amp;FINANCIACION[[#This Row],[Fecha]],FINANCIACION[PRESTAMO],FINANCIACION[[#This Row],[PRESTAMO]])</f>
        <v>4543099.2682570312</v>
      </c>
      <c r="G691" s="11"/>
      <c r="H691" s="11"/>
      <c r="I691" s="7" t="b">
        <f>+IF(FINANCIACION[[#This Row],[$ CAPITAL]]&gt;0,FINANCIACION[[#This Row],[$ CAPITAL]])</f>
        <v>0</v>
      </c>
      <c r="J691" s="49">
        <f>+IF(FINANCIACION[[#This Row],[$ CAPITAL]]&gt;=0,FINANCIACION[[#This Row],[$ CAPITAL]]+FINANCIACION[[#This Row],[$ INTERESES]],0)</f>
        <v>0</v>
      </c>
    </row>
    <row r="692" spans="1:16" ht="24" hidden="1" customHeight="1" x14ac:dyDescent="0.25">
      <c r="A692" s="10">
        <v>43888</v>
      </c>
      <c r="B692" s="85" t="s">
        <v>723</v>
      </c>
      <c r="C692" s="7">
        <v>-259615.63</v>
      </c>
      <c r="D692" s="7"/>
      <c r="E692" s="7" t="str">
        <f>+IF(FINANCIACION[[#This Row],[$ CAPITAL]]&gt;=0,FINANCIACION[[#This Row],[$ CAPITAL]]+FINANCIACION[[#This Row],[$ INTERESES]],"")</f>
        <v/>
      </c>
      <c r="F692" s="7">
        <f>+SUMIFS(FINANCIACION[$ CAPITAL],FINANCIACION[Fecha],"&lt;="&amp;FINANCIACION[[#This Row],[Fecha]],FINANCIACION[PRESTAMO],FINANCIACION[[#This Row],[PRESTAMO]])</f>
        <v>4283483.6382570313</v>
      </c>
      <c r="G692" s="11"/>
      <c r="H692" s="11"/>
      <c r="I692" s="7" t="b">
        <f>+IF(FINANCIACION[[#This Row],[$ CAPITAL]]&gt;0,FINANCIACION[[#This Row],[$ CAPITAL]])</f>
        <v>0</v>
      </c>
      <c r="J692" s="49">
        <f>+IF(FINANCIACION[[#This Row],[$ CAPITAL]]&gt;=0,FINANCIACION[[#This Row],[$ CAPITAL]]+FINANCIACION[[#This Row],[$ INTERESES]],0)</f>
        <v>0</v>
      </c>
    </row>
    <row r="693" spans="1:16" ht="24" hidden="1" customHeight="1" x14ac:dyDescent="0.25">
      <c r="A693" s="10">
        <v>43890</v>
      </c>
      <c r="B693" s="85" t="s">
        <v>723</v>
      </c>
      <c r="C693" s="7">
        <v>-2051310.6682570393</v>
      </c>
      <c r="D693" s="7"/>
      <c r="E693" s="7" t="str">
        <f>+IF(FINANCIACION[[#This Row],[$ CAPITAL]]&gt;=0,FINANCIACION[[#This Row],[$ CAPITAL]]+FINANCIACION[[#This Row],[$ INTERESES]],"")</f>
        <v/>
      </c>
      <c r="F693" s="7">
        <f>+SUMIFS(FINANCIACION[$ CAPITAL],FINANCIACION[Fecha],"&lt;="&amp;FINANCIACION[[#This Row],[Fecha]],FINANCIACION[PRESTAMO],FINANCIACION[[#This Row],[PRESTAMO]])</f>
        <v>261463.04999999236</v>
      </c>
      <c r="G693" s="11"/>
      <c r="H693" s="11"/>
      <c r="I693" s="7" t="b">
        <f>+IF(FINANCIACION[[#This Row],[$ CAPITAL]]&gt;0,FINANCIACION[[#This Row],[$ CAPITAL]])</f>
        <v>0</v>
      </c>
      <c r="J693" s="49">
        <f>+IF(FINANCIACION[[#This Row],[$ CAPITAL]]&gt;=0,FINANCIACION[[#This Row],[$ CAPITAL]]+FINANCIACION[[#This Row],[$ INTERESES]],0)</f>
        <v>0</v>
      </c>
    </row>
    <row r="694" spans="1:16" ht="24" hidden="1" customHeight="1" x14ac:dyDescent="0.25">
      <c r="A694" s="10">
        <v>43890</v>
      </c>
      <c r="B694" s="85" t="s">
        <v>723</v>
      </c>
      <c r="C694" s="7">
        <v>-1970709.92</v>
      </c>
      <c r="D694" s="7"/>
      <c r="E694" s="7" t="str">
        <f>+IF(FINANCIACION[[#This Row],[$ CAPITAL]]&gt;=0,FINANCIACION[[#This Row],[$ CAPITAL]]+FINANCIACION[[#This Row],[$ INTERESES]],"")</f>
        <v/>
      </c>
      <c r="F694" s="7">
        <f>+SUMIFS(FINANCIACION[$ CAPITAL],FINANCIACION[Fecha],"&lt;="&amp;FINANCIACION[[#This Row],[Fecha]],FINANCIACION[PRESTAMO],FINANCIACION[[#This Row],[PRESTAMO]])</f>
        <v>261463.04999999236</v>
      </c>
      <c r="G694" s="11"/>
      <c r="H694" s="11"/>
      <c r="I694" s="7" t="b">
        <f>+IF(FINANCIACION[[#This Row],[$ CAPITAL]]&gt;0,FINANCIACION[[#This Row],[$ CAPITAL]])</f>
        <v>0</v>
      </c>
      <c r="J694" s="49">
        <f>+IF(FINANCIACION[[#This Row],[$ CAPITAL]]&gt;=0,FINANCIACION[[#This Row],[$ CAPITAL]]+FINANCIACION[[#This Row],[$ INTERESES]],0)</f>
        <v>0</v>
      </c>
    </row>
    <row r="695" spans="1:16" ht="24" hidden="1" customHeight="1" x14ac:dyDescent="0.25">
      <c r="A695" s="10">
        <v>43894</v>
      </c>
      <c r="B695" s="85" t="s">
        <v>723</v>
      </c>
      <c r="C695" s="7">
        <v>2500000</v>
      </c>
      <c r="D695" s="7">
        <v>323170.83999999985</v>
      </c>
      <c r="E695" s="7">
        <f>+IF(FINANCIACION[[#This Row],[$ CAPITAL]]&gt;=0,FINANCIACION[[#This Row],[$ CAPITAL]]+FINANCIACION[[#This Row],[$ INTERESES]],"")</f>
        <v>2823170.84</v>
      </c>
      <c r="F695" s="7">
        <f>+SUMIFS(FINANCIACION[$ CAPITAL],FINANCIACION[Fecha],"&lt;="&amp;FINANCIACION[[#This Row],[Fecha]],FINANCIACION[PRESTAMO],FINANCIACION[[#This Row],[PRESTAMO]])</f>
        <v>2761463.0499999924</v>
      </c>
      <c r="G695" s="11"/>
      <c r="H695" s="11"/>
      <c r="I695" s="7">
        <f>+IF(FINANCIACION[[#This Row],[$ CAPITAL]]&gt;0,FINANCIACION[[#This Row],[$ CAPITAL]])</f>
        <v>2500000</v>
      </c>
      <c r="J695" s="49">
        <f>+IF(FINANCIACION[[#This Row],[$ CAPITAL]]&gt;=0,FINANCIACION[[#This Row],[$ CAPITAL]]+FINANCIACION[[#This Row],[$ INTERESES]],0)</f>
        <v>2823170.84</v>
      </c>
    </row>
    <row r="696" spans="1:16" ht="24" hidden="1" customHeight="1" x14ac:dyDescent="0.25">
      <c r="A696" s="10">
        <v>43901</v>
      </c>
      <c r="B696" s="85" t="s">
        <v>723</v>
      </c>
      <c r="C696" s="7">
        <v>3000000</v>
      </c>
      <c r="D696" s="7"/>
      <c r="E696" s="7">
        <f>+IF(FINANCIACION[[#This Row],[$ CAPITAL]]&gt;=0,FINANCIACION[[#This Row],[$ CAPITAL]]+FINANCIACION[[#This Row],[$ INTERESES]],"")</f>
        <v>3000000</v>
      </c>
      <c r="F696" s="7">
        <f>+SUMIFS(FINANCIACION[$ CAPITAL],FINANCIACION[Fecha],"&lt;="&amp;FINANCIACION[[#This Row],[Fecha]],FINANCIACION[PRESTAMO],FINANCIACION[[#This Row],[PRESTAMO]])</f>
        <v>5761463.0499999924</v>
      </c>
      <c r="G696" s="11"/>
      <c r="H696" s="11"/>
      <c r="I696" s="7">
        <f>+IF(FINANCIACION[[#This Row],[$ CAPITAL]]&gt;0,FINANCIACION[[#This Row],[$ CAPITAL]])</f>
        <v>3000000</v>
      </c>
      <c r="J696" s="49">
        <f>+IF(FINANCIACION[[#This Row],[$ CAPITAL]]&gt;=0,FINANCIACION[[#This Row],[$ CAPITAL]]+FINANCIACION[[#This Row],[$ INTERESES]],0)</f>
        <v>3000000</v>
      </c>
    </row>
    <row r="697" spans="1:16" ht="24" hidden="1" customHeight="1" x14ac:dyDescent="0.25">
      <c r="A697" s="10">
        <v>43906</v>
      </c>
      <c r="B697" s="85" t="s">
        <v>723</v>
      </c>
      <c r="C697" s="7">
        <v>1000000</v>
      </c>
      <c r="D697" s="7"/>
      <c r="E697" s="7">
        <f>+IF(FINANCIACION[[#This Row],[$ CAPITAL]]&gt;=0,FINANCIACION[[#This Row],[$ CAPITAL]]+FINANCIACION[[#This Row],[$ INTERESES]],"")</f>
        <v>1000000</v>
      </c>
      <c r="F697" s="7">
        <f>+SUMIFS(FINANCIACION[$ CAPITAL],FINANCIACION[Fecha],"&lt;="&amp;FINANCIACION[[#This Row],[Fecha]],FINANCIACION[PRESTAMO],FINANCIACION[[#This Row],[PRESTAMO]])</f>
        <v>8761463.0499999933</v>
      </c>
      <c r="G697" s="11"/>
      <c r="H697" s="11"/>
      <c r="I697" s="7">
        <f>+IF(FINANCIACION[[#This Row],[$ CAPITAL]]&gt;0,FINANCIACION[[#This Row],[$ CAPITAL]])</f>
        <v>1000000</v>
      </c>
      <c r="J697" s="49">
        <f>+IF(FINANCIACION[[#This Row],[$ CAPITAL]]&gt;=0,FINANCIACION[[#This Row],[$ CAPITAL]]+FINANCIACION[[#This Row],[$ INTERESES]],0)</f>
        <v>1000000</v>
      </c>
    </row>
    <row r="698" spans="1:16" ht="24" hidden="1" customHeight="1" x14ac:dyDescent="0.25">
      <c r="A698" s="10">
        <v>43906</v>
      </c>
      <c r="B698" s="85" t="s">
        <v>723</v>
      </c>
      <c r="C698" s="7">
        <v>2000000</v>
      </c>
      <c r="D698" s="7"/>
      <c r="E698" s="7">
        <f>+IF(FINANCIACION[[#This Row],[$ CAPITAL]]&gt;=0,FINANCIACION[[#This Row],[$ CAPITAL]]+FINANCIACION[[#This Row],[$ INTERESES]],"")</f>
        <v>2000000</v>
      </c>
      <c r="F698" s="7">
        <f>+SUMIFS(FINANCIACION[$ CAPITAL],FINANCIACION[Fecha],"&lt;="&amp;FINANCIACION[[#This Row],[Fecha]],FINANCIACION[PRESTAMO],FINANCIACION[[#This Row],[PRESTAMO]])</f>
        <v>8761463.0499999933</v>
      </c>
      <c r="G698" s="11"/>
      <c r="H698" s="11"/>
      <c r="I698" s="7">
        <f>+IF(FINANCIACION[[#This Row],[$ CAPITAL]]&gt;0,FINANCIACION[[#This Row],[$ CAPITAL]])</f>
        <v>2000000</v>
      </c>
      <c r="J698" s="49">
        <f>+IF(FINANCIACION[[#This Row],[$ CAPITAL]]&gt;=0,FINANCIACION[[#This Row],[$ CAPITAL]]+FINANCIACION[[#This Row],[$ INTERESES]],0)</f>
        <v>2000000</v>
      </c>
      <c r="K698" s="15"/>
      <c r="N698" s="8"/>
      <c r="O698" s="14"/>
      <c r="P698" s="12"/>
    </row>
    <row r="699" spans="1:16" ht="24" hidden="1" customHeight="1" x14ac:dyDescent="0.25">
      <c r="A699" s="10">
        <v>43927</v>
      </c>
      <c r="B699" s="85" t="s">
        <v>723</v>
      </c>
      <c r="C699" s="7">
        <v>1063762</v>
      </c>
      <c r="D699" s="7"/>
      <c r="E699" s="7">
        <f>+IF(FINANCIACION[[#This Row],[$ CAPITAL]]&gt;=0,FINANCIACION[[#This Row],[$ CAPITAL]]+FINANCIACION[[#This Row],[$ INTERESES]],"")</f>
        <v>1063762</v>
      </c>
      <c r="F699" s="7">
        <f>+SUMIFS(FINANCIACION[$ CAPITAL],FINANCIACION[Fecha],"&lt;="&amp;FINANCIACION[[#This Row],[Fecha]],FINANCIACION[PRESTAMO],FINANCIACION[[#This Row],[PRESTAMO]])</f>
        <v>9825225.0499999933</v>
      </c>
      <c r="G699" s="11"/>
      <c r="H699" s="11"/>
      <c r="I699" s="7">
        <f>+IF(FINANCIACION[[#This Row],[$ CAPITAL]]&gt;0,FINANCIACION[[#This Row],[$ CAPITAL]])</f>
        <v>1063762</v>
      </c>
      <c r="J699" s="49">
        <f>+IF(FINANCIACION[[#This Row],[$ CAPITAL]]&gt;=0,FINANCIACION[[#This Row],[$ CAPITAL]]+FINANCIACION[[#This Row],[$ INTERESES]],0)</f>
        <v>1063762</v>
      </c>
      <c r="K699" s="15"/>
      <c r="N699" s="8"/>
      <c r="O699" s="14"/>
      <c r="P699" s="12"/>
    </row>
    <row r="700" spans="1:16" ht="24" hidden="1" customHeight="1" x14ac:dyDescent="0.25">
      <c r="A700" s="10">
        <v>43930</v>
      </c>
      <c r="B700" s="85" t="s">
        <v>723</v>
      </c>
      <c r="C700" s="7">
        <v>-1235000</v>
      </c>
      <c r="D700" s="7"/>
      <c r="E700" s="7" t="str">
        <f>+IF(FINANCIACION[[#This Row],[$ CAPITAL]]&gt;=0,FINANCIACION[[#This Row],[$ CAPITAL]]+FINANCIACION[[#This Row],[$ INTERESES]],"")</f>
        <v/>
      </c>
      <c r="F700" s="7">
        <f>+SUMIFS(FINANCIACION[$ CAPITAL],FINANCIACION[Fecha],"&lt;="&amp;FINANCIACION[[#This Row],[Fecha]],FINANCIACION[PRESTAMO],FINANCIACION[[#This Row],[PRESTAMO]])</f>
        <v>8590225.0499999933</v>
      </c>
      <c r="G700" s="11"/>
      <c r="H700" s="11"/>
      <c r="I700" s="7" t="b">
        <f>+IF(FINANCIACION[[#This Row],[$ CAPITAL]]&gt;0,FINANCIACION[[#This Row],[$ CAPITAL]])</f>
        <v>0</v>
      </c>
      <c r="J700" s="49">
        <f>+IF(FINANCIACION[[#This Row],[$ CAPITAL]]&gt;=0,FINANCIACION[[#This Row],[$ CAPITAL]]+FINANCIACION[[#This Row],[$ INTERESES]],0)</f>
        <v>0</v>
      </c>
      <c r="K700" s="15"/>
      <c r="N700" s="8"/>
      <c r="O700" s="14"/>
      <c r="P700" s="12"/>
    </row>
    <row r="701" spans="1:16" ht="24" hidden="1" customHeight="1" x14ac:dyDescent="0.25">
      <c r="A701" s="10">
        <v>43935</v>
      </c>
      <c r="B701" s="85" t="s">
        <v>723</v>
      </c>
      <c r="C701" s="7">
        <v>1030593</v>
      </c>
      <c r="D701" s="7"/>
      <c r="E701" s="7">
        <f>+IF(FINANCIACION[[#This Row],[$ CAPITAL]]&gt;=0,FINANCIACION[[#This Row],[$ CAPITAL]]+FINANCIACION[[#This Row],[$ INTERESES]],"")</f>
        <v>1030593</v>
      </c>
      <c r="F701" s="7">
        <f>+SUMIFS(FINANCIACION[$ CAPITAL],FINANCIACION[Fecha],"&lt;="&amp;FINANCIACION[[#This Row],[Fecha]],FINANCIACION[PRESTAMO],FINANCIACION[[#This Row],[PRESTAMO]])</f>
        <v>9620818.0499999933</v>
      </c>
      <c r="G701" s="11"/>
      <c r="H701" s="11"/>
      <c r="I701" s="7">
        <f>+IF(FINANCIACION[[#This Row],[$ CAPITAL]]&gt;0,FINANCIACION[[#This Row],[$ CAPITAL]])</f>
        <v>1030593</v>
      </c>
      <c r="J701" s="49">
        <f>+IF(FINANCIACION[[#This Row],[$ CAPITAL]]&gt;=0,FINANCIACION[[#This Row],[$ CAPITAL]]+FINANCIACION[[#This Row],[$ INTERESES]],0)</f>
        <v>1030593</v>
      </c>
      <c r="K701" s="15"/>
      <c r="N701" s="8"/>
      <c r="O701" s="14"/>
      <c r="P701" s="12"/>
    </row>
    <row r="702" spans="1:16" ht="24" hidden="1" customHeight="1" x14ac:dyDescent="0.25">
      <c r="A702" s="10">
        <v>43948</v>
      </c>
      <c r="B702" s="85" t="s">
        <v>723</v>
      </c>
      <c r="C702" s="7">
        <v>194501</v>
      </c>
      <c r="D702" s="7"/>
      <c r="E702" s="7">
        <f>+IF(FINANCIACION[[#This Row],[$ CAPITAL]]&gt;=0,FINANCIACION[[#This Row],[$ CAPITAL]]+FINANCIACION[[#This Row],[$ INTERESES]],"")</f>
        <v>194501</v>
      </c>
      <c r="F702" s="7">
        <f>+SUMIFS(FINANCIACION[$ CAPITAL],FINANCIACION[Fecha],"&lt;="&amp;FINANCIACION[[#This Row],[Fecha]],FINANCIACION[PRESTAMO],FINANCIACION[[#This Row],[PRESTAMO]])</f>
        <v>9815319.0499999933</v>
      </c>
      <c r="G702" s="11"/>
      <c r="H702" s="11"/>
      <c r="I702" s="7">
        <f>+IF(FINANCIACION[[#This Row],[$ CAPITAL]]&gt;0,FINANCIACION[[#This Row],[$ CAPITAL]])</f>
        <v>194501</v>
      </c>
      <c r="J702" s="49">
        <f>+IF(FINANCIACION[[#This Row],[$ CAPITAL]]&gt;=0,FINANCIACION[[#This Row],[$ CAPITAL]]+FINANCIACION[[#This Row],[$ INTERESES]],0)</f>
        <v>194501</v>
      </c>
      <c r="K702" s="15"/>
      <c r="N702" s="8"/>
      <c r="O702" s="14"/>
      <c r="P702" s="12"/>
    </row>
    <row r="703" spans="1:16" ht="24" hidden="1" customHeight="1" x14ac:dyDescent="0.25">
      <c r="A703" s="10">
        <v>43951</v>
      </c>
      <c r="B703" s="85" t="s">
        <v>723</v>
      </c>
      <c r="C703" s="7">
        <v>-2289805</v>
      </c>
      <c r="D703" s="7"/>
      <c r="E703" s="7" t="str">
        <f>+IF(FINANCIACION[[#This Row],[$ CAPITAL]]&gt;=0,FINANCIACION[[#This Row],[$ CAPITAL]]+FINANCIACION[[#This Row],[$ INTERESES]],"")</f>
        <v/>
      </c>
      <c r="F703" s="7">
        <f>+SUMIFS(FINANCIACION[$ CAPITAL],FINANCIACION[Fecha],"&lt;="&amp;FINANCIACION[[#This Row],[Fecha]],FINANCIACION[PRESTAMO],FINANCIACION[[#This Row],[PRESTAMO]])</f>
        <v>7525514.0499999933</v>
      </c>
      <c r="G703" s="11"/>
      <c r="H703" s="11"/>
      <c r="I703" s="7" t="b">
        <f>+IF(FINANCIACION[[#This Row],[$ CAPITAL]]&gt;0,FINANCIACION[[#This Row],[$ CAPITAL]])</f>
        <v>0</v>
      </c>
      <c r="J703" s="49">
        <f>+IF(FINANCIACION[[#This Row],[$ CAPITAL]]&gt;=0,FINANCIACION[[#This Row],[$ CAPITAL]]+FINANCIACION[[#This Row],[$ INTERESES]],0)</f>
        <v>0</v>
      </c>
      <c r="K703" s="15"/>
      <c r="N703" s="8"/>
      <c r="O703" s="14"/>
      <c r="P703" s="12"/>
    </row>
    <row r="704" spans="1:16" ht="24" hidden="1" customHeight="1" x14ac:dyDescent="0.25">
      <c r="A704" s="10">
        <v>43952</v>
      </c>
      <c r="B704" s="85" t="s">
        <v>723</v>
      </c>
      <c r="C704" s="7">
        <v>-39625275</v>
      </c>
      <c r="D704" s="7"/>
      <c r="E704" s="7" t="str">
        <f>+IF(FINANCIACION[[#This Row],[$ CAPITAL]]&gt;=0,FINANCIACION[[#This Row],[$ CAPITAL]]+FINANCIACION[[#This Row],[$ INTERESES]],"")</f>
        <v/>
      </c>
      <c r="F704" s="7">
        <f>+SUMIFS(FINANCIACION[$ CAPITAL],FINANCIACION[Fecha],"&lt;="&amp;FINANCIACION[[#This Row],[Fecha]],FINANCIACION[PRESTAMO],FINANCIACION[[#This Row],[PRESTAMO]])</f>
        <v>-32099760.950000007</v>
      </c>
      <c r="G704" s="11"/>
      <c r="H704" s="11"/>
      <c r="I704" s="7" t="b">
        <f>+IF(FINANCIACION[[#This Row],[$ CAPITAL]]&gt;0,FINANCIACION[[#This Row],[$ CAPITAL]])</f>
        <v>0</v>
      </c>
      <c r="J704" s="49">
        <f>+IF(FINANCIACION[[#This Row],[$ CAPITAL]]&gt;=0,FINANCIACION[[#This Row],[$ CAPITAL]]+FINANCIACION[[#This Row],[$ INTERESES]],0)</f>
        <v>0</v>
      </c>
      <c r="K704" s="15"/>
      <c r="N704" s="8"/>
      <c r="O704" s="14"/>
      <c r="P704" s="12"/>
    </row>
    <row r="705" spans="1:16" ht="24" hidden="1" customHeight="1" x14ac:dyDescent="0.25">
      <c r="A705" s="10">
        <v>43952</v>
      </c>
      <c r="B705" s="85" t="s">
        <v>723</v>
      </c>
      <c r="C705" s="7"/>
      <c r="D705" s="7">
        <v>1688036.71</v>
      </c>
      <c r="E705" s="7">
        <f>+IF(FINANCIACION[[#This Row],[$ CAPITAL]]&gt;=0,FINANCIACION[[#This Row],[$ CAPITAL]]+FINANCIACION[[#This Row],[$ INTERESES]],"")</f>
        <v>1688036.71</v>
      </c>
      <c r="F705" s="7">
        <f>+SUMIFS(FINANCIACION[$ CAPITAL],FINANCIACION[Fecha],"&lt;="&amp;FINANCIACION[[#This Row],[Fecha]],FINANCIACION[PRESTAMO],FINANCIACION[[#This Row],[PRESTAMO]])</f>
        <v>-32099760.950000007</v>
      </c>
      <c r="G705" s="11"/>
      <c r="H705" s="11"/>
      <c r="I705" s="7" t="b">
        <f>+IF(FINANCIACION[[#This Row],[$ CAPITAL]]&gt;0,FINANCIACION[[#This Row],[$ CAPITAL]])</f>
        <v>0</v>
      </c>
      <c r="J705" s="49">
        <f>+IF(FINANCIACION[[#This Row],[$ CAPITAL]]&gt;=0,FINANCIACION[[#This Row],[$ CAPITAL]]+FINANCIACION[[#This Row],[$ INTERESES]],0)</f>
        <v>1688036.71</v>
      </c>
      <c r="K705" s="15"/>
      <c r="N705" s="8"/>
      <c r="O705" s="14"/>
      <c r="P705" s="12"/>
    </row>
    <row r="706" spans="1:16" ht="24" hidden="1" customHeight="1" x14ac:dyDescent="0.25">
      <c r="A706" s="10">
        <v>43958</v>
      </c>
      <c r="B706" s="85" t="s">
        <v>723</v>
      </c>
      <c r="C706" s="7">
        <v>-1532050</v>
      </c>
      <c r="D706" s="7"/>
      <c r="E706" s="7" t="str">
        <f>+IF(FINANCIACION[[#This Row],[$ CAPITAL]]&gt;=0,FINANCIACION[[#This Row],[$ CAPITAL]]+FINANCIACION[[#This Row],[$ INTERESES]],"")</f>
        <v/>
      </c>
      <c r="F706" s="7">
        <f>+SUMIFS(FINANCIACION[$ CAPITAL],FINANCIACION[Fecha],"&lt;="&amp;FINANCIACION[[#This Row],[Fecha]],FINANCIACION[PRESTAMO],FINANCIACION[[#This Row],[PRESTAMO]])</f>
        <v>-39372691.950000003</v>
      </c>
      <c r="G706" s="11"/>
      <c r="H706" s="11"/>
      <c r="I706" s="7" t="b">
        <f>+IF(FINANCIACION[[#This Row],[$ CAPITAL]]&gt;0,FINANCIACION[[#This Row],[$ CAPITAL]])</f>
        <v>0</v>
      </c>
      <c r="J706" s="49">
        <f>+IF(FINANCIACION[[#This Row],[$ CAPITAL]]&gt;=0,FINANCIACION[[#This Row],[$ CAPITAL]]+FINANCIACION[[#This Row],[$ INTERESES]],0)</f>
        <v>0</v>
      </c>
      <c r="K706" s="15"/>
      <c r="N706" s="8"/>
      <c r="O706" s="14"/>
      <c r="P706" s="12"/>
    </row>
    <row r="707" spans="1:16" ht="24" hidden="1" customHeight="1" x14ac:dyDescent="0.25">
      <c r="A707" s="10">
        <v>43958</v>
      </c>
      <c r="B707" s="85" t="s">
        <v>723</v>
      </c>
      <c r="C707" s="7">
        <v>800765</v>
      </c>
      <c r="D707" s="7"/>
      <c r="E707" s="7">
        <f>+IF(FINANCIACION[[#This Row],[$ CAPITAL]]&gt;=0,FINANCIACION[[#This Row],[$ CAPITAL]]+FINANCIACION[[#This Row],[$ INTERESES]],"")</f>
        <v>800765</v>
      </c>
      <c r="F707" s="7">
        <f>+SUMIFS(FINANCIACION[$ CAPITAL],FINANCIACION[Fecha],"&lt;="&amp;FINANCIACION[[#This Row],[Fecha]],FINANCIACION[PRESTAMO],FINANCIACION[[#This Row],[PRESTAMO]])</f>
        <v>-39372691.950000003</v>
      </c>
      <c r="G707" s="11"/>
      <c r="H707" s="11"/>
      <c r="I707" s="7">
        <f>+IF(FINANCIACION[[#This Row],[$ CAPITAL]]&gt;0,FINANCIACION[[#This Row],[$ CAPITAL]])</f>
        <v>800765</v>
      </c>
      <c r="J707" s="49">
        <f>+IF(FINANCIACION[[#This Row],[$ CAPITAL]]&gt;=0,FINANCIACION[[#This Row],[$ CAPITAL]]+FINANCIACION[[#This Row],[$ INTERESES]],0)</f>
        <v>800765</v>
      </c>
      <c r="K707" s="15"/>
      <c r="N707" s="8"/>
      <c r="O707" s="14"/>
      <c r="P707" s="12"/>
    </row>
    <row r="708" spans="1:16" ht="24" hidden="1" customHeight="1" x14ac:dyDescent="0.25">
      <c r="A708" s="10">
        <v>43958</v>
      </c>
      <c r="B708" s="85" t="s">
        <v>723</v>
      </c>
      <c r="C708" s="7">
        <v>-6541646</v>
      </c>
      <c r="D708" s="7"/>
      <c r="E708" s="7" t="str">
        <f>+IF(FINANCIACION[[#This Row],[$ CAPITAL]]&gt;=0,FINANCIACION[[#This Row],[$ CAPITAL]]+FINANCIACION[[#This Row],[$ INTERESES]],"")</f>
        <v/>
      </c>
      <c r="F708" s="7">
        <f>+SUMIFS(FINANCIACION[$ CAPITAL],FINANCIACION[Fecha],"&lt;="&amp;FINANCIACION[[#This Row],[Fecha]],FINANCIACION[PRESTAMO],FINANCIACION[[#This Row],[PRESTAMO]])</f>
        <v>-39372691.950000003</v>
      </c>
      <c r="G708" s="11"/>
      <c r="H708" s="11"/>
      <c r="I708" s="7" t="b">
        <f>+IF(FINANCIACION[[#This Row],[$ CAPITAL]]&gt;0,FINANCIACION[[#This Row],[$ CAPITAL]])</f>
        <v>0</v>
      </c>
      <c r="J708" s="49">
        <f>+IF(FINANCIACION[[#This Row],[$ CAPITAL]]&gt;=0,FINANCIACION[[#This Row],[$ CAPITAL]]+FINANCIACION[[#This Row],[$ INTERESES]],0)</f>
        <v>0</v>
      </c>
      <c r="K708" s="15"/>
      <c r="N708" s="8"/>
      <c r="O708" s="14"/>
      <c r="P708" s="12"/>
    </row>
    <row r="709" spans="1:16" ht="24" hidden="1" customHeight="1" x14ac:dyDescent="0.25">
      <c r="A709" s="10">
        <v>43970</v>
      </c>
      <c r="B709" s="85" t="s">
        <v>723</v>
      </c>
      <c r="C709" s="7">
        <v>-18600000</v>
      </c>
      <c r="D709" s="7"/>
      <c r="E709" s="7" t="str">
        <f>+IF(FINANCIACION[[#This Row],[$ CAPITAL]]&gt;=0,FINANCIACION[[#This Row],[$ CAPITAL]]+FINANCIACION[[#This Row],[$ INTERESES]],"")</f>
        <v/>
      </c>
      <c r="F709" s="7">
        <f>+SUMIFS(FINANCIACION[$ CAPITAL],FINANCIACION[Fecha],"&lt;="&amp;FINANCIACION[[#This Row],[Fecha]],FINANCIACION[PRESTAMO],FINANCIACION[[#This Row],[PRESTAMO]])</f>
        <v>-57972691.950000003</v>
      </c>
      <c r="G709" s="11"/>
      <c r="H709" s="11"/>
      <c r="I709" s="7" t="b">
        <f>+IF(FINANCIACION[[#This Row],[$ CAPITAL]]&gt;0,FINANCIACION[[#This Row],[$ CAPITAL]])</f>
        <v>0</v>
      </c>
      <c r="J709" s="49">
        <f>+IF(FINANCIACION[[#This Row],[$ CAPITAL]]&gt;=0,FINANCIACION[[#This Row],[$ CAPITAL]]+FINANCIACION[[#This Row],[$ INTERESES]],0)</f>
        <v>0</v>
      </c>
      <c r="K709" s="15"/>
      <c r="N709" s="8"/>
      <c r="O709" s="14"/>
      <c r="P709" s="12"/>
    </row>
    <row r="710" spans="1:16" ht="24" hidden="1" customHeight="1" x14ac:dyDescent="0.25">
      <c r="A710" s="10">
        <v>43973</v>
      </c>
      <c r="B710" s="85" t="s">
        <v>723</v>
      </c>
      <c r="C710" s="7">
        <v>113227.5</v>
      </c>
      <c r="D710" s="7"/>
      <c r="E710" s="7">
        <f>+IF(FINANCIACION[[#This Row],[$ CAPITAL]]&gt;=0,FINANCIACION[[#This Row],[$ CAPITAL]]+FINANCIACION[[#This Row],[$ INTERESES]],"")</f>
        <v>113227.5</v>
      </c>
      <c r="F710" s="7">
        <f>+SUMIFS(FINANCIACION[$ CAPITAL],FINANCIACION[Fecha],"&lt;="&amp;FINANCIACION[[#This Row],[Fecha]],FINANCIACION[PRESTAMO],FINANCIACION[[#This Row],[PRESTAMO]])</f>
        <v>-48459464.450000003</v>
      </c>
      <c r="G710" s="11"/>
      <c r="H710" s="11"/>
      <c r="I710" s="7">
        <f>+IF(FINANCIACION[[#This Row],[$ CAPITAL]]&gt;0,FINANCIACION[[#This Row],[$ CAPITAL]])</f>
        <v>113227.5</v>
      </c>
      <c r="J710" s="49">
        <f>+IF(FINANCIACION[[#This Row],[$ CAPITAL]]&gt;=0,FINANCIACION[[#This Row],[$ CAPITAL]]+FINANCIACION[[#This Row],[$ INTERESES]],0)</f>
        <v>113227.5</v>
      </c>
      <c r="K710" s="15"/>
      <c r="N710" s="8"/>
      <c r="O710" s="14"/>
      <c r="P710" s="12"/>
    </row>
    <row r="711" spans="1:16" ht="24" hidden="1" customHeight="1" x14ac:dyDescent="0.25">
      <c r="A711" s="10">
        <v>43973</v>
      </c>
      <c r="B711" s="85" t="s">
        <v>723</v>
      </c>
      <c r="C711" s="7">
        <v>9400000</v>
      </c>
      <c r="D711" s="7"/>
      <c r="E711" s="7">
        <f>+IF(FINANCIACION[[#This Row],[$ CAPITAL]]&gt;=0,FINANCIACION[[#This Row],[$ CAPITAL]]+FINANCIACION[[#This Row],[$ INTERESES]],"")</f>
        <v>9400000</v>
      </c>
      <c r="F711" s="7">
        <f>+SUMIFS(FINANCIACION[$ CAPITAL],FINANCIACION[Fecha],"&lt;="&amp;FINANCIACION[[#This Row],[Fecha]],FINANCIACION[PRESTAMO],FINANCIACION[[#This Row],[PRESTAMO]])</f>
        <v>-48459464.450000003</v>
      </c>
      <c r="G711" s="11"/>
      <c r="H711" s="11"/>
      <c r="I711" s="7">
        <f>+IF(FINANCIACION[[#This Row],[$ CAPITAL]]&gt;0,FINANCIACION[[#This Row],[$ CAPITAL]])</f>
        <v>9400000</v>
      </c>
      <c r="J711" s="49">
        <f>+IF(FINANCIACION[[#This Row],[$ CAPITAL]]&gt;=0,FINANCIACION[[#This Row],[$ CAPITAL]]+FINANCIACION[[#This Row],[$ INTERESES]],0)</f>
        <v>9400000</v>
      </c>
      <c r="K711" s="15"/>
      <c r="N711" s="8"/>
      <c r="O711" s="14"/>
      <c r="P711" s="12"/>
    </row>
    <row r="712" spans="1:16" ht="24" hidden="1" customHeight="1" x14ac:dyDescent="0.25">
      <c r="A712" s="10">
        <v>43977</v>
      </c>
      <c r="B712" s="85" t="s">
        <v>723</v>
      </c>
      <c r="C712" s="7">
        <v>1215058</v>
      </c>
      <c r="D712" s="7"/>
      <c r="E712" s="7">
        <f>+IF(FINANCIACION[[#This Row],[$ CAPITAL]]&gt;=0,FINANCIACION[[#This Row],[$ CAPITAL]]+FINANCIACION[[#This Row],[$ INTERESES]],"")</f>
        <v>1215058</v>
      </c>
      <c r="F712" s="7">
        <f>+SUMIFS(FINANCIACION[$ CAPITAL],FINANCIACION[Fecha],"&lt;="&amp;FINANCIACION[[#This Row],[Fecha]],FINANCIACION[PRESTAMO],FINANCIACION[[#This Row],[PRESTAMO]])</f>
        <v>-46244406.450000003</v>
      </c>
      <c r="G712" s="11"/>
      <c r="H712" s="11"/>
      <c r="I712" s="7">
        <f>+IF(FINANCIACION[[#This Row],[$ CAPITAL]]&gt;0,FINANCIACION[[#This Row],[$ CAPITAL]])</f>
        <v>1215058</v>
      </c>
      <c r="J712" s="49">
        <f>+IF(FINANCIACION[[#This Row],[$ CAPITAL]]&gt;=0,FINANCIACION[[#This Row],[$ CAPITAL]]+FINANCIACION[[#This Row],[$ INTERESES]],0)</f>
        <v>1215058</v>
      </c>
      <c r="K712" s="15"/>
      <c r="N712" s="8"/>
      <c r="O712" s="14"/>
      <c r="P712" s="12"/>
    </row>
    <row r="713" spans="1:16" ht="24" hidden="1" customHeight="1" x14ac:dyDescent="0.25">
      <c r="A713" s="10">
        <v>43977</v>
      </c>
      <c r="B713" s="85" t="s">
        <v>723</v>
      </c>
      <c r="C713" s="7">
        <v>1000000</v>
      </c>
      <c r="D713" s="7"/>
      <c r="E713" s="7">
        <f>+IF(FINANCIACION[[#This Row],[$ CAPITAL]]&gt;=0,FINANCIACION[[#This Row],[$ CAPITAL]]+FINANCIACION[[#This Row],[$ INTERESES]],"")</f>
        <v>1000000</v>
      </c>
      <c r="F713" s="7">
        <f>+SUMIFS(FINANCIACION[$ CAPITAL],FINANCIACION[Fecha],"&lt;="&amp;FINANCIACION[[#This Row],[Fecha]],FINANCIACION[PRESTAMO],FINANCIACION[[#This Row],[PRESTAMO]])</f>
        <v>-46244406.450000003</v>
      </c>
      <c r="G713" s="11"/>
      <c r="H713" s="11"/>
      <c r="I713" s="7">
        <f>+IF(FINANCIACION[[#This Row],[$ CAPITAL]]&gt;0,FINANCIACION[[#This Row],[$ CAPITAL]])</f>
        <v>1000000</v>
      </c>
      <c r="J713" s="49">
        <f>+IF(FINANCIACION[[#This Row],[$ CAPITAL]]&gt;=0,FINANCIACION[[#This Row],[$ CAPITAL]]+FINANCIACION[[#This Row],[$ INTERESES]],0)</f>
        <v>1000000</v>
      </c>
      <c r="K713" s="15"/>
      <c r="N713" s="8"/>
      <c r="O713" s="14"/>
      <c r="P713" s="12"/>
    </row>
    <row r="714" spans="1:16" ht="24" hidden="1" customHeight="1" x14ac:dyDescent="0.25">
      <c r="A714" s="10">
        <v>43978</v>
      </c>
      <c r="B714" s="85" t="s">
        <v>723</v>
      </c>
      <c r="C714" s="7">
        <v>2000000</v>
      </c>
      <c r="D714" s="7"/>
      <c r="E714" s="7">
        <f>+IF(FINANCIACION[[#This Row],[$ CAPITAL]]&gt;=0,FINANCIACION[[#This Row],[$ CAPITAL]]+FINANCIACION[[#This Row],[$ INTERESES]],"")</f>
        <v>2000000</v>
      </c>
      <c r="F714" s="7">
        <f>+SUMIFS(FINANCIACION[$ CAPITAL],FINANCIACION[Fecha],"&lt;="&amp;FINANCIACION[[#This Row],[Fecha]],FINANCIACION[PRESTAMO],FINANCIACION[[#This Row],[PRESTAMO]])</f>
        <v>-44244406.450000003</v>
      </c>
      <c r="G714" s="11"/>
      <c r="H714" s="11"/>
      <c r="I714" s="7">
        <f>+IF(FINANCIACION[[#This Row],[$ CAPITAL]]&gt;0,FINANCIACION[[#This Row],[$ CAPITAL]])</f>
        <v>2000000</v>
      </c>
      <c r="J714" s="49">
        <f>+IF(FINANCIACION[[#This Row],[$ CAPITAL]]&gt;=0,FINANCIACION[[#This Row],[$ CAPITAL]]+FINANCIACION[[#This Row],[$ INTERESES]],0)</f>
        <v>2000000</v>
      </c>
      <c r="K714" s="15"/>
      <c r="N714" s="8"/>
      <c r="O714" s="14"/>
      <c r="P714" s="12"/>
    </row>
    <row r="715" spans="1:16" ht="24" hidden="1" customHeight="1" x14ac:dyDescent="0.25">
      <c r="A715" s="10">
        <v>43980</v>
      </c>
      <c r="B715" s="85" t="s">
        <v>723</v>
      </c>
      <c r="C715" s="7">
        <v>1000000</v>
      </c>
      <c r="D715" s="7"/>
      <c r="E715" s="7">
        <f>+IF(FINANCIACION[[#This Row],[$ CAPITAL]]&gt;=0,FINANCIACION[[#This Row],[$ CAPITAL]]+FINANCIACION[[#This Row],[$ INTERESES]],"")</f>
        <v>1000000</v>
      </c>
      <c r="F715" s="7">
        <f>+SUMIFS(FINANCIACION[$ CAPITAL],FINANCIACION[Fecha],"&lt;="&amp;FINANCIACION[[#This Row],[Fecha]],FINANCIACION[PRESTAMO],FINANCIACION[[#This Row],[PRESTAMO]])</f>
        <v>-43244406.450000003</v>
      </c>
      <c r="G715" s="11"/>
      <c r="H715" s="11"/>
      <c r="I715" s="7">
        <f>+IF(FINANCIACION[[#This Row],[$ CAPITAL]]&gt;0,FINANCIACION[[#This Row],[$ CAPITAL]])</f>
        <v>1000000</v>
      </c>
      <c r="J715" s="49">
        <f>+IF(FINANCIACION[[#This Row],[$ CAPITAL]]&gt;=0,FINANCIACION[[#This Row],[$ CAPITAL]]+FINANCIACION[[#This Row],[$ INTERESES]],0)</f>
        <v>1000000</v>
      </c>
      <c r="K715" s="15"/>
      <c r="N715" s="8"/>
      <c r="O715" s="14"/>
      <c r="P715" s="12"/>
    </row>
    <row r="716" spans="1:16" ht="24" hidden="1" customHeight="1" x14ac:dyDescent="0.25">
      <c r="A716" s="10">
        <v>43982</v>
      </c>
      <c r="B716" s="85" t="s">
        <v>723</v>
      </c>
      <c r="C716" s="7">
        <v>607650</v>
      </c>
      <c r="D716" s="7"/>
      <c r="E716" s="7">
        <f>+IF(FINANCIACION[[#This Row],[$ CAPITAL]]&gt;=0,FINANCIACION[[#This Row],[$ CAPITAL]]+FINANCIACION[[#This Row],[$ INTERESES]],"")</f>
        <v>607650</v>
      </c>
      <c r="F716" s="7">
        <f>+SUMIFS(FINANCIACION[$ CAPITAL],FINANCIACION[Fecha],"&lt;="&amp;FINANCIACION[[#This Row],[Fecha]],FINANCIACION[PRESTAMO],FINANCIACION[[#This Row],[PRESTAMO]])</f>
        <v>-44947351.950000003</v>
      </c>
      <c r="G716" s="11"/>
      <c r="H716" s="11"/>
      <c r="I716" s="7">
        <f>+IF(FINANCIACION[[#This Row],[$ CAPITAL]]&gt;0,FINANCIACION[[#This Row],[$ CAPITAL]])</f>
        <v>607650</v>
      </c>
      <c r="J716" s="49">
        <f>+IF(FINANCIACION[[#This Row],[$ CAPITAL]]&gt;=0,FINANCIACION[[#This Row],[$ CAPITAL]]+FINANCIACION[[#This Row],[$ INTERESES]],0)</f>
        <v>607650</v>
      </c>
      <c r="K716" s="15"/>
      <c r="N716" s="8"/>
      <c r="O716" s="14"/>
      <c r="P716" s="12"/>
    </row>
    <row r="717" spans="1:16" ht="24" hidden="1" customHeight="1" x14ac:dyDescent="0.25">
      <c r="A717" s="10">
        <v>43982</v>
      </c>
      <c r="B717" s="85" t="s">
        <v>723</v>
      </c>
      <c r="C717" s="7">
        <v>-1739144.5</v>
      </c>
      <c r="D717" s="7"/>
      <c r="E717" s="7" t="str">
        <f>+IF(FINANCIACION[[#This Row],[$ CAPITAL]]&gt;=0,FINANCIACION[[#This Row],[$ CAPITAL]]+FINANCIACION[[#This Row],[$ INTERESES]],"")</f>
        <v/>
      </c>
      <c r="F717" s="7">
        <f>+SUMIFS(FINANCIACION[$ CAPITAL],FINANCIACION[Fecha],"&lt;="&amp;FINANCIACION[[#This Row],[Fecha]],FINANCIACION[PRESTAMO],FINANCIACION[[#This Row],[PRESTAMO]])</f>
        <v>-44947351.950000003</v>
      </c>
      <c r="G717" s="11"/>
      <c r="H717" s="11"/>
      <c r="I717" s="7" t="b">
        <f>+IF(FINANCIACION[[#This Row],[$ CAPITAL]]&gt;0,FINANCIACION[[#This Row],[$ CAPITAL]])</f>
        <v>0</v>
      </c>
      <c r="J717" s="49">
        <f>+IF(FINANCIACION[[#This Row],[$ CAPITAL]]&gt;=0,FINANCIACION[[#This Row],[$ CAPITAL]]+FINANCIACION[[#This Row],[$ INTERESES]],0)</f>
        <v>0</v>
      </c>
      <c r="K717" s="15"/>
      <c r="N717" s="8"/>
      <c r="O717" s="14"/>
      <c r="P717" s="12"/>
    </row>
    <row r="718" spans="1:16" ht="24" hidden="1" customHeight="1" x14ac:dyDescent="0.25">
      <c r="A718" s="10">
        <v>43982</v>
      </c>
      <c r="B718" s="85" t="s">
        <v>723</v>
      </c>
      <c r="C718" s="7">
        <v>-571451</v>
      </c>
      <c r="D718" s="7"/>
      <c r="E718" s="7" t="str">
        <f>+IF(FINANCIACION[[#This Row],[$ CAPITAL]]&gt;=0,FINANCIACION[[#This Row],[$ CAPITAL]]+FINANCIACION[[#This Row],[$ INTERESES]],"")</f>
        <v/>
      </c>
      <c r="F718" s="7">
        <f>+SUMIFS(FINANCIACION[$ CAPITAL],FINANCIACION[Fecha],"&lt;="&amp;FINANCIACION[[#This Row],[Fecha]],FINANCIACION[PRESTAMO],FINANCIACION[[#This Row],[PRESTAMO]])</f>
        <v>-44947351.950000003</v>
      </c>
      <c r="G718" s="11"/>
      <c r="H718" s="11"/>
      <c r="I718" s="7" t="b">
        <f>+IF(FINANCIACION[[#This Row],[$ CAPITAL]]&gt;0,FINANCIACION[[#This Row],[$ CAPITAL]])</f>
        <v>0</v>
      </c>
      <c r="J718" s="49">
        <f>+IF(FINANCIACION[[#This Row],[$ CAPITAL]]&gt;=0,FINANCIACION[[#This Row],[$ CAPITAL]]+FINANCIACION[[#This Row],[$ INTERESES]],0)</f>
        <v>0</v>
      </c>
      <c r="K718" s="15"/>
      <c r="N718" s="8"/>
      <c r="O718" s="14"/>
      <c r="P718" s="12"/>
    </row>
    <row r="719" spans="1:16" ht="24" hidden="1" customHeight="1" x14ac:dyDescent="0.25">
      <c r="A719" s="10">
        <v>43985</v>
      </c>
      <c r="B719" s="85" t="s">
        <v>723</v>
      </c>
      <c r="C719" s="7">
        <v>-32325882</v>
      </c>
      <c r="D719" s="7"/>
      <c r="E719" s="7" t="str">
        <f>+IF(FINANCIACION[[#This Row],[$ CAPITAL]]&gt;=0,FINANCIACION[[#This Row],[$ CAPITAL]]+FINANCIACION[[#This Row],[$ INTERESES]],"")</f>
        <v/>
      </c>
      <c r="F719" s="7">
        <f>+SUMIFS(FINANCIACION[$ CAPITAL],FINANCIACION[Fecha],"&lt;="&amp;FINANCIACION[[#This Row],[Fecha]],FINANCIACION[PRESTAMO],FINANCIACION[[#This Row],[PRESTAMO]])</f>
        <v>-77273233.950000003</v>
      </c>
      <c r="G719" s="11"/>
      <c r="H719" s="11"/>
      <c r="I719" s="7" t="b">
        <f>+IF(FINANCIACION[[#This Row],[$ CAPITAL]]&gt;0,FINANCIACION[[#This Row],[$ CAPITAL]])</f>
        <v>0</v>
      </c>
      <c r="J719" s="49">
        <f>+IF(FINANCIACION[[#This Row],[$ CAPITAL]]&gt;=0,FINANCIACION[[#This Row],[$ CAPITAL]]+FINANCIACION[[#This Row],[$ INTERESES]],0)</f>
        <v>0</v>
      </c>
      <c r="K719" s="15"/>
      <c r="N719" s="8"/>
      <c r="O719" s="14"/>
      <c r="P719" s="12"/>
    </row>
    <row r="720" spans="1:16" ht="24" hidden="1" customHeight="1" x14ac:dyDescent="0.25">
      <c r="A720" s="10">
        <v>43985</v>
      </c>
      <c r="B720" s="85" t="s">
        <v>723</v>
      </c>
      <c r="C720" s="7"/>
      <c r="D720" s="7">
        <v>1377082.57</v>
      </c>
      <c r="E720" s="7">
        <f>+IF(FINANCIACION[[#This Row],[$ CAPITAL]]&gt;=0,FINANCIACION[[#This Row],[$ CAPITAL]]+FINANCIACION[[#This Row],[$ INTERESES]],"")</f>
        <v>1377082.57</v>
      </c>
      <c r="F720" s="7">
        <f>+SUMIFS(FINANCIACION[$ CAPITAL],FINANCIACION[Fecha],"&lt;="&amp;FINANCIACION[[#This Row],[Fecha]],FINANCIACION[PRESTAMO],FINANCIACION[[#This Row],[PRESTAMO]])</f>
        <v>-77273233.950000003</v>
      </c>
      <c r="G720" s="11"/>
      <c r="H720" s="11"/>
      <c r="I720" s="7" t="b">
        <f>+IF(FINANCIACION[[#This Row],[$ CAPITAL]]&gt;0,FINANCIACION[[#This Row],[$ CAPITAL]])</f>
        <v>0</v>
      </c>
      <c r="J720" s="49">
        <f>+IF(FINANCIACION[[#This Row],[$ CAPITAL]]&gt;=0,FINANCIACION[[#This Row],[$ CAPITAL]]+FINANCIACION[[#This Row],[$ INTERESES]],0)</f>
        <v>1377082.57</v>
      </c>
      <c r="K720" s="15"/>
      <c r="N720" s="8"/>
      <c r="O720" s="14"/>
      <c r="P720" s="12"/>
    </row>
    <row r="721" spans="1:16" ht="24" hidden="1" customHeight="1" x14ac:dyDescent="0.25">
      <c r="A721" s="10">
        <v>43990</v>
      </c>
      <c r="B721" s="85" t="s">
        <v>723</v>
      </c>
      <c r="C721" s="7">
        <v>1000000</v>
      </c>
      <c r="D721" s="7"/>
      <c r="E721" s="7">
        <f>+IF(FINANCIACION[[#This Row],[$ CAPITAL]]&gt;=0,FINANCIACION[[#This Row],[$ CAPITAL]]+FINANCIACION[[#This Row],[$ INTERESES]],"")</f>
        <v>1000000</v>
      </c>
      <c r="F721" s="7">
        <f>+SUMIFS(FINANCIACION[$ CAPITAL],FINANCIACION[Fecha],"&lt;="&amp;FINANCIACION[[#This Row],[Fecha]],FINANCIACION[PRESTAMO],FINANCIACION[[#This Row],[PRESTAMO]])</f>
        <v>-76273233.950000003</v>
      </c>
      <c r="G721" s="11"/>
      <c r="H721" s="11"/>
      <c r="I721" s="7">
        <f>+IF(FINANCIACION[[#This Row],[$ CAPITAL]]&gt;0,FINANCIACION[[#This Row],[$ CAPITAL]])</f>
        <v>1000000</v>
      </c>
      <c r="J721" s="49">
        <f>+IF(FINANCIACION[[#This Row],[$ CAPITAL]]&gt;=0,FINANCIACION[[#This Row],[$ CAPITAL]]+FINANCIACION[[#This Row],[$ INTERESES]],0)</f>
        <v>1000000</v>
      </c>
      <c r="K721" s="15"/>
      <c r="N721" s="8"/>
      <c r="O721" s="14"/>
      <c r="P721" s="12"/>
    </row>
    <row r="722" spans="1:16" ht="24" hidden="1" customHeight="1" x14ac:dyDescent="0.25">
      <c r="A722" s="10">
        <v>43992</v>
      </c>
      <c r="B722" s="85" t="s">
        <v>723</v>
      </c>
      <c r="C722" s="7">
        <v>2000000</v>
      </c>
      <c r="D722" s="7"/>
      <c r="E722" s="7">
        <f>+IF(FINANCIACION[[#This Row],[$ CAPITAL]]&gt;=0,FINANCIACION[[#This Row],[$ CAPITAL]]+FINANCIACION[[#This Row],[$ INTERESES]],"")</f>
        <v>2000000</v>
      </c>
      <c r="F722" s="7">
        <f>+SUMIFS(FINANCIACION[$ CAPITAL],FINANCIACION[Fecha],"&lt;="&amp;FINANCIACION[[#This Row],[Fecha]],FINANCIACION[PRESTAMO],FINANCIACION[[#This Row],[PRESTAMO]])</f>
        <v>-69273233.950000003</v>
      </c>
      <c r="G722" s="11"/>
      <c r="H722" s="11"/>
      <c r="I722" s="7">
        <f>+IF(FINANCIACION[[#This Row],[$ CAPITAL]]&gt;0,FINANCIACION[[#This Row],[$ CAPITAL]])</f>
        <v>2000000</v>
      </c>
      <c r="J722" s="49">
        <f>+IF(FINANCIACION[[#This Row],[$ CAPITAL]]&gt;=0,FINANCIACION[[#This Row],[$ CAPITAL]]+FINANCIACION[[#This Row],[$ INTERESES]],0)</f>
        <v>2000000</v>
      </c>
      <c r="K722" s="15"/>
      <c r="N722" s="8"/>
      <c r="O722" s="14"/>
      <c r="P722" s="12"/>
    </row>
    <row r="723" spans="1:16" ht="24" hidden="1" customHeight="1" x14ac:dyDescent="0.25">
      <c r="A723" s="10">
        <v>43992</v>
      </c>
      <c r="B723" s="85" t="s">
        <v>723</v>
      </c>
      <c r="C723" s="7">
        <v>3000000</v>
      </c>
      <c r="D723" s="7"/>
      <c r="E723" s="7">
        <f>+IF(FINANCIACION[[#This Row],[$ CAPITAL]]&gt;=0,FINANCIACION[[#This Row],[$ CAPITAL]]+FINANCIACION[[#This Row],[$ INTERESES]],"")</f>
        <v>3000000</v>
      </c>
      <c r="F723" s="7">
        <f>+SUMIFS(FINANCIACION[$ CAPITAL],FINANCIACION[Fecha],"&lt;="&amp;FINANCIACION[[#This Row],[Fecha]],FINANCIACION[PRESTAMO],FINANCIACION[[#This Row],[PRESTAMO]])</f>
        <v>-69273233.950000003</v>
      </c>
      <c r="G723" s="11"/>
      <c r="H723" s="11"/>
      <c r="I723" s="7">
        <f>+IF(FINANCIACION[[#This Row],[$ CAPITAL]]&gt;0,FINANCIACION[[#This Row],[$ CAPITAL]])</f>
        <v>3000000</v>
      </c>
      <c r="J723" s="49">
        <f>+IF(FINANCIACION[[#This Row],[$ CAPITAL]]&gt;=0,FINANCIACION[[#This Row],[$ CAPITAL]]+FINANCIACION[[#This Row],[$ INTERESES]],0)</f>
        <v>3000000</v>
      </c>
      <c r="K723" s="15"/>
      <c r="N723" s="8"/>
      <c r="O723" s="14"/>
      <c r="P723" s="12"/>
    </row>
    <row r="724" spans="1:16" ht="24" hidden="1" customHeight="1" x14ac:dyDescent="0.25">
      <c r="A724" s="10">
        <v>43992</v>
      </c>
      <c r="B724" s="85" t="s">
        <v>723</v>
      </c>
      <c r="C724" s="7">
        <v>2000000</v>
      </c>
      <c r="D724" s="7"/>
      <c r="E724" s="7">
        <f>+IF(FINANCIACION[[#This Row],[$ CAPITAL]]&gt;=0,FINANCIACION[[#This Row],[$ CAPITAL]]+FINANCIACION[[#This Row],[$ INTERESES]],"")</f>
        <v>2000000</v>
      </c>
      <c r="F724" s="7">
        <f>+SUMIFS(FINANCIACION[$ CAPITAL],FINANCIACION[Fecha],"&lt;="&amp;FINANCIACION[[#This Row],[Fecha]],FINANCIACION[PRESTAMO],FINANCIACION[[#This Row],[PRESTAMO]])</f>
        <v>-69273233.950000003</v>
      </c>
      <c r="G724" s="11"/>
      <c r="H724" s="11"/>
      <c r="I724" s="7">
        <f>+IF(FINANCIACION[[#This Row],[$ CAPITAL]]&gt;0,FINANCIACION[[#This Row],[$ CAPITAL]])</f>
        <v>2000000</v>
      </c>
      <c r="J724" s="49">
        <f>+IF(FINANCIACION[[#This Row],[$ CAPITAL]]&gt;=0,FINANCIACION[[#This Row],[$ CAPITAL]]+FINANCIACION[[#This Row],[$ INTERESES]],0)</f>
        <v>2000000</v>
      </c>
      <c r="K724" s="15"/>
      <c r="N724" s="8"/>
      <c r="O724" s="14"/>
      <c r="P724" s="12"/>
    </row>
    <row r="725" spans="1:16" ht="24" hidden="1" customHeight="1" x14ac:dyDescent="0.25">
      <c r="A725" s="10">
        <v>43995</v>
      </c>
      <c r="B725" s="85" t="s">
        <v>723</v>
      </c>
      <c r="C725" s="7">
        <v>578591</v>
      </c>
      <c r="D725" s="7"/>
      <c r="E725" s="7">
        <f>+IF(FINANCIACION[[#This Row],[$ CAPITAL]]&gt;=0,FINANCIACION[[#This Row],[$ CAPITAL]]+FINANCIACION[[#This Row],[$ INTERESES]],"")</f>
        <v>578591</v>
      </c>
      <c r="F725" s="7">
        <f>+SUMIFS(FINANCIACION[$ CAPITAL],FINANCIACION[Fecha],"&lt;="&amp;FINANCIACION[[#This Row],[Fecha]],FINANCIACION[PRESTAMO],FINANCIACION[[#This Row],[PRESTAMO]])</f>
        <v>-62021870.950000003</v>
      </c>
      <c r="G725" s="11"/>
      <c r="H725" s="11"/>
      <c r="I725" s="7">
        <f>+IF(FINANCIACION[[#This Row],[$ CAPITAL]]&gt;0,FINANCIACION[[#This Row],[$ CAPITAL]])</f>
        <v>578591</v>
      </c>
      <c r="J725" s="49">
        <f>+IF(FINANCIACION[[#This Row],[$ CAPITAL]]&gt;=0,FINANCIACION[[#This Row],[$ CAPITAL]]+FINANCIACION[[#This Row],[$ INTERESES]],0)</f>
        <v>578591</v>
      </c>
      <c r="K725" s="15"/>
      <c r="N725" s="8"/>
      <c r="O725" s="14"/>
      <c r="P725" s="12"/>
    </row>
    <row r="726" spans="1:16" ht="24" hidden="1" customHeight="1" x14ac:dyDescent="0.25">
      <c r="A726" s="10">
        <v>43995</v>
      </c>
      <c r="B726" s="85" t="s">
        <v>723</v>
      </c>
      <c r="C726" s="7">
        <v>1672772</v>
      </c>
      <c r="D726" s="7"/>
      <c r="E726" s="7">
        <f>+IF(FINANCIACION[[#This Row],[$ CAPITAL]]&gt;=0,FINANCIACION[[#This Row],[$ CAPITAL]]+FINANCIACION[[#This Row],[$ INTERESES]],"")</f>
        <v>1672772</v>
      </c>
      <c r="F726" s="7">
        <f>+SUMIFS(FINANCIACION[$ CAPITAL],FINANCIACION[Fecha],"&lt;="&amp;FINANCIACION[[#This Row],[Fecha]],FINANCIACION[PRESTAMO],FINANCIACION[[#This Row],[PRESTAMO]])</f>
        <v>-62021870.950000003</v>
      </c>
      <c r="G726" s="11"/>
      <c r="H726" s="11"/>
      <c r="I726" s="7">
        <f>+IF(FINANCIACION[[#This Row],[$ CAPITAL]]&gt;0,FINANCIACION[[#This Row],[$ CAPITAL]])</f>
        <v>1672772</v>
      </c>
      <c r="J726" s="49">
        <f>+IF(FINANCIACION[[#This Row],[$ CAPITAL]]&gt;=0,FINANCIACION[[#This Row],[$ CAPITAL]]+FINANCIACION[[#This Row],[$ INTERESES]],0)</f>
        <v>1672772</v>
      </c>
      <c r="K726" s="15"/>
      <c r="N726" s="8"/>
      <c r="O726" s="14"/>
      <c r="P726" s="12"/>
    </row>
    <row r="727" spans="1:16" ht="24" hidden="1" customHeight="1" x14ac:dyDescent="0.25">
      <c r="A727" s="10">
        <v>43995</v>
      </c>
      <c r="B727" s="85" t="s">
        <v>723</v>
      </c>
      <c r="C727" s="7">
        <v>5000000</v>
      </c>
      <c r="D727" s="7"/>
      <c r="E727" s="7">
        <f>+IF(FINANCIACION[[#This Row],[$ CAPITAL]]&gt;=0,FINANCIACION[[#This Row],[$ CAPITAL]]+FINANCIACION[[#This Row],[$ INTERESES]],"")</f>
        <v>5000000</v>
      </c>
      <c r="F727" s="7">
        <f>+SUMIFS(FINANCIACION[$ CAPITAL],FINANCIACION[Fecha],"&lt;="&amp;FINANCIACION[[#This Row],[Fecha]],FINANCIACION[PRESTAMO],FINANCIACION[[#This Row],[PRESTAMO]])</f>
        <v>-62021870.950000003</v>
      </c>
      <c r="G727" s="11"/>
      <c r="H727" s="11"/>
      <c r="I727" s="7">
        <f>+IF(FINANCIACION[[#This Row],[$ CAPITAL]]&gt;0,FINANCIACION[[#This Row],[$ CAPITAL]])</f>
        <v>5000000</v>
      </c>
      <c r="J727" s="49">
        <f>+IF(FINANCIACION[[#This Row],[$ CAPITAL]]&gt;=0,FINANCIACION[[#This Row],[$ CAPITAL]]+FINANCIACION[[#This Row],[$ INTERESES]],0)</f>
        <v>5000000</v>
      </c>
      <c r="K727" s="15"/>
      <c r="N727" s="8"/>
      <c r="O727" s="14"/>
      <c r="P727" s="12"/>
    </row>
    <row r="728" spans="1:16" ht="24" hidden="1" customHeight="1" x14ac:dyDescent="0.25">
      <c r="A728" s="10">
        <v>44000</v>
      </c>
      <c r="B728" s="85" t="s">
        <v>723</v>
      </c>
      <c r="C728" s="7">
        <v>2000000</v>
      </c>
      <c r="D728" s="7"/>
      <c r="E728" s="7">
        <f>+IF(FINANCIACION[[#This Row],[$ CAPITAL]]&gt;=0,FINANCIACION[[#This Row],[$ CAPITAL]]+FINANCIACION[[#This Row],[$ INTERESES]],"")</f>
        <v>2000000</v>
      </c>
      <c r="F728" s="7">
        <f>+SUMIFS(FINANCIACION[$ CAPITAL],FINANCIACION[Fecha],"&lt;="&amp;FINANCIACION[[#This Row],[Fecha]],FINANCIACION[PRESTAMO],FINANCIACION[[#This Row],[PRESTAMO]])</f>
        <v>-60021870.950000003</v>
      </c>
      <c r="G728" s="11"/>
      <c r="H728" s="11"/>
      <c r="I728" s="7">
        <f>+IF(FINANCIACION[[#This Row],[$ CAPITAL]]&gt;0,FINANCIACION[[#This Row],[$ CAPITAL]])</f>
        <v>2000000</v>
      </c>
      <c r="J728" s="49">
        <f>+IF(FINANCIACION[[#This Row],[$ CAPITAL]]&gt;=0,FINANCIACION[[#This Row],[$ CAPITAL]]+FINANCIACION[[#This Row],[$ INTERESES]],0)</f>
        <v>2000000</v>
      </c>
      <c r="K728" s="15"/>
      <c r="N728" s="8"/>
      <c r="O728" s="14"/>
      <c r="P728" s="12"/>
    </row>
    <row r="729" spans="1:16" ht="24" hidden="1" customHeight="1" x14ac:dyDescent="0.25">
      <c r="A729" s="10">
        <v>44007</v>
      </c>
      <c r="B729" s="85" t="s">
        <v>723</v>
      </c>
      <c r="C729" s="7">
        <v>500000</v>
      </c>
      <c r="D729" s="7"/>
      <c r="E729" s="7">
        <f>+IF(FINANCIACION[[#This Row],[$ CAPITAL]]&gt;=0,FINANCIACION[[#This Row],[$ CAPITAL]]+FINANCIACION[[#This Row],[$ INTERESES]],"")</f>
        <v>500000</v>
      </c>
      <c r="F729" s="7">
        <f>+SUMIFS(FINANCIACION[$ CAPITAL],FINANCIACION[Fecha],"&lt;="&amp;FINANCIACION[[#This Row],[Fecha]],FINANCIACION[PRESTAMO],FINANCIACION[[#This Row],[PRESTAMO]])</f>
        <v>-59521870.950000003</v>
      </c>
      <c r="G729" s="11"/>
      <c r="H729" s="11"/>
      <c r="I729" s="7">
        <f>+IF(FINANCIACION[[#This Row],[$ CAPITAL]]&gt;0,FINANCIACION[[#This Row],[$ CAPITAL]])</f>
        <v>500000</v>
      </c>
      <c r="J729" s="49">
        <f>+IF(FINANCIACION[[#This Row],[$ CAPITAL]]&gt;=0,FINANCIACION[[#This Row],[$ CAPITAL]]+FINANCIACION[[#This Row],[$ INTERESES]],0)</f>
        <v>500000</v>
      </c>
      <c r="K729" s="15"/>
      <c r="N729" s="8"/>
      <c r="O729" s="14"/>
      <c r="P729" s="12"/>
    </row>
    <row r="730" spans="1:16" ht="24" hidden="1" customHeight="1" x14ac:dyDescent="0.25">
      <c r="A730" s="10">
        <v>44012</v>
      </c>
      <c r="B730" s="85" t="s">
        <v>723</v>
      </c>
      <c r="C730" s="7">
        <v>-311626.27</v>
      </c>
      <c r="D730" s="7"/>
      <c r="E730" s="7" t="str">
        <f>+IF(FINANCIACION[[#This Row],[$ CAPITAL]]&gt;=0,FINANCIACION[[#This Row],[$ CAPITAL]]+FINANCIACION[[#This Row],[$ INTERESES]],"")</f>
        <v/>
      </c>
      <c r="F730" s="7">
        <f>+SUMIFS(FINANCIACION[$ CAPITAL],FINANCIACION[Fecha],"&lt;="&amp;FINANCIACION[[#This Row],[Fecha]],FINANCIACION[PRESTAMO],FINANCIACION[[#This Row],[PRESTAMO]])</f>
        <v>-78383579.760000005</v>
      </c>
      <c r="G730" s="11"/>
      <c r="H730" s="11"/>
      <c r="I730" s="7" t="b">
        <f>+IF(FINANCIACION[[#This Row],[$ CAPITAL]]&gt;0,FINANCIACION[[#This Row],[$ CAPITAL]])</f>
        <v>0</v>
      </c>
      <c r="J730" s="49">
        <f>+IF(FINANCIACION[[#This Row],[$ CAPITAL]]&gt;=0,FINANCIACION[[#This Row],[$ CAPITAL]]+FINANCIACION[[#This Row],[$ INTERESES]],0)</f>
        <v>0</v>
      </c>
      <c r="K730" s="15"/>
      <c r="N730" s="8"/>
      <c r="O730" s="14"/>
      <c r="P730" s="12"/>
    </row>
    <row r="731" spans="1:16" ht="24" hidden="1" customHeight="1" x14ac:dyDescent="0.25">
      <c r="A731" s="10">
        <v>44012</v>
      </c>
      <c r="B731" s="85" t="s">
        <v>723</v>
      </c>
      <c r="C731" s="7">
        <v>-640763.53999999911</v>
      </c>
      <c r="D731" s="7"/>
      <c r="E731" s="7" t="str">
        <f>+IF(FINANCIACION[[#This Row],[$ CAPITAL]]&gt;=0,FINANCIACION[[#This Row],[$ CAPITAL]]+FINANCIACION[[#This Row],[$ INTERESES]],"")</f>
        <v/>
      </c>
      <c r="F731" s="7">
        <f>+SUMIFS(FINANCIACION[$ CAPITAL],FINANCIACION[Fecha],"&lt;="&amp;FINANCIACION[[#This Row],[Fecha]],FINANCIACION[PRESTAMO],FINANCIACION[[#This Row],[PRESTAMO]])</f>
        <v>-78383579.760000005</v>
      </c>
      <c r="G731" s="11"/>
      <c r="H731" s="11"/>
      <c r="I731" s="7" t="b">
        <f>+IF(FINANCIACION[[#This Row],[$ CAPITAL]]&gt;0,FINANCIACION[[#This Row],[$ CAPITAL]])</f>
        <v>0</v>
      </c>
      <c r="J731" s="49">
        <f>+IF(FINANCIACION[[#This Row],[$ CAPITAL]]&gt;=0,FINANCIACION[[#This Row],[$ CAPITAL]]+FINANCIACION[[#This Row],[$ INTERESES]],0)</f>
        <v>0</v>
      </c>
      <c r="K731" s="15"/>
      <c r="N731" s="8"/>
      <c r="O731" s="14"/>
      <c r="P731" s="12"/>
    </row>
    <row r="732" spans="1:16" ht="24" hidden="1" customHeight="1" x14ac:dyDescent="0.25">
      <c r="A732" s="10">
        <v>44012</v>
      </c>
      <c r="B732" s="85" t="s">
        <v>723</v>
      </c>
      <c r="C732" s="7">
        <v>-1181776</v>
      </c>
      <c r="D732" s="7"/>
      <c r="E732" s="7" t="str">
        <f>+IF(FINANCIACION[[#This Row],[$ CAPITAL]]&gt;=0,FINANCIACION[[#This Row],[$ CAPITAL]]+FINANCIACION[[#This Row],[$ INTERESES]],"")</f>
        <v/>
      </c>
      <c r="F732" s="7">
        <f>+SUMIFS(FINANCIACION[$ CAPITAL],FINANCIACION[Fecha],"&lt;="&amp;FINANCIACION[[#This Row],[Fecha]],FINANCIACION[PRESTAMO],FINANCIACION[[#This Row],[PRESTAMO]])</f>
        <v>-78383579.760000005</v>
      </c>
      <c r="G732" s="11"/>
      <c r="H732" s="11"/>
      <c r="I732" s="7" t="b">
        <f>+IF(FINANCIACION[[#This Row],[$ CAPITAL]]&gt;0,FINANCIACION[[#This Row],[$ CAPITAL]])</f>
        <v>0</v>
      </c>
      <c r="J732" s="49">
        <f>+IF(FINANCIACION[[#This Row],[$ CAPITAL]]&gt;=0,FINANCIACION[[#This Row],[$ CAPITAL]]+FINANCIACION[[#This Row],[$ INTERESES]],0)</f>
        <v>0</v>
      </c>
      <c r="K732" s="15"/>
      <c r="N732" s="8"/>
      <c r="O732" s="14"/>
      <c r="P732" s="12"/>
    </row>
    <row r="733" spans="1:16" ht="24" hidden="1" customHeight="1" x14ac:dyDescent="0.25">
      <c r="A733" s="10">
        <v>44012</v>
      </c>
      <c r="B733" s="85" t="s">
        <v>723</v>
      </c>
      <c r="C733" s="7">
        <v>-18624840</v>
      </c>
      <c r="D733" s="7">
        <v>90144.06</v>
      </c>
      <c r="E733" s="7" t="str">
        <f>+IF(FINANCIACION[[#This Row],[$ CAPITAL]]&gt;=0,FINANCIACION[[#This Row],[$ CAPITAL]]+FINANCIACION[[#This Row],[$ INTERESES]],"")</f>
        <v/>
      </c>
      <c r="F733" s="7">
        <f>+SUMIFS(FINANCIACION[$ CAPITAL],FINANCIACION[Fecha],"&lt;="&amp;FINANCIACION[[#This Row],[Fecha]],FINANCIACION[PRESTAMO],FINANCIACION[[#This Row],[PRESTAMO]])</f>
        <v>-78383579.760000005</v>
      </c>
      <c r="G733" s="11"/>
      <c r="H733" s="11"/>
      <c r="I733" s="7" t="b">
        <f>+IF(FINANCIACION[[#This Row],[$ CAPITAL]]&gt;0,FINANCIACION[[#This Row],[$ CAPITAL]])</f>
        <v>0</v>
      </c>
      <c r="J733" s="49">
        <f>+IF(FINANCIACION[[#This Row],[$ CAPITAL]]&gt;=0,FINANCIACION[[#This Row],[$ CAPITAL]]+FINANCIACION[[#This Row],[$ INTERESES]],0)</f>
        <v>0</v>
      </c>
      <c r="K733" s="15"/>
      <c r="N733" s="8"/>
      <c r="O733" s="14"/>
      <c r="P733" s="12"/>
    </row>
    <row r="734" spans="1:16" ht="24" hidden="1" customHeight="1" x14ac:dyDescent="0.25">
      <c r="A734" s="10">
        <v>44012</v>
      </c>
      <c r="B734" s="85" t="s">
        <v>723</v>
      </c>
      <c r="C734" s="7">
        <v>1897297</v>
      </c>
      <c r="D734" s="7">
        <v>197413.45</v>
      </c>
      <c r="E734" s="7">
        <f>+IF(FINANCIACION[[#This Row],[$ CAPITAL]]&gt;=0,FINANCIACION[[#This Row],[$ CAPITAL]]+FINANCIACION[[#This Row],[$ INTERESES]],"")</f>
        <v>2094710.45</v>
      </c>
      <c r="F734" s="7">
        <f>+SUMIFS(FINANCIACION[$ CAPITAL],FINANCIACION[Fecha],"&lt;="&amp;FINANCIACION[[#This Row],[Fecha]],FINANCIACION[PRESTAMO],FINANCIACION[[#This Row],[PRESTAMO]])</f>
        <v>-78383579.760000005</v>
      </c>
      <c r="G734" s="11"/>
      <c r="H734" s="11"/>
      <c r="I734" s="7">
        <f>+IF(FINANCIACION[[#This Row],[$ CAPITAL]]&gt;0,FINANCIACION[[#This Row],[$ CAPITAL]])</f>
        <v>1897297</v>
      </c>
      <c r="J734" s="49">
        <f>+IF(FINANCIACION[[#This Row],[$ CAPITAL]]&gt;=0,FINANCIACION[[#This Row],[$ CAPITAL]]+FINANCIACION[[#This Row],[$ INTERESES]],0)</f>
        <v>2094710.45</v>
      </c>
      <c r="K734" s="15"/>
      <c r="N734" s="8"/>
      <c r="O734" s="14"/>
      <c r="P734" s="12"/>
    </row>
    <row r="735" spans="1:16" ht="24" hidden="1" customHeight="1" x14ac:dyDescent="0.25">
      <c r="A735" s="10">
        <v>44013</v>
      </c>
      <c r="B735" s="85" t="s">
        <v>723</v>
      </c>
      <c r="C735" s="7">
        <v>805000</v>
      </c>
      <c r="D735" s="7"/>
      <c r="E735" s="7">
        <f>+IF(FINANCIACION[[#This Row],[$ CAPITAL]]&gt;=0,FINANCIACION[[#This Row],[$ CAPITAL]]+FINANCIACION[[#This Row],[$ INTERESES]],"")</f>
        <v>805000</v>
      </c>
      <c r="F735" s="7">
        <f>+SUMIFS(FINANCIACION[$ CAPITAL],FINANCIACION[Fecha],"&lt;="&amp;FINANCIACION[[#This Row],[Fecha]],FINANCIACION[PRESTAMO],FINANCIACION[[#This Row],[PRESTAMO]])</f>
        <v>-74400620.760000005</v>
      </c>
      <c r="G735" s="11"/>
      <c r="H735" s="11"/>
      <c r="I735" s="7">
        <f>+IF(FINANCIACION[[#This Row],[$ CAPITAL]]&gt;0,FINANCIACION[[#This Row],[$ CAPITAL]])</f>
        <v>805000</v>
      </c>
      <c r="J735" s="49">
        <f>+IF(FINANCIACION[[#This Row],[$ CAPITAL]]&gt;=0,FINANCIACION[[#This Row],[$ CAPITAL]]+FINANCIACION[[#This Row],[$ INTERESES]],0)</f>
        <v>805000</v>
      </c>
      <c r="K735" s="15"/>
      <c r="N735" s="8"/>
      <c r="O735" s="14"/>
      <c r="P735" s="12"/>
    </row>
    <row r="736" spans="1:16" ht="24" hidden="1" customHeight="1" x14ac:dyDescent="0.25">
      <c r="A736" s="10">
        <v>44013</v>
      </c>
      <c r="B736" s="85" t="s">
        <v>723</v>
      </c>
      <c r="C736" s="7">
        <v>3177959</v>
      </c>
      <c r="D736" s="7"/>
      <c r="E736" s="7">
        <f>+IF(FINANCIACION[[#This Row],[$ CAPITAL]]&gt;=0,FINANCIACION[[#This Row],[$ CAPITAL]]+FINANCIACION[[#This Row],[$ INTERESES]],"")</f>
        <v>3177959</v>
      </c>
      <c r="F736" s="7">
        <f>+SUMIFS(FINANCIACION[$ CAPITAL],FINANCIACION[Fecha],"&lt;="&amp;FINANCIACION[[#This Row],[Fecha]],FINANCIACION[PRESTAMO],FINANCIACION[[#This Row],[PRESTAMO]])</f>
        <v>-74400620.760000005</v>
      </c>
      <c r="G736" s="11"/>
      <c r="H736" s="11"/>
      <c r="I736" s="7">
        <f>+IF(FINANCIACION[[#This Row],[$ CAPITAL]]&gt;0,FINANCIACION[[#This Row],[$ CAPITAL]])</f>
        <v>3177959</v>
      </c>
      <c r="J736" s="49">
        <f>+IF(FINANCIACION[[#This Row],[$ CAPITAL]]&gt;=0,FINANCIACION[[#This Row],[$ CAPITAL]]+FINANCIACION[[#This Row],[$ INTERESES]],0)</f>
        <v>3177959</v>
      </c>
      <c r="K736" s="15"/>
      <c r="N736" s="8"/>
      <c r="O736" s="14"/>
      <c r="P736" s="12"/>
    </row>
    <row r="737" spans="1:16" ht="24" hidden="1" customHeight="1" x14ac:dyDescent="0.25">
      <c r="A737" s="10">
        <v>44019</v>
      </c>
      <c r="B737" s="85" t="s">
        <v>723</v>
      </c>
      <c r="C737" s="7">
        <v>5300000</v>
      </c>
      <c r="D737" s="7"/>
      <c r="E737" s="7">
        <f>+IF(FINANCIACION[[#This Row],[$ CAPITAL]]&gt;=0,FINANCIACION[[#This Row],[$ CAPITAL]]+FINANCIACION[[#This Row],[$ INTERESES]],"")</f>
        <v>5300000</v>
      </c>
      <c r="F737" s="7">
        <f>+SUMIFS(FINANCIACION[$ CAPITAL],FINANCIACION[Fecha],"&lt;="&amp;FINANCIACION[[#This Row],[Fecha]],FINANCIACION[PRESTAMO],FINANCIACION[[#This Row],[PRESTAMO]])</f>
        <v>-69082453.760000005</v>
      </c>
      <c r="G737" s="11"/>
      <c r="H737" s="11"/>
      <c r="I737" s="7">
        <f>+IF(FINANCIACION[[#This Row],[$ CAPITAL]]&gt;0,FINANCIACION[[#This Row],[$ CAPITAL]])</f>
        <v>5300000</v>
      </c>
      <c r="J737" s="49">
        <f>+IF(FINANCIACION[[#This Row],[$ CAPITAL]]&gt;=0,FINANCIACION[[#This Row],[$ CAPITAL]]+FINANCIACION[[#This Row],[$ INTERESES]],0)</f>
        <v>5300000</v>
      </c>
      <c r="K737" s="15"/>
      <c r="N737" s="8"/>
      <c r="O737" s="14"/>
      <c r="P737" s="12"/>
    </row>
    <row r="738" spans="1:16" ht="24" hidden="1" customHeight="1" x14ac:dyDescent="0.25">
      <c r="A738" s="10">
        <v>44019</v>
      </c>
      <c r="B738" s="85" t="s">
        <v>723</v>
      </c>
      <c r="C738" s="7">
        <v>18167</v>
      </c>
      <c r="D738" s="7"/>
      <c r="E738" s="7">
        <f>+IF(FINANCIACION[[#This Row],[$ CAPITAL]]&gt;=0,FINANCIACION[[#This Row],[$ CAPITAL]]+FINANCIACION[[#This Row],[$ INTERESES]],"")</f>
        <v>18167</v>
      </c>
      <c r="F738" s="7">
        <f>+SUMIFS(FINANCIACION[$ CAPITAL],FINANCIACION[Fecha],"&lt;="&amp;FINANCIACION[[#This Row],[Fecha]],FINANCIACION[PRESTAMO],FINANCIACION[[#This Row],[PRESTAMO]])</f>
        <v>-69082453.760000005</v>
      </c>
      <c r="G738" s="11"/>
      <c r="H738" s="11"/>
      <c r="I738" s="7">
        <f>+IF(FINANCIACION[[#This Row],[$ CAPITAL]]&gt;0,FINANCIACION[[#This Row],[$ CAPITAL]])</f>
        <v>18167</v>
      </c>
      <c r="J738" s="49">
        <f>+IF(FINANCIACION[[#This Row],[$ CAPITAL]]&gt;=0,FINANCIACION[[#This Row],[$ CAPITAL]]+FINANCIACION[[#This Row],[$ INTERESES]],0)</f>
        <v>18167</v>
      </c>
      <c r="K738" s="15"/>
      <c r="N738" s="8"/>
      <c r="O738" s="14"/>
      <c r="P738" s="12"/>
    </row>
    <row r="739" spans="1:16" ht="24" hidden="1" customHeight="1" x14ac:dyDescent="0.25">
      <c r="A739" s="10">
        <v>44021</v>
      </c>
      <c r="B739" s="85" t="s">
        <v>723</v>
      </c>
      <c r="C739" s="7">
        <v>1869398</v>
      </c>
      <c r="D739" s="7"/>
      <c r="E739" s="7">
        <f>+IF(FINANCIACION[[#This Row],[$ CAPITAL]]&gt;=0,FINANCIACION[[#This Row],[$ CAPITAL]]+FINANCIACION[[#This Row],[$ INTERESES]],"")</f>
        <v>1869398</v>
      </c>
      <c r="F739" s="7">
        <f>+SUMIFS(FINANCIACION[$ CAPITAL],FINANCIACION[Fecha],"&lt;="&amp;FINANCIACION[[#This Row],[Fecha]],FINANCIACION[PRESTAMO],FINANCIACION[[#This Row],[PRESTAMO]])</f>
        <v>-64563502.760000005</v>
      </c>
      <c r="G739" s="11"/>
      <c r="H739" s="11"/>
      <c r="I739" s="7">
        <f>+IF(FINANCIACION[[#This Row],[$ CAPITAL]]&gt;0,FINANCIACION[[#This Row],[$ CAPITAL]])</f>
        <v>1869398</v>
      </c>
      <c r="J739" s="49">
        <f>+IF(FINANCIACION[[#This Row],[$ CAPITAL]]&gt;=0,FINANCIACION[[#This Row],[$ CAPITAL]]+FINANCIACION[[#This Row],[$ INTERESES]],0)</f>
        <v>1869398</v>
      </c>
      <c r="K739" s="15"/>
      <c r="N739" s="8"/>
      <c r="O739" s="14"/>
      <c r="P739" s="12"/>
    </row>
    <row r="740" spans="1:16" ht="24" hidden="1" customHeight="1" x14ac:dyDescent="0.25">
      <c r="A740" s="10">
        <v>44021</v>
      </c>
      <c r="B740" s="85" t="s">
        <v>723</v>
      </c>
      <c r="C740" s="7">
        <v>2649553</v>
      </c>
      <c r="D740" s="7"/>
      <c r="E740" s="7">
        <f>+IF(FINANCIACION[[#This Row],[$ CAPITAL]]&gt;=0,FINANCIACION[[#This Row],[$ CAPITAL]]+FINANCIACION[[#This Row],[$ INTERESES]],"")</f>
        <v>2649553</v>
      </c>
      <c r="F740" s="7">
        <f>+SUMIFS(FINANCIACION[$ CAPITAL],FINANCIACION[Fecha],"&lt;="&amp;FINANCIACION[[#This Row],[Fecha]],FINANCIACION[PRESTAMO],FINANCIACION[[#This Row],[PRESTAMO]])</f>
        <v>-64563502.760000005</v>
      </c>
      <c r="G740" s="11"/>
      <c r="H740" s="11"/>
      <c r="I740" s="7">
        <f>+IF(FINANCIACION[[#This Row],[$ CAPITAL]]&gt;0,FINANCIACION[[#This Row],[$ CAPITAL]])</f>
        <v>2649553</v>
      </c>
      <c r="J740" s="49">
        <f>+IF(FINANCIACION[[#This Row],[$ CAPITAL]]&gt;=0,FINANCIACION[[#This Row],[$ CAPITAL]]+FINANCIACION[[#This Row],[$ INTERESES]],0)</f>
        <v>2649553</v>
      </c>
      <c r="K740" s="15"/>
      <c r="N740" s="8"/>
      <c r="O740" s="14"/>
      <c r="P740" s="12"/>
    </row>
    <row r="741" spans="1:16" ht="24" hidden="1" customHeight="1" x14ac:dyDescent="0.25">
      <c r="A741" s="10">
        <v>44022</v>
      </c>
      <c r="B741" s="85" t="s">
        <v>723</v>
      </c>
      <c r="C741" s="7">
        <v>2034715</v>
      </c>
      <c r="D741" s="7"/>
      <c r="E741" s="7">
        <f>+IF(FINANCIACION[[#This Row],[$ CAPITAL]]&gt;=0,FINANCIACION[[#This Row],[$ CAPITAL]]+FINANCIACION[[#This Row],[$ INTERESES]],"")</f>
        <v>2034715</v>
      </c>
      <c r="F741" s="7">
        <f>+SUMIFS(FINANCIACION[$ CAPITAL],FINANCIACION[Fecha],"&lt;="&amp;FINANCIACION[[#This Row],[Fecha]],FINANCIACION[PRESTAMO],FINANCIACION[[#This Row],[PRESTAMO]])</f>
        <v>-62528787.760000005</v>
      </c>
      <c r="G741" s="11"/>
      <c r="H741" s="11"/>
      <c r="I741" s="7">
        <f>+IF(FINANCIACION[[#This Row],[$ CAPITAL]]&gt;0,FINANCIACION[[#This Row],[$ CAPITAL]])</f>
        <v>2034715</v>
      </c>
      <c r="J741" s="49">
        <f>+IF(FINANCIACION[[#This Row],[$ CAPITAL]]&gt;=0,FINANCIACION[[#This Row],[$ CAPITAL]]+FINANCIACION[[#This Row],[$ INTERESES]],0)</f>
        <v>2034715</v>
      </c>
      <c r="K741" s="15"/>
      <c r="N741" s="8"/>
      <c r="O741" s="14"/>
      <c r="P741" s="12"/>
    </row>
    <row r="742" spans="1:16" ht="24" hidden="1" customHeight="1" x14ac:dyDescent="0.25">
      <c r="A742" s="10">
        <v>44026</v>
      </c>
      <c r="B742" s="85" t="s">
        <v>723</v>
      </c>
      <c r="C742" s="7">
        <v>1388000</v>
      </c>
      <c r="D742" s="7"/>
      <c r="E742" s="7">
        <f>+IF(FINANCIACION[[#This Row],[$ CAPITAL]]&gt;=0,FINANCIACION[[#This Row],[$ CAPITAL]]+FINANCIACION[[#This Row],[$ INTERESES]],"")</f>
        <v>1388000</v>
      </c>
      <c r="F742" s="7">
        <f>+SUMIFS(FINANCIACION[$ CAPITAL],FINANCIACION[Fecha],"&lt;="&amp;FINANCIACION[[#This Row],[Fecha]],FINANCIACION[PRESTAMO],FINANCIACION[[#This Row],[PRESTAMO]])</f>
        <v>-61140787.760000005</v>
      </c>
      <c r="G742" s="11"/>
      <c r="H742" s="11"/>
      <c r="I742" s="7">
        <f>+IF(FINANCIACION[[#This Row],[$ CAPITAL]]&gt;0,FINANCIACION[[#This Row],[$ CAPITAL]])</f>
        <v>1388000</v>
      </c>
      <c r="J742" s="49">
        <f>+IF(FINANCIACION[[#This Row],[$ CAPITAL]]&gt;=0,FINANCIACION[[#This Row],[$ CAPITAL]]+FINANCIACION[[#This Row],[$ INTERESES]],0)</f>
        <v>1388000</v>
      </c>
      <c r="K742" s="15"/>
      <c r="N742" s="8"/>
      <c r="O742" s="14"/>
      <c r="P742" s="12"/>
    </row>
    <row r="743" spans="1:16" ht="24" hidden="1" customHeight="1" x14ac:dyDescent="0.25">
      <c r="A743" s="10">
        <v>44027</v>
      </c>
      <c r="B743" s="85" t="s">
        <v>723</v>
      </c>
      <c r="C743" s="7">
        <v>1600816.7999999998</v>
      </c>
      <c r="D743" s="7"/>
      <c r="E743" s="7">
        <f>+IF(FINANCIACION[[#This Row],[$ CAPITAL]]&gt;=0,FINANCIACION[[#This Row],[$ CAPITAL]]+FINANCIACION[[#This Row],[$ INTERESES]],"")</f>
        <v>1600816.7999999998</v>
      </c>
      <c r="F743" s="7">
        <f>+SUMIFS(FINANCIACION[$ CAPITAL],FINANCIACION[Fecha],"&lt;="&amp;FINANCIACION[[#This Row],[Fecha]],FINANCIACION[PRESTAMO],FINANCIACION[[#This Row],[PRESTAMO]])</f>
        <v>-60710879.960000008</v>
      </c>
      <c r="G743" s="11"/>
      <c r="H743" s="11"/>
      <c r="I743" s="7">
        <f>+IF(FINANCIACION[[#This Row],[$ CAPITAL]]&gt;0,FINANCIACION[[#This Row],[$ CAPITAL]])</f>
        <v>1600816.7999999998</v>
      </c>
      <c r="J743" s="49">
        <f>+IF(FINANCIACION[[#This Row],[$ CAPITAL]]&gt;=0,FINANCIACION[[#This Row],[$ CAPITAL]]+FINANCIACION[[#This Row],[$ INTERESES]],0)</f>
        <v>1600816.7999999998</v>
      </c>
      <c r="K743" s="15"/>
      <c r="N743" s="8"/>
      <c r="O743" s="14"/>
      <c r="P743" s="12"/>
    </row>
    <row r="744" spans="1:16" ht="24" hidden="1" customHeight="1" x14ac:dyDescent="0.25">
      <c r="A744" s="10">
        <v>44027</v>
      </c>
      <c r="B744" s="85" t="s">
        <v>723</v>
      </c>
      <c r="C744" s="7">
        <v>-1170909</v>
      </c>
      <c r="D744" s="7"/>
      <c r="E744" s="7" t="str">
        <f>+IF(FINANCIACION[[#This Row],[$ CAPITAL]]&gt;=0,FINANCIACION[[#This Row],[$ CAPITAL]]+FINANCIACION[[#This Row],[$ INTERESES]],"")</f>
        <v/>
      </c>
      <c r="F744" s="7">
        <f>+SUMIFS(FINANCIACION[$ CAPITAL],FINANCIACION[Fecha],"&lt;="&amp;FINANCIACION[[#This Row],[Fecha]],FINANCIACION[PRESTAMO],FINANCIACION[[#This Row],[PRESTAMO]])</f>
        <v>-60710879.960000008</v>
      </c>
      <c r="G744" s="11"/>
      <c r="H744" s="11"/>
      <c r="I744" s="7" t="b">
        <f>+IF(FINANCIACION[[#This Row],[$ CAPITAL]]&gt;0,FINANCIACION[[#This Row],[$ CAPITAL]])</f>
        <v>0</v>
      </c>
      <c r="J744" s="49">
        <f>+IF(FINANCIACION[[#This Row],[$ CAPITAL]]&gt;=0,FINANCIACION[[#This Row],[$ CAPITAL]]+FINANCIACION[[#This Row],[$ INTERESES]],0)</f>
        <v>0</v>
      </c>
      <c r="K744" s="15"/>
      <c r="N744" s="8"/>
      <c r="O744" s="14"/>
      <c r="P744" s="12"/>
    </row>
    <row r="745" spans="1:16" ht="24" hidden="1" customHeight="1" x14ac:dyDescent="0.25">
      <c r="A745" s="10">
        <v>44029</v>
      </c>
      <c r="B745" s="85" t="s">
        <v>723</v>
      </c>
      <c r="C745" s="7">
        <v>4716218</v>
      </c>
      <c r="D745" s="7"/>
      <c r="E745" s="7">
        <f>+IF(FINANCIACION[[#This Row],[$ CAPITAL]]&gt;=0,FINANCIACION[[#This Row],[$ CAPITAL]]+FINANCIACION[[#This Row],[$ INTERESES]],"")</f>
        <v>4716218</v>
      </c>
      <c r="F745" s="7">
        <f>+SUMIFS(FINANCIACION[$ CAPITAL],FINANCIACION[Fecha],"&lt;="&amp;FINANCIACION[[#This Row],[Fecha]],FINANCIACION[PRESTAMO],FINANCIACION[[#This Row],[PRESTAMO]])</f>
        <v>-55994661.960000008</v>
      </c>
      <c r="G745" s="11"/>
      <c r="H745" s="11"/>
      <c r="I745" s="7">
        <f>+IF(FINANCIACION[[#This Row],[$ CAPITAL]]&gt;0,FINANCIACION[[#This Row],[$ CAPITAL]])</f>
        <v>4716218</v>
      </c>
      <c r="J745" s="49">
        <f>+IF(FINANCIACION[[#This Row],[$ CAPITAL]]&gt;=0,FINANCIACION[[#This Row],[$ CAPITAL]]+FINANCIACION[[#This Row],[$ INTERESES]],0)</f>
        <v>4716218</v>
      </c>
      <c r="K745" s="15"/>
      <c r="N745" s="8"/>
      <c r="O745" s="14"/>
      <c r="P745" s="12"/>
    </row>
    <row r="746" spans="1:16" ht="24" hidden="1" customHeight="1" x14ac:dyDescent="0.25">
      <c r="A746" s="10">
        <v>44033</v>
      </c>
      <c r="B746" s="85" t="s">
        <v>723</v>
      </c>
      <c r="C746" s="7">
        <v>4382316</v>
      </c>
      <c r="D746" s="7"/>
      <c r="E746" s="7">
        <f>+IF(FINANCIACION[[#This Row],[$ CAPITAL]]&gt;=0,FINANCIACION[[#This Row],[$ CAPITAL]]+FINANCIACION[[#This Row],[$ INTERESES]],"")</f>
        <v>4382316</v>
      </c>
      <c r="F746" s="7">
        <f>+SUMIFS(FINANCIACION[$ CAPITAL],FINANCIACION[Fecha],"&lt;="&amp;FINANCIACION[[#This Row],[Fecha]],FINANCIACION[PRESTAMO],FINANCIACION[[#This Row],[PRESTAMO]])</f>
        <v>-51612345.960000008</v>
      </c>
      <c r="G746" s="11"/>
      <c r="H746" s="11"/>
      <c r="I746" s="7">
        <f>+IF(FINANCIACION[[#This Row],[$ CAPITAL]]&gt;0,FINANCIACION[[#This Row],[$ CAPITAL]])</f>
        <v>4382316</v>
      </c>
      <c r="J746" s="49">
        <f>+IF(FINANCIACION[[#This Row],[$ CAPITAL]]&gt;=0,FINANCIACION[[#This Row],[$ CAPITAL]]+FINANCIACION[[#This Row],[$ INTERESES]],0)</f>
        <v>4382316</v>
      </c>
      <c r="K746" s="15"/>
      <c r="N746" s="8"/>
      <c r="O746" s="14"/>
      <c r="P746" s="12"/>
    </row>
    <row r="747" spans="1:16" ht="24" hidden="1" customHeight="1" x14ac:dyDescent="0.25">
      <c r="A747" s="10">
        <v>44034</v>
      </c>
      <c r="B747" s="85" t="s">
        <v>723</v>
      </c>
      <c r="C747" s="7">
        <v>3991020</v>
      </c>
      <c r="D747" s="7"/>
      <c r="E747" s="7">
        <f>+IF(FINANCIACION[[#This Row],[$ CAPITAL]]&gt;=0,FINANCIACION[[#This Row],[$ CAPITAL]]+FINANCIACION[[#This Row],[$ INTERESES]],"")</f>
        <v>3991020</v>
      </c>
      <c r="F747" s="7">
        <f>+SUMIFS(FINANCIACION[$ CAPITAL],FINANCIACION[Fecha],"&lt;="&amp;FINANCIACION[[#This Row],[Fecha]],FINANCIACION[PRESTAMO],FINANCIACION[[#This Row],[PRESTAMO]])</f>
        <v>-47621325.960000008</v>
      </c>
      <c r="G747" s="11"/>
      <c r="H747" s="11"/>
      <c r="I747" s="7">
        <f>+IF(FINANCIACION[[#This Row],[$ CAPITAL]]&gt;0,FINANCIACION[[#This Row],[$ CAPITAL]])</f>
        <v>3991020</v>
      </c>
      <c r="J747" s="49">
        <f>+IF(FINANCIACION[[#This Row],[$ CAPITAL]]&gt;=0,FINANCIACION[[#This Row],[$ CAPITAL]]+FINANCIACION[[#This Row],[$ INTERESES]],0)</f>
        <v>3991020</v>
      </c>
      <c r="K747" s="15"/>
      <c r="N747" s="8"/>
      <c r="O747" s="14"/>
      <c r="P747" s="12"/>
    </row>
    <row r="748" spans="1:16" ht="24" hidden="1" customHeight="1" x14ac:dyDescent="0.25">
      <c r="A748" s="10">
        <v>44037</v>
      </c>
      <c r="B748" s="85" t="s">
        <v>723</v>
      </c>
      <c r="C748" s="7">
        <v>5856240</v>
      </c>
      <c r="D748" s="7"/>
      <c r="E748" s="7">
        <f>+IF(FINANCIACION[[#This Row],[$ CAPITAL]]&gt;=0,FINANCIACION[[#This Row],[$ CAPITAL]]+FINANCIACION[[#This Row],[$ INTERESES]],"")</f>
        <v>5856240</v>
      </c>
      <c r="F748" s="7">
        <f>+SUMIFS(FINANCIACION[$ CAPITAL],FINANCIACION[Fecha],"&lt;="&amp;FINANCIACION[[#This Row],[Fecha]],FINANCIACION[PRESTAMO],FINANCIACION[[#This Row],[PRESTAMO]])</f>
        <v>-41765085.960000008</v>
      </c>
      <c r="G748" s="11"/>
      <c r="H748" s="11"/>
      <c r="I748" s="7">
        <f>+IF(FINANCIACION[[#This Row],[$ CAPITAL]]&gt;0,FINANCIACION[[#This Row],[$ CAPITAL]])</f>
        <v>5856240</v>
      </c>
      <c r="J748" s="49">
        <f>+IF(FINANCIACION[[#This Row],[$ CAPITAL]]&gt;=0,FINANCIACION[[#This Row],[$ CAPITAL]]+FINANCIACION[[#This Row],[$ INTERESES]],0)</f>
        <v>5856240</v>
      </c>
      <c r="K748" s="15"/>
      <c r="N748" s="8"/>
      <c r="O748" s="14"/>
      <c r="P748" s="12"/>
    </row>
    <row r="749" spans="1:16" ht="24" hidden="1" customHeight="1" x14ac:dyDescent="0.25">
      <c r="A749" s="10">
        <v>44043</v>
      </c>
      <c r="B749" s="85" t="s">
        <v>723</v>
      </c>
      <c r="C749" s="7">
        <v>-272689.21000000101</v>
      </c>
      <c r="D749" s="7"/>
      <c r="E749" s="7" t="str">
        <f>+IF(FINANCIACION[[#This Row],[$ CAPITAL]]&gt;=0,FINANCIACION[[#This Row],[$ CAPITAL]]+FINANCIACION[[#This Row],[$ INTERESES]],"")</f>
        <v/>
      </c>
      <c r="F749" s="7">
        <f>+SUMIFS(FINANCIACION[$ CAPITAL],FINANCIACION[Fecha],"&lt;="&amp;FINANCIACION[[#This Row],[Fecha]],FINANCIACION[PRESTAMO],FINANCIACION[[#This Row],[PRESTAMO]])</f>
        <v>-91544696.790000021</v>
      </c>
      <c r="G749" s="11"/>
      <c r="H749" s="11"/>
      <c r="I749" s="7" t="b">
        <f>+IF(FINANCIACION[[#This Row],[$ CAPITAL]]&gt;0,FINANCIACION[[#This Row],[$ CAPITAL]])</f>
        <v>0</v>
      </c>
      <c r="J749" s="49">
        <f>+IF(FINANCIACION[[#This Row],[$ CAPITAL]]&gt;=0,FINANCIACION[[#This Row],[$ CAPITAL]]+FINANCIACION[[#This Row],[$ INTERESES]],0)</f>
        <v>0</v>
      </c>
      <c r="K749" s="15"/>
      <c r="N749" s="8"/>
      <c r="O749" s="14"/>
      <c r="P749" s="12"/>
    </row>
    <row r="750" spans="1:16" ht="24" hidden="1" customHeight="1" x14ac:dyDescent="0.25">
      <c r="A750" s="10">
        <v>44043</v>
      </c>
      <c r="B750" s="85" t="s">
        <v>723</v>
      </c>
      <c r="C750" s="7">
        <v>-330830.88000000297</v>
      </c>
      <c r="D750" s="7"/>
      <c r="E750" s="7" t="str">
        <f>+IF(FINANCIACION[[#This Row],[$ CAPITAL]]&gt;=0,FINANCIACION[[#This Row],[$ CAPITAL]]+FINANCIACION[[#This Row],[$ INTERESES]],"")</f>
        <v/>
      </c>
      <c r="F750" s="7">
        <f>+SUMIFS(FINANCIACION[$ CAPITAL],FINANCIACION[Fecha],"&lt;="&amp;FINANCIACION[[#This Row],[Fecha]],FINANCIACION[PRESTAMO],FINANCIACION[[#This Row],[PRESTAMO]])</f>
        <v>-91544696.790000021</v>
      </c>
      <c r="G750" s="11"/>
      <c r="H750" s="11"/>
      <c r="I750" s="7" t="b">
        <f>+IF(FINANCIACION[[#This Row],[$ CAPITAL]]&gt;0,FINANCIACION[[#This Row],[$ CAPITAL]])</f>
        <v>0</v>
      </c>
      <c r="J750" s="49">
        <f>+IF(FINANCIACION[[#This Row],[$ CAPITAL]]&gt;=0,FINANCIACION[[#This Row],[$ CAPITAL]]+FINANCIACION[[#This Row],[$ INTERESES]],0)</f>
        <v>0</v>
      </c>
      <c r="K750" s="15"/>
      <c r="N750" s="8"/>
      <c r="O750" s="14"/>
      <c r="P750" s="12"/>
    </row>
    <row r="751" spans="1:16" ht="24" hidden="1" customHeight="1" x14ac:dyDescent="0.25">
      <c r="A751" s="10">
        <v>44043</v>
      </c>
      <c r="B751" s="85" t="s">
        <v>723</v>
      </c>
      <c r="C751" s="7">
        <v>734083.32</v>
      </c>
      <c r="D751" s="7"/>
      <c r="E751" s="7">
        <f>+IF(FINANCIACION[[#This Row],[$ CAPITAL]]&gt;=0,FINANCIACION[[#This Row],[$ CAPITAL]]+FINANCIACION[[#This Row],[$ INTERESES]],"")</f>
        <v>734083.32</v>
      </c>
      <c r="F751" s="7">
        <f>+SUMIFS(FINANCIACION[$ CAPITAL],FINANCIACION[Fecha],"&lt;="&amp;FINANCIACION[[#This Row],[Fecha]],FINANCIACION[PRESTAMO],FINANCIACION[[#This Row],[PRESTAMO]])</f>
        <v>-91544696.790000021</v>
      </c>
      <c r="G751" s="11"/>
      <c r="H751" s="11"/>
      <c r="I751" s="7">
        <f>+IF(FINANCIACION[[#This Row],[$ CAPITAL]]&gt;0,FINANCIACION[[#This Row],[$ CAPITAL]])</f>
        <v>734083.32</v>
      </c>
      <c r="J751" s="49">
        <f>+IF(FINANCIACION[[#This Row],[$ CAPITAL]]&gt;=0,FINANCIACION[[#This Row],[$ CAPITAL]]+FINANCIACION[[#This Row],[$ INTERESES]],0)</f>
        <v>734083.32</v>
      </c>
      <c r="K751" s="15"/>
      <c r="N751" s="8"/>
      <c r="O751" s="14"/>
      <c r="P751" s="12"/>
    </row>
    <row r="752" spans="1:16" ht="24" hidden="1" customHeight="1" x14ac:dyDescent="0.25">
      <c r="A752" s="10">
        <v>44043</v>
      </c>
      <c r="B752" s="85" t="s">
        <v>723</v>
      </c>
      <c r="C752" s="7">
        <v>-1869398.0000000014</v>
      </c>
      <c r="D752" s="7"/>
      <c r="E752" s="7" t="str">
        <f>+IF(FINANCIACION[[#This Row],[$ CAPITAL]]&gt;=0,FINANCIACION[[#This Row],[$ CAPITAL]]+FINANCIACION[[#This Row],[$ INTERESES]],"")</f>
        <v/>
      </c>
      <c r="F752" s="7">
        <f>+SUMIFS(FINANCIACION[$ CAPITAL],FINANCIACION[Fecha],"&lt;="&amp;FINANCIACION[[#This Row],[Fecha]],FINANCIACION[PRESTAMO],FINANCIACION[[#This Row],[PRESTAMO]])</f>
        <v>-91544696.790000021</v>
      </c>
      <c r="G752" s="11"/>
      <c r="H752" s="11"/>
      <c r="I752" s="7" t="b">
        <f>+IF(FINANCIACION[[#This Row],[$ CAPITAL]]&gt;0,FINANCIACION[[#This Row],[$ CAPITAL]])</f>
        <v>0</v>
      </c>
      <c r="J752" s="49">
        <f>+IF(FINANCIACION[[#This Row],[$ CAPITAL]]&gt;=0,FINANCIACION[[#This Row],[$ CAPITAL]]+FINANCIACION[[#This Row],[$ INTERESES]],0)</f>
        <v>0</v>
      </c>
      <c r="K752" s="15"/>
      <c r="N752" s="8"/>
      <c r="O752" s="14"/>
      <c r="P752" s="12"/>
    </row>
    <row r="753" spans="1:16" ht="24" hidden="1" customHeight="1" x14ac:dyDescent="0.25">
      <c r="A753" s="10">
        <v>44043</v>
      </c>
      <c r="B753" s="85" t="s">
        <v>723</v>
      </c>
      <c r="C753" s="7">
        <v>-42062215.060000002</v>
      </c>
      <c r="D753" s="7"/>
      <c r="E753" s="7" t="str">
        <f>+IF(FINANCIACION[[#This Row],[$ CAPITAL]]&gt;=0,FINANCIACION[[#This Row],[$ CAPITAL]]+FINANCIACION[[#This Row],[$ INTERESES]],"")</f>
        <v/>
      </c>
      <c r="F753" s="7">
        <f>+SUMIFS(FINANCIACION[$ CAPITAL],FINANCIACION[Fecha],"&lt;="&amp;FINANCIACION[[#This Row],[Fecha]],FINANCIACION[PRESTAMO],FINANCIACION[[#This Row],[PRESTAMO]])</f>
        <v>-91544696.790000021</v>
      </c>
      <c r="G753" s="11"/>
      <c r="H753" s="11"/>
      <c r="I753" s="7" t="b">
        <f>+IF(FINANCIACION[[#This Row],[$ CAPITAL]]&gt;0,FINANCIACION[[#This Row],[$ CAPITAL]])</f>
        <v>0</v>
      </c>
      <c r="J753" s="49">
        <f>+IF(FINANCIACION[[#This Row],[$ CAPITAL]]&gt;=0,FINANCIACION[[#This Row],[$ CAPITAL]]+FINANCIACION[[#This Row],[$ INTERESES]],0)</f>
        <v>0</v>
      </c>
      <c r="K753" s="15"/>
      <c r="N753" s="8"/>
      <c r="O753" s="14"/>
      <c r="P753" s="12"/>
    </row>
    <row r="754" spans="1:16" ht="24" hidden="1" customHeight="1" x14ac:dyDescent="0.25">
      <c r="A754" s="10">
        <v>44043</v>
      </c>
      <c r="B754" s="85" t="s">
        <v>723</v>
      </c>
      <c r="C754" s="7">
        <v>-679875</v>
      </c>
      <c r="D754" s="7"/>
      <c r="E754" s="7" t="str">
        <f>+IF(FINANCIACION[[#This Row],[$ CAPITAL]]&gt;=0,FINANCIACION[[#This Row],[$ CAPITAL]]+FINANCIACION[[#This Row],[$ INTERESES]],"")</f>
        <v/>
      </c>
      <c r="F754" s="7">
        <f>+SUMIFS(FINANCIACION[$ CAPITAL],FINANCIACION[Fecha],"&lt;="&amp;FINANCIACION[[#This Row],[Fecha]],FINANCIACION[PRESTAMO],FINANCIACION[[#This Row],[PRESTAMO]])</f>
        <v>-91544696.790000021</v>
      </c>
      <c r="G754" s="11"/>
      <c r="H754" s="11"/>
      <c r="I754" s="7" t="b">
        <f>+IF(FINANCIACION[[#This Row],[$ CAPITAL]]&gt;0,FINANCIACION[[#This Row],[$ CAPITAL]])</f>
        <v>0</v>
      </c>
      <c r="J754" s="49">
        <f>+IF(FINANCIACION[[#This Row],[$ CAPITAL]]&gt;=0,FINANCIACION[[#This Row],[$ CAPITAL]]+FINANCIACION[[#This Row],[$ INTERESES]],0)</f>
        <v>0</v>
      </c>
      <c r="K754" s="15"/>
      <c r="N754" s="8"/>
      <c r="O754" s="14"/>
      <c r="P754" s="12"/>
    </row>
    <row r="755" spans="1:16" ht="24" hidden="1" customHeight="1" x14ac:dyDescent="0.25">
      <c r="A755" s="10">
        <v>44043</v>
      </c>
      <c r="B755" s="85" t="s">
        <v>723</v>
      </c>
      <c r="C755" s="7">
        <v>-5298686</v>
      </c>
      <c r="D755" s="7"/>
      <c r="E755" s="7" t="str">
        <f>+IF(FINANCIACION[[#This Row],[$ CAPITAL]]&gt;=0,FINANCIACION[[#This Row],[$ CAPITAL]]+FINANCIACION[[#This Row],[$ INTERESES]],"")</f>
        <v/>
      </c>
      <c r="F755" s="7">
        <f>+SUMIFS(FINANCIACION[$ CAPITAL],FINANCIACION[Fecha],"&lt;="&amp;FINANCIACION[[#This Row],[Fecha]],FINANCIACION[PRESTAMO],FINANCIACION[[#This Row],[PRESTAMO]])</f>
        <v>-91544696.790000021</v>
      </c>
      <c r="G755" s="11"/>
      <c r="H755" s="11"/>
      <c r="I755" s="7" t="b">
        <f>+IF(FINANCIACION[[#This Row],[$ CAPITAL]]&gt;0,FINANCIACION[[#This Row],[$ CAPITAL]])</f>
        <v>0</v>
      </c>
      <c r="J755" s="49">
        <f>+IF(FINANCIACION[[#This Row],[$ CAPITAL]]&gt;=0,FINANCIACION[[#This Row],[$ CAPITAL]]+FINANCIACION[[#This Row],[$ INTERESES]],0)</f>
        <v>0</v>
      </c>
      <c r="K755" s="15"/>
      <c r="N755" s="8"/>
      <c r="O755" s="14"/>
      <c r="P755" s="12"/>
    </row>
    <row r="756" spans="1:16" ht="24" hidden="1" customHeight="1" x14ac:dyDescent="0.25">
      <c r="A756" s="10">
        <v>44053</v>
      </c>
      <c r="B756" s="85" t="s">
        <v>723</v>
      </c>
      <c r="C756" s="7">
        <v>2261802</v>
      </c>
      <c r="D756" s="7"/>
      <c r="E756" s="7">
        <f>+IF(FINANCIACION[[#This Row],[$ CAPITAL]]&gt;=0,FINANCIACION[[#This Row],[$ CAPITAL]]+FINANCIACION[[#This Row],[$ INTERESES]],"")</f>
        <v>2261802</v>
      </c>
      <c r="F756" s="7">
        <f>+SUMIFS(FINANCIACION[$ CAPITAL],FINANCIACION[Fecha],"&lt;="&amp;FINANCIACION[[#This Row],[Fecha]],FINANCIACION[PRESTAMO],FINANCIACION[[#This Row],[PRESTAMO]])</f>
        <v>-89282894.790000021</v>
      </c>
      <c r="G756" s="11"/>
      <c r="H756" s="11"/>
      <c r="I756" s="7">
        <f>+IF(FINANCIACION[[#This Row],[$ CAPITAL]]&gt;0,FINANCIACION[[#This Row],[$ CAPITAL]])</f>
        <v>2261802</v>
      </c>
      <c r="J756" s="49">
        <f>+IF(FINANCIACION[[#This Row],[$ CAPITAL]]&gt;=0,FINANCIACION[[#This Row],[$ CAPITAL]]+FINANCIACION[[#This Row],[$ INTERESES]],0)</f>
        <v>2261802</v>
      </c>
      <c r="K756" s="15"/>
      <c r="N756" s="8"/>
      <c r="O756" s="14"/>
      <c r="P756" s="12"/>
    </row>
    <row r="757" spans="1:16" ht="24" hidden="1" customHeight="1" x14ac:dyDescent="0.25">
      <c r="A757" s="10">
        <v>44057</v>
      </c>
      <c r="B757" s="85" t="s">
        <v>723</v>
      </c>
      <c r="C757" s="7">
        <v>3390345</v>
      </c>
      <c r="D757" s="7"/>
      <c r="E757" s="7">
        <f>+IF(FINANCIACION[[#This Row],[$ CAPITAL]]&gt;=0,FINANCIACION[[#This Row],[$ CAPITAL]]+FINANCIACION[[#This Row],[$ INTERESES]],"")</f>
        <v>3390345</v>
      </c>
      <c r="F757" s="7">
        <f>+SUMIFS(FINANCIACION[$ CAPITAL],FINANCIACION[Fecha],"&lt;="&amp;FINANCIACION[[#This Row],[Fecha]],FINANCIACION[PRESTAMO],FINANCIACION[[#This Row],[PRESTAMO]])</f>
        <v>-85892549.790000021</v>
      </c>
      <c r="G757" s="11"/>
      <c r="H757" s="11"/>
      <c r="I757" s="7">
        <f>+IF(FINANCIACION[[#This Row],[$ CAPITAL]]&gt;0,FINANCIACION[[#This Row],[$ CAPITAL]])</f>
        <v>3390345</v>
      </c>
      <c r="J757" s="49">
        <f>+IF(FINANCIACION[[#This Row],[$ CAPITAL]]&gt;=0,FINANCIACION[[#This Row],[$ CAPITAL]]+FINANCIACION[[#This Row],[$ INTERESES]],0)</f>
        <v>3390345</v>
      </c>
      <c r="K757" s="15"/>
      <c r="N757" s="8"/>
      <c r="O757" s="14"/>
      <c r="P757" s="12"/>
    </row>
    <row r="758" spans="1:16" ht="24" hidden="1" customHeight="1" x14ac:dyDescent="0.25">
      <c r="A758" s="10">
        <v>44062</v>
      </c>
      <c r="B758" s="85" t="s">
        <v>723</v>
      </c>
      <c r="C758" s="7">
        <v>341123</v>
      </c>
      <c r="D758" s="7"/>
      <c r="E758" s="7">
        <f>+IF(FINANCIACION[[#This Row],[$ CAPITAL]]&gt;=0,FINANCIACION[[#This Row],[$ CAPITAL]]+FINANCIACION[[#This Row],[$ INTERESES]],"")</f>
        <v>341123</v>
      </c>
      <c r="F758" s="7">
        <f>+SUMIFS(FINANCIACION[$ CAPITAL],FINANCIACION[Fecha],"&lt;="&amp;FINANCIACION[[#This Row],[Fecha]],FINANCIACION[PRESTAMO],FINANCIACION[[#This Row],[PRESTAMO]])</f>
        <v>-83489840.790000021</v>
      </c>
      <c r="G758" s="11"/>
      <c r="H758" s="11"/>
      <c r="I758" s="7">
        <f>+IF(FINANCIACION[[#This Row],[$ CAPITAL]]&gt;0,FINANCIACION[[#This Row],[$ CAPITAL]])</f>
        <v>341123</v>
      </c>
      <c r="J758" s="49">
        <f>+IF(FINANCIACION[[#This Row],[$ CAPITAL]]&gt;=0,FINANCIACION[[#This Row],[$ CAPITAL]]+FINANCIACION[[#This Row],[$ INTERESES]],0)</f>
        <v>341123</v>
      </c>
      <c r="K758" s="15"/>
      <c r="N758" s="8"/>
      <c r="O758" s="14"/>
      <c r="P758" s="12"/>
    </row>
    <row r="759" spans="1:16" ht="24" hidden="1" customHeight="1" x14ac:dyDescent="0.25">
      <c r="A759" s="10">
        <v>44062</v>
      </c>
      <c r="B759" s="85" t="s">
        <v>723</v>
      </c>
      <c r="C759" s="7">
        <v>2061586</v>
      </c>
      <c r="D759" s="7"/>
      <c r="E759" s="7">
        <f>+IF(FINANCIACION[[#This Row],[$ CAPITAL]]&gt;=0,FINANCIACION[[#This Row],[$ CAPITAL]]+FINANCIACION[[#This Row],[$ INTERESES]],"")</f>
        <v>2061586</v>
      </c>
      <c r="F759" s="7">
        <f>+SUMIFS(FINANCIACION[$ CAPITAL],FINANCIACION[Fecha],"&lt;="&amp;FINANCIACION[[#This Row],[Fecha]],FINANCIACION[PRESTAMO],FINANCIACION[[#This Row],[PRESTAMO]])</f>
        <v>-83489840.790000021</v>
      </c>
      <c r="G759" s="11"/>
      <c r="H759" s="11"/>
      <c r="I759" s="7">
        <f>+IF(FINANCIACION[[#This Row],[$ CAPITAL]]&gt;0,FINANCIACION[[#This Row],[$ CAPITAL]])</f>
        <v>2061586</v>
      </c>
      <c r="J759" s="49">
        <f>+IF(FINANCIACION[[#This Row],[$ CAPITAL]]&gt;=0,FINANCIACION[[#This Row],[$ CAPITAL]]+FINANCIACION[[#This Row],[$ INTERESES]],0)</f>
        <v>2061586</v>
      </c>
      <c r="K759" s="15"/>
      <c r="N759" s="8"/>
      <c r="O759" s="14"/>
      <c r="P759" s="12"/>
    </row>
    <row r="760" spans="1:16" ht="24" hidden="1" customHeight="1" x14ac:dyDescent="0.25">
      <c r="A760" s="10">
        <v>44068</v>
      </c>
      <c r="B760" s="85" t="s">
        <v>723</v>
      </c>
      <c r="C760" s="7">
        <v>1153107</v>
      </c>
      <c r="D760" s="7"/>
      <c r="E760" s="7">
        <f>+IF(FINANCIACION[[#This Row],[$ CAPITAL]]&gt;=0,FINANCIACION[[#This Row],[$ CAPITAL]]+FINANCIACION[[#This Row],[$ INTERESES]],"")</f>
        <v>1153107</v>
      </c>
      <c r="F760" s="7">
        <f>+SUMIFS(FINANCIACION[$ CAPITAL],FINANCIACION[Fecha],"&lt;="&amp;FINANCIACION[[#This Row],[Fecha]],FINANCIACION[PRESTAMO],FINANCIACION[[#This Row],[PRESTAMO]])</f>
        <v>-82336733.790000021</v>
      </c>
      <c r="G760" s="11"/>
      <c r="H760" s="11"/>
      <c r="I760" s="7">
        <f>+IF(FINANCIACION[[#This Row],[$ CAPITAL]]&gt;0,FINANCIACION[[#This Row],[$ CAPITAL]])</f>
        <v>1153107</v>
      </c>
      <c r="J760" s="49">
        <f>+IF(FINANCIACION[[#This Row],[$ CAPITAL]]&gt;=0,FINANCIACION[[#This Row],[$ CAPITAL]]+FINANCIACION[[#This Row],[$ INTERESES]],0)</f>
        <v>1153107</v>
      </c>
      <c r="K760" s="15"/>
      <c r="N760" s="8"/>
      <c r="O760" s="14"/>
      <c r="P760" s="12"/>
    </row>
    <row r="761" spans="1:16" ht="24" hidden="1" customHeight="1" x14ac:dyDescent="0.25">
      <c r="A761" s="10">
        <v>44074</v>
      </c>
      <c r="B761" s="85" t="s">
        <v>723</v>
      </c>
      <c r="C761" s="7">
        <v>-256645.16999999806</v>
      </c>
      <c r="D761" s="7"/>
      <c r="E761" s="7" t="str">
        <f>+IF(FINANCIACION[[#This Row],[$ CAPITAL]]&gt;=0,FINANCIACION[[#This Row],[$ CAPITAL]]+FINANCIACION[[#This Row],[$ INTERESES]],"")</f>
        <v/>
      </c>
      <c r="F761" s="7">
        <f>+SUMIFS(FINANCIACION[$ CAPITAL],FINANCIACION[Fecha],"&lt;="&amp;FINANCIACION[[#This Row],[Fecha]],FINANCIACION[PRESTAMO],FINANCIACION[[#This Row],[PRESTAMO]])</f>
        <v>-94501512.170000017</v>
      </c>
      <c r="G761" s="11"/>
      <c r="H761" s="11"/>
      <c r="I761" s="7" t="b">
        <f>+IF(FINANCIACION[[#This Row],[$ CAPITAL]]&gt;0,FINANCIACION[[#This Row],[$ CAPITAL]])</f>
        <v>0</v>
      </c>
      <c r="J761" s="49">
        <f>+IF(FINANCIACION[[#This Row],[$ CAPITAL]]&gt;=0,FINANCIACION[[#This Row],[$ CAPITAL]]+FINANCIACION[[#This Row],[$ INTERESES]],0)</f>
        <v>0</v>
      </c>
      <c r="K761" s="15"/>
      <c r="N761" s="8"/>
      <c r="O761" s="14"/>
      <c r="P761" s="12"/>
    </row>
    <row r="762" spans="1:16" ht="24" hidden="1" customHeight="1" x14ac:dyDescent="0.25">
      <c r="A762" s="10">
        <v>44074</v>
      </c>
      <c r="B762" s="85" t="s">
        <v>723</v>
      </c>
      <c r="C762" s="7">
        <v>-314828.46999999898</v>
      </c>
      <c r="D762" s="7"/>
      <c r="E762" s="7" t="str">
        <f>+IF(FINANCIACION[[#This Row],[$ CAPITAL]]&gt;=0,FINANCIACION[[#This Row],[$ CAPITAL]]+FINANCIACION[[#This Row],[$ INTERESES]],"")</f>
        <v/>
      </c>
      <c r="F762" s="7">
        <f>+SUMIFS(FINANCIACION[$ CAPITAL],FINANCIACION[Fecha],"&lt;="&amp;FINANCIACION[[#This Row],[Fecha]],FINANCIACION[PRESTAMO],FINANCIACION[[#This Row],[PRESTAMO]])</f>
        <v>-94501512.170000017</v>
      </c>
      <c r="G762" s="11"/>
      <c r="H762" s="11"/>
      <c r="I762" s="7" t="b">
        <f>+IF(FINANCIACION[[#This Row],[$ CAPITAL]]&gt;0,FINANCIACION[[#This Row],[$ CAPITAL]])</f>
        <v>0</v>
      </c>
      <c r="J762" s="49">
        <f>+IF(FINANCIACION[[#This Row],[$ CAPITAL]]&gt;=0,FINANCIACION[[#This Row],[$ CAPITAL]]+FINANCIACION[[#This Row],[$ INTERESES]],0)</f>
        <v>0</v>
      </c>
      <c r="K762" s="15"/>
      <c r="N762" s="8"/>
      <c r="O762" s="14"/>
      <c r="P762" s="12"/>
    </row>
    <row r="763" spans="1:16" ht="24" hidden="1" customHeight="1" x14ac:dyDescent="0.25">
      <c r="A763" s="10">
        <v>44074</v>
      </c>
      <c r="B763" s="85" t="s">
        <v>723</v>
      </c>
      <c r="C763" s="7">
        <v>-341123</v>
      </c>
      <c r="D763" s="7"/>
      <c r="E763" s="7" t="str">
        <f>+IF(FINANCIACION[[#This Row],[$ CAPITAL]]&gt;=0,FINANCIACION[[#This Row],[$ CAPITAL]]+FINANCIACION[[#This Row],[$ INTERESES]],"")</f>
        <v/>
      </c>
      <c r="F763" s="7">
        <f>+SUMIFS(FINANCIACION[$ CAPITAL],FINANCIACION[Fecha],"&lt;="&amp;FINANCIACION[[#This Row],[Fecha]],FINANCIACION[PRESTAMO],FINANCIACION[[#This Row],[PRESTAMO]])</f>
        <v>-94501512.170000017</v>
      </c>
      <c r="G763" s="11"/>
      <c r="H763" s="11"/>
      <c r="I763" s="7" t="b">
        <f>+IF(FINANCIACION[[#This Row],[$ CAPITAL]]&gt;0,FINANCIACION[[#This Row],[$ CAPITAL]])</f>
        <v>0</v>
      </c>
      <c r="J763" s="49">
        <f>+IF(FINANCIACION[[#This Row],[$ CAPITAL]]&gt;=0,FINANCIACION[[#This Row],[$ CAPITAL]]+FINANCIACION[[#This Row],[$ INTERESES]],0)</f>
        <v>0</v>
      </c>
      <c r="K763" s="15"/>
      <c r="N763" s="8"/>
      <c r="O763" s="14"/>
      <c r="P763" s="12"/>
    </row>
    <row r="764" spans="1:16" ht="24" hidden="1" customHeight="1" x14ac:dyDescent="0.25">
      <c r="A764" s="10">
        <v>44074</v>
      </c>
      <c r="B764" s="85" t="s">
        <v>723</v>
      </c>
      <c r="C764" s="7">
        <v>-4208374.74</v>
      </c>
      <c r="D764" s="7"/>
      <c r="E764" s="7" t="str">
        <f>+IF(FINANCIACION[[#This Row],[$ CAPITAL]]&gt;=0,FINANCIACION[[#This Row],[$ CAPITAL]]+FINANCIACION[[#This Row],[$ INTERESES]],"")</f>
        <v/>
      </c>
      <c r="F764" s="7">
        <f>+SUMIFS(FINANCIACION[$ CAPITAL],FINANCIACION[Fecha],"&lt;="&amp;FINANCIACION[[#This Row],[Fecha]],FINANCIACION[PRESTAMO],FINANCIACION[[#This Row],[PRESTAMO]])</f>
        <v>-94501512.170000017</v>
      </c>
      <c r="G764" s="11"/>
      <c r="H764" s="11"/>
      <c r="I764" s="7" t="b">
        <f>+IF(FINANCIACION[[#This Row],[$ CAPITAL]]&gt;0,FINANCIACION[[#This Row],[$ CAPITAL]])</f>
        <v>0</v>
      </c>
      <c r="J764" s="49">
        <f>+IF(FINANCIACION[[#This Row],[$ CAPITAL]]&gt;=0,FINANCIACION[[#This Row],[$ CAPITAL]]+FINANCIACION[[#This Row],[$ INTERESES]],0)</f>
        <v>0</v>
      </c>
      <c r="K764" s="15"/>
      <c r="N764" s="8"/>
      <c r="O764" s="14"/>
      <c r="P764" s="12"/>
    </row>
    <row r="765" spans="1:16" ht="24" hidden="1" customHeight="1" x14ac:dyDescent="0.25">
      <c r="A765" s="10">
        <v>44074</v>
      </c>
      <c r="B765" s="85" t="s">
        <v>723</v>
      </c>
      <c r="C765" s="7">
        <v>-7043807</v>
      </c>
      <c r="D765" s="7"/>
      <c r="E765" s="7" t="str">
        <f>+IF(FINANCIACION[[#This Row],[$ CAPITAL]]&gt;=0,FINANCIACION[[#This Row],[$ CAPITAL]]+FINANCIACION[[#This Row],[$ INTERESES]],"")</f>
        <v/>
      </c>
      <c r="F765" s="7">
        <f>+SUMIFS(FINANCIACION[$ CAPITAL],FINANCIACION[Fecha],"&lt;="&amp;FINANCIACION[[#This Row],[Fecha]],FINANCIACION[PRESTAMO],FINANCIACION[[#This Row],[PRESTAMO]])</f>
        <v>-94501512.170000017</v>
      </c>
      <c r="G765" s="11"/>
      <c r="H765" s="11"/>
      <c r="I765" s="7" t="b">
        <f>+IF(FINANCIACION[[#This Row],[$ CAPITAL]]&gt;0,FINANCIACION[[#This Row],[$ CAPITAL]])</f>
        <v>0</v>
      </c>
      <c r="J765" s="49">
        <f>+IF(FINANCIACION[[#This Row],[$ CAPITAL]]&gt;=0,FINANCIACION[[#This Row],[$ CAPITAL]]+FINANCIACION[[#This Row],[$ INTERESES]],0)</f>
        <v>0</v>
      </c>
      <c r="K765" s="15"/>
      <c r="N765" s="8"/>
      <c r="O765" s="14"/>
      <c r="P765" s="12"/>
    </row>
    <row r="766" spans="1:16" ht="24" hidden="1" customHeight="1" x14ac:dyDescent="0.25">
      <c r="A766" s="10">
        <v>44075</v>
      </c>
      <c r="B766" s="85" t="s">
        <v>723</v>
      </c>
      <c r="C766" s="7">
        <v>8239202</v>
      </c>
      <c r="D766" s="7"/>
      <c r="E766" s="7">
        <f>+IF(FINANCIACION[[#This Row],[$ CAPITAL]]&gt;=0,FINANCIACION[[#This Row],[$ CAPITAL]]+FINANCIACION[[#This Row],[$ INTERESES]],"")</f>
        <v>8239202</v>
      </c>
      <c r="F766" s="7">
        <f>+SUMIFS(FINANCIACION[$ CAPITAL],FINANCIACION[Fecha],"&lt;="&amp;FINANCIACION[[#This Row],[Fecha]],FINANCIACION[PRESTAMO],FINANCIACION[[#This Row],[PRESTAMO]])</f>
        <v>-86262310.170000017</v>
      </c>
      <c r="G766" s="11"/>
      <c r="H766" s="11"/>
      <c r="I766" s="7">
        <f>+IF(FINANCIACION[[#This Row],[$ CAPITAL]]&gt;0,FINANCIACION[[#This Row],[$ CAPITAL]])</f>
        <v>8239202</v>
      </c>
      <c r="J766" s="49">
        <f>+IF(FINANCIACION[[#This Row],[$ CAPITAL]]&gt;=0,FINANCIACION[[#This Row],[$ CAPITAL]]+FINANCIACION[[#This Row],[$ INTERESES]],0)</f>
        <v>8239202</v>
      </c>
      <c r="K766" s="15"/>
      <c r="N766" s="8"/>
      <c r="O766" s="14"/>
      <c r="P766" s="12"/>
    </row>
    <row r="767" spans="1:16" ht="24" hidden="1" customHeight="1" x14ac:dyDescent="0.25">
      <c r="A767" s="10">
        <v>44076</v>
      </c>
      <c r="B767" s="85" t="s">
        <v>723</v>
      </c>
      <c r="C767" s="7">
        <v>4200000</v>
      </c>
      <c r="D767" s="7"/>
      <c r="E767" s="7">
        <f>+IF(FINANCIACION[[#This Row],[$ CAPITAL]]&gt;=0,FINANCIACION[[#This Row],[$ CAPITAL]]+FINANCIACION[[#This Row],[$ INTERESES]],"")</f>
        <v>4200000</v>
      </c>
      <c r="F767" s="7">
        <f>+SUMIFS(FINANCIACION[$ CAPITAL],FINANCIACION[Fecha],"&lt;="&amp;FINANCIACION[[#This Row],[Fecha]],FINANCIACION[PRESTAMO],FINANCIACION[[#This Row],[PRESTAMO]])</f>
        <v>-75852342.170000017</v>
      </c>
      <c r="G767" s="11"/>
      <c r="H767" s="11"/>
      <c r="I767" s="7">
        <f>+IF(FINANCIACION[[#This Row],[$ CAPITAL]]&gt;0,FINANCIACION[[#This Row],[$ CAPITAL]])</f>
        <v>4200000</v>
      </c>
      <c r="J767" s="49">
        <f>+IF(FINANCIACION[[#This Row],[$ CAPITAL]]&gt;=0,FINANCIACION[[#This Row],[$ CAPITAL]]+FINANCIACION[[#This Row],[$ INTERESES]],0)</f>
        <v>4200000</v>
      </c>
      <c r="K767" s="15"/>
      <c r="N767" s="8"/>
      <c r="O767" s="14"/>
      <c r="P767" s="12"/>
    </row>
    <row r="768" spans="1:16" ht="24" hidden="1" customHeight="1" x14ac:dyDescent="0.25">
      <c r="A768" s="10">
        <v>44076</v>
      </c>
      <c r="B768" s="85" t="s">
        <v>723</v>
      </c>
      <c r="C768" s="7">
        <v>2209968</v>
      </c>
      <c r="D768" s="7"/>
      <c r="E768" s="7">
        <f>+IF(FINANCIACION[[#This Row],[$ CAPITAL]]&gt;=0,FINANCIACION[[#This Row],[$ CAPITAL]]+FINANCIACION[[#This Row],[$ INTERESES]],"")</f>
        <v>2209968</v>
      </c>
      <c r="F768" s="7">
        <f>+SUMIFS(FINANCIACION[$ CAPITAL],FINANCIACION[Fecha],"&lt;="&amp;FINANCIACION[[#This Row],[Fecha]],FINANCIACION[PRESTAMO],FINANCIACION[[#This Row],[PRESTAMO]])</f>
        <v>-75852342.170000017</v>
      </c>
      <c r="G768" s="11"/>
      <c r="H768" s="11"/>
      <c r="I768" s="7">
        <f>+IF(FINANCIACION[[#This Row],[$ CAPITAL]]&gt;0,FINANCIACION[[#This Row],[$ CAPITAL]])</f>
        <v>2209968</v>
      </c>
      <c r="J768" s="49">
        <f>+IF(FINANCIACION[[#This Row],[$ CAPITAL]]&gt;=0,FINANCIACION[[#This Row],[$ CAPITAL]]+FINANCIACION[[#This Row],[$ INTERESES]],0)</f>
        <v>2209968</v>
      </c>
      <c r="K768" s="15"/>
      <c r="N768" s="8"/>
      <c r="O768" s="14"/>
      <c r="P768" s="12"/>
    </row>
    <row r="769" spans="1:16" ht="24" hidden="1" customHeight="1" x14ac:dyDescent="0.25">
      <c r="A769" s="10">
        <v>44076</v>
      </c>
      <c r="B769" s="85" t="s">
        <v>723</v>
      </c>
      <c r="C769" s="7">
        <v>2000000</v>
      </c>
      <c r="D769" s="7"/>
      <c r="E769" s="7">
        <f>+IF(FINANCIACION[[#This Row],[$ CAPITAL]]&gt;=0,FINANCIACION[[#This Row],[$ CAPITAL]]+FINANCIACION[[#This Row],[$ INTERESES]],"")</f>
        <v>2000000</v>
      </c>
      <c r="F769" s="7">
        <f>+SUMIFS(FINANCIACION[$ CAPITAL],FINANCIACION[Fecha],"&lt;="&amp;FINANCIACION[[#This Row],[Fecha]],FINANCIACION[PRESTAMO],FINANCIACION[[#This Row],[PRESTAMO]])</f>
        <v>-75852342.170000017</v>
      </c>
      <c r="G769" s="11"/>
      <c r="H769" s="11"/>
      <c r="I769" s="7">
        <f>+IF(FINANCIACION[[#This Row],[$ CAPITAL]]&gt;0,FINANCIACION[[#This Row],[$ CAPITAL]])</f>
        <v>2000000</v>
      </c>
      <c r="J769" s="49">
        <f>+IF(FINANCIACION[[#This Row],[$ CAPITAL]]&gt;=0,FINANCIACION[[#This Row],[$ CAPITAL]]+FINANCIACION[[#This Row],[$ INTERESES]],0)</f>
        <v>2000000</v>
      </c>
      <c r="K769" s="15"/>
      <c r="N769" s="8"/>
      <c r="O769" s="14"/>
      <c r="P769" s="12"/>
    </row>
    <row r="770" spans="1:16" ht="24" hidden="1" customHeight="1" x14ac:dyDescent="0.25">
      <c r="A770" s="10">
        <v>44076</v>
      </c>
      <c r="B770" s="85" t="s">
        <v>723</v>
      </c>
      <c r="C770" s="7">
        <v>2000000</v>
      </c>
      <c r="D770" s="7"/>
      <c r="E770" s="7">
        <f>+IF(FINANCIACION[[#This Row],[$ CAPITAL]]&gt;=0,FINANCIACION[[#This Row],[$ CAPITAL]]+FINANCIACION[[#This Row],[$ INTERESES]],"")</f>
        <v>2000000</v>
      </c>
      <c r="F770" s="7">
        <f>+SUMIFS(FINANCIACION[$ CAPITAL],FINANCIACION[Fecha],"&lt;="&amp;FINANCIACION[[#This Row],[Fecha]],FINANCIACION[PRESTAMO],FINANCIACION[[#This Row],[PRESTAMO]])</f>
        <v>-75852342.170000017</v>
      </c>
      <c r="G770" s="11"/>
      <c r="H770" s="11"/>
      <c r="I770" s="7">
        <f>+IF(FINANCIACION[[#This Row],[$ CAPITAL]]&gt;0,FINANCIACION[[#This Row],[$ CAPITAL]])</f>
        <v>2000000</v>
      </c>
      <c r="J770" s="49">
        <f>+IF(FINANCIACION[[#This Row],[$ CAPITAL]]&gt;=0,FINANCIACION[[#This Row],[$ CAPITAL]]+FINANCIACION[[#This Row],[$ INTERESES]],0)</f>
        <v>2000000</v>
      </c>
      <c r="K770" s="15"/>
      <c r="N770" s="8"/>
      <c r="O770" s="14"/>
      <c r="P770" s="12"/>
    </row>
    <row r="771" spans="1:16" ht="24" hidden="1" customHeight="1" x14ac:dyDescent="0.25">
      <c r="A771" s="10">
        <v>44078</v>
      </c>
      <c r="B771" s="85" t="s">
        <v>723</v>
      </c>
      <c r="C771" s="7">
        <v>1826615</v>
      </c>
      <c r="D771" s="7"/>
      <c r="E771" s="7">
        <f>+IF(FINANCIACION[[#This Row],[$ CAPITAL]]&gt;=0,FINANCIACION[[#This Row],[$ CAPITAL]]+FINANCIACION[[#This Row],[$ INTERESES]],"")</f>
        <v>1826615</v>
      </c>
      <c r="F771" s="7">
        <f>+SUMIFS(FINANCIACION[$ CAPITAL],FINANCIACION[Fecha],"&lt;="&amp;FINANCIACION[[#This Row],[Fecha]],FINANCIACION[PRESTAMO],FINANCIACION[[#This Row],[PRESTAMO]])</f>
        <v>-73525727.170000017</v>
      </c>
      <c r="G771" s="11"/>
      <c r="H771" s="11"/>
      <c r="I771" s="7">
        <f>+IF(FINANCIACION[[#This Row],[$ CAPITAL]]&gt;0,FINANCIACION[[#This Row],[$ CAPITAL]])</f>
        <v>1826615</v>
      </c>
      <c r="J771" s="49">
        <f>+IF(FINANCIACION[[#This Row],[$ CAPITAL]]&gt;=0,FINANCIACION[[#This Row],[$ CAPITAL]]+FINANCIACION[[#This Row],[$ INTERESES]],0)</f>
        <v>1826615</v>
      </c>
      <c r="K771" s="15"/>
      <c r="N771" s="8"/>
      <c r="O771" s="14"/>
      <c r="P771" s="12"/>
    </row>
    <row r="772" spans="1:16" ht="24" hidden="1" customHeight="1" x14ac:dyDescent="0.25">
      <c r="A772" s="10">
        <v>44078</v>
      </c>
      <c r="B772" s="85" t="s">
        <v>723</v>
      </c>
      <c r="C772" s="7">
        <v>500000</v>
      </c>
      <c r="D772" s="7"/>
      <c r="E772" s="7">
        <f>+IF(FINANCIACION[[#This Row],[$ CAPITAL]]&gt;=0,FINANCIACION[[#This Row],[$ CAPITAL]]+FINANCIACION[[#This Row],[$ INTERESES]],"")</f>
        <v>500000</v>
      </c>
      <c r="F772" s="7">
        <f>+SUMIFS(FINANCIACION[$ CAPITAL],FINANCIACION[Fecha],"&lt;="&amp;FINANCIACION[[#This Row],[Fecha]],FINANCIACION[PRESTAMO],FINANCIACION[[#This Row],[PRESTAMO]])</f>
        <v>-73525727.170000017</v>
      </c>
      <c r="G772" s="11"/>
      <c r="H772" s="11"/>
      <c r="I772" s="7">
        <f>+IF(FINANCIACION[[#This Row],[$ CAPITAL]]&gt;0,FINANCIACION[[#This Row],[$ CAPITAL]])</f>
        <v>500000</v>
      </c>
      <c r="J772" s="49">
        <f>+IF(FINANCIACION[[#This Row],[$ CAPITAL]]&gt;=0,FINANCIACION[[#This Row],[$ CAPITAL]]+FINANCIACION[[#This Row],[$ INTERESES]],0)</f>
        <v>500000</v>
      </c>
      <c r="K772" s="15"/>
      <c r="N772" s="8"/>
      <c r="O772" s="14"/>
      <c r="P772" s="12"/>
    </row>
    <row r="773" spans="1:16" ht="24" hidden="1" customHeight="1" x14ac:dyDescent="0.25">
      <c r="A773" s="10">
        <v>44081</v>
      </c>
      <c r="B773" s="85" t="s">
        <v>723</v>
      </c>
      <c r="C773" s="7">
        <v>761488</v>
      </c>
      <c r="D773" s="7"/>
      <c r="E773" s="7">
        <f>+IF(FINANCIACION[[#This Row],[$ CAPITAL]]&gt;=0,FINANCIACION[[#This Row],[$ CAPITAL]]+FINANCIACION[[#This Row],[$ INTERESES]],"")</f>
        <v>761488</v>
      </c>
      <c r="F773" s="7">
        <f>+SUMIFS(FINANCIACION[$ CAPITAL],FINANCIACION[Fecha],"&lt;="&amp;FINANCIACION[[#This Row],[Fecha]],FINANCIACION[PRESTAMO],FINANCIACION[[#This Row],[PRESTAMO]])</f>
        <v>-68062239.170000017</v>
      </c>
      <c r="G773" s="11"/>
      <c r="H773" s="11"/>
      <c r="I773" s="7">
        <f>+IF(FINANCIACION[[#This Row],[$ CAPITAL]]&gt;0,FINANCIACION[[#This Row],[$ CAPITAL]])</f>
        <v>761488</v>
      </c>
      <c r="J773" s="49">
        <f>+IF(FINANCIACION[[#This Row],[$ CAPITAL]]&gt;=0,FINANCIACION[[#This Row],[$ CAPITAL]]+FINANCIACION[[#This Row],[$ INTERESES]],0)</f>
        <v>761488</v>
      </c>
      <c r="K773" s="15"/>
      <c r="N773" s="8"/>
      <c r="O773" s="14"/>
      <c r="P773" s="12"/>
    </row>
    <row r="774" spans="1:16" ht="24" hidden="1" customHeight="1" x14ac:dyDescent="0.25">
      <c r="A774" s="10">
        <v>44081</v>
      </c>
      <c r="B774" s="85" t="s">
        <v>723</v>
      </c>
      <c r="C774" s="7">
        <v>3702000</v>
      </c>
      <c r="D774" s="7"/>
      <c r="E774" s="7">
        <f>+IF(FINANCIACION[[#This Row],[$ CAPITAL]]&gt;=0,FINANCIACION[[#This Row],[$ CAPITAL]]+FINANCIACION[[#This Row],[$ INTERESES]],"")</f>
        <v>3702000</v>
      </c>
      <c r="F774" s="7">
        <f>+SUMIFS(FINANCIACION[$ CAPITAL],FINANCIACION[Fecha],"&lt;="&amp;FINANCIACION[[#This Row],[Fecha]],FINANCIACION[PRESTAMO],FINANCIACION[[#This Row],[PRESTAMO]])</f>
        <v>-68062239.170000017</v>
      </c>
      <c r="G774" s="11"/>
      <c r="H774" s="11"/>
      <c r="I774" s="7">
        <f>+IF(FINANCIACION[[#This Row],[$ CAPITAL]]&gt;0,FINANCIACION[[#This Row],[$ CAPITAL]])</f>
        <v>3702000</v>
      </c>
      <c r="J774" s="49">
        <f>+IF(FINANCIACION[[#This Row],[$ CAPITAL]]&gt;=0,FINANCIACION[[#This Row],[$ CAPITAL]]+FINANCIACION[[#This Row],[$ INTERESES]],0)</f>
        <v>3702000</v>
      </c>
      <c r="K774" s="15"/>
      <c r="N774" s="8"/>
      <c r="O774" s="14"/>
      <c r="P774" s="12"/>
    </row>
    <row r="775" spans="1:16" ht="24" hidden="1" customHeight="1" x14ac:dyDescent="0.25">
      <c r="A775" s="10">
        <v>44081</v>
      </c>
      <c r="B775" s="85" t="s">
        <v>723</v>
      </c>
      <c r="C775" s="7">
        <v>1000000</v>
      </c>
      <c r="D775" s="7"/>
      <c r="E775" s="7">
        <f>+IF(FINANCIACION[[#This Row],[$ CAPITAL]]&gt;=0,FINANCIACION[[#This Row],[$ CAPITAL]]+FINANCIACION[[#This Row],[$ INTERESES]],"")</f>
        <v>1000000</v>
      </c>
      <c r="F775" s="7">
        <f>+SUMIFS(FINANCIACION[$ CAPITAL],FINANCIACION[Fecha],"&lt;="&amp;FINANCIACION[[#This Row],[Fecha]],FINANCIACION[PRESTAMO],FINANCIACION[[#This Row],[PRESTAMO]])</f>
        <v>-68062239.170000017</v>
      </c>
      <c r="G775" s="11"/>
      <c r="H775" s="11"/>
      <c r="I775" s="7">
        <f>+IF(FINANCIACION[[#This Row],[$ CAPITAL]]&gt;0,FINANCIACION[[#This Row],[$ CAPITAL]])</f>
        <v>1000000</v>
      </c>
      <c r="J775" s="49">
        <f>+IF(FINANCIACION[[#This Row],[$ CAPITAL]]&gt;=0,FINANCIACION[[#This Row],[$ CAPITAL]]+FINANCIACION[[#This Row],[$ INTERESES]],0)</f>
        <v>1000000</v>
      </c>
      <c r="K775" s="15"/>
      <c r="N775" s="8"/>
      <c r="O775" s="14"/>
      <c r="P775" s="12"/>
    </row>
    <row r="776" spans="1:16" ht="24" hidden="1" customHeight="1" x14ac:dyDescent="0.25">
      <c r="A776" s="10">
        <v>44088</v>
      </c>
      <c r="B776" s="85" t="s">
        <v>723</v>
      </c>
      <c r="C776" s="7">
        <v>2039950</v>
      </c>
      <c r="D776" s="7"/>
      <c r="E776" s="7">
        <f>+IF(FINANCIACION[[#This Row],[$ CAPITAL]]&gt;=0,FINANCIACION[[#This Row],[$ CAPITAL]]+FINANCIACION[[#This Row],[$ INTERESES]],"")</f>
        <v>2039950</v>
      </c>
      <c r="F776" s="7">
        <f>+SUMIFS(FINANCIACION[$ CAPITAL],FINANCIACION[Fecha],"&lt;="&amp;FINANCIACION[[#This Row],[Fecha]],FINANCIACION[PRESTAMO],FINANCIACION[[#This Row],[PRESTAMO]])</f>
        <v>-66022289.170000017</v>
      </c>
      <c r="G776" s="11"/>
      <c r="H776" s="11"/>
      <c r="I776" s="7">
        <f>+IF(FINANCIACION[[#This Row],[$ CAPITAL]]&gt;0,FINANCIACION[[#This Row],[$ CAPITAL]])</f>
        <v>2039950</v>
      </c>
      <c r="J776" s="49">
        <f>+IF(FINANCIACION[[#This Row],[$ CAPITAL]]&gt;=0,FINANCIACION[[#This Row],[$ CAPITAL]]+FINANCIACION[[#This Row],[$ INTERESES]],0)</f>
        <v>2039950</v>
      </c>
      <c r="K776" s="15"/>
      <c r="N776" s="8"/>
      <c r="O776" s="14"/>
      <c r="P776" s="12"/>
    </row>
    <row r="777" spans="1:16" ht="24" hidden="1" customHeight="1" x14ac:dyDescent="0.25">
      <c r="A777" s="10">
        <v>44095</v>
      </c>
      <c r="B777" s="85" t="s">
        <v>723</v>
      </c>
      <c r="C777" s="7"/>
      <c r="D777" s="7">
        <v>6015875</v>
      </c>
      <c r="E777" s="7">
        <f>+IF(FINANCIACION[[#This Row],[$ CAPITAL]]&gt;=0,FINANCIACION[[#This Row],[$ CAPITAL]]+FINANCIACION[[#This Row],[$ INTERESES]],"")</f>
        <v>6015875</v>
      </c>
      <c r="F777" s="7">
        <f>+SUMIFS(FINANCIACION[$ CAPITAL],FINANCIACION[Fecha],"&lt;="&amp;FINANCIACION[[#This Row],[Fecha]],FINANCIACION[PRESTAMO],FINANCIACION[[#This Row],[PRESTAMO]])</f>
        <v>-65070473.170000017</v>
      </c>
      <c r="G777" s="11"/>
      <c r="H777" s="11"/>
      <c r="I777" s="7" t="b">
        <f>+IF(FINANCIACION[[#This Row],[$ CAPITAL]]&gt;0,FINANCIACION[[#This Row],[$ CAPITAL]])</f>
        <v>0</v>
      </c>
      <c r="J777" s="49">
        <f>+IF(FINANCIACION[[#This Row],[$ CAPITAL]]&gt;=0,FINANCIACION[[#This Row],[$ CAPITAL]]+FINANCIACION[[#This Row],[$ INTERESES]],0)</f>
        <v>6015875</v>
      </c>
      <c r="K777" s="15"/>
      <c r="N777" s="8"/>
      <c r="O777" s="14"/>
      <c r="P777" s="12"/>
    </row>
    <row r="778" spans="1:16" ht="24" hidden="1" customHeight="1" x14ac:dyDescent="0.25">
      <c r="A778" s="10">
        <v>44095</v>
      </c>
      <c r="B778" s="85" t="s">
        <v>723</v>
      </c>
      <c r="C778" s="7">
        <v>951816</v>
      </c>
      <c r="D778" s="7"/>
      <c r="E778" s="7">
        <f>+IF(FINANCIACION[[#This Row],[$ CAPITAL]]&gt;=0,FINANCIACION[[#This Row],[$ CAPITAL]]+FINANCIACION[[#This Row],[$ INTERESES]],"")</f>
        <v>951816</v>
      </c>
      <c r="F778" s="7">
        <f>+SUMIFS(FINANCIACION[$ CAPITAL],FINANCIACION[Fecha],"&lt;="&amp;FINANCIACION[[#This Row],[Fecha]],FINANCIACION[PRESTAMO],FINANCIACION[[#This Row],[PRESTAMO]])</f>
        <v>-65070473.170000017</v>
      </c>
      <c r="G778" s="11"/>
      <c r="H778" s="11"/>
      <c r="I778" s="7">
        <f>+IF(FINANCIACION[[#This Row],[$ CAPITAL]]&gt;0,FINANCIACION[[#This Row],[$ CAPITAL]])</f>
        <v>951816</v>
      </c>
      <c r="J778" s="49">
        <f>+IF(FINANCIACION[[#This Row],[$ CAPITAL]]&gt;=0,FINANCIACION[[#This Row],[$ CAPITAL]]+FINANCIACION[[#This Row],[$ INTERESES]],0)</f>
        <v>951816</v>
      </c>
      <c r="K778" s="15"/>
      <c r="N778" s="8"/>
      <c r="O778" s="14"/>
      <c r="P778" s="12"/>
    </row>
    <row r="779" spans="1:16" ht="24" hidden="1" customHeight="1" x14ac:dyDescent="0.25">
      <c r="A779" s="10">
        <v>44099</v>
      </c>
      <c r="B779" s="85" t="s">
        <v>723</v>
      </c>
      <c r="C779" s="7">
        <v>3867810</v>
      </c>
      <c r="D779" s="7"/>
      <c r="E779" s="7">
        <f>+IF(FINANCIACION[[#This Row],[$ CAPITAL]]&gt;=0,FINANCIACION[[#This Row],[$ CAPITAL]]+FINANCIACION[[#This Row],[$ INTERESES]],"")</f>
        <v>3867810</v>
      </c>
      <c r="F779" s="7">
        <f>+SUMIFS(FINANCIACION[$ CAPITAL],FINANCIACION[Fecha],"&lt;="&amp;FINANCIACION[[#This Row],[Fecha]],FINANCIACION[PRESTAMO],FINANCIACION[[#This Row],[PRESTAMO]])</f>
        <v>-60702663.170000017</v>
      </c>
      <c r="G779" s="11"/>
      <c r="H779" s="11"/>
      <c r="I779" s="7">
        <f>+IF(FINANCIACION[[#This Row],[$ CAPITAL]]&gt;0,FINANCIACION[[#This Row],[$ CAPITAL]])</f>
        <v>3867810</v>
      </c>
      <c r="J779" s="49">
        <f>+IF(FINANCIACION[[#This Row],[$ CAPITAL]]&gt;=0,FINANCIACION[[#This Row],[$ CAPITAL]]+FINANCIACION[[#This Row],[$ INTERESES]],0)</f>
        <v>3867810</v>
      </c>
      <c r="K779" s="15"/>
      <c r="N779" s="8"/>
      <c r="O779" s="14"/>
      <c r="P779" s="12"/>
    </row>
    <row r="780" spans="1:16" ht="24" hidden="1" customHeight="1" x14ac:dyDescent="0.25">
      <c r="A780" s="10">
        <v>44099</v>
      </c>
      <c r="B780" s="85" t="s">
        <v>723</v>
      </c>
      <c r="C780" s="7">
        <v>500000</v>
      </c>
      <c r="D780" s="7"/>
      <c r="E780" s="7">
        <f>+IF(FINANCIACION[[#This Row],[$ CAPITAL]]&gt;=0,FINANCIACION[[#This Row],[$ CAPITAL]]+FINANCIACION[[#This Row],[$ INTERESES]],"")</f>
        <v>500000</v>
      </c>
      <c r="F780" s="7">
        <f>+SUMIFS(FINANCIACION[$ CAPITAL],FINANCIACION[Fecha],"&lt;="&amp;FINANCIACION[[#This Row],[Fecha]],FINANCIACION[PRESTAMO],FINANCIACION[[#This Row],[PRESTAMO]])</f>
        <v>-60702663.170000017</v>
      </c>
      <c r="G780" s="11"/>
      <c r="H780" s="11"/>
      <c r="I780" s="7">
        <f>+IF(FINANCIACION[[#This Row],[$ CAPITAL]]&gt;0,FINANCIACION[[#This Row],[$ CAPITAL]])</f>
        <v>500000</v>
      </c>
      <c r="J780" s="49">
        <f>+IF(FINANCIACION[[#This Row],[$ CAPITAL]]&gt;=0,FINANCIACION[[#This Row],[$ CAPITAL]]+FINANCIACION[[#This Row],[$ INTERESES]],0)</f>
        <v>500000</v>
      </c>
      <c r="K780" s="15"/>
      <c r="N780" s="8"/>
      <c r="O780" s="14"/>
      <c r="P780" s="12"/>
    </row>
    <row r="781" spans="1:16" ht="24" hidden="1" customHeight="1" x14ac:dyDescent="0.25">
      <c r="A781" s="10">
        <v>44104</v>
      </c>
      <c r="B781" s="85" t="s">
        <v>723</v>
      </c>
      <c r="C781" s="7">
        <v>-236242.01000000164</v>
      </c>
      <c r="D781" s="7"/>
      <c r="E781" s="7" t="str">
        <f>+IF(FINANCIACION[[#This Row],[$ CAPITAL]]&gt;=0,FINANCIACION[[#This Row],[$ CAPITAL]]+FINANCIACION[[#This Row],[$ INTERESES]],"")</f>
        <v/>
      </c>
      <c r="F781" s="7">
        <f>+SUMIFS(FINANCIACION[$ CAPITAL],FINANCIACION[Fecha],"&lt;="&amp;FINANCIACION[[#This Row],[Fecha]],FINANCIACION[PRESTAMO],FINANCIACION[[#This Row],[PRESTAMO]])</f>
        <v>-84819162.470000014</v>
      </c>
      <c r="G781" s="11"/>
      <c r="H781" s="11"/>
      <c r="I781" s="7" t="b">
        <f>+IF(FINANCIACION[[#This Row],[$ CAPITAL]]&gt;0,FINANCIACION[[#This Row],[$ CAPITAL]])</f>
        <v>0</v>
      </c>
      <c r="J781" s="49">
        <f>+IF(FINANCIACION[[#This Row],[$ CAPITAL]]&gt;=0,FINANCIACION[[#This Row],[$ CAPITAL]]+FINANCIACION[[#This Row],[$ INTERESES]],0)</f>
        <v>0</v>
      </c>
      <c r="K781" s="15"/>
      <c r="N781" s="8"/>
      <c r="O781" s="14"/>
      <c r="P781" s="12"/>
    </row>
    <row r="782" spans="1:16" ht="24" hidden="1" customHeight="1" x14ac:dyDescent="0.25">
      <c r="A782" s="10">
        <v>44104</v>
      </c>
      <c r="B782" s="85" t="s">
        <v>723</v>
      </c>
      <c r="C782" s="7">
        <v>-300004.53999999911</v>
      </c>
      <c r="D782" s="7"/>
      <c r="E782" s="7" t="str">
        <f>+IF(FINANCIACION[[#This Row],[$ CAPITAL]]&gt;=0,FINANCIACION[[#This Row],[$ CAPITAL]]+FINANCIACION[[#This Row],[$ INTERESES]],"")</f>
        <v/>
      </c>
      <c r="F782" s="7">
        <f>+SUMIFS(FINANCIACION[$ CAPITAL],FINANCIACION[Fecha],"&lt;="&amp;FINANCIACION[[#This Row],[Fecha]],FINANCIACION[PRESTAMO],FINANCIACION[[#This Row],[PRESTAMO]])</f>
        <v>-84819162.470000014</v>
      </c>
      <c r="G782" s="11"/>
      <c r="H782" s="11"/>
      <c r="I782" s="7" t="b">
        <f>+IF(FINANCIACION[[#This Row],[$ CAPITAL]]&gt;0,FINANCIACION[[#This Row],[$ CAPITAL]])</f>
        <v>0</v>
      </c>
      <c r="J782" s="49">
        <f>+IF(FINANCIACION[[#This Row],[$ CAPITAL]]&gt;=0,FINANCIACION[[#This Row],[$ CAPITAL]]+FINANCIACION[[#This Row],[$ INTERESES]],0)</f>
        <v>0</v>
      </c>
      <c r="K782" s="15"/>
      <c r="N782" s="8"/>
      <c r="O782" s="14"/>
      <c r="P782" s="12"/>
    </row>
    <row r="783" spans="1:16" ht="24" hidden="1" customHeight="1" x14ac:dyDescent="0.25">
      <c r="A783" s="10">
        <v>44104</v>
      </c>
      <c r="B783" s="85" t="s">
        <v>723</v>
      </c>
      <c r="C783" s="7">
        <v>-449896.74999999814</v>
      </c>
      <c r="D783" s="7"/>
      <c r="E783" s="7" t="str">
        <f>+IF(FINANCIACION[[#This Row],[$ CAPITAL]]&gt;=0,FINANCIACION[[#This Row],[$ CAPITAL]]+FINANCIACION[[#This Row],[$ INTERESES]],"")</f>
        <v/>
      </c>
      <c r="F783" s="7">
        <f>+SUMIFS(FINANCIACION[$ CAPITAL],FINANCIACION[Fecha],"&lt;="&amp;FINANCIACION[[#This Row],[Fecha]],FINANCIACION[PRESTAMO],FINANCIACION[[#This Row],[PRESTAMO]])</f>
        <v>-84819162.470000014</v>
      </c>
      <c r="G783" s="11"/>
      <c r="H783" s="11"/>
      <c r="I783" s="7" t="b">
        <f>+IF(FINANCIACION[[#This Row],[$ CAPITAL]]&gt;0,FINANCIACION[[#This Row],[$ CAPITAL]])</f>
        <v>0</v>
      </c>
      <c r="J783" s="49">
        <f>+IF(FINANCIACION[[#This Row],[$ CAPITAL]]&gt;=0,FINANCIACION[[#This Row],[$ CAPITAL]]+FINANCIACION[[#This Row],[$ INTERESES]],0)</f>
        <v>0</v>
      </c>
      <c r="K783" s="15"/>
      <c r="N783" s="8"/>
      <c r="O783" s="14"/>
      <c r="P783" s="12"/>
    </row>
    <row r="784" spans="1:16" ht="24" hidden="1" customHeight="1" x14ac:dyDescent="0.25">
      <c r="A784" s="10">
        <v>44104</v>
      </c>
      <c r="B784" s="85" t="s">
        <v>723</v>
      </c>
      <c r="C784" s="7">
        <v>-761487.9999999986</v>
      </c>
      <c r="D784" s="7"/>
      <c r="E784" s="7" t="str">
        <f>+IF(FINANCIACION[[#This Row],[$ CAPITAL]]&gt;=0,FINANCIACION[[#This Row],[$ CAPITAL]]+FINANCIACION[[#This Row],[$ INTERESES]],"")</f>
        <v/>
      </c>
      <c r="F784" s="7">
        <f>+SUMIFS(FINANCIACION[$ CAPITAL],FINANCIACION[Fecha],"&lt;="&amp;FINANCIACION[[#This Row],[Fecha]],FINANCIACION[PRESTAMO],FINANCIACION[[#This Row],[PRESTAMO]])</f>
        <v>-84819162.470000014</v>
      </c>
      <c r="G784" s="11"/>
      <c r="H784" s="11"/>
      <c r="I784" s="7" t="b">
        <f>+IF(FINANCIACION[[#This Row],[$ CAPITAL]]&gt;0,FINANCIACION[[#This Row],[$ CAPITAL]])</f>
        <v>0</v>
      </c>
      <c r="J784" s="49">
        <f>+IF(FINANCIACION[[#This Row],[$ CAPITAL]]&gt;=0,FINANCIACION[[#This Row],[$ CAPITAL]]+FINANCIACION[[#This Row],[$ INTERESES]],0)</f>
        <v>0</v>
      </c>
      <c r="K784" s="15"/>
      <c r="N784" s="8"/>
      <c r="O784" s="14"/>
      <c r="P784" s="12"/>
    </row>
    <row r="785" spans="1:16" ht="24" hidden="1" customHeight="1" x14ac:dyDescent="0.25">
      <c r="A785" s="10">
        <v>44104</v>
      </c>
      <c r="B785" s="85" t="s">
        <v>723</v>
      </c>
      <c r="C785" s="7">
        <v>-12827494.999999993</v>
      </c>
      <c r="D785" s="7"/>
      <c r="E785" s="7" t="str">
        <f>+IF(FINANCIACION[[#This Row],[$ CAPITAL]]&gt;=0,FINANCIACION[[#This Row],[$ CAPITAL]]+FINANCIACION[[#This Row],[$ INTERESES]],"")</f>
        <v/>
      </c>
      <c r="F785" s="7">
        <f>+SUMIFS(FINANCIACION[$ CAPITAL],FINANCIACION[Fecha],"&lt;="&amp;FINANCIACION[[#This Row],[Fecha]],FINANCIACION[PRESTAMO],FINANCIACION[[#This Row],[PRESTAMO]])</f>
        <v>-84819162.470000014</v>
      </c>
      <c r="G785" s="11"/>
      <c r="H785" s="11"/>
      <c r="I785" s="7" t="b">
        <f>+IF(FINANCIACION[[#This Row],[$ CAPITAL]]&gt;0,FINANCIACION[[#This Row],[$ CAPITAL]])</f>
        <v>0</v>
      </c>
      <c r="J785" s="49">
        <f>+IF(FINANCIACION[[#This Row],[$ CAPITAL]]&gt;=0,FINANCIACION[[#This Row],[$ CAPITAL]]+FINANCIACION[[#This Row],[$ INTERESES]],0)</f>
        <v>0</v>
      </c>
      <c r="K785" s="15"/>
      <c r="N785" s="8"/>
      <c r="O785" s="14"/>
      <c r="P785" s="12"/>
    </row>
    <row r="786" spans="1:16" ht="24" hidden="1" customHeight="1" x14ac:dyDescent="0.25">
      <c r="A786" s="10">
        <v>44104</v>
      </c>
      <c r="B786" s="85" t="s">
        <v>723</v>
      </c>
      <c r="C786" s="7">
        <v>-7592390.0000000037</v>
      </c>
      <c r="D786" s="7"/>
      <c r="E786" s="7" t="str">
        <f>+IF(FINANCIACION[[#This Row],[$ CAPITAL]]&gt;=0,FINANCIACION[[#This Row],[$ CAPITAL]]+FINANCIACION[[#This Row],[$ INTERESES]],"")</f>
        <v/>
      </c>
      <c r="F786" s="7">
        <f>+SUMIFS(FINANCIACION[$ CAPITAL],FINANCIACION[Fecha],"&lt;="&amp;FINANCIACION[[#This Row],[Fecha]],FINANCIACION[PRESTAMO],FINANCIACION[[#This Row],[PRESTAMO]])</f>
        <v>-84819162.470000014</v>
      </c>
      <c r="G786" s="11"/>
      <c r="H786" s="11"/>
      <c r="I786" s="7" t="b">
        <f>+IF(FINANCIACION[[#This Row],[$ CAPITAL]]&gt;0,FINANCIACION[[#This Row],[$ CAPITAL]])</f>
        <v>0</v>
      </c>
      <c r="J786" s="49">
        <f>+IF(FINANCIACION[[#This Row],[$ CAPITAL]]&gt;=0,FINANCIACION[[#This Row],[$ CAPITAL]]+FINANCIACION[[#This Row],[$ INTERESES]],0)</f>
        <v>0</v>
      </c>
      <c r="K786" s="15"/>
      <c r="N786" s="8"/>
      <c r="O786" s="14"/>
      <c r="P786" s="12"/>
    </row>
    <row r="787" spans="1:16" ht="24" hidden="1" customHeight="1" x14ac:dyDescent="0.25">
      <c r="A787" s="10">
        <v>44104</v>
      </c>
      <c r="B787" s="85" t="s">
        <v>723</v>
      </c>
      <c r="C787" s="7">
        <v>-1948983</v>
      </c>
      <c r="D787" s="7"/>
      <c r="E787" s="7" t="str">
        <f>+IF(FINANCIACION[[#This Row],[$ CAPITAL]]&gt;=0,FINANCIACION[[#This Row],[$ CAPITAL]]+FINANCIACION[[#This Row],[$ INTERESES]],"")</f>
        <v/>
      </c>
      <c r="F787" s="7">
        <f>+SUMIFS(FINANCIACION[$ CAPITAL],FINANCIACION[Fecha],"&lt;="&amp;FINANCIACION[[#This Row],[Fecha]],FINANCIACION[PRESTAMO],FINANCIACION[[#This Row],[PRESTAMO]])</f>
        <v>-84819162.470000014</v>
      </c>
      <c r="G787" s="11"/>
      <c r="H787" s="11"/>
      <c r="I787" s="7" t="b">
        <f>+IF(FINANCIACION[[#This Row],[$ CAPITAL]]&gt;0,FINANCIACION[[#This Row],[$ CAPITAL]])</f>
        <v>0</v>
      </c>
      <c r="J787" s="49">
        <f>+IF(FINANCIACION[[#This Row],[$ CAPITAL]]&gt;=0,FINANCIACION[[#This Row],[$ CAPITAL]]+FINANCIACION[[#This Row],[$ INTERESES]],0)</f>
        <v>0</v>
      </c>
      <c r="K787" s="15"/>
      <c r="N787" s="8"/>
      <c r="O787" s="14"/>
      <c r="P787" s="12"/>
    </row>
    <row r="788" spans="1:16" ht="24" hidden="1" customHeight="1" x14ac:dyDescent="0.25">
      <c r="A788" s="10">
        <v>44109</v>
      </c>
      <c r="B788" s="85" t="s">
        <v>723</v>
      </c>
      <c r="C788" s="7">
        <v>990094.53</v>
      </c>
      <c r="D788" s="7">
        <v>190516.1</v>
      </c>
      <c r="E788" s="7">
        <f>+IF(FINANCIACION[[#This Row],[$ CAPITAL]]&gt;=0,FINANCIACION[[#This Row],[$ CAPITAL]]+FINANCIACION[[#This Row],[$ INTERESES]],"")</f>
        <v>1180610.6300000001</v>
      </c>
      <c r="F788" s="7">
        <f>+SUMIFS(FINANCIACION[$ CAPITAL],FINANCIACION[Fecha],"&lt;="&amp;FINANCIACION[[#This Row],[Fecha]],FINANCIACION[PRESTAMO],FINANCIACION[[#This Row],[PRESTAMO]])</f>
        <v>-83829067.940000013</v>
      </c>
      <c r="G788" s="11"/>
      <c r="H788" s="11"/>
      <c r="I788" s="7">
        <f>+IF(FINANCIACION[[#This Row],[$ CAPITAL]]&gt;0,FINANCIACION[[#This Row],[$ CAPITAL]])</f>
        <v>990094.53</v>
      </c>
      <c r="J788" s="49">
        <f>+IF(FINANCIACION[[#This Row],[$ CAPITAL]]&gt;=0,FINANCIACION[[#This Row],[$ CAPITAL]]+FINANCIACION[[#This Row],[$ INTERESES]],0)</f>
        <v>1180610.6300000001</v>
      </c>
      <c r="K788" s="15"/>
      <c r="N788" s="8"/>
      <c r="O788" s="14"/>
      <c r="P788" s="12"/>
    </row>
    <row r="789" spans="1:16" ht="24" hidden="1" customHeight="1" x14ac:dyDescent="0.25">
      <c r="A789" s="10">
        <v>44117</v>
      </c>
      <c r="B789" s="85" t="s">
        <v>723</v>
      </c>
      <c r="C789" s="7">
        <v>3824250</v>
      </c>
      <c r="D789" s="7"/>
      <c r="E789" s="7">
        <f>+IF(FINANCIACION[[#This Row],[$ CAPITAL]]&gt;=0,FINANCIACION[[#This Row],[$ CAPITAL]]+FINANCIACION[[#This Row],[$ INTERESES]],"")</f>
        <v>3824250</v>
      </c>
      <c r="F789" s="7">
        <f>+SUMIFS(FINANCIACION[$ CAPITAL],FINANCIACION[Fecha],"&lt;="&amp;FINANCIACION[[#This Row],[Fecha]],FINANCIACION[PRESTAMO],FINANCIACION[[#This Row],[PRESTAMO]])</f>
        <v>-79004817.940000013</v>
      </c>
      <c r="G789" s="11"/>
      <c r="H789" s="11"/>
      <c r="I789" s="7">
        <f>+IF(FINANCIACION[[#This Row],[$ CAPITAL]]&gt;0,FINANCIACION[[#This Row],[$ CAPITAL]])</f>
        <v>3824250</v>
      </c>
      <c r="J789" s="49">
        <f>+IF(FINANCIACION[[#This Row],[$ CAPITAL]]&gt;=0,FINANCIACION[[#This Row],[$ CAPITAL]]+FINANCIACION[[#This Row],[$ INTERESES]],0)</f>
        <v>3824250</v>
      </c>
      <c r="K789" s="15"/>
      <c r="N789" s="8"/>
      <c r="O789" s="14"/>
      <c r="P789" s="12"/>
    </row>
    <row r="790" spans="1:16" ht="24" hidden="1" customHeight="1" x14ac:dyDescent="0.25">
      <c r="A790" s="10">
        <v>44117</v>
      </c>
      <c r="B790" s="85" t="s">
        <v>723</v>
      </c>
      <c r="C790" s="7">
        <v>1000000</v>
      </c>
      <c r="D790" s="7"/>
      <c r="E790" s="7">
        <f>+IF(FINANCIACION[[#This Row],[$ CAPITAL]]&gt;=0,FINANCIACION[[#This Row],[$ CAPITAL]]+FINANCIACION[[#This Row],[$ INTERESES]],"")</f>
        <v>1000000</v>
      </c>
      <c r="F790" s="7">
        <f>+SUMIFS(FINANCIACION[$ CAPITAL],FINANCIACION[Fecha],"&lt;="&amp;FINANCIACION[[#This Row],[Fecha]],FINANCIACION[PRESTAMO],FINANCIACION[[#This Row],[PRESTAMO]])</f>
        <v>-79004817.940000013</v>
      </c>
      <c r="G790" s="11"/>
      <c r="H790" s="11"/>
      <c r="I790" s="7">
        <f>+IF(FINANCIACION[[#This Row],[$ CAPITAL]]&gt;0,FINANCIACION[[#This Row],[$ CAPITAL]])</f>
        <v>1000000</v>
      </c>
      <c r="J790" s="49">
        <f>+IF(FINANCIACION[[#This Row],[$ CAPITAL]]&gt;=0,FINANCIACION[[#This Row],[$ CAPITAL]]+FINANCIACION[[#This Row],[$ INTERESES]],0)</f>
        <v>1000000</v>
      </c>
      <c r="K790" s="15"/>
      <c r="N790" s="8"/>
      <c r="O790" s="14"/>
      <c r="P790" s="12"/>
    </row>
    <row r="791" spans="1:16" ht="24" hidden="1" customHeight="1" x14ac:dyDescent="0.25">
      <c r="A791" s="10">
        <v>44123</v>
      </c>
      <c r="B791" s="85" t="s">
        <v>723</v>
      </c>
      <c r="C791" s="7">
        <v>3846480</v>
      </c>
      <c r="D791" s="7"/>
      <c r="E791" s="7">
        <f>+IF(FINANCIACION[[#This Row],[$ CAPITAL]]&gt;=0,FINANCIACION[[#This Row],[$ CAPITAL]]+FINANCIACION[[#This Row],[$ INTERESES]],"")</f>
        <v>3846480</v>
      </c>
      <c r="F791" s="7">
        <f>+SUMIFS(FINANCIACION[$ CAPITAL],FINANCIACION[Fecha],"&lt;="&amp;FINANCIACION[[#This Row],[Fecha]],FINANCIACION[PRESTAMO],FINANCIACION[[#This Row],[PRESTAMO]])</f>
        <v>-74158337.940000013</v>
      </c>
      <c r="G791" s="11"/>
      <c r="H791" s="11"/>
      <c r="I791" s="7">
        <f>+IF(FINANCIACION[[#This Row],[$ CAPITAL]]&gt;0,FINANCIACION[[#This Row],[$ CAPITAL]])</f>
        <v>3846480</v>
      </c>
      <c r="J791" s="49">
        <f>+IF(FINANCIACION[[#This Row],[$ CAPITAL]]&gt;=0,FINANCIACION[[#This Row],[$ CAPITAL]]+FINANCIACION[[#This Row],[$ INTERESES]],0)</f>
        <v>3846480</v>
      </c>
      <c r="K791" s="15"/>
      <c r="N791" s="8"/>
      <c r="O791" s="14"/>
      <c r="P791" s="12"/>
    </row>
    <row r="792" spans="1:16" ht="24" hidden="1" customHeight="1" x14ac:dyDescent="0.25">
      <c r="A792" s="10">
        <v>44123</v>
      </c>
      <c r="B792" s="85" t="s">
        <v>723</v>
      </c>
      <c r="C792" s="7">
        <v>1000000</v>
      </c>
      <c r="D792" s="7"/>
      <c r="E792" s="7">
        <f>+IF(FINANCIACION[[#This Row],[$ CAPITAL]]&gt;=0,FINANCIACION[[#This Row],[$ CAPITAL]]+FINANCIACION[[#This Row],[$ INTERESES]],"")</f>
        <v>1000000</v>
      </c>
      <c r="F792" s="7">
        <f>+SUMIFS(FINANCIACION[$ CAPITAL],FINANCIACION[Fecha],"&lt;="&amp;FINANCIACION[[#This Row],[Fecha]],FINANCIACION[PRESTAMO],FINANCIACION[[#This Row],[PRESTAMO]])</f>
        <v>-74158337.940000013</v>
      </c>
      <c r="G792" s="11"/>
      <c r="H792" s="11"/>
      <c r="I792" s="7">
        <f>+IF(FINANCIACION[[#This Row],[$ CAPITAL]]&gt;0,FINANCIACION[[#This Row],[$ CAPITAL]])</f>
        <v>1000000</v>
      </c>
      <c r="J792" s="49">
        <f>+IF(FINANCIACION[[#This Row],[$ CAPITAL]]&gt;=0,FINANCIACION[[#This Row],[$ CAPITAL]]+FINANCIACION[[#This Row],[$ INTERESES]],0)</f>
        <v>1000000</v>
      </c>
      <c r="K792" s="15"/>
      <c r="N792" s="8"/>
      <c r="O792" s="14"/>
      <c r="P792" s="12"/>
    </row>
    <row r="793" spans="1:16" ht="24" hidden="1" customHeight="1" x14ac:dyDescent="0.25">
      <c r="A793" s="10">
        <v>44130</v>
      </c>
      <c r="B793" s="85" t="s">
        <v>723</v>
      </c>
      <c r="C793" s="7">
        <v>3782660</v>
      </c>
      <c r="D793" s="7"/>
      <c r="E793" s="7">
        <f>+IF(FINANCIACION[[#This Row],[$ CAPITAL]]&gt;=0,FINANCIACION[[#This Row],[$ CAPITAL]]+FINANCIACION[[#This Row],[$ INTERESES]],"")</f>
        <v>3782660</v>
      </c>
      <c r="F793" s="7">
        <f>+SUMIFS(FINANCIACION[$ CAPITAL],FINANCIACION[Fecha],"&lt;="&amp;FINANCIACION[[#This Row],[Fecha]],FINANCIACION[PRESTAMO],FINANCIACION[[#This Row],[PRESTAMO]])</f>
        <v>-69375677.940000013</v>
      </c>
      <c r="G793" s="11"/>
      <c r="H793" s="11"/>
      <c r="I793" s="7">
        <f>+IF(FINANCIACION[[#This Row],[$ CAPITAL]]&gt;0,FINANCIACION[[#This Row],[$ CAPITAL]])</f>
        <v>3782660</v>
      </c>
      <c r="J793" s="49">
        <f>+IF(FINANCIACION[[#This Row],[$ CAPITAL]]&gt;=0,FINANCIACION[[#This Row],[$ CAPITAL]]+FINANCIACION[[#This Row],[$ INTERESES]],0)</f>
        <v>3782660</v>
      </c>
      <c r="K793" s="15"/>
      <c r="N793" s="8"/>
      <c r="O793" s="14"/>
      <c r="P793" s="12"/>
    </row>
    <row r="794" spans="1:16" ht="24" hidden="1" customHeight="1" x14ac:dyDescent="0.25">
      <c r="A794" s="10">
        <v>44130</v>
      </c>
      <c r="B794" s="85" t="s">
        <v>723</v>
      </c>
      <c r="C794" s="7">
        <v>1000000</v>
      </c>
      <c r="D794" s="7"/>
      <c r="E794" s="7">
        <f>+IF(FINANCIACION[[#This Row],[$ CAPITAL]]&gt;=0,FINANCIACION[[#This Row],[$ CAPITAL]]+FINANCIACION[[#This Row],[$ INTERESES]],"")</f>
        <v>1000000</v>
      </c>
      <c r="F794" s="7">
        <f>+SUMIFS(FINANCIACION[$ CAPITAL],FINANCIACION[Fecha],"&lt;="&amp;FINANCIACION[[#This Row],[Fecha]],FINANCIACION[PRESTAMO],FINANCIACION[[#This Row],[PRESTAMO]])</f>
        <v>-69375677.940000013</v>
      </c>
      <c r="G794" s="11"/>
      <c r="H794" s="11"/>
      <c r="I794" s="7">
        <f>+IF(FINANCIACION[[#This Row],[$ CAPITAL]]&gt;0,FINANCIACION[[#This Row],[$ CAPITAL]])</f>
        <v>1000000</v>
      </c>
      <c r="J794" s="49">
        <f>+IF(FINANCIACION[[#This Row],[$ CAPITAL]]&gt;=0,FINANCIACION[[#This Row],[$ CAPITAL]]+FINANCIACION[[#This Row],[$ INTERESES]],0)</f>
        <v>1000000</v>
      </c>
      <c r="K794" s="15"/>
      <c r="N794" s="8"/>
      <c r="O794" s="14"/>
      <c r="P794" s="12"/>
    </row>
    <row r="795" spans="1:16" ht="24" hidden="1" customHeight="1" x14ac:dyDescent="0.25">
      <c r="A795" s="10">
        <v>44135</v>
      </c>
      <c r="B795" s="85" t="s">
        <v>723</v>
      </c>
      <c r="C795" s="7">
        <v>-264978.33999999985</v>
      </c>
      <c r="D795" s="7"/>
      <c r="E795" s="7" t="str">
        <f>+IF(FINANCIACION[[#This Row],[$ CAPITAL]]&gt;=0,FINANCIACION[[#This Row],[$ CAPITAL]]+FINANCIACION[[#This Row],[$ INTERESES]],"")</f>
        <v/>
      </c>
      <c r="F795" s="7">
        <f>+SUMIFS(FINANCIACION[$ CAPITAL],FINANCIACION[Fecha],"&lt;="&amp;FINANCIACION[[#This Row],[Fecha]],FINANCIACION[PRESTAMO],FINANCIACION[[#This Row],[PRESTAMO]])</f>
        <v>-70069042.850000024</v>
      </c>
      <c r="G795" s="11"/>
      <c r="H795" s="11"/>
      <c r="I795" s="7" t="b">
        <f>+IF(FINANCIACION[[#This Row],[$ CAPITAL]]&gt;0,FINANCIACION[[#This Row],[$ CAPITAL]])</f>
        <v>0</v>
      </c>
      <c r="J795" s="49">
        <f>+IF(FINANCIACION[[#This Row],[$ CAPITAL]]&gt;=0,FINANCIACION[[#This Row],[$ CAPITAL]]+FINANCIACION[[#This Row],[$ INTERESES]],0)</f>
        <v>0</v>
      </c>
      <c r="K795" s="15"/>
      <c r="N795" s="8"/>
      <c r="O795" s="14"/>
      <c r="P795" s="12"/>
    </row>
    <row r="796" spans="1:16" ht="24" hidden="1" customHeight="1" x14ac:dyDescent="0.25">
      <c r="A796" s="10">
        <v>44135</v>
      </c>
      <c r="B796" s="85" t="s">
        <v>723</v>
      </c>
      <c r="C796" s="7">
        <v>-322222.5700000003</v>
      </c>
      <c r="D796" s="7"/>
      <c r="E796" s="7" t="str">
        <f>+IF(FINANCIACION[[#This Row],[$ CAPITAL]]&gt;=0,FINANCIACION[[#This Row],[$ CAPITAL]]+FINANCIACION[[#This Row],[$ INTERESES]],"")</f>
        <v/>
      </c>
      <c r="F796" s="7">
        <f>+SUMIFS(FINANCIACION[$ CAPITAL],FINANCIACION[Fecha],"&lt;="&amp;FINANCIACION[[#This Row],[Fecha]],FINANCIACION[PRESTAMO],FINANCIACION[[#This Row],[PRESTAMO]])</f>
        <v>-70069042.850000024</v>
      </c>
      <c r="G796" s="11"/>
      <c r="H796" s="11"/>
      <c r="I796" s="7" t="b">
        <f>+IF(FINANCIACION[[#This Row],[$ CAPITAL]]&gt;0,FINANCIACION[[#This Row],[$ CAPITAL]])</f>
        <v>0</v>
      </c>
      <c r="J796" s="49">
        <f>+IF(FINANCIACION[[#This Row],[$ CAPITAL]]&gt;=0,FINANCIACION[[#This Row],[$ CAPITAL]]+FINANCIACION[[#This Row],[$ INTERESES]],0)</f>
        <v>0</v>
      </c>
      <c r="K796" s="15"/>
      <c r="N796" s="8"/>
      <c r="O796" s="14"/>
      <c r="P796" s="12"/>
    </row>
    <row r="797" spans="1:16" ht="24" hidden="1" customHeight="1" x14ac:dyDescent="0.25">
      <c r="A797" s="10">
        <v>44135</v>
      </c>
      <c r="B797" s="85" t="s">
        <v>723</v>
      </c>
      <c r="C797" s="7">
        <v>-106164.00000000047</v>
      </c>
      <c r="D797" s="7"/>
      <c r="E797" s="7" t="str">
        <f>+IF(FINANCIACION[[#This Row],[$ CAPITAL]]&gt;=0,FINANCIACION[[#This Row],[$ CAPITAL]]+FINANCIACION[[#This Row],[$ INTERESES]],"")</f>
        <v/>
      </c>
      <c r="F797" s="7">
        <f>+SUMIFS(FINANCIACION[$ CAPITAL],FINANCIACION[Fecha],"&lt;="&amp;FINANCIACION[[#This Row],[Fecha]],FINANCIACION[PRESTAMO],FINANCIACION[[#This Row],[PRESTAMO]])</f>
        <v>-70069042.850000024</v>
      </c>
      <c r="G797" s="11"/>
      <c r="H797" s="11"/>
      <c r="I797" s="7" t="b">
        <f>+IF(FINANCIACION[[#This Row],[$ CAPITAL]]&gt;0,FINANCIACION[[#This Row],[$ CAPITAL]])</f>
        <v>0</v>
      </c>
      <c r="J797" s="49">
        <f>+IF(FINANCIACION[[#This Row],[$ CAPITAL]]&gt;=0,FINANCIACION[[#This Row],[$ CAPITAL]]+FINANCIACION[[#This Row],[$ INTERESES]],0)</f>
        <v>0</v>
      </c>
      <c r="K797" s="15"/>
      <c r="N797" s="8"/>
      <c r="O797" s="14"/>
      <c r="P797" s="12"/>
    </row>
    <row r="798" spans="1:16" ht="24" hidden="1" customHeight="1" x14ac:dyDescent="0.25">
      <c r="A798" s="10">
        <v>44138</v>
      </c>
      <c r="B798" s="85" t="s">
        <v>723</v>
      </c>
      <c r="C798" s="7">
        <v>3858560</v>
      </c>
      <c r="D798" s="7"/>
      <c r="E798" s="7">
        <f>+IF(FINANCIACION[[#This Row],[$ CAPITAL]]&gt;=0,FINANCIACION[[#This Row],[$ CAPITAL]]+FINANCIACION[[#This Row],[$ INTERESES]],"")</f>
        <v>3858560</v>
      </c>
      <c r="F798" s="7">
        <f>+SUMIFS(FINANCIACION[$ CAPITAL],FINANCIACION[Fecha],"&lt;="&amp;FINANCIACION[[#This Row],[Fecha]],FINANCIACION[PRESTAMO],FINANCIACION[[#This Row],[PRESTAMO]])</f>
        <v>-65210482.850000024</v>
      </c>
      <c r="G798" s="11"/>
      <c r="H798" s="11"/>
      <c r="I798" s="7">
        <f>+IF(FINANCIACION[[#This Row],[$ CAPITAL]]&gt;0,FINANCIACION[[#This Row],[$ CAPITAL]])</f>
        <v>3858560</v>
      </c>
      <c r="J798" s="49">
        <f>+IF(FINANCIACION[[#This Row],[$ CAPITAL]]&gt;=0,FINANCIACION[[#This Row],[$ CAPITAL]]+FINANCIACION[[#This Row],[$ INTERESES]],0)</f>
        <v>3858560</v>
      </c>
      <c r="K798" s="15"/>
      <c r="N798" s="8"/>
      <c r="O798" s="14"/>
      <c r="P798" s="12"/>
    </row>
    <row r="799" spans="1:16" ht="24" hidden="1" customHeight="1" x14ac:dyDescent="0.25">
      <c r="A799" s="10">
        <v>44138</v>
      </c>
      <c r="B799" s="85" t="s">
        <v>723</v>
      </c>
      <c r="C799" s="7">
        <v>1000000</v>
      </c>
      <c r="D799" s="7"/>
      <c r="E799" s="7">
        <f>+IF(FINANCIACION[[#This Row],[$ CAPITAL]]&gt;=0,FINANCIACION[[#This Row],[$ CAPITAL]]+FINANCIACION[[#This Row],[$ INTERESES]],"")</f>
        <v>1000000</v>
      </c>
      <c r="F799" s="7">
        <f>+SUMIFS(FINANCIACION[$ CAPITAL],FINANCIACION[Fecha],"&lt;="&amp;FINANCIACION[[#This Row],[Fecha]],FINANCIACION[PRESTAMO],FINANCIACION[[#This Row],[PRESTAMO]])</f>
        <v>-65210482.850000024</v>
      </c>
      <c r="G799" s="11"/>
      <c r="H799" s="11"/>
      <c r="I799" s="7">
        <f>+IF(FINANCIACION[[#This Row],[$ CAPITAL]]&gt;0,FINANCIACION[[#This Row],[$ CAPITAL]])</f>
        <v>1000000</v>
      </c>
      <c r="J799" s="49">
        <f>+IF(FINANCIACION[[#This Row],[$ CAPITAL]]&gt;=0,FINANCIACION[[#This Row],[$ CAPITAL]]+FINANCIACION[[#This Row],[$ INTERESES]],0)</f>
        <v>1000000</v>
      </c>
      <c r="K799" s="15"/>
      <c r="N799" s="8"/>
      <c r="O799" s="14"/>
      <c r="P799" s="12"/>
    </row>
    <row r="800" spans="1:16" ht="24" hidden="1" customHeight="1" x14ac:dyDescent="0.25">
      <c r="A800" s="10">
        <v>44139</v>
      </c>
      <c r="B800" s="85" t="s">
        <v>723</v>
      </c>
      <c r="C800" s="7">
        <v>990094.53</v>
      </c>
      <c r="D800" s="7">
        <v>182124.31000000006</v>
      </c>
      <c r="E800" s="7">
        <f>+IF(FINANCIACION[[#This Row],[$ CAPITAL]]&gt;=0,FINANCIACION[[#This Row],[$ CAPITAL]]+FINANCIACION[[#This Row],[$ INTERESES]],"")</f>
        <v>1172218.8400000001</v>
      </c>
      <c r="F800" s="7">
        <f>+SUMIFS(FINANCIACION[$ CAPITAL],FINANCIACION[Fecha],"&lt;="&amp;FINANCIACION[[#This Row],[Fecha]],FINANCIACION[PRESTAMO],FINANCIACION[[#This Row],[PRESTAMO]])</f>
        <v>-64220388.320000023</v>
      </c>
      <c r="G800" s="11"/>
      <c r="H800" s="11"/>
      <c r="I800" s="7">
        <f>+IF(FINANCIACION[[#This Row],[$ CAPITAL]]&gt;0,FINANCIACION[[#This Row],[$ CAPITAL]])</f>
        <v>990094.53</v>
      </c>
      <c r="J800" s="49">
        <f>+IF(FINANCIACION[[#This Row],[$ CAPITAL]]&gt;=0,FINANCIACION[[#This Row],[$ CAPITAL]]+FINANCIACION[[#This Row],[$ INTERESES]],0)</f>
        <v>1172218.8400000001</v>
      </c>
      <c r="K800" s="15"/>
      <c r="N800" s="8"/>
      <c r="O800" s="14"/>
      <c r="P800" s="12"/>
    </row>
    <row r="801" spans="1:16" ht="24" hidden="1" customHeight="1" x14ac:dyDescent="0.25">
      <c r="A801" s="10">
        <v>44144</v>
      </c>
      <c r="B801" s="85" t="s">
        <v>723</v>
      </c>
      <c r="C801" s="7">
        <v>120681</v>
      </c>
      <c r="D801" s="7"/>
      <c r="E801" s="7">
        <f>+IF(FINANCIACION[[#This Row],[$ CAPITAL]]&gt;=0,FINANCIACION[[#This Row],[$ CAPITAL]]+FINANCIACION[[#This Row],[$ INTERESES]],"")</f>
        <v>120681</v>
      </c>
      <c r="F801" s="7">
        <f>+SUMIFS(FINANCIACION[$ CAPITAL],FINANCIACION[Fecha],"&lt;="&amp;FINANCIACION[[#This Row],[Fecha]],FINANCIACION[PRESTAMO],FINANCIACION[[#This Row],[PRESTAMO]])</f>
        <v>-59361517.320000023</v>
      </c>
      <c r="G801" s="11"/>
      <c r="H801" s="11"/>
      <c r="I801" s="7">
        <f>+IF(FINANCIACION[[#This Row],[$ CAPITAL]]&gt;0,FINANCIACION[[#This Row],[$ CAPITAL]])</f>
        <v>120681</v>
      </c>
      <c r="J801" s="49">
        <f>+IF(FINANCIACION[[#This Row],[$ CAPITAL]]&gt;=0,FINANCIACION[[#This Row],[$ CAPITAL]]+FINANCIACION[[#This Row],[$ INTERESES]],0)</f>
        <v>120681</v>
      </c>
      <c r="K801" s="15"/>
      <c r="N801" s="8"/>
      <c r="O801" s="14"/>
      <c r="P801" s="12"/>
    </row>
    <row r="802" spans="1:16" ht="24" hidden="1" customHeight="1" x14ac:dyDescent="0.25">
      <c r="A802" s="10">
        <v>44144</v>
      </c>
      <c r="B802" s="85" t="s">
        <v>723</v>
      </c>
      <c r="C802" s="7">
        <v>3738190</v>
      </c>
      <c r="D802" s="7"/>
      <c r="E802" s="7">
        <f>+IF(FINANCIACION[[#This Row],[$ CAPITAL]]&gt;=0,FINANCIACION[[#This Row],[$ CAPITAL]]+FINANCIACION[[#This Row],[$ INTERESES]],"")</f>
        <v>3738190</v>
      </c>
      <c r="F802" s="7">
        <f>+SUMIFS(FINANCIACION[$ CAPITAL],FINANCIACION[Fecha],"&lt;="&amp;FINANCIACION[[#This Row],[Fecha]],FINANCIACION[PRESTAMO],FINANCIACION[[#This Row],[PRESTAMO]])</f>
        <v>-59361517.320000023</v>
      </c>
      <c r="G802" s="11"/>
      <c r="H802" s="11"/>
      <c r="I802" s="7">
        <f>+IF(FINANCIACION[[#This Row],[$ CAPITAL]]&gt;0,FINANCIACION[[#This Row],[$ CAPITAL]])</f>
        <v>3738190</v>
      </c>
      <c r="J802" s="49">
        <f>+IF(FINANCIACION[[#This Row],[$ CAPITAL]]&gt;=0,FINANCIACION[[#This Row],[$ CAPITAL]]+FINANCIACION[[#This Row],[$ INTERESES]],0)</f>
        <v>3738190</v>
      </c>
      <c r="K802" s="15"/>
      <c r="N802" s="8"/>
      <c r="O802" s="14"/>
      <c r="P802" s="12"/>
    </row>
    <row r="803" spans="1:16" ht="24" hidden="1" customHeight="1" x14ac:dyDescent="0.25">
      <c r="A803" s="10">
        <v>44144</v>
      </c>
      <c r="B803" s="85" t="s">
        <v>723</v>
      </c>
      <c r="C803" s="7">
        <v>1000000</v>
      </c>
      <c r="D803" s="7"/>
      <c r="E803" s="7">
        <f>+IF(FINANCIACION[[#This Row],[$ CAPITAL]]&gt;=0,FINANCIACION[[#This Row],[$ CAPITAL]]+FINANCIACION[[#This Row],[$ INTERESES]],"")</f>
        <v>1000000</v>
      </c>
      <c r="F803" s="7">
        <f>+SUMIFS(FINANCIACION[$ CAPITAL],FINANCIACION[Fecha],"&lt;="&amp;FINANCIACION[[#This Row],[Fecha]],FINANCIACION[PRESTAMO],FINANCIACION[[#This Row],[PRESTAMO]])</f>
        <v>-59361517.320000023</v>
      </c>
      <c r="G803" s="11"/>
      <c r="H803" s="11"/>
      <c r="I803" s="7">
        <f>+IF(FINANCIACION[[#This Row],[$ CAPITAL]]&gt;0,FINANCIACION[[#This Row],[$ CAPITAL]])</f>
        <v>1000000</v>
      </c>
      <c r="J803" s="49">
        <f>+IF(FINANCIACION[[#This Row],[$ CAPITAL]]&gt;=0,FINANCIACION[[#This Row],[$ CAPITAL]]+FINANCIACION[[#This Row],[$ INTERESES]],0)</f>
        <v>1000000</v>
      </c>
      <c r="K803" s="15"/>
      <c r="N803" s="8"/>
      <c r="O803" s="14"/>
      <c r="P803" s="12"/>
    </row>
    <row r="804" spans="1:16" ht="24" hidden="1" customHeight="1" x14ac:dyDescent="0.25">
      <c r="A804" s="10">
        <v>44155</v>
      </c>
      <c r="B804" s="85" t="s">
        <v>723</v>
      </c>
      <c r="C804" s="7">
        <v>-5000000</v>
      </c>
      <c r="D804" s="7"/>
      <c r="E804" s="7" t="str">
        <f>+IF(FINANCIACION[[#This Row],[$ CAPITAL]]&gt;=0,FINANCIACION[[#This Row],[$ CAPITAL]]+FINANCIACION[[#This Row],[$ INTERESES]],"")</f>
        <v/>
      </c>
      <c r="F804" s="7">
        <f>+SUMIFS(FINANCIACION[$ CAPITAL],FINANCIACION[Fecha],"&lt;="&amp;FINANCIACION[[#This Row],[Fecha]],FINANCIACION[PRESTAMO],FINANCIACION[[#This Row],[PRESTAMO]])</f>
        <v>-64361517.320000023</v>
      </c>
      <c r="G804" s="11"/>
      <c r="H804" s="11"/>
      <c r="I804" s="7" t="b">
        <f>+IF(FINANCIACION[[#This Row],[$ CAPITAL]]&gt;0,FINANCIACION[[#This Row],[$ CAPITAL]])</f>
        <v>0</v>
      </c>
      <c r="J804" s="49">
        <f>+IF(FINANCIACION[[#This Row],[$ CAPITAL]]&gt;=0,FINANCIACION[[#This Row],[$ CAPITAL]]+FINANCIACION[[#This Row],[$ INTERESES]],0)</f>
        <v>0</v>
      </c>
      <c r="K804" s="15"/>
      <c r="N804" s="8"/>
      <c r="O804" s="14"/>
      <c r="P804" s="12"/>
    </row>
    <row r="805" spans="1:16" ht="24" hidden="1" customHeight="1" x14ac:dyDescent="0.25">
      <c r="A805" s="10">
        <v>44158</v>
      </c>
      <c r="B805" s="85" t="s">
        <v>723</v>
      </c>
      <c r="C805" s="7">
        <v>3649900</v>
      </c>
      <c r="D805" s="7"/>
      <c r="E805" s="7">
        <f>+IF(FINANCIACION[[#This Row],[$ CAPITAL]]&gt;=0,FINANCIACION[[#This Row],[$ CAPITAL]]+FINANCIACION[[#This Row],[$ INTERESES]],"")</f>
        <v>3649900</v>
      </c>
      <c r="F805" s="7">
        <f>+SUMIFS(FINANCIACION[$ CAPITAL],FINANCIACION[Fecha],"&lt;="&amp;FINANCIACION[[#This Row],[Fecha]],FINANCIACION[PRESTAMO],FINANCIACION[[#This Row],[PRESTAMO]])</f>
        <v>-59711617.320000023</v>
      </c>
      <c r="G805" s="11"/>
      <c r="H805" s="11"/>
      <c r="I805" s="7">
        <f>+IF(FINANCIACION[[#This Row],[$ CAPITAL]]&gt;0,FINANCIACION[[#This Row],[$ CAPITAL]])</f>
        <v>3649900</v>
      </c>
      <c r="J805" s="49">
        <f>+IF(FINANCIACION[[#This Row],[$ CAPITAL]]&gt;=0,FINANCIACION[[#This Row],[$ CAPITAL]]+FINANCIACION[[#This Row],[$ INTERESES]],0)</f>
        <v>3649900</v>
      </c>
      <c r="K805" s="15"/>
      <c r="N805" s="8"/>
      <c r="O805" s="14"/>
      <c r="P805" s="12"/>
    </row>
    <row r="806" spans="1:16" ht="24" hidden="1" customHeight="1" x14ac:dyDescent="0.25">
      <c r="A806" s="10">
        <v>44158</v>
      </c>
      <c r="B806" s="85" t="s">
        <v>723</v>
      </c>
      <c r="C806" s="7">
        <v>1000000</v>
      </c>
      <c r="D806" s="7"/>
      <c r="E806" s="7">
        <f>+IF(FINANCIACION[[#This Row],[$ CAPITAL]]&gt;=0,FINANCIACION[[#This Row],[$ CAPITAL]]+FINANCIACION[[#This Row],[$ INTERESES]],"")</f>
        <v>1000000</v>
      </c>
      <c r="F806" s="7">
        <f>+SUMIFS(FINANCIACION[$ CAPITAL],FINANCIACION[Fecha],"&lt;="&amp;FINANCIACION[[#This Row],[Fecha]],FINANCIACION[PRESTAMO],FINANCIACION[[#This Row],[PRESTAMO]])</f>
        <v>-59711617.320000023</v>
      </c>
      <c r="G806" s="11"/>
      <c r="H806" s="11"/>
      <c r="I806" s="7">
        <f>+IF(FINANCIACION[[#This Row],[$ CAPITAL]]&gt;0,FINANCIACION[[#This Row],[$ CAPITAL]])</f>
        <v>1000000</v>
      </c>
      <c r="J806" s="49">
        <f>+IF(FINANCIACION[[#This Row],[$ CAPITAL]]&gt;=0,FINANCIACION[[#This Row],[$ CAPITAL]]+FINANCIACION[[#This Row],[$ INTERESES]],0)</f>
        <v>1000000</v>
      </c>
      <c r="K806" s="15"/>
      <c r="N806" s="8"/>
      <c r="O806" s="14"/>
      <c r="P806" s="12"/>
    </row>
    <row r="807" spans="1:16" ht="24" hidden="1" customHeight="1" x14ac:dyDescent="0.25">
      <c r="A807" s="10">
        <v>44161</v>
      </c>
      <c r="B807" s="85" t="s">
        <v>723</v>
      </c>
      <c r="C807" s="7">
        <v>7403.0900000035763</v>
      </c>
      <c r="D807" s="7">
        <v>1292596.9099999964</v>
      </c>
      <c r="E807" s="7">
        <f>+IF(FINANCIACION[[#This Row],[$ CAPITAL]]&gt;=0,FINANCIACION[[#This Row],[$ CAPITAL]]+FINANCIACION[[#This Row],[$ INTERESES]],"")</f>
        <v>1300000</v>
      </c>
      <c r="F807" s="7">
        <f>+SUMIFS(FINANCIACION[$ CAPITAL],FINANCIACION[Fecha],"&lt;="&amp;FINANCIACION[[#This Row],[Fecha]],FINANCIACION[PRESTAMO],FINANCIACION[[#This Row],[PRESTAMO]])</f>
        <v>-59695180.630000018</v>
      </c>
      <c r="G807" s="11"/>
      <c r="H807" s="11"/>
      <c r="I807" s="7">
        <f>+IF(FINANCIACION[[#This Row],[$ CAPITAL]]&gt;0,FINANCIACION[[#This Row],[$ CAPITAL]])</f>
        <v>7403.0900000035763</v>
      </c>
      <c r="J807" s="49">
        <f>+IF(FINANCIACION[[#This Row],[$ CAPITAL]]&gt;=0,FINANCIACION[[#This Row],[$ CAPITAL]]+FINANCIACION[[#This Row],[$ INTERESES]],0)</f>
        <v>1300000</v>
      </c>
      <c r="K807" s="15"/>
      <c r="N807" s="8"/>
      <c r="O807" s="14"/>
      <c r="P807" s="12"/>
    </row>
    <row r="808" spans="1:16" ht="24" hidden="1" customHeight="1" x14ac:dyDescent="0.25">
      <c r="A808" s="10">
        <v>44161</v>
      </c>
      <c r="B808" s="85" t="s">
        <v>723</v>
      </c>
      <c r="C808" s="7">
        <v>9033.6000000014901</v>
      </c>
      <c r="D808" s="7">
        <v>1582966.3999999985</v>
      </c>
      <c r="E808" s="7">
        <f>+IF(FINANCIACION[[#This Row],[$ CAPITAL]]&gt;=0,FINANCIACION[[#This Row],[$ CAPITAL]]+FINANCIACION[[#This Row],[$ INTERESES]],"")</f>
        <v>1592000</v>
      </c>
      <c r="F808" s="7">
        <f>+SUMIFS(FINANCIACION[$ CAPITAL],FINANCIACION[Fecha],"&lt;="&amp;FINANCIACION[[#This Row],[Fecha]],FINANCIACION[PRESTAMO],FINANCIACION[[#This Row],[PRESTAMO]])</f>
        <v>-59695180.630000018</v>
      </c>
      <c r="G808" s="11"/>
      <c r="H808" s="11"/>
      <c r="I808" s="7">
        <f>+IF(FINANCIACION[[#This Row],[$ CAPITAL]]&gt;0,FINANCIACION[[#This Row],[$ CAPITAL]])</f>
        <v>9033.6000000014901</v>
      </c>
      <c r="J808" s="49">
        <f>+IF(FINANCIACION[[#This Row],[$ CAPITAL]]&gt;=0,FINANCIACION[[#This Row],[$ CAPITAL]]+FINANCIACION[[#This Row],[$ INTERESES]],0)</f>
        <v>1592000</v>
      </c>
      <c r="K808" s="15"/>
      <c r="N808" s="8"/>
      <c r="O808" s="14"/>
      <c r="P808" s="12"/>
    </row>
    <row r="809" spans="1:16" ht="24" hidden="1" customHeight="1" x14ac:dyDescent="0.25">
      <c r="A809" s="10">
        <v>44162</v>
      </c>
      <c r="B809" s="85" t="s">
        <v>723</v>
      </c>
      <c r="C809" s="7">
        <v>1000000</v>
      </c>
      <c r="D809" s="7"/>
      <c r="E809" s="7">
        <f>+IF(FINANCIACION[[#This Row],[$ CAPITAL]]&gt;=0,FINANCIACION[[#This Row],[$ CAPITAL]]+FINANCIACION[[#This Row],[$ INTERESES]],"")</f>
        <v>1000000</v>
      </c>
      <c r="F809" s="7">
        <f>+SUMIFS(FINANCIACION[$ CAPITAL],FINANCIACION[Fecha],"&lt;="&amp;FINANCIACION[[#This Row],[Fecha]],FINANCIACION[PRESTAMO],FINANCIACION[[#This Row],[PRESTAMO]])</f>
        <v>-58695180.630000018</v>
      </c>
      <c r="G809" s="11"/>
      <c r="H809" s="11"/>
      <c r="I809" s="7">
        <f>+IF(FINANCIACION[[#This Row],[$ CAPITAL]]&gt;0,FINANCIACION[[#This Row],[$ CAPITAL]])</f>
        <v>1000000</v>
      </c>
      <c r="J809" s="49">
        <f>+IF(FINANCIACION[[#This Row],[$ CAPITAL]]&gt;=0,FINANCIACION[[#This Row],[$ CAPITAL]]+FINANCIACION[[#This Row],[$ INTERESES]],0)</f>
        <v>1000000</v>
      </c>
      <c r="K809" s="15"/>
      <c r="N809" s="8"/>
      <c r="O809" s="14"/>
      <c r="P809" s="12"/>
    </row>
    <row r="810" spans="1:16" ht="24" hidden="1" customHeight="1" x14ac:dyDescent="0.25">
      <c r="A810" s="10">
        <v>44163</v>
      </c>
      <c r="B810" s="85" t="s">
        <v>723</v>
      </c>
      <c r="C810" s="7">
        <v>-13000000</v>
      </c>
      <c r="D810" s="7"/>
      <c r="E810" s="7" t="str">
        <f>+IF(FINANCIACION[[#This Row],[$ CAPITAL]]&gt;=0,FINANCIACION[[#This Row],[$ CAPITAL]]+FINANCIACION[[#This Row],[$ INTERESES]],"")</f>
        <v/>
      </c>
      <c r="F810" s="7">
        <f>+SUMIFS(FINANCIACION[$ CAPITAL],FINANCIACION[Fecha],"&lt;="&amp;FINANCIACION[[#This Row],[Fecha]],FINANCIACION[PRESTAMO],FINANCIACION[[#This Row],[PRESTAMO]])</f>
        <v>-71695180.630000025</v>
      </c>
      <c r="G810" s="11"/>
      <c r="H810" s="11"/>
      <c r="I810" s="7" t="b">
        <f>+IF(FINANCIACION[[#This Row],[$ CAPITAL]]&gt;0,FINANCIACION[[#This Row],[$ CAPITAL]])</f>
        <v>0</v>
      </c>
      <c r="J810" s="49">
        <f>+IF(FINANCIACION[[#This Row],[$ CAPITAL]]&gt;=0,FINANCIACION[[#This Row],[$ CAPITAL]]+FINANCIACION[[#This Row],[$ INTERESES]],0)</f>
        <v>0</v>
      </c>
      <c r="K810" s="15"/>
      <c r="N810" s="8"/>
      <c r="O810" s="14"/>
      <c r="P810" s="12"/>
    </row>
    <row r="811" spans="1:16" ht="24" hidden="1" customHeight="1" x14ac:dyDescent="0.25">
      <c r="A811" s="10">
        <v>44165</v>
      </c>
      <c r="B811" s="85" t="s">
        <v>723</v>
      </c>
      <c r="C811" s="7">
        <v>2118385.0699999928</v>
      </c>
      <c r="D811" s="7"/>
      <c r="E811" s="7">
        <f>+IF(FINANCIACION[[#This Row],[$ CAPITAL]]&gt;=0,FINANCIACION[[#This Row],[$ CAPITAL]]+FINANCIACION[[#This Row],[$ INTERESES]],"")</f>
        <v>2118385.0699999928</v>
      </c>
      <c r="F811" s="7">
        <f>+SUMIFS(FINANCIACION[$ CAPITAL],FINANCIACION[Fecha],"&lt;="&amp;FINANCIACION[[#This Row],[Fecha]],FINANCIACION[PRESTAMO],FINANCIACION[[#This Row],[PRESTAMO]])</f>
        <v>-85486465.350000039</v>
      </c>
      <c r="G811" s="11"/>
      <c r="H811" s="11"/>
      <c r="I811" s="7">
        <f>+IF(FINANCIACION[[#This Row],[$ CAPITAL]]&gt;0,FINANCIACION[[#This Row],[$ CAPITAL]])</f>
        <v>2118385.0699999928</v>
      </c>
      <c r="J811" s="49">
        <f>+IF(FINANCIACION[[#This Row],[$ CAPITAL]]&gt;=0,FINANCIACION[[#This Row],[$ CAPITAL]]+FINANCIACION[[#This Row],[$ INTERESES]],0)</f>
        <v>2118385.0699999928</v>
      </c>
      <c r="K811" s="15"/>
      <c r="N811" s="8"/>
      <c r="O811" s="14"/>
      <c r="P811" s="12"/>
    </row>
    <row r="812" spans="1:16" ht="24" hidden="1" customHeight="1" x14ac:dyDescent="0.25">
      <c r="A812" s="10">
        <v>44165</v>
      </c>
      <c r="B812" s="85" t="s">
        <v>723</v>
      </c>
      <c r="C812" s="7">
        <v>3258640.2100000009</v>
      </c>
      <c r="D812" s="7"/>
      <c r="E812" s="7">
        <f>+IF(FINANCIACION[[#This Row],[$ CAPITAL]]&gt;=0,FINANCIACION[[#This Row],[$ CAPITAL]]+FINANCIACION[[#This Row],[$ INTERESES]],"")</f>
        <v>3258640.2100000009</v>
      </c>
      <c r="F812" s="7">
        <f>+SUMIFS(FINANCIACION[$ CAPITAL],FINANCIACION[Fecha],"&lt;="&amp;FINANCIACION[[#This Row],[Fecha]],FINANCIACION[PRESTAMO],FINANCIACION[[#This Row],[PRESTAMO]])</f>
        <v>-85486465.350000039</v>
      </c>
      <c r="G812" s="11"/>
      <c r="H812" s="11"/>
      <c r="I812" s="7">
        <f>+IF(FINANCIACION[[#This Row],[$ CAPITAL]]&gt;0,FINANCIACION[[#This Row],[$ CAPITAL]])</f>
        <v>3258640.2100000009</v>
      </c>
      <c r="J812" s="49">
        <f>+IF(FINANCIACION[[#This Row],[$ CAPITAL]]&gt;=0,FINANCIACION[[#This Row],[$ CAPITAL]]+FINANCIACION[[#This Row],[$ INTERESES]],0)</f>
        <v>3258640.2100000009</v>
      </c>
      <c r="K812" s="15"/>
      <c r="N812" s="8"/>
      <c r="O812" s="14"/>
      <c r="P812" s="12"/>
    </row>
    <row r="813" spans="1:16" ht="24" hidden="1" customHeight="1" x14ac:dyDescent="0.25">
      <c r="A813" s="10">
        <v>44165</v>
      </c>
      <c r="B813" s="85" t="s">
        <v>723</v>
      </c>
      <c r="C813" s="7">
        <v>-2196802.0000000005</v>
      </c>
      <c r="D813" s="7"/>
      <c r="E813" s="7" t="str">
        <f>+IF(FINANCIACION[[#This Row],[$ CAPITAL]]&gt;=0,FINANCIACION[[#This Row],[$ CAPITAL]]+FINANCIACION[[#This Row],[$ INTERESES]],"")</f>
        <v/>
      </c>
      <c r="F813" s="7">
        <f>+SUMIFS(FINANCIACION[$ CAPITAL],FINANCIACION[Fecha],"&lt;="&amp;FINANCIACION[[#This Row],[Fecha]],FINANCIACION[PRESTAMO],FINANCIACION[[#This Row],[PRESTAMO]])</f>
        <v>-85486465.350000039</v>
      </c>
      <c r="G813" s="11"/>
      <c r="H813" s="11"/>
      <c r="I813" s="7" t="b">
        <f>+IF(FINANCIACION[[#This Row],[$ CAPITAL]]&gt;0,FINANCIACION[[#This Row],[$ CAPITAL]])</f>
        <v>0</v>
      </c>
      <c r="J813" s="49">
        <f>+IF(FINANCIACION[[#This Row],[$ CAPITAL]]&gt;=0,FINANCIACION[[#This Row],[$ CAPITAL]]+FINANCIACION[[#This Row],[$ INTERESES]],0)</f>
        <v>0</v>
      </c>
      <c r="K813" s="15"/>
      <c r="N813" s="8"/>
      <c r="O813" s="14"/>
      <c r="P813" s="12"/>
    </row>
    <row r="814" spans="1:16" ht="24" hidden="1" customHeight="1" x14ac:dyDescent="0.25">
      <c r="A814" s="10">
        <v>44165</v>
      </c>
      <c r="B814" s="85" t="s">
        <v>723</v>
      </c>
      <c r="C814" s="7">
        <v>-14475360.000000004</v>
      </c>
      <c r="D814" s="7"/>
      <c r="E814" s="7" t="str">
        <f>+IF(FINANCIACION[[#This Row],[$ CAPITAL]]&gt;=0,FINANCIACION[[#This Row],[$ CAPITAL]]+FINANCIACION[[#This Row],[$ INTERESES]],"")</f>
        <v/>
      </c>
      <c r="F814" s="7">
        <f>+SUMIFS(FINANCIACION[$ CAPITAL],FINANCIACION[Fecha],"&lt;="&amp;FINANCIACION[[#This Row],[Fecha]],FINANCIACION[PRESTAMO],FINANCIACION[[#This Row],[PRESTAMO]])</f>
        <v>-85486465.350000039</v>
      </c>
      <c r="G814" s="11"/>
      <c r="H814" s="11"/>
      <c r="I814" s="7" t="b">
        <f>+IF(FINANCIACION[[#This Row],[$ CAPITAL]]&gt;0,FINANCIACION[[#This Row],[$ CAPITAL]])</f>
        <v>0</v>
      </c>
      <c r="J814" s="49">
        <f>+IF(FINANCIACION[[#This Row],[$ CAPITAL]]&gt;=0,FINANCIACION[[#This Row],[$ CAPITAL]]+FINANCIACION[[#This Row],[$ INTERESES]],0)</f>
        <v>0</v>
      </c>
      <c r="K814" s="15"/>
      <c r="N814" s="8"/>
      <c r="O814" s="14"/>
      <c r="P814" s="12"/>
    </row>
    <row r="815" spans="1:16" ht="24" hidden="1" customHeight="1" x14ac:dyDescent="0.25">
      <c r="A815" s="10">
        <v>44165</v>
      </c>
      <c r="B815" s="85" t="s">
        <v>723</v>
      </c>
      <c r="C815" s="7">
        <v>-2496148</v>
      </c>
      <c r="D815" s="7"/>
      <c r="E815" s="7" t="str">
        <f>+IF(FINANCIACION[[#This Row],[$ CAPITAL]]&gt;=0,FINANCIACION[[#This Row],[$ CAPITAL]]+FINANCIACION[[#This Row],[$ INTERESES]],"")</f>
        <v/>
      </c>
      <c r="F815" s="7">
        <f>+SUMIFS(FINANCIACION[$ CAPITAL],FINANCIACION[Fecha],"&lt;="&amp;FINANCIACION[[#This Row],[Fecha]],FINANCIACION[PRESTAMO],FINANCIACION[[#This Row],[PRESTAMO]])</f>
        <v>-85486465.350000039</v>
      </c>
      <c r="G815" s="11"/>
      <c r="H815" s="11"/>
      <c r="I815" s="7" t="b">
        <f>+IF(FINANCIACION[[#This Row],[$ CAPITAL]]&gt;0,FINANCIACION[[#This Row],[$ CAPITAL]])</f>
        <v>0</v>
      </c>
      <c r="J815" s="49">
        <f>+IF(FINANCIACION[[#This Row],[$ CAPITAL]]&gt;=0,FINANCIACION[[#This Row],[$ CAPITAL]]+FINANCIACION[[#This Row],[$ INTERESES]],0)</f>
        <v>0</v>
      </c>
      <c r="K815" s="15"/>
      <c r="N815" s="8"/>
      <c r="O815" s="14"/>
      <c r="P815" s="12"/>
    </row>
    <row r="816" spans="1:16" ht="24" hidden="1" customHeight="1" x14ac:dyDescent="0.25">
      <c r="A816" s="10">
        <v>44167</v>
      </c>
      <c r="B816" s="85" t="s">
        <v>723</v>
      </c>
      <c r="C816" s="7">
        <v>7066420</v>
      </c>
      <c r="D816" s="7"/>
      <c r="E816" s="7">
        <f>+IF(FINANCIACION[[#This Row],[$ CAPITAL]]&gt;=0,FINANCIACION[[#This Row],[$ CAPITAL]]+FINANCIACION[[#This Row],[$ INTERESES]],"")</f>
        <v>7066420</v>
      </c>
      <c r="F816" s="7">
        <f>+SUMIFS(FINANCIACION[$ CAPITAL],FINANCIACION[Fecha],"&lt;="&amp;FINANCIACION[[#This Row],[Fecha]],FINANCIACION[PRESTAMO],FINANCIACION[[#This Row],[PRESTAMO]])</f>
        <v>-78420045.350000039</v>
      </c>
      <c r="G816" s="11"/>
      <c r="H816" s="11"/>
      <c r="I816" s="7">
        <f>+IF(FINANCIACION[[#This Row],[$ CAPITAL]]&gt;0,FINANCIACION[[#This Row],[$ CAPITAL]])</f>
        <v>7066420</v>
      </c>
      <c r="J816" s="49">
        <f>+IF(FINANCIACION[[#This Row],[$ CAPITAL]]&gt;=0,FINANCIACION[[#This Row],[$ CAPITAL]]+FINANCIACION[[#This Row],[$ INTERESES]],0)</f>
        <v>7066420</v>
      </c>
      <c r="K816" s="15"/>
      <c r="N816" s="8"/>
      <c r="O816" s="14"/>
      <c r="P816" s="12"/>
    </row>
    <row r="817" spans="1:16" ht="24" hidden="1" customHeight="1" x14ac:dyDescent="0.25">
      <c r="A817" s="10">
        <v>44169</v>
      </c>
      <c r="B817" s="85" t="s">
        <v>723</v>
      </c>
      <c r="C817" s="7">
        <v>990094.53</v>
      </c>
      <c r="D817" s="7">
        <v>169712.89</v>
      </c>
      <c r="E817" s="7">
        <f>+IF(FINANCIACION[[#This Row],[$ CAPITAL]]&gt;=0,FINANCIACION[[#This Row],[$ CAPITAL]]+FINANCIACION[[#This Row],[$ INTERESES]],"")</f>
        <v>1159807.42</v>
      </c>
      <c r="F817" s="7">
        <f>+SUMIFS(FINANCIACION[$ CAPITAL],FINANCIACION[Fecha],"&lt;="&amp;FINANCIACION[[#This Row],[Fecha]],FINANCIACION[PRESTAMO],FINANCIACION[[#This Row],[PRESTAMO]])</f>
        <v>-77429950.820000038</v>
      </c>
      <c r="G817" s="11"/>
      <c r="H817" s="11"/>
      <c r="I817" s="7">
        <f>+IF(FINANCIACION[[#This Row],[$ CAPITAL]]&gt;0,FINANCIACION[[#This Row],[$ CAPITAL]])</f>
        <v>990094.53</v>
      </c>
      <c r="J817" s="49">
        <f>+IF(FINANCIACION[[#This Row],[$ CAPITAL]]&gt;=0,FINANCIACION[[#This Row],[$ CAPITAL]]+FINANCIACION[[#This Row],[$ INTERESES]],0)</f>
        <v>1159807.42</v>
      </c>
      <c r="K817" s="15"/>
      <c r="N817" s="8"/>
      <c r="O817" s="14"/>
      <c r="P817" s="12"/>
    </row>
    <row r="818" spans="1:16" ht="24" hidden="1" customHeight="1" x14ac:dyDescent="0.25">
      <c r="A818" s="10">
        <v>44172</v>
      </c>
      <c r="B818" s="85" t="s">
        <v>723</v>
      </c>
      <c r="C818" s="7">
        <v>1500000</v>
      </c>
      <c r="D818" s="7"/>
      <c r="E818" s="7">
        <f>+IF(FINANCIACION[[#This Row],[$ CAPITAL]]&gt;=0,FINANCIACION[[#This Row],[$ CAPITAL]]+FINANCIACION[[#This Row],[$ INTERESES]],"")</f>
        <v>1500000</v>
      </c>
      <c r="F818" s="7">
        <f>+SUMIFS(FINANCIACION[$ CAPITAL],FINANCIACION[Fecha],"&lt;="&amp;FINANCIACION[[#This Row],[Fecha]],FINANCIACION[PRESTAMO],FINANCIACION[[#This Row],[PRESTAMO]])</f>
        <v>-75929950.820000038</v>
      </c>
      <c r="G818" s="11"/>
      <c r="H818" s="11"/>
      <c r="I818" s="7">
        <f>+IF(FINANCIACION[[#This Row],[$ CAPITAL]]&gt;0,FINANCIACION[[#This Row],[$ CAPITAL]])</f>
        <v>1500000</v>
      </c>
      <c r="J818" s="49">
        <f>+IF(FINANCIACION[[#This Row],[$ CAPITAL]]&gt;=0,FINANCIACION[[#This Row],[$ CAPITAL]]+FINANCIACION[[#This Row],[$ INTERESES]],0)</f>
        <v>1500000</v>
      </c>
      <c r="K818" s="15"/>
      <c r="N818" s="8"/>
      <c r="O818" s="14"/>
      <c r="P818" s="12"/>
    </row>
    <row r="819" spans="1:16" ht="24" hidden="1" customHeight="1" x14ac:dyDescent="0.25">
      <c r="A819" s="10">
        <v>44180</v>
      </c>
      <c r="B819" s="85" t="s">
        <v>723</v>
      </c>
      <c r="C819" s="7">
        <v>500000</v>
      </c>
      <c r="D819" s="7"/>
      <c r="E819" s="7">
        <f>+IF(FINANCIACION[[#This Row],[$ CAPITAL]]&gt;=0,FINANCIACION[[#This Row],[$ CAPITAL]]+FINANCIACION[[#This Row],[$ INTERESES]],"")</f>
        <v>500000</v>
      </c>
      <c r="F819" s="7">
        <f>+SUMIFS(FINANCIACION[$ CAPITAL],FINANCIACION[Fecha],"&lt;="&amp;FINANCIACION[[#This Row],[Fecha]],FINANCIACION[PRESTAMO],FINANCIACION[[#This Row],[PRESTAMO]])</f>
        <v>-70280145.820000038</v>
      </c>
      <c r="G819" s="11"/>
      <c r="H819" s="11"/>
      <c r="I819" s="7">
        <f>+IF(FINANCIACION[[#This Row],[$ CAPITAL]]&gt;0,FINANCIACION[[#This Row],[$ CAPITAL]])</f>
        <v>500000</v>
      </c>
      <c r="J819" s="49">
        <f>+IF(FINANCIACION[[#This Row],[$ CAPITAL]]&gt;=0,FINANCIACION[[#This Row],[$ CAPITAL]]+FINANCIACION[[#This Row],[$ INTERESES]],0)</f>
        <v>500000</v>
      </c>
      <c r="K819" s="15"/>
      <c r="N819" s="8"/>
      <c r="O819" s="14"/>
      <c r="P819" s="12"/>
    </row>
    <row r="820" spans="1:16" ht="24" hidden="1" customHeight="1" x14ac:dyDescent="0.25">
      <c r="A820" s="10">
        <v>44180</v>
      </c>
      <c r="B820" s="85" t="s">
        <v>723</v>
      </c>
      <c r="C820" s="7">
        <v>722835</v>
      </c>
      <c r="D820" s="7"/>
      <c r="E820" s="7">
        <f>+IF(FINANCIACION[[#This Row],[$ CAPITAL]]&gt;=0,FINANCIACION[[#This Row],[$ CAPITAL]]+FINANCIACION[[#This Row],[$ INTERESES]],"")</f>
        <v>722835</v>
      </c>
      <c r="F820" s="7">
        <f>+SUMIFS(FINANCIACION[$ CAPITAL],FINANCIACION[Fecha],"&lt;="&amp;FINANCIACION[[#This Row],[Fecha]],FINANCIACION[PRESTAMO],FINANCIACION[[#This Row],[PRESTAMO]])</f>
        <v>-70280145.820000038</v>
      </c>
      <c r="G820" s="11"/>
      <c r="H820" s="11"/>
      <c r="I820" s="7">
        <f>+IF(FINANCIACION[[#This Row],[$ CAPITAL]]&gt;0,FINANCIACION[[#This Row],[$ CAPITAL]])</f>
        <v>722835</v>
      </c>
      <c r="J820" s="49">
        <f>+IF(FINANCIACION[[#This Row],[$ CAPITAL]]&gt;=0,FINANCIACION[[#This Row],[$ CAPITAL]]+FINANCIACION[[#This Row],[$ INTERESES]],0)</f>
        <v>722835</v>
      </c>
    </row>
    <row r="821" spans="1:16" ht="24" hidden="1" customHeight="1" x14ac:dyDescent="0.25">
      <c r="A821" s="10">
        <v>44180</v>
      </c>
      <c r="B821" s="85" t="s">
        <v>723</v>
      </c>
      <c r="C821" s="7">
        <v>1000000</v>
      </c>
      <c r="D821" s="7"/>
      <c r="E821" s="7">
        <f>+IF(FINANCIACION[[#This Row],[$ CAPITAL]]&gt;=0,FINANCIACION[[#This Row],[$ CAPITAL]]+FINANCIACION[[#This Row],[$ INTERESES]],"")</f>
        <v>1000000</v>
      </c>
      <c r="F821" s="7">
        <f>+SUMIFS(FINANCIACION[$ CAPITAL],FINANCIACION[Fecha],"&lt;="&amp;FINANCIACION[[#This Row],[Fecha]],FINANCIACION[PRESTAMO],FINANCIACION[[#This Row],[PRESTAMO]])</f>
        <v>-70280145.820000038</v>
      </c>
      <c r="G821" s="11"/>
      <c r="H821" s="11"/>
      <c r="I821" s="7">
        <f>+IF(FINANCIACION[[#This Row],[$ CAPITAL]]&gt;0,FINANCIACION[[#This Row],[$ CAPITAL]])</f>
        <v>1000000</v>
      </c>
      <c r="J821" s="49">
        <f>+IF(FINANCIACION[[#This Row],[$ CAPITAL]]&gt;=0,FINANCIACION[[#This Row],[$ CAPITAL]]+FINANCIACION[[#This Row],[$ INTERESES]],0)</f>
        <v>1000000</v>
      </c>
    </row>
    <row r="822" spans="1:16" ht="24" hidden="1" customHeight="1" x14ac:dyDescent="0.25">
      <c r="A822" s="10">
        <v>44180</v>
      </c>
      <c r="B822" s="85" t="s">
        <v>723</v>
      </c>
      <c r="C822" s="7">
        <v>3426970</v>
      </c>
      <c r="D822" s="7"/>
      <c r="E822" s="7">
        <f>+IF(FINANCIACION[[#This Row],[$ CAPITAL]]&gt;=0,FINANCIACION[[#This Row],[$ CAPITAL]]+FINANCIACION[[#This Row],[$ INTERESES]],"")</f>
        <v>3426970</v>
      </c>
      <c r="F822" s="7">
        <f>+SUMIFS(FINANCIACION[$ CAPITAL],FINANCIACION[Fecha],"&lt;="&amp;FINANCIACION[[#This Row],[Fecha]],FINANCIACION[PRESTAMO],FINANCIACION[[#This Row],[PRESTAMO]])</f>
        <v>-70280145.820000038</v>
      </c>
      <c r="G822" s="11"/>
      <c r="H822" s="11"/>
      <c r="I822" s="7">
        <f>+IF(FINANCIACION[[#This Row],[$ CAPITAL]]&gt;0,FINANCIACION[[#This Row],[$ CAPITAL]])</f>
        <v>3426970</v>
      </c>
      <c r="J822" s="49">
        <f>+IF(FINANCIACION[[#This Row],[$ CAPITAL]]&gt;=0,FINANCIACION[[#This Row],[$ CAPITAL]]+FINANCIACION[[#This Row],[$ INTERESES]],0)</f>
        <v>3426970</v>
      </c>
    </row>
    <row r="823" spans="1:16" ht="24" hidden="1" customHeight="1" x14ac:dyDescent="0.25">
      <c r="A823" s="10">
        <v>44183</v>
      </c>
      <c r="B823" s="85" t="s">
        <v>723</v>
      </c>
      <c r="C823" s="7">
        <v>1000000</v>
      </c>
      <c r="D823" s="7"/>
      <c r="E823" s="7">
        <f>+IF(FINANCIACION[[#This Row],[$ CAPITAL]]&gt;=0,FINANCIACION[[#This Row],[$ CAPITAL]]+FINANCIACION[[#This Row],[$ INTERESES]],"")</f>
        <v>1000000</v>
      </c>
      <c r="F823" s="7">
        <f>+SUMIFS(FINANCIACION[$ CAPITAL],FINANCIACION[Fecha],"&lt;="&amp;FINANCIACION[[#This Row],[Fecha]],FINANCIACION[PRESTAMO],FINANCIACION[[#This Row],[PRESTAMO]])</f>
        <v>-69280145.820000038</v>
      </c>
      <c r="G823" s="11"/>
      <c r="H823" s="11"/>
      <c r="I823" s="7">
        <f>+IF(FINANCIACION[[#This Row],[$ CAPITAL]]&gt;0,FINANCIACION[[#This Row],[$ CAPITAL]])</f>
        <v>1000000</v>
      </c>
      <c r="J823" s="49">
        <f>+IF(FINANCIACION[[#This Row],[$ CAPITAL]]&gt;=0,FINANCIACION[[#This Row],[$ CAPITAL]]+FINANCIACION[[#This Row],[$ INTERESES]],0)</f>
        <v>1000000</v>
      </c>
    </row>
    <row r="824" spans="1:16" ht="24" hidden="1" customHeight="1" x14ac:dyDescent="0.25">
      <c r="A824" s="10">
        <v>44184</v>
      </c>
      <c r="B824" s="85" t="s">
        <v>723</v>
      </c>
      <c r="C824" s="7">
        <v>2000000</v>
      </c>
      <c r="D824" s="7"/>
      <c r="E824" s="7">
        <f>+IF(FINANCIACION[[#This Row],[$ CAPITAL]]&gt;=0,FINANCIACION[[#This Row],[$ CAPITAL]]+FINANCIACION[[#This Row],[$ INTERESES]],"")</f>
        <v>2000000</v>
      </c>
      <c r="F824" s="7">
        <f>+SUMIFS(FINANCIACION[$ CAPITAL],FINANCIACION[Fecha],"&lt;="&amp;FINANCIACION[[#This Row],[Fecha]],FINANCIACION[PRESTAMO],FINANCIACION[[#This Row],[PRESTAMO]])</f>
        <v>-67280145.820000038</v>
      </c>
      <c r="G824" s="11"/>
      <c r="H824" s="11"/>
      <c r="I824" s="7">
        <f>+IF(FINANCIACION[[#This Row],[$ CAPITAL]]&gt;0,FINANCIACION[[#This Row],[$ CAPITAL]])</f>
        <v>2000000</v>
      </c>
      <c r="J824" s="49">
        <f>+IF(FINANCIACION[[#This Row],[$ CAPITAL]]&gt;=0,FINANCIACION[[#This Row],[$ CAPITAL]]+FINANCIACION[[#This Row],[$ INTERESES]],0)</f>
        <v>2000000</v>
      </c>
    </row>
    <row r="825" spans="1:16" ht="24" hidden="1" customHeight="1" x14ac:dyDescent="0.25">
      <c r="A825" s="10">
        <v>44185</v>
      </c>
      <c r="B825" s="85" t="s">
        <v>723</v>
      </c>
      <c r="C825" s="7">
        <v>2000000</v>
      </c>
      <c r="D825" s="7"/>
      <c r="E825" s="7">
        <f>+IF(FINANCIACION[[#This Row],[$ CAPITAL]]&gt;=0,FINANCIACION[[#This Row],[$ CAPITAL]]+FINANCIACION[[#This Row],[$ INTERESES]],"")</f>
        <v>2000000</v>
      </c>
      <c r="F825" s="7">
        <f>+SUMIFS(FINANCIACION[$ CAPITAL],FINANCIACION[Fecha],"&lt;="&amp;FINANCIACION[[#This Row],[Fecha]],FINANCIACION[PRESTAMO],FINANCIACION[[#This Row],[PRESTAMO]])</f>
        <v>-65280145.820000038</v>
      </c>
      <c r="G825" s="11"/>
      <c r="H825" s="11"/>
      <c r="I825" s="7">
        <f>+IF(FINANCIACION[[#This Row],[$ CAPITAL]]&gt;0,FINANCIACION[[#This Row],[$ CAPITAL]])</f>
        <v>2000000</v>
      </c>
      <c r="J825" s="49">
        <f>+IF(FINANCIACION[[#This Row],[$ CAPITAL]]&gt;=0,FINANCIACION[[#This Row],[$ CAPITAL]]+FINANCIACION[[#This Row],[$ INTERESES]],0)</f>
        <v>2000000</v>
      </c>
    </row>
    <row r="826" spans="1:16" ht="24" hidden="1" customHeight="1" x14ac:dyDescent="0.25">
      <c r="A826" s="10">
        <v>44187</v>
      </c>
      <c r="B826" s="85" t="s">
        <v>723</v>
      </c>
      <c r="C826" s="7">
        <v>2000000</v>
      </c>
      <c r="D826" s="7"/>
      <c r="E826" s="7">
        <f>+IF(FINANCIACION[[#This Row],[$ CAPITAL]]&gt;=0,FINANCIACION[[#This Row],[$ CAPITAL]]+FINANCIACION[[#This Row],[$ INTERESES]],"")</f>
        <v>2000000</v>
      </c>
      <c r="F826" s="7">
        <f>+SUMIFS(FINANCIACION[$ CAPITAL],FINANCIACION[Fecha],"&lt;="&amp;FINANCIACION[[#This Row],[Fecha]],FINANCIACION[PRESTAMO],FINANCIACION[[#This Row],[PRESTAMO]])</f>
        <v>-58837735.820000038</v>
      </c>
      <c r="G826" s="11"/>
      <c r="H826" s="11"/>
      <c r="I826" s="7">
        <f>+IF(FINANCIACION[[#This Row],[$ CAPITAL]]&gt;0,FINANCIACION[[#This Row],[$ CAPITAL]])</f>
        <v>2000000</v>
      </c>
      <c r="J826" s="49">
        <f>+IF(FINANCIACION[[#This Row],[$ CAPITAL]]&gt;=0,FINANCIACION[[#This Row],[$ CAPITAL]]+FINANCIACION[[#This Row],[$ INTERESES]],0)</f>
        <v>2000000</v>
      </c>
    </row>
    <row r="827" spans="1:16" ht="24" hidden="1" customHeight="1" x14ac:dyDescent="0.25">
      <c r="A827" s="10">
        <v>44187</v>
      </c>
      <c r="B827" s="85" t="s">
        <v>723</v>
      </c>
      <c r="C827" s="7">
        <v>500000</v>
      </c>
      <c r="D827" s="7"/>
      <c r="E827" s="7">
        <f>+IF(FINANCIACION[[#This Row],[$ CAPITAL]]&gt;=0,FINANCIACION[[#This Row],[$ CAPITAL]]+FINANCIACION[[#This Row],[$ INTERESES]],"")</f>
        <v>500000</v>
      </c>
      <c r="F827" s="7">
        <f>+SUMIFS(FINANCIACION[$ CAPITAL],FINANCIACION[Fecha],"&lt;="&amp;FINANCIACION[[#This Row],[Fecha]],FINANCIACION[PRESTAMO],FINANCIACION[[#This Row],[PRESTAMO]])</f>
        <v>-58837735.820000038</v>
      </c>
      <c r="G827" s="11"/>
      <c r="H827" s="11"/>
      <c r="I827" s="7">
        <f>+IF(FINANCIACION[[#This Row],[$ CAPITAL]]&gt;0,FINANCIACION[[#This Row],[$ CAPITAL]])</f>
        <v>500000</v>
      </c>
      <c r="J827" s="49">
        <f>+IF(FINANCIACION[[#This Row],[$ CAPITAL]]&gt;=0,FINANCIACION[[#This Row],[$ CAPITAL]]+FINANCIACION[[#This Row],[$ INTERESES]],0)</f>
        <v>500000</v>
      </c>
    </row>
    <row r="828" spans="1:16" ht="24" hidden="1" customHeight="1" x14ac:dyDescent="0.25">
      <c r="A828" s="10">
        <v>44187</v>
      </c>
      <c r="B828" s="85" t="s">
        <v>723</v>
      </c>
      <c r="C828" s="7">
        <v>3442410</v>
      </c>
      <c r="D828" s="7"/>
      <c r="E828" s="7">
        <f>+IF(FINANCIACION[[#This Row],[$ CAPITAL]]&gt;=0,FINANCIACION[[#This Row],[$ CAPITAL]]+FINANCIACION[[#This Row],[$ INTERESES]],"")</f>
        <v>3442410</v>
      </c>
      <c r="F828" s="7">
        <f>+SUMIFS(FINANCIACION[$ CAPITAL],FINANCIACION[Fecha],"&lt;="&amp;FINANCIACION[[#This Row],[Fecha]],FINANCIACION[PRESTAMO],FINANCIACION[[#This Row],[PRESTAMO]])</f>
        <v>-58837735.820000038</v>
      </c>
      <c r="G828" s="11"/>
      <c r="H828" s="11"/>
      <c r="I828" s="7">
        <f>+IF(FINANCIACION[[#This Row],[$ CAPITAL]]&gt;0,FINANCIACION[[#This Row],[$ CAPITAL]])</f>
        <v>3442410</v>
      </c>
      <c r="J828" s="49">
        <f>+IF(FINANCIACION[[#This Row],[$ CAPITAL]]&gt;=0,FINANCIACION[[#This Row],[$ CAPITAL]]+FINANCIACION[[#This Row],[$ INTERESES]],0)</f>
        <v>3442410</v>
      </c>
    </row>
    <row r="829" spans="1:16" ht="24" hidden="1" customHeight="1" x14ac:dyDescent="0.25">
      <c r="A829" s="10">
        <v>44187</v>
      </c>
      <c r="B829" s="85" t="s">
        <v>723</v>
      </c>
      <c r="C829" s="7">
        <v>500000</v>
      </c>
      <c r="D829" s="7"/>
      <c r="E829" s="7">
        <f>+IF(FINANCIACION[[#This Row],[$ CAPITAL]]&gt;=0,FINANCIACION[[#This Row],[$ CAPITAL]]+FINANCIACION[[#This Row],[$ INTERESES]],"")</f>
        <v>500000</v>
      </c>
      <c r="F829" s="7">
        <f>+SUMIFS(FINANCIACION[$ CAPITAL],FINANCIACION[Fecha],"&lt;="&amp;FINANCIACION[[#This Row],[Fecha]],FINANCIACION[PRESTAMO],FINANCIACION[[#This Row],[PRESTAMO]])</f>
        <v>-58837735.820000038</v>
      </c>
      <c r="G829" s="11"/>
      <c r="H829" s="11"/>
      <c r="I829" s="7">
        <f>+IF(FINANCIACION[[#This Row],[$ CAPITAL]]&gt;0,FINANCIACION[[#This Row],[$ CAPITAL]])</f>
        <v>500000</v>
      </c>
      <c r="J829" s="49">
        <f>+IF(FINANCIACION[[#This Row],[$ CAPITAL]]&gt;=0,FINANCIACION[[#This Row],[$ CAPITAL]]+FINANCIACION[[#This Row],[$ INTERESES]],0)</f>
        <v>500000</v>
      </c>
    </row>
    <row r="830" spans="1:16" ht="24" hidden="1" customHeight="1" x14ac:dyDescent="0.25">
      <c r="A830" s="10">
        <v>44189</v>
      </c>
      <c r="B830" s="85" t="s">
        <v>723</v>
      </c>
      <c r="C830" s="7"/>
      <c r="D830" s="7">
        <v>75000</v>
      </c>
      <c r="E830" s="7">
        <f>+IF(FINANCIACION[[#This Row],[$ CAPITAL]]&gt;=0,FINANCIACION[[#This Row],[$ CAPITAL]]+FINANCIACION[[#This Row],[$ INTERESES]],"")</f>
        <v>75000</v>
      </c>
      <c r="F830" s="7">
        <f>+SUMIFS(FINANCIACION[$ CAPITAL],FINANCIACION[Fecha],"&lt;="&amp;FINANCIACION[[#This Row],[Fecha]],FINANCIACION[PRESTAMO],FINANCIACION[[#This Row],[PRESTAMO]])</f>
        <v>-54435225.820000038</v>
      </c>
      <c r="G830" s="11"/>
      <c r="H830" s="11"/>
      <c r="I830" s="7" t="b">
        <f>+IF(FINANCIACION[[#This Row],[$ CAPITAL]]&gt;0,FINANCIACION[[#This Row],[$ CAPITAL]])</f>
        <v>0</v>
      </c>
      <c r="J830" s="49">
        <f>+IF(FINANCIACION[[#This Row],[$ CAPITAL]]&gt;=0,FINANCIACION[[#This Row],[$ CAPITAL]]+FINANCIACION[[#This Row],[$ INTERESES]],0)</f>
        <v>75000</v>
      </c>
    </row>
    <row r="831" spans="1:16" ht="24" hidden="1" customHeight="1" x14ac:dyDescent="0.25">
      <c r="A831" s="10">
        <v>44189</v>
      </c>
      <c r="B831" s="85" t="s">
        <v>723</v>
      </c>
      <c r="C831" s="7">
        <v>500000</v>
      </c>
      <c r="D831" s="7"/>
      <c r="E831" s="7">
        <f>+IF(FINANCIACION[[#This Row],[$ CAPITAL]]&gt;=0,FINANCIACION[[#This Row],[$ CAPITAL]]+FINANCIACION[[#This Row],[$ INTERESES]],"")</f>
        <v>500000</v>
      </c>
      <c r="F831" s="7">
        <f>+SUMIFS(FINANCIACION[$ CAPITAL],FINANCIACION[Fecha],"&lt;="&amp;FINANCIACION[[#This Row],[Fecha]],FINANCIACION[PRESTAMO],FINANCIACION[[#This Row],[PRESTAMO]])</f>
        <v>-54435225.820000038</v>
      </c>
      <c r="G831" s="11"/>
      <c r="H831" s="11"/>
      <c r="I831" s="7">
        <f>+IF(FINANCIACION[[#This Row],[$ CAPITAL]]&gt;0,FINANCIACION[[#This Row],[$ CAPITAL]])</f>
        <v>500000</v>
      </c>
      <c r="J831" s="49">
        <f>+IF(FINANCIACION[[#This Row],[$ CAPITAL]]&gt;=0,FINANCIACION[[#This Row],[$ CAPITAL]]+FINANCIACION[[#This Row],[$ INTERESES]],0)</f>
        <v>500000</v>
      </c>
    </row>
    <row r="832" spans="1:16" ht="24" hidden="1" customHeight="1" x14ac:dyDescent="0.25">
      <c r="A832" s="10">
        <v>44189</v>
      </c>
      <c r="B832" s="85" t="s">
        <v>723</v>
      </c>
      <c r="C832" s="7">
        <v>3402510</v>
      </c>
      <c r="D832" s="7"/>
      <c r="E832" s="7">
        <f>+IF(FINANCIACION[[#This Row],[$ CAPITAL]]&gt;=0,FINANCIACION[[#This Row],[$ CAPITAL]]+FINANCIACION[[#This Row],[$ INTERESES]],"")</f>
        <v>3402510</v>
      </c>
      <c r="F832" s="7">
        <f>+SUMIFS(FINANCIACION[$ CAPITAL],FINANCIACION[Fecha],"&lt;="&amp;FINANCIACION[[#This Row],[Fecha]],FINANCIACION[PRESTAMO],FINANCIACION[[#This Row],[PRESTAMO]])</f>
        <v>-54435225.820000038</v>
      </c>
      <c r="G832" s="11"/>
      <c r="H832" s="11"/>
      <c r="I832" s="7">
        <f>+IF(FINANCIACION[[#This Row],[$ CAPITAL]]&gt;0,FINANCIACION[[#This Row],[$ CAPITAL]])</f>
        <v>3402510</v>
      </c>
      <c r="J832" s="49">
        <f>+IF(FINANCIACION[[#This Row],[$ CAPITAL]]&gt;=0,FINANCIACION[[#This Row],[$ CAPITAL]]+FINANCIACION[[#This Row],[$ INTERESES]],0)</f>
        <v>3402510</v>
      </c>
    </row>
    <row r="833" spans="1:10" ht="24" hidden="1" customHeight="1" x14ac:dyDescent="0.25">
      <c r="A833" s="10">
        <v>44189</v>
      </c>
      <c r="B833" s="85" t="s">
        <v>723</v>
      </c>
      <c r="C833" s="7">
        <v>500000</v>
      </c>
      <c r="D833" s="7"/>
      <c r="E833" s="7">
        <f>+IF(FINANCIACION[[#This Row],[$ CAPITAL]]&gt;=0,FINANCIACION[[#This Row],[$ CAPITAL]]+FINANCIACION[[#This Row],[$ INTERESES]],"")</f>
        <v>500000</v>
      </c>
      <c r="F833" s="7">
        <f>+SUMIFS(FINANCIACION[$ CAPITAL],FINANCIACION[Fecha],"&lt;="&amp;FINANCIACION[[#This Row],[Fecha]],FINANCIACION[PRESTAMO],FINANCIACION[[#This Row],[PRESTAMO]])</f>
        <v>-54435225.820000038</v>
      </c>
      <c r="G833" s="11"/>
      <c r="H833" s="11"/>
      <c r="I833" s="7">
        <f>+IF(FINANCIACION[[#This Row],[$ CAPITAL]]&gt;0,FINANCIACION[[#This Row],[$ CAPITAL]])</f>
        <v>500000</v>
      </c>
      <c r="J833" s="49">
        <f>+IF(FINANCIACION[[#This Row],[$ CAPITAL]]&gt;=0,FINANCIACION[[#This Row],[$ CAPITAL]]+FINANCIACION[[#This Row],[$ INTERESES]],0)</f>
        <v>500000</v>
      </c>
    </row>
    <row r="834" spans="1:10" ht="24" hidden="1" customHeight="1" x14ac:dyDescent="0.25">
      <c r="A834" s="10">
        <v>44193</v>
      </c>
      <c r="B834" s="85" t="s">
        <v>723</v>
      </c>
      <c r="C834" s="7">
        <v>3493770</v>
      </c>
      <c r="D834" s="7"/>
      <c r="E834" s="7">
        <f>+IF(FINANCIACION[[#This Row],[$ CAPITAL]]&gt;=0,FINANCIACION[[#This Row],[$ CAPITAL]]+FINANCIACION[[#This Row],[$ INTERESES]],"")</f>
        <v>3493770</v>
      </c>
      <c r="F834" s="7">
        <f>+SUMIFS(FINANCIACION[$ CAPITAL],FINANCIACION[Fecha],"&lt;="&amp;FINANCIACION[[#This Row],[Fecha]],FINANCIACION[PRESTAMO],FINANCIACION[[#This Row],[PRESTAMO]])</f>
        <v>-50390160.820000038</v>
      </c>
      <c r="G834" s="11"/>
      <c r="H834" s="11"/>
      <c r="I834" s="7">
        <f>+IF(FINANCIACION[[#This Row],[$ CAPITAL]]&gt;0,FINANCIACION[[#This Row],[$ CAPITAL]])</f>
        <v>3493770</v>
      </c>
      <c r="J834" s="49">
        <f>+IF(FINANCIACION[[#This Row],[$ CAPITAL]]&gt;=0,FINANCIACION[[#This Row],[$ CAPITAL]]+FINANCIACION[[#This Row],[$ INTERESES]],0)</f>
        <v>3493770</v>
      </c>
    </row>
    <row r="835" spans="1:10" ht="24" hidden="1" customHeight="1" x14ac:dyDescent="0.25">
      <c r="A835" s="10">
        <v>44193</v>
      </c>
      <c r="B835" s="85" t="s">
        <v>723</v>
      </c>
      <c r="C835" s="7">
        <v>551295</v>
      </c>
      <c r="D835" s="7"/>
      <c r="E835" s="7">
        <f>+IF(FINANCIACION[[#This Row],[$ CAPITAL]]&gt;=0,FINANCIACION[[#This Row],[$ CAPITAL]]+FINANCIACION[[#This Row],[$ INTERESES]],"")</f>
        <v>551295</v>
      </c>
      <c r="F835" s="7">
        <f>+SUMIFS(FINANCIACION[$ CAPITAL],FINANCIACION[Fecha],"&lt;="&amp;FINANCIACION[[#This Row],[Fecha]],FINANCIACION[PRESTAMO],FINANCIACION[[#This Row],[PRESTAMO]])</f>
        <v>-50390160.820000038</v>
      </c>
      <c r="G835" s="11"/>
      <c r="H835" s="11"/>
      <c r="I835" s="7">
        <f>+IF(FINANCIACION[[#This Row],[$ CAPITAL]]&gt;0,FINANCIACION[[#This Row],[$ CAPITAL]])</f>
        <v>551295</v>
      </c>
      <c r="J835" s="49">
        <f>+IF(FINANCIACION[[#This Row],[$ CAPITAL]]&gt;=0,FINANCIACION[[#This Row],[$ CAPITAL]]+FINANCIACION[[#This Row],[$ INTERESES]],0)</f>
        <v>551295</v>
      </c>
    </row>
    <row r="836" spans="1:10" ht="24" hidden="1" customHeight="1" x14ac:dyDescent="0.25">
      <c r="A836" s="10">
        <v>44194</v>
      </c>
      <c r="B836" s="85" t="s">
        <v>723</v>
      </c>
      <c r="C836" s="7">
        <v>3495390</v>
      </c>
      <c r="D836" s="7"/>
      <c r="E836" s="7">
        <f>+IF(FINANCIACION[[#This Row],[$ CAPITAL]]&gt;=0,FINANCIACION[[#This Row],[$ CAPITAL]]+FINANCIACION[[#This Row],[$ INTERESES]],"")</f>
        <v>3495390</v>
      </c>
      <c r="F836" s="7">
        <f>+SUMIFS(FINANCIACION[$ CAPITAL],FINANCIACION[Fecha],"&lt;="&amp;FINANCIACION[[#This Row],[Fecha]],FINANCIACION[PRESTAMO],FINANCIACION[[#This Row],[PRESTAMO]])</f>
        <v>-46894770.820000038</v>
      </c>
      <c r="G836" s="11"/>
      <c r="H836" s="11"/>
      <c r="I836" s="7">
        <f>+IF(FINANCIACION[[#This Row],[$ CAPITAL]]&gt;0,FINANCIACION[[#This Row],[$ CAPITAL]])</f>
        <v>3495390</v>
      </c>
      <c r="J836" s="49">
        <f>+IF(FINANCIACION[[#This Row],[$ CAPITAL]]&gt;=0,FINANCIACION[[#This Row],[$ CAPITAL]]+FINANCIACION[[#This Row],[$ INTERESES]],0)</f>
        <v>3495390</v>
      </c>
    </row>
    <row r="837" spans="1:10" ht="24" hidden="1" customHeight="1" x14ac:dyDescent="0.25">
      <c r="A837" s="10">
        <v>44195</v>
      </c>
      <c r="B837" s="85" t="s">
        <v>723</v>
      </c>
      <c r="C837" s="7">
        <v>1117500</v>
      </c>
      <c r="D837" s="7"/>
      <c r="E837" s="7">
        <f>+IF(FINANCIACION[[#This Row],[$ CAPITAL]]&gt;=0,FINANCIACION[[#This Row],[$ CAPITAL]]+FINANCIACION[[#This Row],[$ INTERESES]],"")</f>
        <v>1117500</v>
      </c>
      <c r="F837" s="7">
        <f>+SUMIFS(FINANCIACION[$ CAPITAL],FINANCIACION[Fecha],"&lt;="&amp;FINANCIACION[[#This Row],[Fecha]],FINANCIACION[PRESTAMO],FINANCIACION[[#This Row],[PRESTAMO]])</f>
        <v>-38813070.820000038</v>
      </c>
      <c r="G837" s="11"/>
      <c r="H837" s="11"/>
      <c r="I837" s="7">
        <f>+IF(FINANCIACION[[#This Row],[$ CAPITAL]]&gt;0,FINANCIACION[[#This Row],[$ CAPITAL]])</f>
        <v>1117500</v>
      </c>
      <c r="J837" s="49">
        <f>+IF(FINANCIACION[[#This Row],[$ CAPITAL]]&gt;=0,FINANCIACION[[#This Row],[$ CAPITAL]]+FINANCIACION[[#This Row],[$ INTERESES]],0)</f>
        <v>1117500</v>
      </c>
    </row>
    <row r="838" spans="1:10" ht="24" hidden="1" customHeight="1" x14ac:dyDescent="0.25">
      <c r="A838" s="10">
        <v>44195</v>
      </c>
      <c r="B838" s="85" t="s">
        <v>723</v>
      </c>
      <c r="C838" s="7">
        <v>6964200</v>
      </c>
      <c r="D838" s="7"/>
      <c r="E838" s="7">
        <f>+IF(FINANCIACION[[#This Row],[$ CAPITAL]]&gt;=0,FINANCIACION[[#This Row],[$ CAPITAL]]+FINANCIACION[[#This Row],[$ INTERESES]],"")</f>
        <v>6964200</v>
      </c>
      <c r="F838" s="7">
        <f>+SUMIFS(FINANCIACION[$ CAPITAL],FINANCIACION[Fecha],"&lt;="&amp;FINANCIACION[[#This Row],[Fecha]],FINANCIACION[PRESTAMO],FINANCIACION[[#This Row],[PRESTAMO]])</f>
        <v>-38813070.820000038</v>
      </c>
      <c r="G838" s="11"/>
      <c r="H838" s="11"/>
      <c r="I838" s="7">
        <f>+IF(FINANCIACION[[#This Row],[$ CAPITAL]]&gt;0,FINANCIACION[[#This Row],[$ CAPITAL]])</f>
        <v>6964200</v>
      </c>
      <c r="J838" s="49">
        <f>+IF(FINANCIACION[[#This Row],[$ CAPITAL]]&gt;=0,FINANCIACION[[#This Row],[$ CAPITAL]]+FINANCIACION[[#This Row],[$ INTERESES]],0)</f>
        <v>6964200</v>
      </c>
    </row>
    <row r="839" spans="1:10" ht="24" hidden="1" customHeight="1" x14ac:dyDescent="0.25">
      <c r="A839" s="10">
        <v>44196</v>
      </c>
      <c r="B839" s="85" t="s">
        <v>723</v>
      </c>
      <c r="C839" s="7">
        <v>-289141.33000000566</v>
      </c>
      <c r="D839" s="7"/>
      <c r="E839" s="7" t="str">
        <f>+IF(FINANCIACION[[#This Row],[$ CAPITAL]]&gt;=0,FINANCIACION[[#This Row],[$ CAPITAL]]+FINANCIACION[[#This Row],[$ INTERESES]],"")</f>
        <v/>
      </c>
      <c r="F839" s="7">
        <f>+SUMIFS(FINANCIACION[$ CAPITAL],FINANCIACION[Fecha],"&lt;="&amp;FINANCIACION[[#This Row],[Fecha]],FINANCIACION[PRESTAMO],FINANCIACION[[#This Row],[PRESTAMO]])</f>
        <v>-63507571.150000036</v>
      </c>
      <c r="G839" s="11"/>
      <c r="H839" s="11"/>
      <c r="I839" s="7" t="b">
        <f>+IF(FINANCIACION[[#This Row],[$ CAPITAL]]&gt;0,FINANCIACION[[#This Row],[$ CAPITAL]])</f>
        <v>0</v>
      </c>
      <c r="J839" s="49">
        <f>+IF(FINANCIACION[[#This Row],[$ CAPITAL]]&gt;=0,FINANCIACION[[#This Row],[$ CAPITAL]]+FINANCIACION[[#This Row],[$ INTERESES]],0)</f>
        <v>0</v>
      </c>
    </row>
    <row r="840" spans="1:10" ht="24" hidden="1" customHeight="1" x14ac:dyDescent="0.25">
      <c r="A840" s="10">
        <v>44196</v>
      </c>
      <c r="B840" s="85" t="s">
        <v>723</v>
      </c>
      <c r="C840" s="7">
        <v>-3811270.9999999995</v>
      </c>
      <c r="D840" s="7"/>
      <c r="E840" s="7" t="str">
        <f>+IF(FINANCIACION[[#This Row],[$ CAPITAL]]&gt;=0,FINANCIACION[[#This Row],[$ CAPITAL]]+FINANCIACION[[#This Row],[$ INTERESES]],"")</f>
        <v/>
      </c>
      <c r="F840" s="7">
        <f>+SUMIFS(FINANCIACION[$ CAPITAL],FINANCIACION[Fecha],"&lt;="&amp;FINANCIACION[[#This Row],[Fecha]],FINANCIACION[PRESTAMO],FINANCIACION[[#This Row],[PRESTAMO]])</f>
        <v>-63507571.150000036</v>
      </c>
      <c r="G840" s="11"/>
      <c r="H840" s="11"/>
      <c r="I840" s="7" t="b">
        <f>+IF(FINANCIACION[[#This Row],[$ CAPITAL]]&gt;0,FINANCIACION[[#This Row],[$ CAPITAL]])</f>
        <v>0</v>
      </c>
      <c r="J840" s="49">
        <f>+IF(FINANCIACION[[#This Row],[$ CAPITAL]]&gt;=0,FINANCIACION[[#This Row],[$ CAPITAL]]+FINANCIACION[[#This Row],[$ INTERESES]],0)</f>
        <v>0</v>
      </c>
    </row>
    <row r="841" spans="1:10" ht="24" hidden="1" customHeight="1" x14ac:dyDescent="0.25">
      <c r="A841" s="10">
        <v>44196</v>
      </c>
      <c r="B841" s="85" t="s">
        <v>723</v>
      </c>
      <c r="C841" s="7">
        <v>-15366659.999999993</v>
      </c>
      <c r="D841" s="7"/>
      <c r="E841" s="7" t="str">
        <f>+IF(FINANCIACION[[#This Row],[$ CAPITAL]]&gt;=0,FINANCIACION[[#This Row],[$ CAPITAL]]+FINANCIACION[[#This Row],[$ INTERESES]],"")</f>
        <v/>
      </c>
      <c r="F841" s="7">
        <f>+SUMIFS(FINANCIACION[$ CAPITAL],FINANCIACION[Fecha],"&lt;="&amp;FINANCIACION[[#This Row],[Fecha]],FINANCIACION[PRESTAMO],FINANCIACION[[#This Row],[PRESTAMO]])</f>
        <v>-63507571.150000036</v>
      </c>
      <c r="G841" s="11"/>
      <c r="H841" s="11"/>
      <c r="I841" s="7" t="b">
        <f>+IF(FINANCIACION[[#This Row],[$ CAPITAL]]&gt;0,FINANCIACION[[#This Row],[$ CAPITAL]])</f>
        <v>0</v>
      </c>
      <c r="J841" s="49">
        <f>+IF(FINANCIACION[[#This Row],[$ CAPITAL]]&gt;=0,FINANCIACION[[#This Row],[$ CAPITAL]]+FINANCIACION[[#This Row],[$ INTERESES]],0)</f>
        <v>0</v>
      </c>
    </row>
    <row r="842" spans="1:10" ht="24" hidden="1" customHeight="1" x14ac:dyDescent="0.25">
      <c r="A842" s="10">
        <v>44196</v>
      </c>
      <c r="B842" s="85" t="s">
        <v>723</v>
      </c>
      <c r="C842" s="7">
        <v>-5227428</v>
      </c>
      <c r="D842" s="7"/>
      <c r="E842" s="7" t="str">
        <f>+IF(FINANCIACION[[#This Row],[$ CAPITAL]]&gt;=0,FINANCIACION[[#This Row],[$ CAPITAL]]+FINANCIACION[[#This Row],[$ INTERESES]],"")</f>
        <v/>
      </c>
      <c r="F842" s="7">
        <f>+SUMIFS(FINANCIACION[$ CAPITAL],FINANCIACION[Fecha],"&lt;="&amp;FINANCIACION[[#This Row],[Fecha]],FINANCIACION[PRESTAMO],FINANCIACION[[#This Row],[PRESTAMO]])</f>
        <v>-63507571.150000036</v>
      </c>
      <c r="G842" s="11"/>
      <c r="H842" s="11"/>
      <c r="I842" s="7" t="b">
        <f>+IF(FINANCIACION[[#This Row],[$ CAPITAL]]&gt;0,FINANCIACION[[#This Row],[$ CAPITAL]])</f>
        <v>0</v>
      </c>
      <c r="J842" s="49">
        <f>+IF(FINANCIACION[[#This Row],[$ CAPITAL]]&gt;=0,FINANCIACION[[#This Row],[$ CAPITAL]]+FINANCIACION[[#This Row],[$ INTERESES]],0)</f>
        <v>0</v>
      </c>
    </row>
    <row r="843" spans="1:10" ht="24" hidden="1" customHeight="1" x14ac:dyDescent="0.25">
      <c r="A843" s="10">
        <v>44200</v>
      </c>
      <c r="B843" s="85" t="s">
        <v>723</v>
      </c>
      <c r="C843" s="7">
        <v>990094.53</v>
      </c>
      <c r="D843" s="7">
        <f>1147396.95-FINANCIACION[[#This Row],[$ CAPITAL]]</f>
        <v>157302.41999999993</v>
      </c>
      <c r="E843" s="7">
        <f>+IF(FINANCIACION[[#This Row],[$ CAPITAL]]&gt;=0,FINANCIACION[[#This Row],[$ CAPITAL]]+FINANCIACION[[#This Row],[$ INTERESES]],"")</f>
        <v>1147396.95</v>
      </c>
      <c r="F843" s="7">
        <f>+SUMIFS(FINANCIACION[$ CAPITAL],FINANCIACION[Fecha],"&lt;="&amp;FINANCIACION[[#This Row],[Fecha]],FINANCIACION[PRESTAMO],FINANCIACION[[#This Row],[PRESTAMO]])</f>
        <v>-62517476.620000035</v>
      </c>
      <c r="G843" s="11"/>
      <c r="H843" s="11"/>
      <c r="I843" s="7">
        <f>+IF(FINANCIACION[[#This Row],[$ CAPITAL]]&gt;0,FINANCIACION[[#This Row],[$ CAPITAL]])</f>
        <v>990094.53</v>
      </c>
      <c r="J843" s="49">
        <f>+IF(FINANCIACION[[#This Row],[$ CAPITAL]]&gt;=0,FINANCIACION[[#This Row],[$ CAPITAL]]+FINANCIACION[[#This Row],[$ INTERESES]],0)</f>
        <v>1147396.95</v>
      </c>
    </row>
    <row r="844" spans="1:10" ht="24" hidden="1" customHeight="1" x14ac:dyDescent="0.25">
      <c r="A844" s="10">
        <v>44208</v>
      </c>
      <c r="B844" s="85" t="s">
        <v>723</v>
      </c>
      <c r="C844" s="7"/>
      <c r="D844" s="7">
        <v>130000</v>
      </c>
      <c r="E844" s="7">
        <f>+IF(FINANCIACION[[#This Row],[$ CAPITAL]]&gt;=0,FINANCIACION[[#This Row],[$ CAPITAL]]+FINANCIACION[[#This Row],[$ INTERESES]],"")</f>
        <v>130000</v>
      </c>
      <c r="F844" s="7">
        <f>+SUMIFS(FINANCIACION[$ CAPITAL],FINANCIACION[Fecha],"&lt;="&amp;FINANCIACION[[#This Row],[Fecha]],FINANCIACION[PRESTAMO],FINANCIACION[[#This Row],[PRESTAMO]])</f>
        <v>-60474043.620000035</v>
      </c>
      <c r="G844" s="11"/>
      <c r="H844" s="11"/>
      <c r="I844" s="7" t="b">
        <f>+IF(FINANCIACION[[#This Row],[$ CAPITAL]]&gt;0,FINANCIACION[[#This Row],[$ CAPITAL]])</f>
        <v>0</v>
      </c>
      <c r="J844" s="49">
        <f>+IF(FINANCIACION[[#This Row],[$ CAPITAL]]&gt;=0,FINANCIACION[[#This Row],[$ CAPITAL]]+FINANCIACION[[#This Row],[$ INTERESES]],0)</f>
        <v>130000</v>
      </c>
    </row>
    <row r="845" spans="1:10" ht="24" hidden="1" customHeight="1" x14ac:dyDescent="0.25">
      <c r="A845" s="10">
        <v>44208</v>
      </c>
      <c r="B845" s="85" t="s">
        <v>723</v>
      </c>
      <c r="C845" s="7">
        <v>1043433</v>
      </c>
      <c r="D845" s="7"/>
      <c r="E845" s="7">
        <f>+IF(FINANCIACION[[#This Row],[$ CAPITAL]]&gt;=0,FINANCIACION[[#This Row],[$ CAPITAL]]+FINANCIACION[[#This Row],[$ INTERESES]],"")</f>
        <v>1043433</v>
      </c>
      <c r="F845" s="7">
        <f>+SUMIFS(FINANCIACION[$ CAPITAL],FINANCIACION[Fecha],"&lt;="&amp;FINANCIACION[[#This Row],[Fecha]],FINANCIACION[PRESTAMO],FINANCIACION[[#This Row],[PRESTAMO]])</f>
        <v>-60474043.620000035</v>
      </c>
      <c r="G845" s="11"/>
      <c r="H845" s="11"/>
      <c r="I845" s="7">
        <f>+IF(FINANCIACION[[#This Row],[$ CAPITAL]]&gt;0,FINANCIACION[[#This Row],[$ CAPITAL]])</f>
        <v>1043433</v>
      </c>
      <c r="J845" s="49">
        <f>+IF(FINANCIACION[[#This Row],[$ CAPITAL]]&gt;=0,FINANCIACION[[#This Row],[$ CAPITAL]]+FINANCIACION[[#This Row],[$ INTERESES]],0)</f>
        <v>1043433</v>
      </c>
    </row>
    <row r="846" spans="1:10" ht="24" hidden="1" customHeight="1" x14ac:dyDescent="0.25">
      <c r="A846" s="10">
        <v>44208</v>
      </c>
      <c r="B846" s="85" t="s">
        <v>723</v>
      </c>
      <c r="C846" s="7">
        <v>1000000</v>
      </c>
      <c r="D846" s="7"/>
      <c r="E846" s="7">
        <f>+IF(FINANCIACION[[#This Row],[$ CAPITAL]]&gt;=0,FINANCIACION[[#This Row],[$ CAPITAL]]+FINANCIACION[[#This Row],[$ INTERESES]],"")</f>
        <v>1000000</v>
      </c>
      <c r="F846" s="7">
        <f>+SUMIFS(FINANCIACION[$ CAPITAL],FINANCIACION[Fecha],"&lt;="&amp;FINANCIACION[[#This Row],[Fecha]],FINANCIACION[PRESTAMO],FINANCIACION[[#This Row],[PRESTAMO]])</f>
        <v>-60474043.620000035</v>
      </c>
      <c r="G846" s="11"/>
      <c r="H846" s="11"/>
      <c r="I846" s="7">
        <f>+IF(FINANCIACION[[#This Row],[$ CAPITAL]]&gt;0,FINANCIACION[[#This Row],[$ CAPITAL]])</f>
        <v>1000000</v>
      </c>
      <c r="J846" s="49">
        <f>+IF(FINANCIACION[[#This Row],[$ CAPITAL]]&gt;=0,FINANCIACION[[#This Row],[$ CAPITAL]]+FINANCIACION[[#This Row],[$ INTERESES]],0)</f>
        <v>1000000</v>
      </c>
    </row>
    <row r="847" spans="1:10" ht="24" hidden="1" customHeight="1" x14ac:dyDescent="0.25">
      <c r="A847" s="10">
        <v>44212</v>
      </c>
      <c r="B847" s="85" t="s">
        <v>723</v>
      </c>
      <c r="C847" s="7">
        <v>172</v>
      </c>
      <c r="D847" s="7"/>
      <c r="E847" s="7">
        <f>+IF(FINANCIACION[[#This Row],[$ CAPITAL]]&gt;=0,FINANCIACION[[#This Row],[$ CAPITAL]]+FINANCIACION[[#This Row],[$ INTERESES]],"")</f>
        <v>172</v>
      </c>
      <c r="F847" s="7">
        <f>+SUMIFS(FINANCIACION[$ CAPITAL],FINANCIACION[Fecha],"&lt;="&amp;FINANCIACION[[#This Row],[Fecha]],FINANCIACION[PRESTAMO],FINANCIACION[[#This Row],[PRESTAMO]])</f>
        <v>-58432943.620000035</v>
      </c>
      <c r="G847" s="11"/>
      <c r="H847" s="11"/>
      <c r="I847" s="7">
        <f>+IF(FINANCIACION[[#This Row],[$ CAPITAL]]&gt;0,FINANCIACION[[#This Row],[$ CAPITAL]])</f>
        <v>172</v>
      </c>
      <c r="J847" s="49">
        <f>+IF(FINANCIACION[[#This Row],[$ CAPITAL]]&gt;=0,FINANCIACION[[#This Row],[$ CAPITAL]]+FINANCIACION[[#This Row],[$ INTERESES]],0)</f>
        <v>172</v>
      </c>
    </row>
    <row r="848" spans="1:10" ht="24" hidden="1" customHeight="1" x14ac:dyDescent="0.25">
      <c r="A848" s="10">
        <v>44212</v>
      </c>
      <c r="B848" s="85" t="s">
        <v>723</v>
      </c>
      <c r="C848" s="7">
        <v>1040928.0000000001</v>
      </c>
      <c r="D848" s="7"/>
      <c r="E848" s="7">
        <f>+IF(FINANCIACION[[#This Row],[$ CAPITAL]]&gt;=0,FINANCIACION[[#This Row],[$ CAPITAL]]+FINANCIACION[[#This Row],[$ INTERESES]],"")</f>
        <v>1040928.0000000001</v>
      </c>
      <c r="F848" s="7">
        <f>+SUMIFS(FINANCIACION[$ CAPITAL],FINANCIACION[Fecha],"&lt;="&amp;FINANCIACION[[#This Row],[Fecha]],FINANCIACION[PRESTAMO],FINANCIACION[[#This Row],[PRESTAMO]])</f>
        <v>-58432943.620000035</v>
      </c>
      <c r="G848" s="11"/>
      <c r="H848" s="11"/>
      <c r="I848" s="7">
        <f>+IF(FINANCIACION[[#This Row],[$ CAPITAL]]&gt;0,FINANCIACION[[#This Row],[$ CAPITAL]])</f>
        <v>1040928.0000000001</v>
      </c>
      <c r="J848" s="49">
        <f>+IF(FINANCIACION[[#This Row],[$ CAPITAL]]&gt;=0,FINANCIACION[[#This Row],[$ CAPITAL]]+FINANCIACION[[#This Row],[$ INTERESES]],0)</f>
        <v>1040928.0000000001</v>
      </c>
    </row>
    <row r="849" spans="1:10" ht="24" hidden="1" customHeight="1" x14ac:dyDescent="0.25">
      <c r="A849" s="10">
        <v>44212</v>
      </c>
      <c r="B849" s="85" t="s">
        <v>723</v>
      </c>
      <c r="C849" s="7">
        <v>1000000</v>
      </c>
      <c r="D849" s="7"/>
      <c r="E849" s="7">
        <f>+IF(FINANCIACION[[#This Row],[$ CAPITAL]]&gt;=0,FINANCIACION[[#This Row],[$ CAPITAL]]+FINANCIACION[[#This Row],[$ INTERESES]],"")</f>
        <v>1000000</v>
      </c>
      <c r="F849" s="7">
        <f>+SUMIFS(FINANCIACION[$ CAPITAL],FINANCIACION[Fecha],"&lt;="&amp;FINANCIACION[[#This Row],[Fecha]],FINANCIACION[PRESTAMO],FINANCIACION[[#This Row],[PRESTAMO]])</f>
        <v>-58432943.620000035</v>
      </c>
      <c r="G849" s="11"/>
      <c r="H849" s="11"/>
      <c r="I849" s="7">
        <f>+IF(FINANCIACION[[#This Row],[$ CAPITAL]]&gt;0,FINANCIACION[[#This Row],[$ CAPITAL]])</f>
        <v>1000000</v>
      </c>
      <c r="J849" s="49">
        <f>+IF(FINANCIACION[[#This Row],[$ CAPITAL]]&gt;=0,FINANCIACION[[#This Row],[$ CAPITAL]]+FINANCIACION[[#This Row],[$ INTERESES]],0)</f>
        <v>1000000</v>
      </c>
    </row>
    <row r="850" spans="1:10" ht="24" hidden="1" customHeight="1" x14ac:dyDescent="0.25">
      <c r="A850" s="10">
        <v>44231</v>
      </c>
      <c r="B850" s="85" t="s">
        <v>723</v>
      </c>
      <c r="C850" s="7">
        <v>990094.53000000305</v>
      </c>
      <c r="D850" s="7">
        <v>144841.01</v>
      </c>
      <c r="E850" s="7">
        <f>+IF(FINANCIACION[[#This Row],[$ CAPITAL]]&gt;=0,FINANCIACION[[#This Row],[$ CAPITAL]]+FINANCIACION[[#This Row],[$ INTERESES]],"")</f>
        <v>1134935.5400000031</v>
      </c>
      <c r="F850" s="7">
        <f>+SUMIFS(FINANCIACION[$ CAPITAL],FINANCIACION[Fecha],"&lt;="&amp;FINANCIACION[[#This Row],[Fecha]],FINANCIACION[PRESTAMO],FINANCIACION[[#This Row],[PRESTAMO]])</f>
        <v>-57442849.090000033</v>
      </c>
      <c r="G850" s="11"/>
      <c r="H850" s="11"/>
      <c r="I850" s="7">
        <f>+IF(FINANCIACION[[#This Row],[$ CAPITAL]]&gt;0,FINANCIACION[[#This Row],[$ CAPITAL]])</f>
        <v>990094.53000000305</v>
      </c>
      <c r="J850" s="12">
        <f>+IF(FINANCIACION[[#This Row],[$ CAPITAL]]&gt;=0,FINANCIACION[[#This Row],[$ CAPITAL]]+FINANCIACION[[#This Row],[$ INTERESES]],0)</f>
        <v>1134935.5400000031</v>
      </c>
    </row>
    <row r="851" spans="1:10" ht="24" hidden="1" customHeight="1" x14ac:dyDescent="0.25">
      <c r="A851" s="10">
        <v>44237</v>
      </c>
      <c r="B851" s="85" t="s">
        <v>723</v>
      </c>
      <c r="C851" s="7"/>
      <c r="D851" s="7">
        <v>130000</v>
      </c>
      <c r="E851" s="7">
        <f>+IF(FINANCIACION[[#This Row],[$ CAPITAL]]&gt;=0,FINANCIACION[[#This Row],[$ CAPITAL]]+FINANCIACION[[#This Row],[$ INTERESES]],"")</f>
        <v>130000</v>
      </c>
      <c r="F851" s="7">
        <f>+SUMIFS(FINANCIACION[$ CAPITAL],FINANCIACION[Fecha],"&lt;="&amp;FINANCIACION[[#This Row],[Fecha]],FINANCIACION[PRESTAMO],FINANCIACION[[#This Row],[PRESTAMO]])</f>
        <v>-57442849.090000033</v>
      </c>
      <c r="G851" s="11"/>
      <c r="H851" s="11"/>
      <c r="I851" s="7" t="b">
        <f>+IF(FINANCIACION[[#This Row],[$ CAPITAL]]&gt;0,FINANCIACION[[#This Row],[$ CAPITAL]])</f>
        <v>0</v>
      </c>
      <c r="J851" s="49">
        <f>+IF(FINANCIACION[[#This Row],[$ CAPITAL]]&gt;=0,FINANCIACION[[#This Row],[$ CAPITAL]]+FINANCIACION[[#This Row],[$ INTERESES]],0)</f>
        <v>130000</v>
      </c>
    </row>
    <row r="852" spans="1:10" ht="24" hidden="1" customHeight="1" x14ac:dyDescent="0.25">
      <c r="A852" s="10">
        <v>44239</v>
      </c>
      <c r="B852" s="85" t="s">
        <v>723</v>
      </c>
      <c r="C852" s="7">
        <v>3525450</v>
      </c>
      <c r="D852" s="7"/>
      <c r="E852" s="7">
        <f>+IF(FINANCIACION[[#This Row],[$ CAPITAL]]&gt;=0,FINANCIACION[[#This Row],[$ CAPITAL]]+FINANCIACION[[#This Row],[$ INTERESES]],"")</f>
        <v>3525450</v>
      </c>
      <c r="F852" s="7">
        <f>+SUMIFS(FINANCIACION[$ CAPITAL],FINANCIACION[Fecha],"&lt;="&amp;FINANCIACION[[#This Row],[Fecha]],FINANCIACION[PRESTAMO],FINANCIACION[[#This Row],[PRESTAMO]])</f>
        <v>-53917399.090000033</v>
      </c>
      <c r="G852" s="11"/>
      <c r="H852" s="11"/>
      <c r="I852" s="7">
        <f>+IF(FINANCIACION[[#This Row],[$ CAPITAL]]&gt;0,FINANCIACION[[#This Row],[$ CAPITAL]])</f>
        <v>3525450</v>
      </c>
      <c r="J852" s="49">
        <f>+IF(FINANCIACION[[#This Row],[$ CAPITAL]]&gt;=0,FINANCIACION[[#This Row],[$ CAPITAL]]+FINANCIACION[[#This Row],[$ INTERESES]],0)</f>
        <v>3525450</v>
      </c>
    </row>
    <row r="853" spans="1:10" ht="24" hidden="1" customHeight="1" x14ac:dyDescent="0.25">
      <c r="A853" s="10">
        <v>44242</v>
      </c>
      <c r="B853" s="85" t="s">
        <v>723</v>
      </c>
      <c r="C853" s="7">
        <v>3515650</v>
      </c>
      <c r="D853" s="7"/>
      <c r="E853" s="7">
        <f>+IF(FINANCIACION[[#This Row],[$ CAPITAL]]&gt;=0,FINANCIACION[[#This Row],[$ CAPITAL]]+FINANCIACION[[#This Row],[$ INTERESES]],"")</f>
        <v>3515650</v>
      </c>
      <c r="F853" s="7">
        <f>+SUMIFS(FINANCIACION[$ CAPITAL],FINANCIACION[Fecha],"&lt;="&amp;FINANCIACION[[#This Row],[Fecha]],FINANCIACION[PRESTAMO],FINANCIACION[[#This Row],[PRESTAMO]])</f>
        <v>-49401749.090000033</v>
      </c>
      <c r="G853" s="11"/>
      <c r="H853" s="11"/>
      <c r="I853" s="7">
        <f>+IF(FINANCIACION[[#This Row],[$ CAPITAL]]&gt;0,FINANCIACION[[#This Row],[$ CAPITAL]])</f>
        <v>3515650</v>
      </c>
      <c r="J853" s="49">
        <f>+IF(FINANCIACION[[#This Row],[$ CAPITAL]]&gt;=0,FINANCIACION[[#This Row],[$ CAPITAL]]+FINANCIACION[[#This Row],[$ INTERESES]],0)</f>
        <v>3515650</v>
      </c>
    </row>
    <row r="854" spans="1:10" ht="24" hidden="1" customHeight="1" x14ac:dyDescent="0.25">
      <c r="A854" s="10">
        <v>44242</v>
      </c>
      <c r="B854" s="85" t="s">
        <v>723</v>
      </c>
      <c r="C854" s="7">
        <v>1000000</v>
      </c>
      <c r="D854" s="7"/>
      <c r="E854" s="7">
        <f>+IF(FINANCIACION[[#This Row],[$ CAPITAL]]&gt;=0,FINANCIACION[[#This Row],[$ CAPITAL]]+FINANCIACION[[#This Row],[$ INTERESES]],"")</f>
        <v>1000000</v>
      </c>
      <c r="F854" s="7">
        <f>+SUMIFS(FINANCIACION[$ CAPITAL],FINANCIACION[Fecha],"&lt;="&amp;FINANCIACION[[#This Row],[Fecha]],FINANCIACION[PRESTAMO],FINANCIACION[[#This Row],[PRESTAMO]])</f>
        <v>-49401749.090000033</v>
      </c>
      <c r="G854" s="11"/>
      <c r="H854" s="11"/>
      <c r="I854" s="7">
        <f>+IF(FINANCIACION[[#This Row],[$ CAPITAL]]&gt;0,FINANCIACION[[#This Row],[$ CAPITAL]])</f>
        <v>1000000</v>
      </c>
      <c r="J854" s="49">
        <f>+IF(FINANCIACION[[#This Row],[$ CAPITAL]]&gt;=0,FINANCIACION[[#This Row],[$ CAPITAL]]+FINANCIACION[[#This Row],[$ INTERESES]],0)</f>
        <v>1000000</v>
      </c>
    </row>
    <row r="855" spans="1:10" ht="24" hidden="1" customHeight="1" x14ac:dyDescent="0.25">
      <c r="A855" s="10">
        <v>44244</v>
      </c>
      <c r="B855" s="85" t="s">
        <v>723</v>
      </c>
      <c r="C855" s="7">
        <v>1282000</v>
      </c>
      <c r="D855" s="7"/>
      <c r="E855" s="7">
        <f>+IF(FINANCIACION[[#This Row],[$ CAPITAL]]&gt;=0,FINANCIACION[[#This Row],[$ CAPITAL]]+FINANCIACION[[#This Row],[$ INTERESES]],"")</f>
        <v>1282000</v>
      </c>
      <c r="F855" s="7">
        <f>+SUMIFS(FINANCIACION[$ CAPITAL],FINANCIACION[Fecha],"&lt;="&amp;FINANCIACION[[#This Row],[Fecha]],FINANCIACION[PRESTAMO],FINANCIACION[[#This Row],[PRESTAMO]])</f>
        <v>-46575749.090000033</v>
      </c>
      <c r="G855" s="11"/>
      <c r="H855" s="11"/>
      <c r="I855" s="7">
        <f>+IF(FINANCIACION[[#This Row],[$ CAPITAL]]&gt;0,FINANCIACION[[#This Row],[$ CAPITAL]])</f>
        <v>1282000</v>
      </c>
      <c r="J855" s="12">
        <f>+IF(FINANCIACION[[#This Row],[$ CAPITAL]]&gt;=0,FINANCIACION[[#This Row],[$ CAPITAL]]+FINANCIACION[[#This Row],[$ INTERESES]],0)</f>
        <v>1282000</v>
      </c>
    </row>
    <row r="856" spans="1:10" ht="24" hidden="1" customHeight="1" x14ac:dyDescent="0.25">
      <c r="A856" s="10">
        <v>44244</v>
      </c>
      <c r="B856" s="85" t="s">
        <v>723</v>
      </c>
      <c r="C856" s="7">
        <v>1544000</v>
      </c>
      <c r="D856" s="7"/>
      <c r="E856" s="7">
        <f>+IF(FINANCIACION[[#This Row],[$ CAPITAL]]&gt;=0,FINANCIACION[[#This Row],[$ CAPITAL]]+FINANCIACION[[#This Row],[$ INTERESES]],"")</f>
        <v>1544000</v>
      </c>
      <c r="F856" s="7">
        <f>+SUMIFS(FINANCIACION[$ CAPITAL],FINANCIACION[Fecha],"&lt;="&amp;FINANCIACION[[#This Row],[Fecha]],FINANCIACION[PRESTAMO],FINANCIACION[[#This Row],[PRESTAMO]])</f>
        <v>-46575749.090000033</v>
      </c>
      <c r="G856" s="11"/>
      <c r="H856" s="11"/>
      <c r="I856" s="7">
        <f>+IF(FINANCIACION[[#This Row],[$ CAPITAL]]&gt;0,FINANCIACION[[#This Row],[$ CAPITAL]])</f>
        <v>1544000</v>
      </c>
      <c r="J856" s="12">
        <f>+IF(FINANCIACION[[#This Row],[$ CAPITAL]]&gt;=0,FINANCIACION[[#This Row],[$ CAPITAL]]+FINANCIACION[[#This Row],[$ INTERESES]],0)</f>
        <v>1544000</v>
      </c>
    </row>
    <row r="857" spans="1:10" ht="24" hidden="1" customHeight="1" x14ac:dyDescent="0.25">
      <c r="A857" s="10">
        <v>44255</v>
      </c>
      <c r="B857" s="85" t="s">
        <v>723</v>
      </c>
      <c r="C857" s="7">
        <v>1162943.3500000052</v>
      </c>
      <c r="D857" s="7"/>
      <c r="E857" s="7">
        <f>+IF(FINANCIACION[[#This Row],[$ CAPITAL]]&gt;=0,FINANCIACION[[#This Row],[$ CAPITAL]]+FINANCIACION[[#This Row],[$ INTERESES]],"")</f>
        <v>1162943.3500000052</v>
      </c>
      <c r="F857" s="7">
        <f>+SUMIFS(FINANCIACION[$ CAPITAL],FINANCIACION[Fecha],"&lt;="&amp;FINANCIACION[[#This Row],[Fecha]],FINANCIACION[PRESTAMO],FINANCIACION[[#This Row],[PRESTAMO]])</f>
        <v>-72197464.860000014</v>
      </c>
      <c r="G857" s="11" t="s">
        <v>512</v>
      </c>
      <c r="H857" s="11"/>
      <c r="I857" s="7">
        <f>+IF(FINANCIACION[[#This Row],[$ CAPITAL]]&gt;0,FINANCIACION[[#This Row],[$ CAPITAL]])</f>
        <v>1162943.3500000052</v>
      </c>
      <c r="J857" s="12">
        <f>+IF(FINANCIACION[[#This Row],[$ CAPITAL]]&gt;=0,FINANCIACION[[#This Row],[$ CAPITAL]]+FINANCIACION[[#This Row],[$ INTERESES]],0)</f>
        <v>1162943.3500000052</v>
      </c>
    </row>
    <row r="858" spans="1:10" ht="24" hidden="1" customHeight="1" x14ac:dyDescent="0.25">
      <c r="A858" s="10">
        <v>44255</v>
      </c>
      <c r="B858" s="85" t="s">
        <v>723</v>
      </c>
      <c r="C858" s="7">
        <v>-267882</v>
      </c>
      <c r="D858" s="7"/>
      <c r="E858" s="7" t="str">
        <f>+IF(FINANCIACION[[#This Row],[$ CAPITAL]]&gt;=0,FINANCIACION[[#This Row],[$ CAPITAL]]+FINANCIACION[[#This Row],[$ INTERESES]],"")</f>
        <v/>
      </c>
      <c r="F858" s="7">
        <f>+SUMIFS(FINANCIACION[$ CAPITAL],FINANCIACION[Fecha],"&lt;="&amp;FINANCIACION[[#This Row],[Fecha]],FINANCIACION[PRESTAMO],FINANCIACION[[#This Row],[PRESTAMO]])</f>
        <v>-72197464.860000014</v>
      </c>
      <c r="G858" s="11" t="s">
        <v>512</v>
      </c>
      <c r="H858" s="11"/>
      <c r="I858" s="7" t="b">
        <f>+IF(FINANCIACION[[#This Row],[$ CAPITAL]]&gt;0,FINANCIACION[[#This Row],[$ CAPITAL]])</f>
        <v>0</v>
      </c>
      <c r="J858" s="12">
        <f>+IF(FINANCIACION[[#This Row],[$ CAPITAL]]&gt;=0,FINANCIACION[[#This Row],[$ CAPITAL]]+FINANCIACION[[#This Row],[$ INTERESES]],0)</f>
        <v>0</v>
      </c>
    </row>
    <row r="859" spans="1:10" ht="24" hidden="1" customHeight="1" x14ac:dyDescent="0.25">
      <c r="A859" s="10">
        <v>44255</v>
      </c>
      <c r="B859" s="85" t="s">
        <v>723</v>
      </c>
      <c r="C859" s="7">
        <v>-27478261</v>
      </c>
      <c r="D859" s="7"/>
      <c r="E859" s="7" t="str">
        <f>+IF(FINANCIACION[[#This Row],[$ CAPITAL]]&gt;=0,FINANCIACION[[#This Row],[$ CAPITAL]]+FINANCIACION[[#This Row],[$ INTERESES]],"")</f>
        <v/>
      </c>
      <c r="F859" s="7">
        <f>+SUMIFS(FINANCIACION[$ CAPITAL],FINANCIACION[Fecha],"&lt;="&amp;FINANCIACION[[#This Row],[Fecha]],FINANCIACION[PRESTAMO],FINANCIACION[[#This Row],[PRESTAMO]])</f>
        <v>-72197464.860000014</v>
      </c>
      <c r="G859" s="11" t="s">
        <v>512</v>
      </c>
      <c r="H859" s="11"/>
      <c r="I859" s="7" t="b">
        <f>+IF(FINANCIACION[[#This Row],[$ CAPITAL]]&gt;0,FINANCIACION[[#This Row],[$ CAPITAL]])</f>
        <v>0</v>
      </c>
      <c r="J859" s="12">
        <f>+IF(FINANCIACION[[#This Row],[$ CAPITAL]]&gt;=0,FINANCIACION[[#This Row],[$ CAPITAL]]+FINANCIACION[[#This Row],[$ INTERESES]],0)</f>
        <v>0</v>
      </c>
    </row>
    <row r="860" spans="1:10" ht="24" hidden="1" customHeight="1" x14ac:dyDescent="0.25">
      <c r="A860" s="10">
        <v>44255</v>
      </c>
      <c r="B860" s="85" t="s">
        <v>723</v>
      </c>
      <c r="C860" s="7">
        <v>-141771.9999999851</v>
      </c>
      <c r="D860" s="7"/>
      <c r="E860" s="7" t="str">
        <f>+IF(FINANCIACION[[#This Row],[$ CAPITAL]]&gt;=0,FINANCIACION[[#This Row],[$ CAPITAL]]+FINANCIACION[[#This Row],[$ INTERESES]],"")</f>
        <v/>
      </c>
      <c r="F860" s="7">
        <f>+SUMIFS(FINANCIACION[$ CAPITAL],FINANCIACION[Fecha],"&lt;="&amp;FINANCIACION[[#This Row],[Fecha]],FINANCIACION[PRESTAMO],FINANCIACION[[#This Row],[PRESTAMO]])</f>
        <v>-72197464.860000014</v>
      </c>
      <c r="G860" s="11" t="s">
        <v>512</v>
      </c>
      <c r="H860" s="11"/>
      <c r="I860" s="7" t="b">
        <f>+IF(FINANCIACION[[#This Row],[$ CAPITAL]]&gt;0,FINANCIACION[[#This Row],[$ CAPITAL]])</f>
        <v>0</v>
      </c>
      <c r="J860" s="12">
        <f>+IF(FINANCIACION[[#This Row],[$ CAPITAL]]&gt;=0,FINANCIACION[[#This Row],[$ CAPITAL]]+FINANCIACION[[#This Row],[$ INTERESES]],0)</f>
        <v>0</v>
      </c>
    </row>
    <row r="861" spans="1:10" ht="24" hidden="1" customHeight="1" x14ac:dyDescent="0.25">
      <c r="A861" s="10">
        <v>44255</v>
      </c>
      <c r="B861" s="85" t="s">
        <v>723</v>
      </c>
      <c r="C861" s="7">
        <v>1103255.8800000027</v>
      </c>
      <c r="D861" s="7"/>
      <c r="E861" s="7">
        <f>+IF(FINANCIACION[[#This Row],[$ CAPITAL]]&gt;=0,FINANCIACION[[#This Row],[$ CAPITAL]]+FINANCIACION[[#This Row],[$ INTERESES]],"")</f>
        <v>1103255.8800000027</v>
      </c>
      <c r="F861" s="7">
        <f>+SUMIFS(FINANCIACION[$ CAPITAL],FINANCIACION[Fecha],"&lt;="&amp;FINANCIACION[[#This Row],[Fecha]],FINANCIACION[PRESTAMO],FINANCIACION[[#This Row],[PRESTAMO]])</f>
        <v>-72197464.860000014</v>
      </c>
      <c r="G861" s="11" t="s">
        <v>512</v>
      </c>
      <c r="H861" s="11"/>
      <c r="I861" s="7">
        <f>+IF(FINANCIACION[[#This Row],[$ CAPITAL]]&gt;0,FINANCIACION[[#This Row],[$ CAPITAL]])</f>
        <v>1103255.8800000027</v>
      </c>
      <c r="J861" s="12">
        <f>+IF(FINANCIACION[[#This Row],[$ CAPITAL]]&gt;=0,FINANCIACION[[#This Row],[$ CAPITAL]]+FINANCIACION[[#This Row],[$ INTERESES]],0)</f>
        <v>1103255.8800000027</v>
      </c>
    </row>
    <row r="862" spans="1:10" ht="24" hidden="1" customHeight="1" x14ac:dyDescent="0.25">
      <c r="A862" s="10">
        <v>44257</v>
      </c>
      <c r="B862" s="85" t="s">
        <v>723</v>
      </c>
      <c r="C862" s="7">
        <f>3622*339</f>
        <v>1227858</v>
      </c>
      <c r="D862" s="7"/>
      <c r="E862" s="7">
        <f>+IF(FINANCIACION[[#This Row],[$ CAPITAL]]&gt;=0,FINANCIACION[[#This Row],[$ CAPITAL]]+FINANCIACION[[#This Row],[$ INTERESES]],"")</f>
        <v>1227858</v>
      </c>
      <c r="F862" s="7">
        <f>+SUMIFS(FINANCIACION[$ CAPITAL],FINANCIACION[Fecha],"&lt;="&amp;FINANCIACION[[#This Row],[Fecha]],FINANCIACION[PRESTAMO],FINANCIACION[[#This Row],[PRESTAMO]])</f>
        <v>-69969606.860000014</v>
      </c>
      <c r="G862" s="11"/>
      <c r="H862" s="91"/>
      <c r="I862" s="7">
        <f>+IF(FINANCIACION[[#This Row],[$ CAPITAL]]&gt;0,FINANCIACION[[#This Row],[$ CAPITAL]])</f>
        <v>1227858</v>
      </c>
      <c r="J862" s="12">
        <f>+IF(FINANCIACION[[#This Row],[$ CAPITAL]]&gt;=0,FINANCIACION[[#This Row],[$ CAPITAL]]+FINANCIACION[[#This Row],[$ INTERESES]],0)</f>
        <v>1227858</v>
      </c>
    </row>
    <row r="863" spans="1:10" ht="24" hidden="1" customHeight="1" x14ac:dyDescent="0.25">
      <c r="A863" s="10">
        <v>44257</v>
      </c>
      <c r="B863" s="85" t="s">
        <v>723</v>
      </c>
      <c r="C863" s="7">
        <v>100000</v>
      </c>
      <c r="D863" s="7"/>
      <c r="E863" s="7">
        <f>+IF(FINANCIACION[[#This Row],[$ CAPITAL]]&gt;=0,FINANCIACION[[#This Row],[$ CAPITAL]]+FINANCIACION[[#This Row],[$ INTERESES]],"")</f>
        <v>100000</v>
      </c>
      <c r="F863" s="7">
        <f>+SUMIFS(FINANCIACION[$ CAPITAL],FINANCIACION[Fecha],"&lt;="&amp;FINANCIACION[[#This Row],[Fecha]],FINANCIACION[PRESTAMO],FINANCIACION[[#This Row],[PRESTAMO]])</f>
        <v>-69969606.860000014</v>
      </c>
      <c r="G863" s="11"/>
      <c r="H863" s="91"/>
      <c r="I863" s="7">
        <f>+IF(FINANCIACION[[#This Row],[$ CAPITAL]]&gt;0,FINANCIACION[[#This Row],[$ CAPITAL]])</f>
        <v>100000</v>
      </c>
      <c r="J863" s="12">
        <f>+IF(FINANCIACION[[#This Row],[$ CAPITAL]]&gt;=0,FINANCIACION[[#This Row],[$ CAPITAL]]+FINANCIACION[[#This Row],[$ INTERESES]],0)</f>
        <v>100000</v>
      </c>
    </row>
    <row r="864" spans="1:10" ht="24" hidden="1" customHeight="1" x14ac:dyDescent="0.25">
      <c r="A864" s="10">
        <v>44257</v>
      </c>
      <c r="B864" s="85" t="s">
        <v>723</v>
      </c>
      <c r="C864" s="7">
        <v>900000</v>
      </c>
      <c r="D864" s="7"/>
      <c r="E864" s="7">
        <f>+IF(FINANCIACION[[#This Row],[$ CAPITAL]]&gt;=0,FINANCIACION[[#This Row],[$ CAPITAL]]+FINANCIACION[[#This Row],[$ INTERESES]],"")</f>
        <v>900000</v>
      </c>
      <c r="F864" s="7">
        <f>+SUMIFS(FINANCIACION[$ CAPITAL],FINANCIACION[Fecha],"&lt;="&amp;FINANCIACION[[#This Row],[Fecha]],FINANCIACION[PRESTAMO],FINANCIACION[[#This Row],[PRESTAMO]])</f>
        <v>-69969606.860000014</v>
      </c>
      <c r="G864" s="11"/>
      <c r="H864" s="91"/>
      <c r="I864" s="7">
        <f>+IF(FINANCIACION[[#This Row],[$ CAPITAL]]&gt;0,FINANCIACION[[#This Row],[$ CAPITAL]])</f>
        <v>900000</v>
      </c>
      <c r="J864" s="12">
        <f>+IF(FINANCIACION[[#This Row],[$ CAPITAL]]&gt;=0,FINANCIACION[[#This Row],[$ CAPITAL]]+FINANCIACION[[#This Row],[$ INTERESES]],0)</f>
        <v>900000</v>
      </c>
    </row>
    <row r="865" spans="1:10" ht="24" hidden="1" customHeight="1" x14ac:dyDescent="0.25">
      <c r="A865" s="10">
        <v>44259</v>
      </c>
      <c r="B865" s="85" t="s">
        <v>723</v>
      </c>
      <c r="C865" s="7">
        <v>990094.53000000305</v>
      </c>
      <c r="D865" s="7">
        <v>132480.529999997</v>
      </c>
      <c r="E865" s="7">
        <f>+IF(FINANCIACION[[#This Row],[$ CAPITAL]]&gt;=0,FINANCIACION[[#This Row],[$ CAPITAL]]+FINANCIACION[[#This Row],[$ INTERESES]],"")</f>
        <v>1122575.06</v>
      </c>
      <c r="F865" s="7">
        <f>+SUMIFS(FINANCIACION[$ CAPITAL],FINANCIACION[Fecha],"&lt;="&amp;FINANCIACION[[#This Row],[Fecha]],FINANCIACION[PRESTAMO],FINANCIACION[[#This Row],[PRESTAMO]])</f>
        <v>-68979512.330000013</v>
      </c>
      <c r="G865" s="11"/>
      <c r="H865" s="91"/>
      <c r="I865" s="7">
        <f>+IF(FINANCIACION[[#This Row],[$ CAPITAL]]&gt;0,FINANCIACION[[#This Row],[$ CAPITAL]])</f>
        <v>990094.53000000305</v>
      </c>
      <c r="J865" s="12">
        <f>+IF(FINANCIACION[[#This Row],[$ CAPITAL]]&gt;=0,FINANCIACION[[#This Row],[$ CAPITAL]]+FINANCIACION[[#This Row],[$ INTERESES]],0)</f>
        <v>1122575.06</v>
      </c>
    </row>
    <row r="866" spans="1:10" ht="24" hidden="1" customHeight="1" x14ac:dyDescent="0.25">
      <c r="A866" s="10">
        <v>44263</v>
      </c>
      <c r="B866" s="85" t="s">
        <v>723</v>
      </c>
      <c r="C866" s="7">
        <f>2500*3640.2</f>
        <v>9100500</v>
      </c>
      <c r="D866" s="7"/>
      <c r="E866" s="7">
        <f>+IF(FINANCIACION[[#This Row],[$ CAPITAL]]&gt;=0,FINANCIACION[[#This Row],[$ CAPITAL]]+FINANCIACION[[#This Row],[$ INTERESES]],"")</f>
        <v>9100500</v>
      </c>
      <c r="F866" s="7">
        <f>+SUMIFS(FINANCIACION[$ CAPITAL],FINANCIACION[Fecha],"&lt;="&amp;FINANCIACION[[#This Row],[Fecha]],FINANCIACION[PRESTAMO],FINANCIACION[[#This Row],[PRESTAMO]])</f>
        <v>-59879012.330000013</v>
      </c>
      <c r="G866" s="11"/>
      <c r="H866" s="91"/>
      <c r="I866" s="7">
        <f>+IF(FINANCIACION[[#This Row],[$ CAPITAL]]&gt;0,FINANCIACION[[#This Row],[$ CAPITAL]])</f>
        <v>9100500</v>
      </c>
      <c r="J866" s="12">
        <f>+IF(FINANCIACION[[#This Row],[$ CAPITAL]]&gt;=0,FINANCIACION[[#This Row],[$ CAPITAL]]+FINANCIACION[[#This Row],[$ INTERESES]],0)</f>
        <v>9100500</v>
      </c>
    </row>
    <row r="867" spans="1:10" ht="24" hidden="1" customHeight="1" x14ac:dyDescent="0.25">
      <c r="A867" s="10">
        <v>44264</v>
      </c>
      <c r="B867" s="85" t="s">
        <v>723</v>
      </c>
      <c r="C867" s="7"/>
      <c r="D867" s="7">
        <v>130000</v>
      </c>
      <c r="E867" s="7">
        <f>+IF(FINANCIACION[[#This Row],[$ CAPITAL]]&gt;=0,FINANCIACION[[#This Row],[$ CAPITAL]]+FINANCIACION[[#This Row],[$ INTERESES]],"")</f>
        <v>130000</v>
      </c>
      <c r="F867" s="7">
        <f>+SUMIFS(FINANCIACION[$ CAPITAL],FINANCIACION[Fecha],"&lt;="&amp;FINANCIACION[[#This Row],[Fecha]],FINANCIACION[PRESTAMO],FINANCIACION[[#This Row],[PRESTAMO]])</f>
        <v>-59879012.330000013</v>
      </c>
      <c r="G867" s="11"/>
      <c r="H867" s="91"/>
      <c r="I867" s="7" t="b">
        <f>+IF(FINANCIACION[[#This Row],[$ CAPITAL]]&gt;0,FINANCIACION[[#This Row],[$ CAPITAL]])</f>
        <v>0</v>
      </c>
      <c r="J867" s="12">
        <f>+IF(FINANCIACION[[#This Row],[$ CAPITAL]]&gt;=0,FINANCIACION[[#This Row],[$ CAPITAL]]+FINANCIACION[[#This Row],[$ INTERESES]],0)</f>
        <v>130000</v>
      </c>
    </row>
    <row r="868" spans="1:10" ht="24" hidden="1" customHeight="1" x14ac:dyDescent="0.25">
      <c r="A868" s="10">
        <v>44271</v>
      </c>
      <c r="B868" s="85" t="s">
        <v>723</v>
      </c>
      <c r="C868" s="7">
        <v>3575630</v>
      </c>
      <c r="D868" s="7"/>
      <c r="E868" s="7">
        <f>+IF(FINANCIACION[[#This Row],[$ CAPITAL]]&gt;=0,FINANCIACION[[#This Row],[$ CAPITAL]]+FINANCIACION[[#This Row],[$ INTERESES]],"")</f>
        <v>3575630</v>
      </c>
      <c r="F868" s="7">
        <f>+SUMIFS(FINANCIACION[$ CAPITAL],FINANCIACION[Fecha],"&lt;="&amp;FINANCIACION[[#This Row],[Fecha]],FINANCIACION[PRESTAMO],FINANCIACION[[#This Row],[PRESTAMO]])</f>
        <v>-56303382.330000013</v>
      </c>
      <c r="G868" s="11" t="s">
        <v>111</v>
      </c>
      <c r="H868" s="91"/>
      <c r="I868" s="7">
        <f>+IF(FINANCIACION[[#This Row],[$ CAPITAL]]&gt;0,FINANCIACION[[#This Row],[$ CAPITAL]])</f>
        <v>3575630</v>
      </c>
      <c r="J868" s="12">
        <f>+IF(FINANCIACION[[#This Row],[$ CAPITAL]]&gt;=0,FINANCIACION[[#This Row],[$ CAPITAL]]+FINANCIACION[[#This Row],[$ INTERESES]],0)</f>
        <v>3575630</v>
      </c>
    </row>
    <row r="869" spans="1:10" ht="24" hidden="1" customHeight="1" x14ac:dyDescent="0.25">
      <c r="A869" s="10">
        <v>44284</v>
      </c>
      <c r="B869" s="85" t="s">
        <v>723</v>
      </c>
      <c r="C869" s="7">
        <v>1247099.7200000025</v>
      </c>
      <c r="D869" s="7">
        <v>24900.279999997467</v>
      </c>
      <c r="E869" s="7">
        <f>+IF(FINANCIACION[[#This Row],[$ CAPITAL]]&gt;=0,FINANCIACION[[#This Row],[$ CAPITAL]]+FINANCIACION[[#This Row],[$ INTERESES]],"")</f>
        <v>1272000</v>
      </c>
      <c r="F869" s="7">
        <f>+SUMIFS(FINANCIACION[$ CAPITAL],FINANCIACION[Fecha],"&lt;="&amp;FINANCIACION[[#This Row],[Fecha]],FINANCIACION[PRESTAMO],FINANCIACION[[#This Row],[PRESTAMO]])</f>
        <v>-49887024.860000014</v>
      </c>
      <c r="G869" s="11"/>
      <c r="H869" s="91"/>
      <c r="I869" s="7">
        <f>+IF(FINANCIACION[[#This Row],[$ CAPITAL]]&gt;0,FINANCIACION[[#This Row],[$ CAPITAL]])</f>
        <v>1247099.7200000025</v>
      </c>
      <c r="J869" s="12">
        <f>+IF(FINANCIACION[[#This Row],[$ CAPITAL]]&gt;=0,FINANCIACION[[#This Row],[$ CAPITAL]]+FINANCIACION[[#This Row],[$ INTERESES]],0)</f>
        <v>1272000</v>
      </c>
    </row>
    <row r="870" spans="1:10" ht="24" hidden="1" customHeight="1" x14ac:dyDescent="0.25">
      <c r="A870" s="10">
        <v>44284</v>
      </c>
      <c r="B870" s="85" t="s">
        <v>723</v>
      </c>
      <c r="C870" s="7">
        <v>3665410</v>
      </c>
      <c r="D870" s="7"/>
      <c r="E870" s="7">
        <f>+IF(FINANCIACION[[#This Row],[$ CAPITAL]]&gt;=0,FINANCIACION[[#This Row],[$ CAPITAL]]+FINANCIACION[[#This Row],[$ INTERESES]],"")</f>
        <v>3665410</v>
      </c>
      <c r="F870" s="7">
        <f>+SUMIFS(FINANCIACION[$ CAPITAL],FINANCIACION[Fecha],"&lt;="&amp;FINANCIACION[[#This Row],[Fecha]],FINANCIACION[PRESTAMO],FINANCIACION[[#This Row],[PRESTAMO]])</f>
        <v>-49887024.860000014</v>
      </c>
      <c r="G870" s="11"/>
      <c r="H870" s="91"/>
      <c r="I870" s="7">
        <f>+IF(FINANCIACION[[#This Row],[$ CAPITAL]]&gt;0,FINANCIACION[[#This Row],[$ CAPITAL]])</f>
        <v>3665410</v>
      </c>
      <c r="J870" s="12">
        <f>+IF(FINANCIACION[[#This Row],[$ CAPITAL]]&gt;=0,FINANCIACION[[#This Row],[$ CAPITAL]]+FINANCIACION[[#This Row],[$ INTERESES]],0)</f>
        <v>3665410</v>
      </c>
    </row>
    <row r="871" spans="1:10" ht="24" hidden="1" customHeight="1" x14ac:dyDescent="0.25">
      <c r="A871" s="10">
        <v>44284</v>
      </c>
      <c r="B871" s="85" t="s">
        <v>723</v>
      </c>
      <c r="C871" s="7">
        <v>1503847.75</v>
      </c>
      <c r="D871" s="7">
        <v>28152.25</v>
      </c>
      <c r="E871" s="7">
        <f>+IF(FINANCIACION[[#This Row],[$ CAPITAL]]&gt;=0,FINANCIACION[[#This Row],[$ CAPITAL]]+FINANCIACION[[#This Row],[$ INTERESES]],"")</f>
        <v>1532000</v>
      </c>
      <c r="F871" s="7">
        <f>+SUMIFS(FINANCIACION[$ CAPITAL],FINANCIACION[Fecha],"&lt;="&amp;FINANCIACION[[#This Row],[Fecha]],FINANCIACION[PRESTAMO],FINANCIACION[[#This Row],[PRESTAMO]])</f>
        <v>-49887024.860000014</v>
      </c>
      <c r="G871" s="11"/>
      <c r="H871" s="91"/>
      <c r="I871" s="7">
        <f>+IF(FINANCIACION[[#This Row],[$ CAPITAL]]&gt;0,FINANCIACION[[#This Row],[$ CAPITAL]])</f>
        <v>1503847.75</v>
      </c>
      <c r="J871" s="12">
        <f>+IF(FINANCIACION[[#This Row],[$ CAPITAL]]&gt;=0,FINANCIACION[[#This Row],[$ CAPITAL]]+FINANCIACION[[#This Row],[$ INTERESES]],0)</f>
        <v>1532000</v>
      </c>
    </row>
    <row r="872" spans="1:10" ht="24" hidden="1" customHeight="1" x14ac:dyDescent="0.25">
      <c r="A872" s="10">
        <v>44286</v>
      </c>
      <c r="B872" s="85" t="s">
        <v>723</v>
      </c>
      <c r="C872" s="7">
        <v>-208305.96000000462</v>
      </c>
      <c r="D872" s="7"/>
      <c r="E872" s="7" t="str">
        <f>+IF(FINANCIACION[[#This Row],[$ CAPITAL]]&gt;=0,FINANCIACION[[#This Row],[$ CAPITAL]]+FINANCIACION[[#This Row],[$ INTERESES]],"")</f>
        <v/>
      </c>
      <c r="F872" s="7">
        <f>+SUMIFS(FINANCIACION[$ CAPITAL],FINANCIACION[Fecha],"&lt;="&amp;FINANCIACION[[#This Row],[Fecha]],FINANCIACION[PRESTAMO],FINANCIACION[[#This Row],[PRESTAMO]])</f>
        <v>-70787902.990000024</v>
      </c>
      <c r="G872" s="11" t="s">
        <v>512</v>
      </c>
      <c r="H872" s="91"/>
      <c r="I872" s="7" t="b">
        <f>+IF(FINANCIACION[[#This Row],[$ CAPITAL]]&gt;0,FINANCIACION[[#This Row],[$ CAPITAL]])</f>
        <v>0</v>
      </c>
      <c r="J872" s="12">
        <f>+IF(FINANCIACION[[#This Row],[$ CAPITAL]]&gt;=0,FINANCIACION[[#This Row],[$ CAPITAL]]+FINANCIACION[[#This Row],[$ INTERESES]],0)</f>
        <v>0</v>
      </c>
    </row>
    <row r="873" spans="1:10" ht="24" hidden="1" customHeight="1" x14ac:dyDescent="0.25">
      <c r="A873" s="10">
        <v>44286</v>
      </c>
      <c r="B873" s="85" t="s">
        <v>723</v>
      </c>
      <c r="C873" s="7">
        <v>67182</v>
      </c>
      <c r="D873" s="7"/>
      <c r="E873" s="7">
        <f>+IF(FINANCIACION[[#This Row],[$ CAPITAL]]&gt;=0,FINANCIACION[[#This Row],[$ CAPITAL]]+FINANCIACION[[#This Row],[$ INTERESES]],"")</f>
        <v>67182</v>
      </c>
      <c r="F873" s="7">
        <f>+SUMIFS(FINANCIACION[$ CAPITAL],FINANCIACION[Fecha],"&lt;="&amp;FINANCIACION[[#This Row],[Fecha]],FINANCIACION[PRESTAMO],FINANCIACION[[#This Row],[PRESTAMO]])</f>
        <v>-70787902.990000024</v>
      </c>
      <c r="G873" s="11" t="s">
        <v>512</v>
      </c>
      <c r="H873" s="91"/>
      <c r="I873" s="7">
        <f>+IF(FINANCIACION[[#This Row],[$ CAPITAL]]&gt;0,FINANCIACION[[#This Row],[$ CAPITAL]])</f>
        <v>67182</v>
      </c>
      <c r="J873" s="12">
        <f>+IF(FINANCIACION[[#This Row],[$ CAPITAL]]&gt;=0,FINANCIACION[[#This Row],[$ CAPITAL]]+FINANCIACION[[#This Row],[$ INTERESES]],0)</f>
        <v>67182</v>
      </c>
    </row>
    <row r="874" spans="1:10" ht="24" hidden="1" customHeight="1" x14ac:dyDescent="0.25">
      <c r="A874" s="10">
        <v>44286</v>
      </c>
      <c r="B874" s="85" t="s">
        <v>723</v>
      </c>
      <c r="C874" s="7">
        <v>-16500498</v>
      </c>
      <c r="D874" s="7"/>
      <c r="E874" s="7" t="str">
        <f>+IF(FINANCIACION[[#This Row],[$ CAPITAL]]&gt;=0,FINANCIACION[[#This Row],[$ CAPITAL]]+FINANCIACION[[#This Row],[$ INTERESES]],"")</f>
        <v/>
      </c>
      <c r="F874" s="7">
        <f>+SUMIFS(FINANCIACION[$ CAPITAL],FINANCIACION[Fecha],"&lt;="&amp;FINANCIACION[[#This Row],[Fecha]],FINANCIACION[PRESTAMO],FINANCIACION[[#This Row],[PRESTAMO]])</f>
        <v>-70787902.990000024</v>
      </c>
      <c r="G874" s="11" t="s">
        <v>512</v>
      </c>
      <c r="H874" s="91"/>
      <c r="I874" s="7" t="b">
        <f>+IF(FINANCIACION[[#This Row],[$ CAPITAL]]&gt;0,FINANCIACION[[#This Row],[$ CAPITAL]])</f>
        <v>0</v>
      </c>
      <c r="J874" s="12">
        <f>+IF(FINANCIACION[[#This Row],[$ CAPITAL]]&gt;=0,FINANCIACION[[#This Row],[$ CAPITAL]]+FINANCIACION[[#This Row],[$ INTERESES]],0)</f>
        <v>0</v>
      </c>
    </row>
    <row r="875" spans="1:10" ht="24" hidden="1" customHeight="1" x14ac:dyDescent="0.25">
      <c r="A875" s="10">
        <v>44286</v>
      </c>
      <c r="B875" s="85" t="s">
        <v>723</v>
      </c>
      <c r="C875" s="7">
        <v>-4040471</v>
      </c>
      <c r="D875" s="7"/>
      <c r="E875" s="7" t="str">
        <f>+IF(FINANCIACION[[#This Row],[$ CAPITAL]]&gt;=0,FINANCIACION[[#This Row],[$ CAPITAL]]+FINANCIACION[[#This Row],[$ INTERESES]],"")</f>
        <v/>
      </c>
      <c r="F875" s="7">
        <f>+SUMIFS(FINANCIACION[$ CAPITAL],FINANCIACION[Fecha],"&lt;="&amp;FINANCIACION[[#This Row],[Fecha]],FINANCIACION[PRESTAMO],FINANCIACION[[#This Row],[PRESTAMO]])</f>
        <v>-70787902.990000024</v>
      </c>
      <c r="G875" s="11" t="s">
        <v>512</v>
      </c>
      <c r="H875" s="91"/>
      <c r="I875" s="7" t="b">
        <f>+IF(FINANCIACION[[#This Row],[$ CAPITAL]]&gt;0,FINANCIACION[[#This Row],[$ CAPITAL]])</f>
        <v>0</v>
      </c>
      <c r="J875" s="12">
        <f>+IF(FINANCIACION[[#This Row],[$ CAPITAL]]&gt;=0,FINANCIACION[[#This Row],[$ CAPITAL]]+FINANCIACION[[#This Row],[$ INTERESES]],0)</f>
        <v>0</v>
      </c>
    </row>
    <row r="876" spans="1:10" ht="24" hidden="1" customHeight="1" x14ac:dyDescent="0.25">
      <c r="A876" s="10">
        <v>44286</v>
      </c>
      <c r="B876" s="85" t="s">
        <v>723</v>
      </c>
      <c r="C876" s="7">
        <v>-218785.16999999806</v>
      </c>
      <c r="D876" s="7"/>
      <c r="E876" s="7" t="str">
        <f>+IF(FINANCIACION[[#This Row],[$ CAPITAL]]&gt;=0,FINANCIACION[[#This Row],[$ CAPITAL]]+FINANCIACION[[#This Row],[$ INTERESES]],"")</f>
        <v/>
      </c>
      <c r="F876" s="7">
        <f>+SUMIFS(FINANCIACION[$ CAPITAL],FINANCIACION[Fecha],"&lt;="&amp;FINANCIACION[[#This Row],[Fecha]],FINANCIACION[PRESTAMO],FINANCIACION[[#This Row],[PRESTAMO]])</f>
        <v>-70787902.990000024</v>
      </c>
      <c r="G876" s="11" t="s">
        <v>512</v>
      </c>
      <c r="H876" s="91"/>
      <c r="I876" s="7" t="b">
        <f>+IF(FINANCIACION[[#This Row],[$ CAPITAL]]&gt;0,FINANCIACION[[#This Row],[$ CAPITAL]])</f>
        <v>0</v>
      </c>
      <c r="J876" s="12">
        <f>+IF(FINANCIACION[[#This Row],[$ CAPITAL]]&gt;=0,FINANCIACION[[#This Row],[$ CAPITAL]]+FINANCIACION[[#This Row],[$ INTERESES]],0)</f>
        <v>0</v>
      </c>
    </row>
    <row r="877" spans="1:10" ht="24" hidden="1" customHeight="1" x14ac:dyDescent="0.25">
      <c r="A877" s="10">
        <v>44290</v>
      </c>
      <c r="B877" s="85" t="s">
        <v>723</v>
      </c>
      <c r="C877" s="7">
        <v>990094.53000000305</v>
      </c>
      <c r="D877" s="7">
        <f>1110164.11-FINANCIACION[[#This Row],[$ CAPITAL]]</f>
        <v>120069.57999999705</v>
      </c>
      <c r="E877" s="7">
        <f>+IF(FINANCIACION[[#This Row],[$ CAPITAL]]&gt;=0,FINANCIACION[[#This Row],[$ CAPITAL]]+FINANCIACION[[#This Row],[$ INTERESES]],"")</f>
        <v>1110164.1100000001</v>
      </c>
      <c r="F877" s="7">
        <f>+SUMIFS(FINANCIACION[$ CAPITAL],FINANCIACION[Fecha],"&lt;="&amp;FINANCIACION[[#This Row],[Fecha]],FINANCIACION[PRESTAMO],FINANCIACION[[#This Row],[PRESTAMO]])</f>
        <v>-69797808.460000023</v>
      </c>
      <c r="G877" s="11"/>
      <c r="H877" s="91"/>
      <c r="I877" s="7">
        <f>+IF(FINANCIACION[[#This Row],[$ CAPITAL]]&gt;0,FINANCIACION[[#This Row],[$ CAPITAL]])</f>
        <v>990094.53000000305</v>
      </c>
      <c r="J877" s="12">
        <f>+IF(FINANCIACION[[#This Row],[$ CAPITAL]]&gt;=0,FINANCIACION[[#This Row],[$ CAPITAL]]+FINANCIACION[[#This Row],[$ INTERESES]],0)</f>
        <v>1110164.1100000001</v>
      </c>
    </row>
    <row r="878" spans="1:10" ht="24" hidden="1" customHeight="1" x14ac:dyDescent="0.25">
      <c r="A878" s="10">
        <v>44299</v>
      </c>
      <c r="B878" s="85" t="s">
        <v>723</v>
      </c>
      <c r="C878" s="7">
        <v>13152852</v>
      </c>
      <c r="D878" s="7"/>
      <c r="E878" s="7">
        <f>+IF(FINANCIACION[[#This Row],[$ CAPITAL]]&gt;=0,FINANCIACION[[#This Row],[$ CAPITAL]]+FINANCIACION[[#This Row],[$ INTERESES]],"")</f>
        <v>13152852</v>
      </c>
      <c r="F878" s="7">
        <f>+SUMIFS(FINANCIACION[$ CAPITAL],FINANCIACION[Fecha],"&lt;="&amp;FINANCIACION[[#This Row],[Fecha]],FINANCIACION[PRESTAMO],FINANCIACION[[#This Row],[PRESTAMO]])</f>
        <v>-56644956.460000023</v>
      </c>
      <c r="G878" s="11"/>
      <c r="H878" s="91"/>
      <c r="I878" s="7">
        <f>+IF(FINANCIACION[[#This Row],[$ CAPITAL]]&gt;0,FINANCIACION[[#This Row],[$ CAPITAL]])</f>
        <v>13152852</v>
      </c>
      <c r="J878" s="12">
        <f>+IF(FINANCIACION[[#This Row],[$ CAPITAL]]&gt;=0,FINANCIACION[[#This Row],[$ CAPITAL]]+FINANCIACION[[#This Row],[$ INTERESES]],0)</f>
        <v>13152852</v>
      </c>
    </row>
    <row r="879" spans="1:10" ht="24" hidden="1" customHeight="1" x14ac:dyDescent="0.25">
      <c r="A879" s="10">
        <v>44301</v>
      </c>
      <c r="B879" s="85" t="s">
        <v>723</v>
      </c>
      <c r="C879" s="7">
        <v>4904459</v>
      </c>
      <c r="D879" s="7"/>
      <c r="E879" s="7">
        <f>+IF(FINANCIACION[[#This Row],[$ CAPITAL]]&gt;=0,FINANCIACION[[#This Row],[$ CAPITAL]]+FINANCIACION[[#This Row],[$ INTERESES]],"")</f>
        <v>4904459</v>
      </c>
      <c r="F879" s="7">
        <f>+SUMIFS(FINANCIACION[$ CAPITAL],FINANCIACION[Fecha],"&lt;="&amp;FINANCIACION[[#This Row],[Fecha]],FINANCIACION[PRESTAMO],FINANCIACION[[#This Row],[PRESTAMO]])</f>
        <v>-51740497.460000023</v>
      </c>
      <c r="G879" s="11"/>
      <c r="H879" s="91"/>
      <c r="I879" s="7">
        <f>+IF(FINANCIACION[[#This Row],[$ CAPITAL]]&gt;0,FINANCIACION[[#This Row],[$ CAPITAL]])</f>
        <v>4904459</v>
      </c>
      <c r="J879" s="12">
        <f>+IF(FINANCIACION[[#This Row],[$ CAPITAL]]&gt;=0,FINANCIACION[[#This Row],[$ CAPITAL]]+FINANCIACION[[#This Row],[$ INTERESES]],0)</f>
        <v>4904459</v>
      </c>
    </row>
    <row r="880" spans="1:10" ht="24" hidden="1" customHeight="1" x14ac:dyDescent="0.25">
      <c r="A880" s="10">
        <v>44312</v>
      </c>
      <c r="B880" s="85" t="s">
        <v>723</v>
      </c>
      <c r="C880" s="7">
        <v>200700</v>
      </c>
      <c r="D880" s="7"/>
      <c r="E880" s="7">
        <f>+IF(FINANCIACION[[#This Row],[$ CAPITAL]]&gt;=0,FINANCIACION[[#This Row],[$ CAPITAL]]+FINANCIACION[[#This Row],[$ INTERESES]],"")</f>
        <v>200700</v>
      </c>
      <c r="F880" s="7">
        <f>+SUMIFS(FINANCIACION[$ CAPITAL],FINANCIACION[Fecha],"&lt;="&amp;FINANCIACION[[#This Row],[Fecha]],FINANCIACION[PRESTAMO],FINANCIACION[[#This Row],[PRESTAMO]])</f>
        <v>-51539797.460000023</v>
      </c>
      <c r="G880" s="11"/>
      <c r="H880" s="91"/>
      <c r="I880" s="7">
        <f>+IF(FINANCIACION[[#This Row],[$ CAPITAL]]&gt;0,FINANCIACION[[#This Row],[$ CAPITAL]])</f>
        <v>200700</v>
      </c>
      <c r="J880" s="12">
        <f>+IF(FINANCIACION[[#This Row],[$ CAPITAL]]&gt;=0,FINANCIACION[[#This Row],[$ CAPITAL]]+FINANCIACION[[#This Row],[$ INTERESES]],0)</f>
        <v>200700</v>
      </c>
    </row>
    <row r="881" spans="1:10" ht="24" hidden="1" customHeight="1" x14ac:dyDescent="0.25">
      <c r="A881" s="10">
        <v>44315</v>
      </c>
      <c r="B881" s="85" t="s">
        <v>723</v>
      </c>
      <c r="C881" s="7">
        <f>438*3699.74</f>
        <v>1620486.1199999999</v>
      </c>
      <c r="D881" s="7"/>
      <c r="E881" s="7">
        <f>+IF(FINANCIACION[[#This Row],[$ CAPITAL]]&gt;=0,FINANCIACION[[#This Row],[$ CAPITAL]]+FINANCIACION[[#This Row],[$ INTERESES]],"")</f>
        <v>1620486.1199999999</v>
      </c>
      <c r="F881" s="7">
        <f>+SUMIFS(FINANCIACION[$ CAPITAL],FINANCIACION[Fecha],"&lt;="&amp;FINANCIACION[[#This Row],[Fecha]],FINANCIACION[PRESTAMO],FINANCIACION[[#This Row],[PRESTAMO]])</f>
        <v>-49919311.340000026</v>
      </c>
      <c r="G881" s="11"/>
      <c r="H881" s="91"/>
      <c r="I881" s="7">
        <f>+IF(FINANCIACION[[#This Row],[$ CAPITAL]]&gt;0,FINANCIACION[[#This Row],[$ CAPITAL]])</f>
        <v>1620486.1199999999</v>
      </c>
      <c r="J881" s="12">
        <f>+IF(FINANCIACION[[#This Row],[$ CAPITAL]]&gt;=0,FINANCIACION[[#This Row],[$ CAPITAL]]+FINANCIACION[[#This Row],[$ INTERESES]],0)</f>
        <v>1620486.1199999999</v>
      </c>
    </row>
    <row r="882" spans="1:10" ht="24" hidden="1" customHeight="1" x14ac:dyDescent="0.25">
      <c r="A882" s="10">
        <v>44316</v>
      </c>
      <c r="B882" s="85" t="s">
        <v>723</v>
      </c>
      <c r="C882" s="7">
        <v>1096187</v>
      </c>
      <c r="D882" s="7"/>
      <c r="E882" s="7">
        <f>+IF(FINANCIACION[[#This Row],[$ CAPITAL]]&gt;=0,FINANCIACION[[#This Row],[$ CAPITAL]]+FINANCIACION[[#This Row],[$ INTERESES]],"")</f>
        <v>1096187</v>
      </c>
      <c r="F882" s="7">
        <f>+SUMIFS(FINANCIACION[$ CAPITAL],FINANCIACION[Fecha],"&lt;="&amp;FINANCIACION[[#This Row],[Fecha]],FINANCIACION[PRESTAMO],FINANCIACION[[#This Row],[PRESTAMO]])</f>
        <v>-71741402.340000033</v>
      </c>
      <c r="G882" s="11" t="s">
        <v>512</v>
      </c>
      <c r="H882" s="91"/>
      <c r="I882" s="7">
        <f>+IF(FINANCIACION[[#This Row],[$ CAPITAL]]&gt;0,FINANCIACION[[#This Row],[$ CAPITAL]])</f>
        <v>1096187</v>
      </c>
      <c r="J882" s="12">
        <f>+IF(FINANCIACION[[#This Row],[$ CAPITAL]]&gt;=0,FINANCIACION[[#This Row],[$ CAPITAL]]+FINANCIACION[[#This Row],[$ INTERESES]],0)</f>
        <v>1096187</v>
      </c>
    </row>
    <row r="883" spans="1:10" ht="24" hidden="1" customHeight="1" x14ac:dyDescent="0.25">
      <c r="A883" s="10">
        <v>44316</v>
      </c>
      <c r="B883" s="85" t="s">
        <v>723</v>
      </c>
      <c r="C883" s="7">
        <v>-22691238.119999997</v>
      </c>
      <c r="D883" s="7"/>
      <c r="E883" s="7" t="str">
        <f>+IF(FINANCIACION[[#This Row],[$ CAPITAL]]&gt;=0,FINANCIACION[[#This Row],[$ CAPITAL]]+FINANCIACION[[#This Row],[$ INTERESES]],"")</f>
        <v/>
      </c>
      <c r="F883" s="7">
        <f>+SUMIFS(FINANCIACION[$ CAPITAL],FINANCIACION[Fecha],"&lt;="&amp;FINANCIACION[[#This Row],[Fecha]],FINANCIACION[PRESTAMO],FINANCIACION[[#This Row],[PRESTAMO]])</f>
        <v>-71741402.340000033</v>
      </c>
      <c r="G883" s="11" t="s">
        <v>512</v>
      </c>
      <c r="H883" s="91"/>
      <c r="I883" s="7" t="b">
        <f>+IF(FINANCIACION[[#This Row],[$ CAPITAL]]&gt;0,FINANCIACION[[#This Row],[$ CAPITAL]])</f>
        <v>0</v>
      </c>
      <c r="J883" s="12">
        <f>+IF(FINANCIACION[[#This Row],[$ CAPITAL]]&gt;=0,FINANCIACION[[#This Row],[$ CAPITAL]]+FINANCIACION[[#This Row],[$ INTERESES]],0)</f>
        <v>0</v>
      </c>
    </row>
    <row r="884" spans="1:10" ht="24" hidden="1" customHeight="1" x14ac:dyDescent="0.25">
      <c r="A884" s="10">
        <v>44316</v>
      </c>
      <c r="B884" s="85" t="s">
        <v>723</v>
      </c>
      <c r="C884" s="7">
        <v>-18535</v>
      </c>
      <c r="D884" s="7"/>
      <c r="E884" s="7" t="str">
        <f>+IF(FINANCIACION[[#This Row],[$ CAPITAL]]&gt;=0,FINANCIACION[[#This Row],[$ CAPITAL]]+FINANCIACION[[#This Row],[$ INTERESES]],"")</f>
        <v/>
      </c>
      <c r="F884" s="7">
        <f>+SUMIFS(FINANCIACION[$ CAPITAL],FINANCIACION[Fecha],"&lt;="&amp;FINANCIACION[[#This Row],[Fecha]],FINANCIACION[PRESTAMO],FINANCIACION[[#This Row],[PRESTAMO]])</f>
        <v>-71741402.340000033</v>
      </c>
      <c r="G884" s="11" t="s">
        <v>512</v>
      </c>
      <c r="H884" s="91"/>
      <c r="I884" s="7" t="b">
        <f>+IF(FINANCIACION[[#This Row],[$ CAPITAL]]&gt;0,FINANCIACION[[#This Row],[$ CAPITAL]])</f>
        <v>0</v>
      </c>
      <c r="J884" s="12">
        <f>+IF(FINANCIACION[[#This Row],[$ CAPITAL]]&gt;=0,FINANCIACION[[#This Row],[$ CAPITAL]]+FINANCIACION[[#This Row],[$ INTERESES]],0)</f>
        <v>0</v>
      </c>
    </row>
    <row r="885" spans="1:10" ht="24" hidden="1" customHeight="1" x14ac:dyDescent="0.25">
      <c r="A885" s="10">
        <v>44316</v>
      </c>
      <c r="B885" s="85" t="s">
        <v>723</v>
      </c>
      <c r="C885" s="7">
        <v>-208504.88000000268</v>
      </c>
      <c r="D885" s="7"/>
      <c r="E885" s="7" t="str">
        <f>+IF(FINANCIACION[[#This Row],[$ CAPITAL]]&gt;=0,FINANCIACION[[#This Row],[$ CAPITAL]]+FINANCIACION[[#This Row],[$ INTERESES]],"")</f>
        <v/>
      </c>
      <c r="F885" s="7">
        <f>+SUMIFS(FINANCIACION[$ CAPITAL],FINANCIACION[Fecha],"&lt;="&amp;FINANCIACION[[#This Row],[Fecha]],FINANCIACION[PRESTAMO],FINANCIACION[[#This Row],[PRESTAMO]])</f>
        <v>-71741402.340000033</v>
      </c>
      <c r="G885" s="11" t="s">
        <v>512</v>
      </c>
      <c r="H885" s="91"/>
      <c r="I885" s="7" t="b">
        <f>+IF(FINANCIACION[[#This Row],[$ CAPITAL]]&gt;0,FINANCIACION[[#This Row],[$ CAPITAL]])</f>
        <v>0</v>
      </c>
      <c r="J885" s="12">
        <f>+IF(FINANCIACION[[#This Row],[$ CAPITAL]]&gt;=0,FINANCIACION[[#This Row],[$ CAPITAL]]+FINANCIACION[[#This Row],[$ INTERESES]],0)</f>
        <v>0</v>
      </c>
    </row>
    <row r="886" spans="1:10" ht="24" hidden="1" customHeight="1" x14ac:dyDescent="0.25">
      <c r="A886" s="10">
        <v>44320</v>
      </c>
      <c r="B886" s="85" t="s">
        <v>723</v>
      </c>
      <c r="C886" s="7">
        <v>990094.53000000305</v>
      </c>
      <c r="D886" s="7">
        <f>1097753.18-FINANCIACION[[#This Row],[$ CAPITAL]]</f>
        <v>107658.64999999688</v>
      </c>
      <c r="E886" s="7">
        <f>+IF(FINANCIACION[[#This Row],[$ CAPITAL]]&gt;=0,FINANCIACION[[#This Row],[$ CAPITAL]]+FINANCIACION[[#This Row],[$ INTERESES]],"")</f>
        <v>1097753.18</v>
      </c>
      <c r="F886" s="7">
        <f>+SUMIFS(FINANCIACION[$ CAPITAL],FINANCIACION[Fecha],"&lt;="&amp;FINANCIACION[[#This Row],[Fecha]],FINANCIACION[PRESTAMO],FINANCIACION[[#This Row],[PRESTAMO]])</f>
        <v>-69229307.810000032</v>
      </c>
      <c r="G886" s="11"/>
      <c r="H886" s="91"/>
      <c r="I886" s="7">
        <f>+IF(FINANCIACION[[#This Row],[$ CAPITAL]]&gt;0,FINANCIACION[[#This Row],[$ CAPITAL]])</f>
        <v>990094.53000000305</v>
      </c>
      <c r="J886" s="12">
        <f>+IF(FINANCIACION[[#This Row],[$ CAPITAL]]&gt;=0,FINANCIACION[[#This Row],[$ CAPITAL]]+FINANCIACION[[#This Row],[$ INTERESES]],0)</f>
        <v>1097753.18</v>
      </c>
    </row>
    <row r="887" spans="1:10" ht="24" hidden="1" customHeight="1" x14ac:dyDescent="0.25">
      <c r="A887" s="10">
        <v>44320</v>
      </c>
      <c r="B887" s="85" t="s">
        <v>723</v>
      </c>
      <c r="C887" s="7">
        <v>1522000</v>
      </c>
      <c r="D887" s="7"/>
      <c r="E887" s="7">
        <f>+IF(FINANCIACION[[#This Row],[$ CAPITAL]]&gt;=0,FINANCIACION[[#This Row],[$ CAPITAL]]+FINANCIACION[[#This Row],[$ INTERESES]],"")</f>
        <v>1522000</v>
      </c>
      <c r="F887" s="7">
        <f>+SUMIFS(FINANCIACION[$ CAPITAL],FINANCIACION[Fecha],"&lt;="&amp;FINANCIACION[[#This Row],[Fecha]],FINANCIACION[PRESTAMO],FINANCIACION[[#This Row],[PRESTAMO]])</f>
        <v>-69229307.810000032</v>
      </c>
      <c r="G887" s="11"/>
      <c r="H887" s="91"/>
      <c r="I887" s="7">
        <f>+IF(FINANCIACION[[#This Row],[$ CAPITAL]]&gt;0,FINANCIACION[[#This Row],[$ CAPITAL]])</f>
        <v>1522000</v>
      </c>
      <c r="J887" s="12">
        <f>+IF(FINANCIACION[[#This Row],[$ CAPITAL]]&gt;=0,FINANCIACION[[#This Row],[$ CAPITAL]]+FINANCIACION[[#This Row],[$ INTERESES]],0)</f>
        <v>1522000</v>
      </c>
    </row>
    <row r="888" spans="1:10" ht="24" hidden="1" customHeight="1" x14ac:dyDescent="0.25">
      <c r="A888" s="10">
        <v>44328</v>
      </c>
      <c r="B888" s="85" t="s">
        <v>723</v>
      </c>
      <c r="C888" s="7">
        <f>3703.2*2000</f>
        <v>7406400</v>
      </c>
      <c r="D888" s="7"/>
      <c r="E888" s="7">
        <f>+IF(FINANCIACION[[#This Row],[$ CAPITAL]]&gt;=0,FINANCIACION[[#This Row],[$ CAPITAL]]+FINANCIACION[[#This Row],[$ INTERESES]],"")</f>
        <v>7406400</v>
      </c>
      <c r="F888" s="7">
        <f>+SUMIFS(FINANCIACION[$ CAPITAL],FINANCIACION[Fecha],"&lt;="&amp;FINANCIACION[[#This Row],[Fecha]],FINANCIACION[PRESTAMO],FINANCIACION[[#This Row],[PRESTAMO]])</f>
        <v>-58119707.810000032</v>
      </c>
      <c r="G888" s="11"/>
      <c r="H888" s="91"/>
      <c r="I888" s="7">
        <f>+IF(FINANCIACION[[#This Row],[$ CAPITAL]]&gt;0,FINANCIACION[[#This Row],[$ CAPITAL]])</f>
        <v>7406400</v>
      </c>
      <c r="J888" s="12">
        <f>+IF(FINANCIACION[[#This Row],[$ CAPITAL]]&gt;=0,FINANCIACION[[#This Row],[$ CAPITAL]]+FINANCIACION[[#This Row],[$ INTERESES]],0)</f>
        <v>7406400</v>
      </c>
    </row>
    <row r="889" spans="1:10" ht="24" hidden="1" customHeight="1" x14ac:dyDescent="0.25">
      <c r="A889" s="10">
        <v>44328</v>
      </c>
      <c r="B889" s="85" t="s">
        <v>723</v>
      </c>
      <c r="C889" s="7">
        <f>3703.2*1000</f>
        <v>3703200</v>
      </c>
      <c r="D889" s="7"/>
      <c r="E889" s="7">
        <f>+IF(FINANCIACION[[#This Row],[$ CAPITAL]]&gt;=0,FINANCIACION[[#This Row],[$ CAPITAL]]+FINANCIACION[[#This Row],[$ INTERESES]],"")</f>
        <v>3703200</v>
      </c>
      <c r="F889" s="7">
        <f>+SUMIFS(FINANCIACION[$ CAPITAL],FINANCIACION[Fecha],"&lt;="&amp;FINANCIACION[[#This Row],[Fecha]],FINANCIACION[PRESTAMO],FINANCIACION[[#This Row],[PRESTAMO]])</f>
        <v>-58119707.810000032</v>
      </c>
      <c r="G889" s="11"/>
      <c r="H889" s="91"/>
      <c r="I889" s="7">
        <f>+IF(FINANCIACION[[#This Row],[$ CAPITAL]]&gt;0,FINANCIACION[[#This Row],[$ CAPITAL]])</f>
        <v>3703200</v>
      </c>
      <c r="J889" s="12">
        <f>+IF(FINANCIACION[[#This Row],[$ CAPITAL]]&gt;=0,FINANCIACION[[#This Row],[$ CAPITAL]]+FINANCIACION[[#This Row],[$ INTERESES]],0)</f>
        <v>3703200</v>
      </c>
    </row>
    <row r="890" spans="1:10" ht="24" hidden="1" customHeight="1" x14ac:dyDescent="0.25">
      <c r="A890" s="10">
        <v>44330</v>
      </c>
      <c r="B890" s="85" t="s">
        <v>723</v>
      </c>
      <c r="C890" s="7">
        <v>-35000000</v>
      </c>
      <c r="D890" s="7">
        <v>955808</v>
      </c>
      <c r="E890" s="7" t="str">
        <f>+IF(FINANCIACION[[#This Row],[$ CAPITAL]]&gt;=0,FINANCIACION[[#This Row],[$ CAPITAL]]+FINANCIACION[[#This Row],[$ INTERESES]],"")</f>
        <v/>
      </c>
      <c r="F890" s="7">
        <f>+SUMIFS(FINANCIACION[$ CAPITAL],FINANCIACION[Fecha],"&lt;="&amp;FINANCIACION[[#This Row],[Fecha]],FINANCIACION[PRESTAMO],FINANCIACION[[#This Row],[PRESTAMO]])</f>
        <v>-93119707.810000032</v>
      </c>
      <c r="G890" s="11"/>
      <c r="H890" s="91"/>
      <c r="I890" s="7" t="b">
        <f>+IF(FINANCIACION[[#This Row],[$ CAPITAL]]&gt;0,FINANCIACION[[#This Row],[$ CAPITAL]])</f>
        <v>0</v>
      </c>
      <c r="J890" s="12">
        <f>+IF(FINANCIACION[[#This Row],[$ CAPITAL]]&gt;=0,FINANCIACION[[#This Row],[$ CAPITAL]]+FINANCIACION[[#This Row],[$ INTERESES]],0)</f>
        <v>0</v>
      </c>
    </row>
    <row r="891" spans="1:10" ht="24" hidden="1" customHeight="1" x14ac:dyDescent="0.25">
      <c r="A891" s="10">
        <v>44334</v>
      </c>
      <c r="B891" s="85" t="s">
        <v>723</v>
      </c>
      <c r="C891" s="7">
        <v>8131031.1399999913</v>
      </c>
      <c r="D891" s="7">
        <v>12434.860000008717</v>
      </c>
      <c r="E891" s="7">
        <f>+IF(FINANCIACION[[#This Row],[$ CAPITAL]]&gt;=0,FINANCIACION[[#This Row],[$ CAPITAL]]+FINANCIACION[[#This Row],[$ INTERESES]],"")</f>
        <v>8143466</v>
      </c>
      <c r="F891" s="7">
        <f>+SUMIFS(FINANCIACION[$ CAPITAL],FINANCIACION[Fecha],"&lt;="&amp;FINANCIACION[[#This Row],[Fecha]],FINANCIACION[PRESTAMO],FINANCIACION[[#This Row],[PRESTAMO]])</f>
        <v>-84464929.670000046</v>
      </c>
      <c r="G891" s="11"/>
      <c r="H891" s="91"/>
      <c r="I891" s="7">
        <f>+IF(FINANCIACION[[#This Row],[$ CAPITAL]]&gt;0,FINANCIACION[[#This Row],[$ CAPITAL]])</f>
        <v>8131031.1399999913</v>
      </c>
      <c r="J891" s="12">
        <f>+IF(FINANCIACION[[#This Row],[$ CAPITAL]]&gt;=0,FINANCIACION[[#This Row],[$ CAPITAL]]+FINANCIACION[[#This Row],[$ INTERESES]],0)</f>
        <v>8143466</v>
      </c>
    </row>
    <row r="892" spans="1:10" ht="24" hidden="1" customHeight="1" x14ac:dyDescent="0.25">
      <c r="A892" s="10">
        <v>44334</v>
      </c>
      <c r="B892" s="85" t="s">
        <v>723</v>
      </c>
      <c r="C892" s="7">
        <v>523747</v>
      </c>
      <c r="D892" s="7"/>
      <c r="E892" s="7">
        <f>+IF(FINANCIACION[[#This Row],[$ CAPITAL]]&gt;=0,FINANCIACION[[#This Row],[$ CAPITAL]]+FINANCIACION[[#This Row],[$ INTERESES]],"")</f>
        <v>523747</v>
      </c>
      <c r="F892" s="7">
        <f>+SUMIFS(FINANCIACION[$ CAPITAL],FINANCIACION[Fecha],"&lt;="&amp;FINANCIACION[[#This Row],[Fecha]],FINANCIACION[PRESTAMO],FINANCIACION[[#This Row],[PRESTAMO]])</f>
        <v>-84464929.670000046</v>
      </c>
      <c r="G892" s="11"/>
      <c r="H892" s="91"/>
      <c r="I892" s="7">
        <f>+IF(FINANCIACION[[#This Row],[$ CAPITAL]]&gt;0,FINANCIACION[[#This Row],[$ CAPITAL]])</f>
        <v>523747</v>
      </c>
      <c r="J892" s="12">
        <f>+IF(FINANCIACION[[#This Row],[$ CAPITAL]]&gt;=0,FINANCIACION[[#This Row],[$ CAPITAL]]+FINANCIACION[[#This Row],[$ INTERESES]],0)</f>
        <v>523747</v>
      </c>
    </row>
    <row r="893" spans="1:10" ht="24" hidden="1" customHeight="1" x14ac:dyDescent="0.25">
      <c r="A893" s="10">
        <v>44340</v>
      </c>
      <c r="B893" s="85" t="s">
        <v>723</v>
      </c>
      <c r="C893" s="7">
        <v>1251291.4899999984</v>
      </c>
      <c r="D893" s="7">
        <v>5708.5100000016391</v>
      </c>
      <c r="E893" s="7">
        <f>+IF(FINANCIACION[[#This Row],[$ CAPITAL]]&gt;=0,FINANCIACION[[#This Row],[$ CAPITAL]]+FINANCIACION[[#This Row],[$ INTERESES]],"")</f>
        <v>1257000</v>
      </c>
      <c r="F893" s="7">
        <f>+SUMIFS(FINANCIACION[$ CAPITAL],FINANCIACION[Fecha],"&lt;="&amp;FINANCIACION[[#This Row],[Fecha]],FINANCIACION[PRESTAMO],FINANCIACION[[#This Row],[PRESTAMO]])</f>
        <v>-74228675.440000057</v>
      </c>
      <c r="G893" s="11"/>
      <c r="H893" s="91"/>
      <c r="I893" s="7">
        <f>+IF(FINANCIACION[[#This Row],[$ CAPITAL]]&gt;0,FINANCIACION[[#This Row],[$ CAPITAL]])</f>
        <v>1251291.4899999984</v>
      </c>
      <c r="J893" s="12">
        <f>+IF(FINANCIACION[[#This Row],[$ CAPITAL]]&gt;=0,FINANCIACION[[#This Row],[$ CAPITAL]]+FINANCIACION[[#This Row],[$ INTERESES]],0)</f>
        <v>1257000</v>
      </c>
    </row>
    <row r="894" spans="1:10" ht="24" hidden="1" customHeight="1" x14ac:dyDescent="0.25">
      <c r="A894" s="10">
        <v>44340</v>
      </c>
      <c r="B894" s="85" t="s">
        <v>723</v>
      </c>
      <c r="C894" s="7">
        <f>2000*3738.19</f>
        <v>7476380</v>
      </c>
      <c r="D894" s="7"/>
      <c r="E894" s="7">
        <f>+IF(FINANCIACION[[#This Row],[$ CAPITAL]]&gt;=0,FINANCIACION[[#This Row],[$ CAPITAL]]+FINANCIACION[[#This Row],[$ INTERESES]],"")</f>
        <v>7476380</v>
      </c>
      <c r="F894" s="7">
        <f>+SUMIFS(FINANCIACION[$ CAPITAL],FINANCIACION[Fecha],"&lt;="&amp;FINANCIACION[[#This Row],[Fecha]],FINANCIACION[PRESTAMO],FINANCIACION[[#This Row],[PRESTAMO]])</f>
        <v>-74228675.440000057</v>
      </c>
      <c r="G894" s="11"/>
      <c r="H894" s="91"/>
      <c r="I894" s="7">
        <f>+IF(FINANCIACION[[#This Row],[$ CAPITAL]]&gt;0,FINANCIACION[[#This Row],[$ CAPITAL]])</f>
        <v>7476380</v>
      </c>
      <c r="J894" s="12">
        <f>+IF(FINANCIACION[[#This Row],[$ CAPITAL]]&gt;=0,FINANCIACION[[#This Row],[$ CAPITAL]]+FINANCIACION[[#This Row],[$ INTERESES]],0)</f>
        <v>7476380</v>
      </c>
    </row>
    <row r="895" spans="1:10" ht="24" hidden="1" customHeight="1" x14ac:dyDescent="0.25">
      <c r="A895" s="10">
        <v>44340</v>
      </c>
      <c r="B895" s="85" t="s">
        <v>723</v>
      </c>
      <c r="C895" s="7">
        <v>1508582.7400000021</v>
      </c>
      <c r="D895" s="7">
        <v>6417.2599999979138</v>
      </c>
      <c r="E895" s="7">
        <f>+IF(FINANCIACION[[#This Row],[$ CAPITAL]]&gt;=0,FINANCIACION[[#This Row],[$ CAPITAL]]+FINANCIACION[[#This Row],[$ INTERESES]],"")</f>
        <v>1515000</v>
      </c>
      <c r="F895" s="7">
        <f>+SUMIFS(FINANCIACION[$ CAPITAL],FINANCIACION[Fecha],"&lt;="&amp;FINANCIACION[[#This Row],[Fecha]],FINANCIACION[PRESTAMO],FINANCIACION[[#This Row],[PRESTAMO]])</f>
        <v>-74228675.440000057</v>
      </c>
      <c r="G895" s="11"/>
      <c r="H895" s="91"/>
      <c r="I895" s="7">
        <f>+IF(FINANCIACION[[#This Row],[$ CAPITAL]]&gt;0,FINANCIACION[[#This Row],[$ CAPITAL]])</f>
        <v>1508582.7400000021</v>
      </c>
      <c r="J895" s="12">
        <f>+IF(FINANCIACION[[#This Row],[$ CAPITAL]]&gt;=0,FINANCIACION[[#This Row],[$ CAPITAL]]+FINANCIACION[[#This Row],[$ INTERESES]],0)</f>
        <v>1515000</v>
      </c>
    </row>
    <row r="896" spans="1:10" ht="24" hidden="1" customHeight="1" x14ac:dyDescent="0.25">
      <c r="A896" s="10">
        <v>44341</v>
      </c>
      <c r="B896" s="85" t="s">
        <v>723</v>
      </c>
      <c r="C896" s="7"/>
      <c r="D896" s="7">
        <v>120000</v>
      </c>
      <c r="E896" s="7">
        <f>+IF(FINANCIACION[[#This Row],[$ CAPITAL]]&gt;=0,FINANCIACION[[#This Row],[$ CAPITAL]]+FINANCIACION[[#This Row],[$ INTERESES]],"")</f>
        <v>120000</v>
      </c>
      <c r="F896" s="7">
        <f>+SUMIFS(FINANCIACION[$ CAPITAL],FINANCIACION[Fecha],"&lt;="&amp;FINANCIACION[[#This Row],[Fecha]],FINANCIACION[PRESTAMO],FINANCIACION[[#This Row],[PRESTAMO]])</f>
        <v>-73770460.701400056</v>
      </c>
      <c r="G896" s="91"/>
      <c r="H896" s="11"/>
      <c r="I896" s="7" t="b">
        <f>+IF(FINANCIACION[[#This Row],[$ CAPITAL]]&gt;0,FINANCIACION[[#This Row],[$ CAPITAL]])</f>
        <v>0</v>
      </c>
      <c r="J896" s="49">
        <f>+IF(FINANCIACION[[#This Row],[$ CAPITAL]]&gt;=0,FINANCIACION[[#This Row],[$ CAPITAL]]+FINANCIACION[[#This Row],[$ INTERESES]],0)</f>
        <v>120000</v>
      </c>
    </row>
    <row r="897" spans="1:10" ht="24" hidden="1" customHeight="1" x14ac:dyDescent="0.25">
      <c r="A897" s="10">
        <v>44341</v>
      </c>
      <c r="B897" s="85" t="s">
        <v>723</v>
      </c>
      <c r="C897" s="7"/>
      <c r="D897" s="7">
        <v>220000</v>
      </c>
      <c r="E897" s="7">
        <f>+IF(FINANCIACION[[#This Row],[$ CAPITAL]]&gt;=0,FINANCIACION[[#This Row],[$ CAPITAL]]+FINANCIACION[[#This Row],[$ INTERESES]],"")</f>
        <v>220000</v>
      </c>
      <c r="F897" s="7">
        <f>+SUMIFS(FINANCIACION[$ CAPITAL],FINANCIACION[Fecha],"&lt;="&amp;FINANCIACION[[#This Row],[Fecha]],FINANCIACION[PRESTAMO],FINANCIACION[[#This Row],[PRESTAMO]])</f>
        <v>-73770460.701400056</v>
      </c>
      <c r="G897" s="91"/>
      <c r="H897" s="11"/>
      <c r="I897" s="7" t="b">
        <f>+IF(FINANCIACION[[#This Row],[$ CAPITAL]]&gt;0,FINANCIACION[[#This Row],[$ CAPITAL]])</f>
        <v>0</v>
      </c>
      <c r="J897" s="49">
        <f>+IF(FINANCIACION[[#This Row],[$ CAPITAL]]&gt;=0,FINANCIACION[[#This Row],[$ CAPITAL]]+FINANCIACION[[#This Row],[$ INTERESES]],0)</f>
        <v>220000</v>
      </c>
    </row>
    <row r="898" spans="1:10" ht="24" hidden="1" customHeight="1" x14ac:dyDescent="0.25">
      <c r="A898" s="10">
        <v>44341</v>
      </c>
      <c r="B898" s="85" t="s">
        <v>723</v>
      </c>
      <c r="C898" s="7">
        <f>1200000-FINANCIACION[[#This Row],[$ INTERESES]]</f>
        <v>458214.73859999992</v>
      </c>
      <c r="D898" s="7">
        <f>74178526.14*0.01</f>
        <v>741785.26140000008</v>
      </c>
      <c r="E898" s="7">
        <f>+IF(FINANCIACION[[#This Row],[$ CAPITAL]]&gt;=0,FINANCIACION[[#This Row],[$ CAPITAL]]+FINANCIACION[[#This Row],[$ INTERESES]],"")</f>
        <v>1200000</v>
      </c>
      <c r="F898" s="7">
        <f>+SUMIFS(FINANCIACION[$ CAPITAL],FINANCIACION[Fecha],"&lt;="&amp;FINANCIACION[[#This Row],[Fecha]],FINANCIACION[PRESTAMO],FINANCIACION[[#This Row],[PRESTAMO]])</f>
        <v>-73770460.701400056</v>
      </c>
      <c r="G898" s="91"/>
      <c r="H898" s="11"/>
      <c r="I898" s="7">
        <f>+IF(FINANCIACION[[#This Row],[$ CAPITAL]]&gt;0,FINANCIACION[[#This Row],[$ CAPITAL]])</f>
        <v>458214.73859999992</v>
      </c>
      <c r="J898" s="49">
        <f>+IF(FINANCIACION[[#This Row],[$ CAPITAL]]&gt;=0,FINANCIACION[[#This Row],[$ CAPITAL]]+FINANCIACION[[#This Row],[$ INTERESES]],0)</f>
        <v>1200000</v>
      </c>
    </row>
    <row r="899" spans="1:10" ht="24" hidden="1" customHeight="1" x14ac:dyDescent="0.25">
      <c r="A899" s="10">
        <v>44343</v>
      </c>
      <c r="B899" s="85" t="s">
        <v>723</v>
      </c>
      <c r="C899" s="7">
        <v>1000000</v>
      </c>
      <c r="D899" s="7"/>
      <c r="E899" s="7">
        <f>+IF(FINANCIACION[[#This Row],[$ CAPITAL]]&gt;=0,FINANCIACION[[#This Row],[$ CAPITAL]]+FINANCIACION[[#This Row],[$ INTERESES]],"")</f>
        <v>1000000</v>
      </c>
      <c r="F899" s="7">
        <f>+SUMIFS(FINANCIACION[$ CAPITAL],FINANCIACION[Fecha],"&lt;="&amp;FINANCIACION[[#This Row],[Fecha]],FINANCIACION[PRESTAMO],FINANCIACION[[#This Row],[PRESTAMO]])</f>
        <v>-72770460.701400056</v>
      </c>
      <c r="G899" s="91"/>
      <c r="H899" s="11"/>
      <c r="I899" s="7">
        <f>+IF(FINANCIACION[[#This Row],[$ CAPITAL]]&gt;0,FINANCIACION[[#This Row],[$ CAPITAL]])</f>
        <v>1000000</v>
      </c>
      <c r="J899" s="49">
        <f>+IF(FINANCIACION[[#This Row],[$ CAPITAL]]&gt;=0,FINANCIACION[[#This Row],[$ CAPITAL]]+FINANCIACION[[#This Row],[$ INTERESES]],0)</f>
        <v>1000000</v>
      </c>
    </row>
    <row r="900" spans="1:10" ht="24" hidden="1" customHeight="1" x14ac:dyDescent="0.25">
      <c r="A900" s="10">
        <v>44344</v>
      </c>
      <c r="B900" s="85" t="s">
        <v>723</v>
      </c>
      <c r="C900" s="7">
        <f>1300000-FINANCIACION[[#This Row],[$ INTERESES]]</f>
        <v>1100000</v>
      </c>
      <c r="D900" s="7">
        <f>-F167*0.01</f>
        <v>200000</v>
      </c>
      <c r="E900" s="7">
        <f>+IF(FINANCIACION[[#This Row],[$ CAPITAL]]&gt;=0,FINANCIACION[[#This Row],[$ CAPITAL]]+FINANCIACION[[#This Row],[$ INTERESES]],"")</f>
        <v>1300000</v>
      </c>
      <c r="F900" s="7">
        <f>+SUMIFS(FINANCIACION[$ CAPITAL],FINANCIACION[Fecha],"&lt;="&amp;FINANCIACION[[#This Row],[Fecha]],FINANCIACION[PRESTAMO],FINANCIACION[[#This Row],[PRESTAMO]])</f>
        <v>-71670460.701400056</v>
      </c>
      <c r="G900" s="91"/>
      <c r="H900" s="11"/>
      <c r="I900" s="7">
        <f>+IF(FINANCIACION[[#This Row],[$ CAPITAL]]&gt;0,FINANCIACION[[#This Row],[$ CAPITAL]])</f>
        <v>1100000</v>
      </c>
      <c r="J900" s="49">
        <f>+IF(FINANCIACION[[#This Row],[$ CAPITAL]]&gt;=0,FINANCIACION[[#This Row],[$ CAPITAL]]+FINANCIACION[[#This Row],[$ INTERESES]],0)</f>
        <v>1300000</v>
      </c>
    </row>
    <row r="901" spans="1:10" ht="24" hidden="1" customHeight="1" x14ac:dyDescent="0.25">
      <c r="A901" s="10">
        <v>44346</v>
      </c>
      <c r="B901" s="85" t="s">
        <v>723</v>
      </c>
      <c r="C901" s="7">
        <v>-2409465</v>
      </c>
      <c r="D901" s="7"/>
      <c r="E901" s="7" t="str">
        <f>+IF(FINANCIACION[[#This Row],[$ CAPITAL]]&gt;=0,FINANCIACION[[#This Row],[$ CAPITAL]]+FINANCIACION[[#This Row],[$ INTERESES]],"")</f>
        <v/>
      </c>
      <c r="F901" s="7">
        <f>+SUMIFS(FINANCIACION[$ CAPITAL],FINANCIACION[Fecha],"&lt;="&amp;FINANCIACION[[#This Row],[Fecha]],FINANCIACION[PRESTAMO],FINANCIACION[[#This Row],[PRESTAMO]])</f>
        <v>-51434041.962125674</v>
      </c>
      <c r="G901" s="91"/>
      <c r="H901" s="11"/>
      <c r="I901" s="7" t="b">
        <f>+IF(FINANCIACION[[#This Row],[$ CAPITAL]]&gt;0,FINANCIACION[[#This Row],[$ CAPITAL]])</f>
        <v>0</v>
      </c>
      <c r="J901" s="49">
        <f>+IF(FINANCIACION[[#This Row],[$ CAPITAL]]&gt;=0,FINANCIACION[[#This Row],[$ CAPITAL]]+FINANCIACION[[#This Row],[$ INTERESES]],0)</f>
        <v>0</v>
      </c>
    </row>
    <row r="902" spans="1:10" ht="24" hidden="1" customHeight="1" x14ac:dyDescent="0.25">
      <c r="A902" s="10">
        <v>44346</v>
      </c>
      <c r="B902" s="85" t="s">
        <v>723</v>
      </c>
      <c r="C902" s="7">
        <v>-21292270</v>
      </c>
      <c r="D902" s="7"/>
      <c r="E902" s="7" t="str">
        <f>+IF(FINANCIACION[[#This Row],[$ CAPITAL]]&gt;=0,FINANCIACION[[#This Row],[$ CAPITAL]]+FINANCIACION[[#This Row],[$ INTERESES]],"")</f>
        <v/>
      </c>
      <c r="F902" s="7">
        <f>+SUMIFS(FINANCIACION[$ CAPITAL],FINANCIACION[Fecha],"&lt;="&amp;FINANCIACION[[#This Row],[Fecha]],FINANCIACION[PRESTAMO],FINANCIACION[[#This Row],[PRESTAMO]])</f>
        <v>-51434041.962125674</v>
      </c>
      <c r="G902" s="91"/>
      <c r="H902" s="11"/>
      <c r="I902" s="7" t="b">
        <f>+IF(FINANCIACION[[#This Row],[$ CAPITAL]]&gt;0,FINANCIACION[[#This Row],[$ CAPITAL]])</f>
        <v>0</v>
      </c>
      <c r="J902" s="49">
        <f>+IF(FINANCIACION[[#This Row],[$ CAPITAL]]&gt;=0,FINANCIACION[[#This Row],[$ CAPITAL]]+FINANCIACION[[#This Row],[$ INTERESES]],0)</f>
        <v>0</v>
      </c>
    </row>
    <row r="903" spans="1:10" ht="24" hidden="1" customHeight="1" x14ac:dyDescent="0.25">
      <c r="A903" s="10">
        <v>44346</v>
      </c>
      <c r="B903" s="85" t="s">
        <v>723</v>
      </c>
      <c r="C903" s="7">
        <v>-5989831</v>
      </c>
      <c r="D903" s="7"/>
      <c r="E903" s="7" t="str">
        <f>+IF(FINANCIACION[[#This Row],[$ CAPITAL]]&gt;=0,FINANCIACION[[#This Row],[$ CAPITAL]]+FINANCIACION[[#This Row],[$ INTERESES]],"")</f>
        <v/>
      </c>
      <c r="F903" s="7">
        <f>+SUMIFS(FINANCIACION[$ CAPITAL],FINANCIACION[Fecha],"&lt;="&amp;FINANCIACION[[#This Row],[Fecha]],FINANCIACION[PRESTAMO],FINANCIACION[[#This Row],[PRESTAMO]])</f>
        <v>-51434041.962125674</v>
      </c>
      <c r="G903" s="91"/>
      <c r="H903" s="11"/>
      <c r="I903" s="7" t="b">
        <f>+IF(FINANCIACION[[#This Row],[$ CAPITAL]]&gt;0,FINANCIACION[[#This Row],[$ CAPITAL]])</f>
        <v>0</v>
      </c>
      <c r="J903" s="49">
        <f>+IF(FINANCIACION[[#This Row],[$ CAPITAL]]&gt;=0,FINANCIACION[[#This Row],[$ CAPITAL]]+FINANCIACION[[#This Row],[$ INTERESES]],0)</f>
        <v>0</v>
      </c>
    </row>
    <row r="904" spans="1:10" ht="24" hidden="1" customHeight="1" x14ac:dyDescent="0.25">
      <c r="A904" s="10">
        <v>44346</v>
      </c>
      <c r="B904" s="85" t="s">
        <v>723</v>
      </c>
      <c r="C904" s="7">
        <v>1130115</v>
      </c>
      <c r="D904" s="7"/>
      <c r="E904" s="7">
        <f>+IF(FINANCIACION[[#This Row],[$ CAPITAL]]&gt;=0,FINANCIACION[[#This Row],[$ CAPITAL]]+FINANCIACION[[#This Row],[$ INTERESES]],"")</f>
        <v>1130115</v>
      </c>
      <c r="F904" s="7">
        <f>+SUMIFS(FINANCIACION[$ CAPITAL],FINANCIACION[Fecha],"&lt;="&amp;FINANCIACION[[#This Row],[Fecha]],FINANCIACION[PRESTAMO],FINANCIACION[[#This Row],[PRESTAMO]])</f>
        <v>-51434041.962125674</v>
      </c>
      <c r="G904" s="91"/>
      <c r="H904" s="11"/>
      <c r="I904" s="7">
        <f>+IF(FINANCIACION[[#This Row],[$ CAPITAL]]&gt;0,FINANCIACION[[#This Row],[$ CAPITAL]])</f>
        <v>1130115</v>
      </c>
      <c r="J904" s="49">
        <f>+IF(FINANCIACION[[#This Row],[$ CAPITAL]]&gt;=0,FINANCIACION[[#This Row],[$ CAPITAL]]+FINANCIACION[[#This Row],[$ INTERESES]],0)</f>
        <v>1130115</v>
      </c>
    </row>
    <row r="905" spans="1:10" ht="24" hidden="1" customHeight="1" x14ac:dyDescent="0.25">
      <c r="A905" s="10">
        <v>44346</v>
      </c>
      <c r="B905" s="85" t="s">
        <v>723</v>
      </c>
      <c r="C905" s="7">
        <v>2575168</v>
      </c>
      <c r="D905" s="7"/>
      <c r="E905" s="7">
        <f>+IF(FINANCIACION[[#This Row],[$ CAPITAL]]&gt;=0,FINANCIACION[[#This Row],[$ CAPITAL]]+FINANCIACION[[#This Row],[$ INTERESES]],"")</f>
        <v>2575168</v>
      </c>
      <c r="F905" s="7">
        <f>+SUMIFS(FINANCIACION[$ CAPITAL],FINANCIACION[Fecha],"&lt;="&amp;FINANCIACION[[#This Row],[Fecha]],FINANCIACION[PRESTAMO],FINANCIACION[[#This Row],[PRESTAMO]])</f>
        <v>-51434041.962125674</v>
      </c>
      <c r="G905" s="91"/>
      <c r="H905" s="11"/>
      <c r="I905" s="7">
        <f>+IF(FINANCIACION[[#This Row],[$ CAPITAL]]&gt;0,FINANCIACION[[#This Row],[$ CAPITAL]])</f>
        <v>2575168</v>
      </c>
      <c r="J905" s="49">
        <f>+IF(FINANCIACION[[#This Row],[$ CAPITAL]]&gt;=0,FINANCIACION[[#This Row],[$ CAPITAL]]+FINANCIACION[[#This Row],[$ INTERESES]],0)</f>
        <v>2575168</v>
      </c>
    </row>
    <row r="906" spans="1:10" ht="24" hidden="1" customHeight="1" x14ac:dyDescent="0.25">
      <c r="A906" s="10">
        <v>44346</v>
      </c>
      <c r="B906" s="85" t="s">
        <v>723</v>
      </c>
      <c r="C906" s="7">
        <v>1498393</v>
      </c>
      <c r="D906" s="7"/>
      <c r="E906" s="7">
        <f>+IF(FINANCIACION[[#This Row],[$ CAPITAL]]&gt;=0,FINANCIACION[[#This Row],[$ CAPITAL]]+FINANCIACION[[#This Row],[$ INTERESES]],"")</f>
        <v>1498393</v>
      </c>
      <c r="F906" s="7">
        <f>+SUMIFS(FINANCIACION[$ CAPITAL],FINANCIACION[Fecha],"&lt;="&amp;FINANCIACION[[#This Row],[Fecha]],FINANCIACION[PRESTAMO],FINANCIACION[[#This Row],[PRESTAMO]])</f>
        <v>-51434041.962125674</v>
      </c>
      <c r="G906" s="91"/>
      <c r="H906" s="11"/>
      <c r="I906" s="7">
        <f>+IF(FINANCIACION[[#This Row],[$ CAPITAL]]&gt;0,FINANCIACION[[#This Row],[$ CAPITAL]])</f>
        <v>1498393</v>
      </c>
      <c r="J906" s="49">
        <f>+IF(FINANCIACION[[#This Row],[$ CAPITAL]]&gt;=0,FINANCIACION[[#This Row],[$ CAPITAL]]+FINANCIACION[[#This Row],[$ INTERESES]],0)</f>
        <v>1498393</v>
      </c>
    </row>
    <row r="907" spans="1:10" ht="24" hidden="1" customHeight="1" x14ac:dyDescent="0.25">
      <c r="A907" s="10">
        <v>44346</v>
      </c>
      <c r="B907" s="85" t="s">
        <v>723</v>
      </c>
      <c r="C907" s="7">
        <v>44724308.739274383</v>
      </c>
      <c r="D907" s="7"/>
      <c r="E907" s="7">
        <f>+IF(FINANCIACION[[#This Row],[$ CAPITAL]]&gt;=0,FINANCIACION[[#This Row],[$ CAPITAL]]+FINANCIACION[[#This Row],[$ INTERESES]],"")</f>
        <v>44724308.739274383</v>
      </c>
      <c r="F907" s="7">
        <f>+SUMIFS(FINANCIACION[$ CAPITAL],FINANCIACION[Fecha],"&lt;="&amp;FINANCIACION[[#This Row],[Fecha]],FINANCIACION[PRESTAMO],FINANCIACION[[#This Row],[PRESTAMO]])</f>
        <v>-51434041.962125674</v>
      </c>
      <c r="G907" s="91" t="s">
        <v>512</v>
      </c>
      <c r="H907" s="11"/>
      <c r="I907" s="7">
        <f>+IF(FINANCIACION[[#This Row],[$ CAPITAL]]&gt;0,FINANCIACION[[#This Row],[$ CAPITAL]])</f>
        <v>44724308.739274383</v>
      </c>
      <c r="J907" s="49">
        <f>+IF(FINANCIACION[[#This Row],[$ CAPITAL]]&gt;=0,FINANCIACION[[#This Row],[$ CAPITAL]]+FINANCIACION[[#This Row],[$ INTERESES]],0)</f>
        <v>44724308.739274383</v>
      </c>
    </row>
    <row r="908" spans="1:10" ht="24" hidden="1" customHeight="1" x14ac:dyDescent="0.25">
      <c r="A908" s="10">
        <v>44347</v>
      </c>
      <c r="B908" s="85" t="s">
        <v>723</v>
      </c>
      <c r="C908" s="7">
        <v>1468400</v>
      </c>
      <c r="D908" s="7">
        <v>477575</v>
      </c>
      <c r="E908" s="7">
        <f>+IF(FINANCIACION[[#This Row],[$ CAPITAL]]&gt;=0,FINANCIACION[[#This Row],[$ CAPITAL]]+FINANCIACION[[#This Row],[$ INTERESES]],"")</f>
        <v>1945975</v>
      </c>
      <c r="F908" s="7">
        <f>+SUMIFS(FINANCIACION[$ CAPITAL],FINANCIACION[Fecha],"&lt;="&amp;FINANCIACION[[#This Row],[Fecha]],FINANCIACION[PRESTAMO],FINANCIACION[[#This Row],[PRESTAMO]])</f>
        <v>-43888850.962125674</v>
      </c>
      <c r="G908" s="91"/>
      <c r="H908" s="11"/>
      <c r="I908" s="7">
        <f>+IF(FINANCIACION[[#This Row],[$ CAPITAL]]&gt;0,FINANCIACION[[#This Row],[$ CAPITAL]])</f>
        <v>1468400</v>
      </c>
      <c r="J908" s="49">
        <f>+IF(FINANCIACION[[#This Row],[$ CAPITAL]]&gt;=0,FINANCIACION[[#This Row],[$ CAPITAL]]+FINANCIACION[[#This Row],[$ INTERESES]],0)</f>
        <v>1945975</v>
      </c>
    </row>
    <row r="909" spans="1:10" ht="24" hidden="1" customHeight="1" x14ac:dyDescent="0.25">
      <c r="A909" s="10">
        <v>44347</v>
      </c>
      <c r="B909" s="85" t="s">
        <v>723</v>
      </c>
      <c r="C909" s="7">
        <v>76791</v>
      </c>
      <c r="D909" s="7"/>
      <c r="E909" s="7">
        <f>+IF(FINANCIACION[[#This Row],[$ CAPITAL]]&gt;=0,FINANCIACION[[#This Row],[$ CAPITAL]]+FINANCIACION[[#This Row],[$ INTERESES]],"")</f>
        <v>76791</v>
      </c>
      <c r="F909" s="7">
        <f>+SUMIFS(FINANCIACION[$ CAPITAL],FINANCIACION[Fecha],"&lt;="&amp;FINANCIACION[[#This Row],[Fecha]],FINANCIACION[PRESTAMO],FINANCIACION[[#This Row],[PRESTAMO]])</f>
        <v>-43888850.962125674</v>
      </c>
      <c r="G909" s="91"/>
      <c r="H909" s="11"/>
      <c r="I909" s="7">
        <f>+IF(FINANCIACION[[#This Row],[$ CAPITAL]]&gt;0,FINANCIACION[[#This Row],[$ CAPITAL]])</f>
        <v>76791</v>
      </c>
      <c r="J909" s="49">
        <f>+IF(FINANCIACION[[#This Row],[$ CAPITAL]]&gt;=0,FINANCIACION[[#This Row],[$ CAPITAL]]+FINANCIACION[[#This Row],[$ INTERESES]],0)</f>
        <v>76791</v>
      </c>
    </row>
    <row r="910" spans="1:10" ht="24" hidden="1" customHeight="1" x14ac:dyDescent="0.25">
      <c r="A910" s="10">
        <v>44347</v>
      </c>
      <c r="B910" s="85" t="s">
        <v>723</v>
      </c>
      <c r="C910" s="7"/>
      <c r="D910" s="7">
        <f>402214+228545+288863</f>
        <v>919622</v>
      </c>
      <c r="E910" s="7">
        <f>+IF(FINANCIACION[[#This Row],[$ CAPITAL]]&gt;=0,FINANCIACION[[#This Row],[$ CAPITAL]]+FINANCIACION[[#This Row],[$ INTERESES]],"")</f>
        <v>919622</v>
      </c>
      <c r="F910" s="7">
        <f>+SUMIFS(FINANCIACION[$ CAPITAL],FINANCIACION[Fecha],"&lt;="&amp;FINANCIACION[[#This Row],[Fecha]],FINANCIACION[PRESTAMO],FINANCIACION[[#This Row],[PRESTAMO]])</f>
        <v>-43888850.962125674</v>
      </c>
      <c r="G910" s="91"/>
      <c r="H910" s="11"/>
      <c r="I910" s="7" t="b">
        <f>+IF(FINANCIACION[[#This Row],[$ CAPITAL]]&gt;0,FINANCIACION[[#This Row],[$ CAPITAL]])</f>
        <v>0</v>
      </c>
      <c r="J910" s="49">
        <f>+IF(FINANCIACION[[#This Row],[$ CAPITAL]]&gt;=0,FINANCIACION[[#This Row],[$ CAPITAL]]+FINANCIACION[[#This Row],[$ INTERESES]],0)</f>
        <v>919622</v>
      </c>
    </row>
    <row r="911" spans="1:10" ht="24" hidden="1" customHeight="1" x14ac:dyDescent="0.25">
      <c r="A911" s="10">
        <v>44347</v>
      </c>
      <c r="B911" s="85" t="s">
        <v>723</v>
      </c>
      <c r="C911" s="7">
        <v>6000000</v>
      </c>
      <c r="D911" s="7"/>
      <c r="E911" s="7">
        <f>+IF(FINANCIACION[[#This Row],[$ CAPITAL]]&gt;=0,FINANCIACION[[#This Row],[$ CAPITAL]]+FINANCIACION[[#This Row],[$ INTERESES]],"")</f>
        <v>6000000</v>
      </c>
      <c r="F911" s="7">
        <f>+SUMIFS(FINANCIACION[$ CAPITAL],FINANCIACION[Fecha],"&lt;="&amp;FINANCIACION[[#This Row],[Fecha]],FINANCIACION[PRESTAMO],FINANCIACION[[#This Row],[PRESTAMO]])</f>
        <v>-43888850.962125674</v>
      </c>
      <c r="G911" s="91"/>
      <c r="H911" s="11"/>
      <c r="I911" s="7">
        <f>+IF(FINANCIACION[[#This Row],[$ CAPITAL]]&gt;0,FINANCIACION[[#This Row],[$ CAPITAL]])</f>
        <v>6000000</v>
      </c>
      <c r="J911" s="49">
        <f>+IF(FINANCIACION[[#This Row],[$ CAPITAL]]&gt;=0,FINANCIACION[[#This Row],[$ CAPITAL]]+FINANCIACION[[#This Row],[$ INTERESES]],0)</f>
        <v>6000000</v>
      </c>
    </row>
    <row r="912" spans="1:10" ht="24" hidden="1" customHeight="1" x14ac:dyDescent="0.25">
      <c r="A912" s="10">
        <v>44350</v>
      </c>
      <c r="B912" s="85" t="s">
        <v>723</v>
      </c>
      <c r="C912" s="7">
        <v>1000000</v>
      </c>
      <c r="D912" s="7"/>
      <c r="E912" s="7">
        <f>+IF(FINANCIACION[[#This Row],[$ CAPITAL]]&gt;=0,FINANCIACION[[#This Row],[$ CAPITAL]]+FINANCIACION[[#This Row],[$ INTERESES]],"")</f>
        <v>1000000</v>
      </c>
      <c r="F912" s="7">
        <f>+SUMIFS(FINANCIACION[$ CAPITAL],FINANCIACION[Fecha],"&lt;="&amp;FINANCIACION[[#This Row],[Fecha]],FINANCIACION[PRESTAMO],FINANCIACION[[#This Row],[PRESTAMO]])</f>
        <v>-39246560.962125674</v>
      </c>
      <c r="G912" s="91"/>
      <c r="H912" s="11"/>
      <c r="I912" s="7">
        <f>+IF(FINANCIACION[[#This Row],[$ CAPITAL]]&gt;0,FINANCIACION[[#This Row],[$ CAPITAL]])</f>
        <v>1000000</v>
      </c>
      <c r="J912" s="49">
        <f>+IF(FINANCIACION[[#This Row],[$ CAPITAL]]&gt;=0,FINANCIACION[[#This Row],[$ CAPITAL]]+FINANCIACION[[#This Row],[$ INTERESES]],0)</f>
        <v>1000000</v>
      </c>
    </row>
    <row r="913" spans="1:10" ht="24" hidden="1" customHeight="1" x14ac:dyDescent="0.25">
      <c r="A913" s="10">
        <v>44350</v>
      </c>
      <c r="B913" s="85" t="s">
        <v>723</v>
      </c>
      <c r="C913" s="7">
        <v>3642290</v>
      </c>
      <c r="D913" s="7"/>
      <c r="E913" s="7">
        <f>+IF(FINANCIACION[[#This Row],[$ CAPITAL]]&gt;=0,FINANCIACION[[#This Row],[$ CAPITAL]]+FINANCIACION[[#This Row],[$ INTERESES]],"")</f>
        <v>3642290</v>
      </c>
      <c r="F913" s="7">
        <f>+SUMIFS(FINANCIACION[$ CAPITAL],FINANCIACION[Fecha],"&lt;="&amp;FINANCIACION[[#This Row],[Fecha]],FINANCIACION[PRESTAMO],FINANCIACION[[#This Row],[PRESTAMO]])</f>
        <v>-39246560.962125674</v>
      </c>
      <c r="G913" s="91"/>
      <c r="H913" s="11"/>
      <c r="I913" s="7">
        <f>+IF(FINANCIACION[[#This Row],[$ CAPITAL]]&gt;0,FINANCIACION[[#This Row],[$ CAPITAL]])</f>
        <v>3642290</v>
      </c>
      <c r="J913" s="49">
        <f>+IF(FINANCIACION[[#This Row],[$ CAPITAL]]&gt;=0,FINANCIACION[[#This Row],[$ CAPITAL]]+FINANCIACION[[#This Row],[$ INTERESES]],0)</f>
        <v>3642290</v>
      </c>
    </row>
    <row r="914" spans="1:10" ht="24" hidden="1" customHeight="1" x14ac:dyDescent="0.25">
      <c r="A914" s="10">
        <v>44356</v>
      </c>
      <c r="B914" s="85" t="s">
        <v>723</v>
      </c>
      <c r="C914" s="7">
        <v>6326000</v>
      </c>
      <c r="D914" s="7">
        <f>6734134.11-FINANCIACION[[#This Row],[$ CAPITAL]]</f>
        <v>408134.11000000034</v>
      </c>
      <c r="E914" s="7">
        <f>+IF(FINANCIACION[[#This Row],[$ CAPITAL]]&gt;=0,FINANCIACION[[#This Row],[$ CAPITAL]]+FINANCIACION[[#This Row],[$ INTERESES]],"")</f>
        <v>6734134.1100000003</v>
      </c>
      <c r="F914" s="7">
        <f>+SUMIFS(FINANCIACION[$ CAPITAL],FINANCIACION[Fecha],"&lt;="&amp;FINANCIACION[[#This Row],[Fecha]],FINANCIACION[PRESTAMO],FINANCIACION[[#This Row],[PRESTAMO]])</f>
        <v>-32920560.962125674</v>
      </c>
      <c r="G914" s="91"/>
      <c r="H914" s="11"/>
      <c r="I914" s="7">
        <f>+IF(FINANCIACION[[#This Row],[$ CAPITAL]]&gt;0,FINANCIACION[[#This Row],[$ CAPITAL]])</f>
        <v>6326000</v>
      </c>
      <c r="J914" s="49">
        <f>+IF(FINANCIACION[[#This Row],[$ CAPITAL]]&gt;=0,FINANCIACION[[#This Row],[$ CAPITAL]]+FINANCIACION[[#This Row],[$ INTERESES]],0)</f>
        <v>6734134.1100000003</v>
      </c>
    </row>
    <row r="915" spans="1:10" ht="24" hidden="1" customHeight="1" x14ac:dyDescent="0.25">
      <c r="A915" s="10">
        <v>44358</v>
      </c>
      <c r="B915" s="85" t="s">
        <v>723</v>
      </c>
      <c r="C915" s="7">
        <f>1200000-FINANCIACION[[#This Row],[$ INTERESES]]</f>
        <v>462796.88598599995</v>
      </c>
      <c r="D915" s="7">
        <v>737203.11401400005</v>
      </c>
      <c r="E915" s="7">
        <f>+IF(FINANCIACION[[#This Row],[$ CAPITAL]]&gt;=0,FINANCIACION[[#This Row],[$ CAPITAL]]+FINANCIACION[[#This Row],[$ INTERESES]],"")</f>
        <v>1200000</v>
      </c>
      <c r="F915" s="7">
        <f>+SUMIFS(FINANCIACION[$ CAPITAL],FINANCIACION[Fecha],"&lt;="&amp;FINANCIACION[[#This Row],[Fecha]],FINANCIACION[PRESTAMO],FINANCIACION[[#This Row],[PRESTAMO]])</f>
        <v>-29893004.139999997</v>
      </c>
      <c r="G915" s="91"/>
      <c r="H915" s="11"/>
      <c r="I915" s="7">
        <f>+IF(FINANCIACION[[#This Row],[$ CAPITAL]]&gt;0,FINANCIACION[[#This Row],[$ CAPITAL]])</f>
        <v>462796.88598599995</v>
      </c>
      <c r="J915" s="49">
        <f>+IF(FINANCIACION[[#This Row],[$ CAPITAL]]&gt;=0,FINANCIACION[[#This Row],[$ CAPITAL]]+FINANCIACION[[#This Row],[$ INTERESES]],0)</f>
        <v>1200000</v>
      </c>
    </row>
    <row r="916" spans="1:10" ht="24" hidden="1" customHeight="1" x14ac:dyDescent="0.25">
      <c r="A916" s="10">
        <v>44358</v>
      </c>
      <c r="B916" s="85" t="s">
        <v>723</v>
      </c>
      <c r="C916" s="7"/>
      <c r="D916" s="7">
        <v>120000</v>
      </c>
      <c r="E916" s="7">
        <f>+IF(FINANCIACION[[#This Row],[$ CAPITAL]]&gt;=0,FINANCIACION[[#This Row],[$ CAPITAL]]+FINANCIACION[[#This Row],[$ INTERESES]],"")</f>
        <v>120000</v>
      </c>
      <c r="F916" s="7">
        <f>+SUMIFS(FINANCIACION[$ CAPITAL],FINANCIACION[Fecha],"&lt;="&amp;FINANCIACION[[#This Row],[Fecha]],FINANCIACION[PRESTAMO],FINANCIACION[[#This Row],[PRESTAMO]])</f>
        <v>-29893004.139999997</v>
      </c>
      <c r="G916" s="91"/>
      <c r="H916" s="11"/>
      <c r="I916" s="7" t="b">
        <f>+IF(FINANCIACION[[#This Row],[$ CAPITAL]]&gt;0,FINANCIACION[[#This Row],[$ CAPITAL]])</f>
        <v>0</v>
      </c>
      <c r="J916" s="49">
        <f>+IF(FINANCIACION[[#This Row],[$ CAPITAL]]&gt;=0,FINANCIACION[[#This Row],[$ CAPITAL]]+FINANCIACION[[#This Row],[$ INTERESES]],0)</f>
        <v>120000</v>
      </c>
    </row>
    <row r="917" spans="1:10" ht="24" hidden="1" customHeight="1" x14ac:dyDescent="0.25">
      <c r="A917" s="10">
        <v>44358</v>
      </c>
      <c r="B917" s="85" t="s">
        <v>723</v>
      </c>
      <c r="C917" s="7"/>
      <c r="D917" s="7">
        <v>640000</v>
      </c>
      <c r="E917" s="7">
        <f>+IF(FINANCIACION[[#This Row],[$ CAPITAL]]&gt;=0,FINANCIACION[[#This Row],[$ CAPITAL]]+FINANCIACION[[#This Row],[$ INTERESES]],"")</f>
        <v>640000</v>
      </c>
      <c r="F917" s="7">
        <f>+SUMIFS(FINANCIACION[$ CAPITAL],FINANCIACION[Fecha],"&lt;="&amp;FINANCIACION[[#This Row],[Fecha]],FINANCIACION[PRESTAMO],FINANCIACION[[#This Row],[PRESTAMO]])</f>
        <v>-29893004.139999997</v>
      </c>
      <c r="G917" s="91"/>
      <c r="H917" s="11"/>
      <c r="I917" s="7" t="b">
        <f>+IF(FINANCIACION[[#This Row],[$ CAPITAL]]&gt;0,FINANCIACION[[#This Row],[$ CAPITAL]])</f>
        <v>0</v>
      </c>
      <c r="J917" s="49">
        <f>+IF(FINANCIACION[[#This Row],[$ CAPITAL]]&gt;=0,FINANCIACION[[#This Row],[$ CAPITAL]]+FINANCIACION[[#This Row],[$ INTERESES]],0)</f>
        <v>640000</v>
      </c>
    </row>
    <row r="918" spans="1:10" ht="24" hidden="1" customHeight="1" x14ac:dyDescent="0.25">
      <c r="A918" s="10">
        <v>44358</v>
      </c>
      <c r="B918" s="85" t="s">
        <v>723</v>
      </c>
      <c r="C918" s="7">
        <f>1300000-FINANCIACION[[#This Row],[$ INTERESES]]</f>
        <v>713253.92</v>
      </c>
      <c r="D918" s="7">
        <v>586746.07999999996</v>
      </c>
      <c r="E918" s="7">
        <f>+IF(FINANCIACION[[#This Row],[$ CAPITAL]]&gt;=0,FINANCIACION[[#This Row],[$ CAPITAL]]+FINANCIACION[[#This Row],[$ INTERESES]],"")</f>
        <v>1300000</v>
      </c>
      <c r="F918" s="7">
        <f>+SUMIFS(FINANCIACION[$ CAPITAL],FINANCIACION[Fecha],"&lt;="&amp;FINANCIACION[[#This Row],[Fecha]],FINANCIACION[PRESTAMO],FINANCIACION[[#This Row],[PRESTAMO]])</f>
        <v>-29893004.139999997</v>
      </c>
      <c r="G918" s="91"/>
      <c r="H918" s="11"/>
      <c r="I918" s="7">
        <f>+IF(FINANCIACION[[#This Row],[$ CAPITAL]]&gt;0,FINANCIACION[[#This Row],[$ CAPITAL]])</f>
        <v>713253.92</v>
      </c>
      <c r="J918" s="49">
        <f>+IF(FINANCIACION[[#This Row],[$ CAPITAL]]&gt;=0,FINANCIACION[[#This Row],[$ CAPITAL]]+FINANCIACION[[#This Row],[$ INTERESES]],0)</f>
        <v>1300000</v>
      </c>
    </row>
    <row r="919" spans="1:10" ht="24" hidden="1" customHeight="1" x14ac:dyDescent="0.25">
      <c r="A919" s="10">
        <v>44358</v>
      </c>
      <c r="B919" s="85" t="s">
        <v>723</v>
      </c>
      <c r="C919" s="7"/>
      <c r="D919" s="7">
        <v>220000</v>
      </c>
      <c r="E919" s="7">
        <f>+IF(FINANCIACION[[#This Row],[$ CAPITAL]]&gt;=0,FINANCIACION[[#This Row],[$ CAPITAL]]+FINANCIACION[[#This Row],[$ INTERESES]],"")</f>
        <v>220000</v>
      </c>
      <c r="F919" s="7">
        <f>+SUMIFS(FINANCIACION[$ CAPITAL],FINANCIACION[Fecha],"&lt;="&amp;FINANCIACION[[#This Row],[Fecha]],FINANCIACION[PRESTAMO],FINANCIACION[[#This Row],[PRESTAMO]])</f>
        <v>-29893004.139999997</v>
      </c>
      <c r="G919" s="91"/>
      <c r="H919" s="11"/>
      <c r="I919" s="7" t="b">
        <f>+IF(FINANCIACION[[#This Row],[$ CAPITAL]]&gt;0,FINANCIACION[[#This Row],[$ CAPITAL]])</f>
        <v>0</v>
      </c>
      <c r="J919" s="49">
        <f>+IF(FINANCIACION[[#This Row],[$ CAPITAL]]&gt;=0,FINANCIACION[[#This Row],[$ CAPITAL]]+FINANCIACION[[#This Row],[$ INTERESES]],0)</f>
        <v>220000</v>
      </c>
    </row>
    <row r="920" spans="1:10" ht="24" hidden="1" customHeight="1" x14ac:dyDescent="0.25">
      <c r="A920" s="10">
        <v>44358</v>
      </c>
      <c r="B920" s="85" t="s">
        <v>723</v>
      </c>
      <c r="C920" s="7">
        <f>2677400-FINANCIACION[[#This Row],[$ INTERESES]]</f>
        <v>1851506.0161396766</v>
      </c>
      <c r="D920" s="7">
        <v>825893.98386032344</v>
      </c>
      <c r="E920" s="7">
        <f>+IF(FINANCIACION[[#This Row],[$ CAPITAL]]&gt;=0,FINANCIACION[[#This Row],[$ CAPITAL]]+FINANCIACION[[#This Row],[$ INTERESES]],"")</f>
        <v>2677400</v>
      </c>
      <c r="F920" s="7">
        <f>+SUMIFS(FINANCIACION[$ CAPITAL],FINANCIACION[Fecha],"&lt;="&amp;FINANCIACION[[#This Row],[Fecha]],FINANCIACION[PRESTAMO],FINANCIACION[[#This Row],[PRESTAMO]])</f>
        <v>-29893004.139999997</v>
      </c>
      <c r="G920" s="91"/>
      <c r="H920" s="11"/>
      <c r="I920" s="7">
        <f>+IF(FINANCIACION[[#This Row],[$ CAPITAL]]&gt;0,FINANCIACION[[#This Row],[$ CAPITAL]])</f>
        <v>1851506.0161396766</v>
      </c>
      <c r="J920" s="49">
        <f>+IF(FINANCIACION[[#This Row],[$ CAPITAL]]&gt;=0,FINANCIACION[[#This Row],[$ CAPITAL]]+FINANCIACION[[#This Row],[$ INTERESES]],0)</f>
        <v>2677400</v>
      </c>
    </row>
    <row r="921" spans="1:10" ht="24" hidden="1" customHeight="1" x14ac:dyDescent="0.25">
      <c r="A921" s="10">
        <v>44369</v>
      </c>
      <c r="B921" s="85" t="s">
        <v>723</v>
      </c>
      <c r="C921" s="7">
        <v>1496187.629999999</v>
      </c>
      <c r="D921" s="7">
        <v>12812.370000001043</v>
      </c>
      <c r="E921" s="7">
        <f>+IF(FINANCIACION[[#This Row],[$ CAPITAL]]&gt;=0,FINANCIACION[[#This Row],[$ CAPITAL]]+FINANCIACION[[#This Row],[$ INTERESES]],"")</f>
        <v>1509000</v>
      </c>
      <c r="F921" s="7">
        <f>+SUMIFS(FINANCIACION[$ CAPITAL],FINANCIACION[Fecha],"&lt;="&amp;FINANCIACION[[#This Row],[Fecha]],FINANCIACION[PRESTAMO],FINANCIACION[[#This Row],[PRESTAMO]])</f>
        <v>-28396816.509999998</v>
      </c>
      <c r="G921" s="91"/>
      <c r="H921" s="11"/>
      <c r="I921" s="7">
        <f>+IF(FINANCIACION[[#This Row],[$ CAPITAL]]&gt;0,FINANCIACION[[#This Row],[$ CAPITAL]])</f>
        <v>1496187.629999999</v>
      </c>
      <c r="J921" s="49">
        <f>+IF(FINANCIACION[[#This Row],[$ CAPITAL]]&gt;=0,FINANCIACION[[#This Row],[$ CAPITAL]]+FINANCIACION[[#This Row],[$ INTERESES]],0)</f>
        <v>1509000</v>
      </c>
    </row>
    <row r="922" spans="1:10" ht="24" hidden="1" customHeight="1" x14ac:dyDescent="0.25">
      <c r="A922" s="10">
        <v>44398</v>
      </c>
      <c r="B922" s="85" t="s">
        <v>723</v>
      </c>
      <c r="C922" s="7">
        <v>1488144.4800000004</v>
      </c>
      <c r="D922" s="7">
        <v>11855.519999999553</v>
      </c>
      <c r="E922" s="7">
        <f>+IF(FINANCIACION[[#This Row],[$ CAPITAL]]&gt;=0,FINANCIACION[[#This Row],[$ CAPITAL]]+FINANCIACION[[#This Row],[$ INTERESES]],"")</f>
        <v>1500000</v>
      </c>
      <c r="F922" s="7">
        <f>+SUMIFS(FINANCIACION[$ CAPITAL],FINANCIACION[Fecha],"&lt;="&amp;FINANCIACION[[#This Row],[Fecha]],FINANCIACION[PRESTAMO],FINANCIACION[[#This Row],[PRESTAMO]])</f>
        <v>-26908672.029999997</v>
      </c>
      <c r="G922" s="91"/>
      <c r="H922" s="11"/>
      <c r="I922" s="7">
        <f>+IF(FINANCIACION[[#This Row],[$ CAPITAL]]&gt;0,FINANCIACION[[#This Row],[$ CAPITAL]])</f>
        <v>1488144.4800000004</v>
      </c>
      <c r="J922" s="49">
        <f>+IF(FINANCIACION[[#This Row],[$ CAPITAL]]&gt;=0,FINANCIACION[[#This Row],[$ CAPITAL]]+FINANCIACION[[#This Row],[$ INTERESES]],0)</f>
        <v>1500000</v>
      </c>
    </row>
    <row r="923" spans="1:10" ht="24" hidden="1" customHeight="1" x14ac:dyDescent="0.25">
      <c r="A923" s="10">
        <v>44408</v>
      </c>
      <c r="B923" s="85" t="s">
        <v>723</v>
      </c>
      <c r="C923" s="7">
        <v>-184703.77999999374</v>
      </c>
      <c r="D923" s="7"/>
      <c r="E923" s="7" t="str">
        <f>+IF(FINANCIACION[[#This Row],[$ CAPITAL]]&gt;=0,FINANCIACION[[#This Row],[$ CAPITAL]]+FINANCIACION[[#This Row],[$ INTERESES]],"")</f>
        <v/>
      </c>
      <c r="F923" s="7">
        <f>+SUMIFS(FINANCIACION[$ CAPITAL],FINANCIACION[Fecha],"&lt;="&amp;FINANCIACION[[#This Row],[Fecha]],FINANCIACION[PRESTAMO],FINANCIACION[[#This Row],[PRESTAMO]])</f>
        <v>-27093375.809999991</v>
      </c>
      <c r="G923" s="11" t="s">
        <v>512</v>
      </c>
      <c r="H923" s="11"/>
      <c r="I923" s="7" t="b">
        <f>+IF(FINANCIACION[[#This Row],[$ CAPITAL]]&gt;0,FINANCIACION[[#This Row],[$ CAPITAL]])</f>
        <v>0</v>
      </c>
      <c r="J923" s="49">
        <f>+IF(FINANCIACION[[#This Row],[$ CAPITAL]]&gt;=0,FINANCIACION[[#This Row],[$ CAPITAL]]+FINANCIACION[[#This Row],[$ INTERESES]],0)</f>
        <v>0</v>
      </c>
    </row>
    <row r="924" spans="1:10" ht="24" hidden="1" customHeight="1" x14ac:dyDescent="0.25">
      <c r="A924" s="10">
        <v>44426</v>
      </c>
      <c r="B924" s="85" t="s">
        <v>723</v>
      </c>
      <c r="C924" s="7">
        <v>1487315.6400000006</v>
      </c>
      <c r="D924" s="7">
        <v>5684.359999999404</v>
      </c>
      <c r="E924" s="7">
        <f>+IF(FINANCIACION[[#This Row],[$ CAPITAL]]&gt;=0,FINANCIACION[[#This Row],[$ CAPITAL]]+FINANCIACION[[#This Row],[$ INTERESES]],"")</f>
        <v>1493000</v>
      </c>
      <c r="F924" s="7">
        <f>+SUMIFS(FINANCIACION[$ CAPITAL],FINANCIACION[Fecha],"&lt;="&amp;FINANCIACION[[#This Row],[Fecha]],FINANCIACION[PRESTAMO],FINANCIACION[[#This Row],[PRESTAMO]])</f>
        <v>-25606060.169999991</v>
      </c>
      <c r="G924" s="91"/>
      <c r="H924" s="11"/>
      <c r="I924" s="7">
        <f>+IF(FINANCIACION[[#This Row],[$ CAPITAL]]&gt;0,FINANCIACION[[#This Row],[$ CAPITAL]])</f>
        <v>1487315.6400000006</v>
      </c>
      <c r="J924" s="49">
        <f>+IF(FINANCIACION[[#This Row],[$ CAPITAL]]&gt;=0,FINANCIACION[[#This Row],[$ CAPITAL]]+FINANCIACION[[#This Row],[$ INTERESES]],0)</f>
        <v>1493000</v>
      </c>
    </row>
    <row r="925" spans="1:10" ht="24" hidden="1" customHeight="1" x14ac:dyDescent="0.25">
      <c r="A925" s="10">
        <v>44459</v>
      </c>
      <c r="B925" s="85" t="s">
        <v>723</v>
      </c>
      <c r="C925" s="7">
        <v>1468176.0800000019</v>
      </c>
      <c r="D925" s="7">
        <v>16823.919999998063</v>
      </c>
      <c r="E925" s="7">
        <f>+IF(FINANCIACION[[#This Row],[$ CAPITAL]]&gt;=0,FINANCIACION[[#This Row],[$ CAPITAL]]+FINANCIACION[[#This Row],[$ INTERESES]],"")</f>
        <v>1485000</v>
      </c>
      <c r="F925" s="7">
        <f>+SUMIFS(FINANCIACION[$ CAPITAL],FINANCIACION[Fecha],"&lt;="&amp;FINANCIACION[[#This Row],[Fecha]],FINANCIACION[PRESTAMO],FINANCIACION[[#This Row],[PRESTAMO]])</f>
        <v>-24137884.089999989</v>
      </c>
      <c r="G925" s="91"/>
      <c r="H925" s="11"/>
      <c r="I925" s="7">
        <f>+IF(FINANCIACION[[#This Row],[$ CAPITAL]]&gt;0,FINANCIACION[[#This Row],[$ CAPITAL]])</f>
        <v>1468176.0800000019</v>
      </c>
      <c r="J925" s="49">
        <f>+IF(FINANCIACION[[#This Row],[$ CAPITAL]]&gt;=0,FINANCIACION[[#This Row],[$ CAPITAL]]+FINANCIACION[[#This Row],[$ INTERESES]],0)</f>
        <v>1485000</v>
      </c>
    </row>
    <row r="926" spans="1:10" ht="24" hidden="1" customHeight="1" x14ac:dyDescent="0.25">
      <c r="A926" s="10">
        <v>44490</v>
      </c>
      <c r="B926" s="85" t="s">
        <v>723</v>
      </c>
      <c r="C926" s="7">
        <v>1455390.5800000019</v>
      </c>
      <c r="D926" s="7">
        <v>20609.419999998063</v>
      </c>
      <c r="E926" s="7">
        <f>+IF(FINANCIACION[[#This Row],[$ CAPITAL]]&gt;=0,FINANCIACION[[#This Row],[$ CAPITAL]]+FINANCIACION[[#This Row],[$ INTERESES]],"")</f>
        <v>1476000</v>
      </c>
      <c r="F926" s="7">
        <f>+SUMIFS(FINANCIACION[$ CAPITAL],FINANCIACION[Fecha],"&lt;="&amp;FINANCIACION[[#This Row],[Fecha]],FINANCIACION[PRESTAMO],FINANCIACION[[#This Row],[PRESTAMO]])</f>
        <v>-22682493.509999987</v>
      </c>
      <c r="G926" s="91"/>
      <c r="H926" s="11"/>
      <c r="I926" s="7">
        <f>+IF(FINANCIACION[[#This Row],[$ CAPITAL]]&gt;0,FINANCIACION[[#This Row],[$ CAPITAL]])</f>
        <v>1455390.5800000019</v>
      </c>
      <c r="J926" s="49">
        <f>+IF(FINANCIACION[[#This Row],[$ CAPITAL]]&gt;=0,FINANCIACION[[#This Row],[$ CAPITAL]]+FINANCIACION[[#This Row],[$ INTERESES]],0)</f>
        <v>1476000</v>
      </c>
    </row>
    <row r="927" spans="1:10" ht="24" hidden="1" customHeight="1" x14ac:dyDescent="0.25">
      <c r="A927" s="10">
        <v>44523</v>
      </c>
      <c r="B927" s="85" t="s">
        <v>723</v>
      </c>
      <c r="C927" s="7">
        <v>1423624.1700000018</v>
      </c>
      <c r="D927" s="7">
        <v>49375.829999998212</v>
      </c>
      <c r="E927" s="7">
        <f>+IF(FINANCIACION[[#This Row],[$ CAPITAL]]&gt;=0,FINANCIACION[[#This Row],[$ CAPITAL]]+FINANCIACION[[#This Row],[$ INTERESES]],"")</f>
        <v>1473000</v>
      </c>
      <c r="F927" s="7">
        <f>+SUMIFS(FINANCIACION[$ CAPITAL],FINANCIACION[Fecha],"&lt;="&amp;FINANCIACION[[#This Row],[Fecha]],FINANCIACION[PRESTAMO],FINANCIACION[[#This Row],[PRESTAMO]])</f>
        <v>-21258869.339999985</v>
      </c>
      <c r="G927" s="91"/>
      <c r="H927" s="11"/>
      <c r="I927" s="7">
        <f>+IF(FINANCIACION[[#This Row],[$ CAPITAL]]&gt;0,FINANCIACION[[#This Row],[$ CAPITAL]])</f>
        <v>1423624.1700000018</v>
      </c>
      <c r="J927" s="49">
        <f>+IF(FINANCIACION[[#This Row],[$ CAPITAL]]&gt;=0,FINANCIACION[[#This Row],[$ CAPITAL]]+FINANCIACION[[#This Row],[$ INTERESES]],0)</f>
        <v>1473000</v>
      </c>
    </row>
    <row r="928" spans="1:10" ht="24" hidden="1" customHeight="1" x14ac:dyDescent="0.25">
      <c r="A928" s="10">
        <v>44544</v>
      </c>
      <c r="B928" s="85" t="s">
        <v>723</v>
      </c>
      <c r="C928" s="7">
        <v>1419187.6499999985</v>
      </c>
      <c r="D928" s="7">
        <v>51812.35000000149</v>
      </c>
      <c r="E928" s="7">
        <f>+IF(FINANCIACION[[#This Row],[$ CAPITAL]]&gt;=0,FINANCIACION[[#This Row],[$ CAPITAL]]+FINANCIACION[[#This Row],[$ INTERESES]],"")</f>
        <v>1471000</v>
      </c>
      <c r="F928" s="7">
        <f>+SUMIFS(FINANCIACION[$ CAPITAL],FINANCIACION[Fecha],"&lt;="&amp;FINANCIACION[[#This Row],[Fecha]],FINANCIACION[PRESTAMO],FINANCIACION[[#This Row],[PRESTAMO]])</f>
        <v>-19839681.689999986</v>
      </c>
      <c r="G928" s="91"/>
      <c r="H928" s="11"/>
      <c r="I928" s="7">
        <f>+IF(FINANCIACION[[#This Row],[$ CAPITAL]]&gt;0,FINANCIACION[[#This Row],[$ CAPITAL]])</f>
        <v>1419187.6499999985</v>
      </c>
      <c r="J928" s="49">
        <f>+IF(FINANCIACION[[#This Row],[$ CAPITAL]]&gt;=0,FINANCIACION[[#This Row],[$ CAPITAL]]+FINANCIACION[[#This Row],[$ INTERESES]],0)</f>
        <v>1471000</v>
      </c>
    </row>
    <row r="929" spans="1:10" ht="24" hidden="1" customHeight="1" x14ac:dyDescent="0.25">
      <c r="A929" s="10">
        <v>44346</v>
      </c>
      <c r="B929" s="85" t="s">
        <v>722</v>
      </c>
      <c r="C929" s="7">
        <v>-26031901.309999999</v>
      </c>
      <c r="D929" s="7"/>
      <c r="E929" s="7" t="str">
        <f>+IF(FINANCIACION[[#This Row],[$ CAPITAL]]&gt;=0,FINANCIACION[[#This Row],[$ CAPITAL]]+FINANCIACION[[#This Row],[$ INTERESES]],"")</f>
        <v/>
      </c>
      <c r="F929" s="7">
        <f>+SUMIFS(FINANCIACION[$ CAPITAL],FINANCIACION[Fecha],"&lt;="&amp;FINANCIACION[[#This Row],[Fecha]],FINANCIACION[PRESTAMO],FINANCIACION[[#This Row],[PRESTAMO]])</f>
        <v>-26031901.309999999</v>
      </c>
      <c r="G929" s="91" t="s">
        <v>512</v>
      </c>
      <c r="H929" s="11"/>
      <c r="I929" s="7" t="b">
        <f>+IF(FINANCIACION[[#This Row],[$ CAPITAL]]&gt;0,FINANCIACION[[#This Row],[$ CAPITAL]])</f>
        <v>0</v>
      </c>
      <c r="J929" s="49">
        <f>+IF(FINANCIACION[[#This Row],[$ CAPITAL]]&gt;=0,FINANCIACION[[#This Row],[$ CAPITAL]]+FINANCIACION[[#This Row],[$ INTERESES]],0)</f>
        <v>0</v>
      </c>
    </row>
    <row r="930" spans="1:10" ht="24" hidden="1" customHeight="1" x14ac:dyDescent="0.25">
      <c r="A930" s="10">
        <v>44370</v>
      </c>
      <c r="B930" s="85" t="s">
        <v>722</v>
      </c>
      <c r="C930" s="7">
        <v>1241305.5700000003</v>
      </c>
      <c r="D930" s="7">
        <v>10694.429999999702</v>
      </c>
      <c r="E930" s="7">
        <f>+IF(FINANCIACION[[#This Row],[$ CAPITAL]]&gt;=0,FINANCIACION[[#This Row],[$ CAPITAL]]+FINANCIACION[[#This Row],[$ INTERESES]],"")</f>
        <v>1252000</v>
      </c>
      <c r="F930" s="7">
        <f>+SUMIFS(FINANCIACION[$ CAPITAL],FINANCIACION[Fecha],"&lt;="&amp;FINANCIACION[[#This Row],[Fecha]],FINANCIACION[PRESTAMO],FINANCIACION[[#This Row],[PRESTAMO]])</f>
        <v>-24790595.739999998</v>
      </c>
      <c r="G930" s="91"/>
      <c r="H930" s="11"/>
      <c r="I930" s="7">
        <f>+IF(FINANCIACION[[#This Row],[$ CAPITAL]]&gt;0,FINANCIACION[[#This Row],[$ CAPITAL]])</f>
        <v>1241305.5700000003</v>
      </c>
      <c r="J930" s="49">
        <f>+IF(FINANCIACION[[#This Row],[$ CAPITAL]]&gt;=0,FINANCIACION[[#This Row],[$ CAPITAL]]+FINANCIACION[[#This Row],[$ INTERESES]],0)</f>
        <v>1252000</v>
      </c>
    </row>
    <row r="931" spans="1:10" ht="24" hidden="1" customHeight="1" x14ac:dyDescent="0.25">
      <c r="A931" s="10">
        <v>44398</v>
      </c>
      <c r="B931" s="85" t="s">
        <v>722</v>
      </c>
      <c r="C931" s="7">
        <v>1234372.6199999973</v>
      </c>
      <c r="D931" s="7">
        <v>10627.380000002682</v>
      </c>
      <c r="E931" s="7">
        <f>+IF(FINANCIACION[[#This Row],[$ CAPITAL]]&gt;=0,FINANCIACION[[#This Row],[$ CAPITAL]]+FINANCIACION[[#This Row],[$ INTERESES]],"")</f>
        <v>1245000</v>
      </c>
      <c r="F931" s="7">
        <f>+SUMIFS(FINANCIACION[$ CAPITAL],FINANCIACION[Fecha],"&lt;="&amp;FINANCIACION[[#This Row],[Fecha]],FINANCIACION[PRESTAMO],FINANCIACION[[#This Row],[PRESTAMO]])</f>
        <v>-23556223.120000001</v>
      </c>
      <c r="G931" s="91"/>
      <c r="H931" s="11"/>
      <c r="I931" s="7">
        <f>+IF(FINANCIACION[[#This Row],[$ CAPITAL]]&gt;0,FINANCIACION[[#This Row],[$ CAPITAL]])</f>
        <v>1234372.6199999973</v>
      </c>
      <c r="J931" s="49">
        <f>+IF(FINANCIACION[[#This Row],[$ CAPITAL]]&gt;=0,FINANCIACION[[#This Row],[$ CAPITAL]]+FINANCIACION[[#This Row],[$ INTERESES]],0)</f>
        <v>1245000</v>
      </c>
    </row>
    <row r="932" spans="1:10" ht="24" hidden="1" customHeight="1" x14ac:dyDescent="0.25">
      <c r="A932" s="10">
        <v>44408</v>
      </c>
      <c r="B932" s="85" t="s">
        <v>722</v>
      </c>
      <c r="C932" s="7">
        <v>-163555.28999999911</v>
      </c>
      <c r="D932" s="7"/>
      <c r="E932" s="7" t="str">
        <f>+IF(FINANCIACION[[#This Row],[$ CAPITAL]]&gt;=0,FINANCIACION[[#This Row],[$ CAPITAL]]+FINANCIACION[[#This Row],[$ INTERESES]],"")</f>
        <v/>
      </c>
      <c r="F932" s="7">
        <f>+SUMIFS(FINANCIACION[$ CAPITAL],FINANCIACION[Fecha],"&lt;="&amp;FINANCIACION[[#This Row],[Fecha]],FINANCIACION[PRESTAMO],FINANCIACION[[#This Row],[PRESTAMO]])</f>
        <v>-23719778.41</v>
      </c>
      <c r="G932" s="11" t="s">
        <v>512</v>
      </c>
      <c r="H932" s="11"/>
      <c r="I932" s="7" t="b">
        <f>+IF(FINANCIACION[[#This Row],[$ CAPITAL]]&gt;0,FINANCIACION[[#This Row],[$ CAPITAL]])</f>
        <v>0</v>
      </c>
      <c r="J932" s="49">
        <f>+IF(FINANCIACION[[#This Row],[$ CAPITAL]]&gt;=0,FINANCIACION[[#This Row],[$ CAPITAL]]+FINANCIACION[[#This Row],[$ INTERESES]],0)</f>
        <v>0</v>
      </c>
    </row>
    <row r="933" spans="1:10" ht="24" hidden="1" customHeight="1" x14ac:dyDescent="0.25">
      <c r="A933" s="10">
        <v>44426</v>
      </c>
      <c r="B933" s="85" t="s">
        <v>722</v>
      </c>
      <c r="C933" s="7">
        <v>1233101.4399999976</v>
      </c>
      <c r="D933" s="7">
        <v>4898.5600000023842</v>
      </c>
      <c r="E933" s="7">
        <f>+IF(FINANCIACION[[#This Row],[$ CAPITAL]]&gt;=0,FINANCIACION[[#This Row],[$ CAPITAL]]+FINANCIACION[[#This Row],[$ INTERESES]],"")</f>
        <v>1238000</v>
      </c>
      <c r="F933" s="7">
        <f>+SUMIFS(FINANCIACION[$ CAPITAL],FINANCIACION[Fecha],"&lt;="&amp;FINANCIACION[[#This Row],[Fecha]],FINANCIACION[PRESTAMO],FINANCIACION[[#This Row],[PRESTAMO]])</f>
        <v>-22486676.970000003</v>
      </c>
      <c r="G933" s="91"/>
      <c r="H933" s="11"/>
      <c r="I933" s="7">
        <f>+IF(FINANCIACION[[#This Row],[$ CAPITAL]]&gt;0,FINANCIACION[[#This Row],[$ CAPITAL]])</f>
        <v>1233101.4399999976</v>
      </c>
      <c r="J933" s="49">
        <f>+IF(FINANCIACION[[#This Row],[$ CAPITAL]]&gt;=0,FINANCIACION[[#This Row],[$ CAPITAL]]+FINANCIACION[[#This Row],[$ INTERESES]],0)</f>
        <v>1238000</v>
      </c>
    </row>
    <row r="934" spans="1:10" ht="24" hidden="1" customHeight="1" x14ac:dyDescent="0.25">
      <c r="A934" s="10">
        <v>44459</v>
      </c>
      <c r="B934" s="85" t="s">
        <v>722</v>
      </c>
      <c r="C934" s="7">
        <v>1218805.6799999997</v>
      </c>
      <c r="D934" s="7">
        <v>14194.320000000298</v>
      </c>
      <c r="E934" s="7">
        <f>+IF(FINANCIACION[[#This Row],[$ CAPITAL]]&gt;=0,FINANCIACION[[#This Row],[$ CAPITAL]]+FINANCIACION[[#This Row],[$ INTERESES]],"")</f>
        <v>1233000</v>
      </c>
      <c r="F934" s="7">
        <f>+SUMIFS(FINANCIACION[$ CAPITAL],FINANCIACION[Fecha],"&lt;="&amp;FINANCIACION[[#This Row],[Fecha]],FINANCIACION[PRESTAMO],FINANCIACION[[#This Row],[PRESTAMO]])</f>
        <v>-21267871.290000003</v>
      </c>
      <c r="G934" s="91"/>
      <c r="H934" s="11"/>
      <c r="I934" s="7">
        <f>+IF(FINANCIACION[[#This Row],[$ CAPITAL]]&gt;0,FINANCIACION[[#This Row],[$ CAPITAL]])</f>
        <v>1218805.6799999997</v>
      </c>
      <c r="J934" s="49">
        <f>+IF(FINANCIACION[[#This Row],[$ CAPITAL]]&gt;=0,FINANCIACION[[#This Row],[$ CAPITAL]]+FINANCIACION[[#This Row],[$ INTERESES]],0)</f>
        <v>1233000</v>
      </c>
    </row>
    <row r="935" spans="1:10" ht="24" hidden="1" customHeight="1" x14ac:dyDescent="0.25">
      <c r="A935" s="10">
        <v>44490</v>
      </c>
      <c r="B935" s="85" t="s">
        <v>722</v>
      </c>
      <c r="C935" s="7">
        <v>1207376.9100000001</v>
      </c>
      <c r="D935" s="7">
        <v>18623.089999999851</v>
      </c>
      <c r="E935" s="7">
        <f>+IF(FINANCIACION[[#This Row],[$ CAPITAL]]&gt;=0,FINANCIACION[[#This Row],[$ CAPITAL]]+FINANCIACION[[#This Row],[$ INTERESES]],"")</f>
        <v>1226000</v>
      </c>
      <c r="F935" s="7">
        <f>+SUMIFS(FINANCIACION[$ CAPITAL],FINANCIACION[Fecha],"&lt;="&amp;FINANCIACION[[#This Row],[Fecha]],FINANCIACION[PRESTAMO],FINANCIACION[[#This Row],[PRESTAMO]])</f>
        <v>-20060494.380000003</v>
      </c>
      <c r="G935" s="91"/>
      <c r="H935" s="11"/>
      <c r="I935" s="7">
        <f>+IF(FINANCIACION[[#This Row],[$ CAPITAL]]&gt;0,FINANCIACION[[#This Row],[$ CAPITAL]])</f>
        <v>1207376.9100000001</v>
      </c>
      <c r="J935" s="49">
        <f>+IF(FINANCIACION[[#This Row],[$ CAPITAL]]&gt;=0,FINANCIACION[[#This Row],[$ CAPITAL]]+FINANCIACION[[#This Row],[$ INTERESES]],0)</f>
        <v>1226000</v>
      </c>
    </row>
    <row r="936" spans="1:10" ht="24" hidden="1" customHeight="1" x14ac:dyDescent="0.25">
      <c r="A936" s="10">
        <v>44523</v>
      </c>
      <c r="B936" s="85" t="s">
        <v>722</v>
      </c>
      <c r="C936" s="7">
        <v>1179959.2800000012</v>
      </c>
      <c r="D936" s="7">
        <v>41040.719999998808</v>
      </c>
      <c r="E936" s="7">
        <f>+IF(FINANCIACION[[#This Row],[$ CAPITAL]]&gt;=0,FINANCIACION[[#This Row],[$ CAPITAL]]+FINANCIACION[[#This Row],[$ INTERESES]],"")</f>
        <v>1221000</v>
      </c>
      <c r="F936" s="7">
        <f>+SUMIFS(FINANCIACION[$ CAPITAL],FINANCIACION[Fecha],"&lt;="&amp;FINANCIACION[[#This Row],[Fecha]],FINANCIACION[PRESTAMO],FINANCIACION[[#This Row],[PRESTAMO]])</f>
        <v>-18880535.100000001</v>
      </c>
      <c r="G936" s="91"/>
      <c r="H936" s="11"/>
      <c r="I936" s="7">
        <f>+IF(FINANCIACION[[#This Row],[$ CAPITAL]]&gt;0,FINANCIACION[[#This Row],[$ CAPITAL]])</f>
        <v>1179959.2800000012</v>
      </c>
      <c r="J936" s="49">
        <f>+IF(FINANCIACION[[#This Row],[$ CAPITAL]]&gt;=0,FINANCIACION[[#This Row],[$ CAPITAL]]+FINANCIACION[[#This Row],[$ INTERESES]],0)</f>
        <v>1221000</v>
      </c>
    </row>
    <row r="937" spans="1:10" ht="24" hidden="1" customHeight="1" x14ac:dyDescent="0.25">
      <c r="A937" s="10">
        <v>44544</v>
      </c>
      <c r="B937" s="85" t="s">
        <v>722</v>
      </c>
      <c r="C937" s="7">
        <v>1173610.8600000031</v>
      </c>
      <c r="D937" s="7">
        <v>46389.139999996871</v>
      </c>
      <c r="E937" s="7">
        <f>+IF(FINANCIACION[[#This Row],[$ CAPITAL]]&gt;=0,FINANCIACION[[#This Row],[$ CAPITAL]]+FINANCIACION[[#This Row],[$ INTERESES]],"")</f>
        <v>1220000</v>
      </c>
      <c r="F937" s="7">
        <f>+SUMIFS(FINANCIACION[$ CAPITAL],FINANCIACION[Fecha],"&lt;="&amp;FINANCIACION[[#This Row],[Fecha]],FINANCIACION[PRESTAMO],FINANCIACION[[#This Row],[PRESTAMO]])</f>
        <v>-17706924.239999998</v>
      </c>
      <c r="G937" s="91"/>
      <c r="H937" s="11"/>
      <c r="I937" s="7">
        <f>+IF(FINANCIACION[[#This Row],[$ CAPITAL]]&gt;0,FINANCIACION[[#This Row],[$ CAPITAL]])</f>
        <v>1173610.8600000031</v>
      </c>
      <c r="J937" s="49">
        <f>+IF(FINANCIACION[[#This Row],[$ CAPITAL]]&gt;=0,FINANCIACION[[#This Row],[$ CAPITAL]]+FINANCIACION[[#This Row],[$ INTERESES]],0)</f>
        <v>1220000</v>
      </c>
    </row>
    <row r="938" spans="1:10" ht="24" hidden="1" customHeight="1" x14ac:dyDescent="0.25">
      <c r="A938" s="10">
        <v>44006</v>
      </c>
      <c r="B938" s="85" t="s">
        <v>724</v>
      </c>
      <c r="C938" s="7">
        <v>-65285277</v>
      </c>
      <c r="D938" s="7">
        <v>2792278</v>
      </c>
      <c r="E938" s="7" t="str">
        <f>+IF(FINANCIACION[[#This Row],[$ CAPITAL]]&gt;=0,FINANCIACION[[#This Row],[$ CAPITAL]]+FINANCIACION[[#This Row],[$ INTERESES]],"")</f>
        <v/>
      </c>
      <c r="F938" s="7">
        <f>+SUMIFS(FINANCIACION[$ CAPITAL],FINANCIACION[Fecha],"&lt;="&amp;FINANCIACION[[#This Row],[Fecha]],FINANCIACION[PRESTAMO],FINANCIACION[[#This Row],[PRESTAMO]])</f>
        <v>-65285277</v>
      </c>
      <c r="G938" s="11"/>
      <c r="H938" s="11"/>
      <c r="I938" s="7" t="b">
        <f>+IF(FINANCIACION[[#This Row],[$ CAPITAL]]&gt;0,FINANCIACION[[#This Row],[$ CAPITAL]])</f>
        <v>0</v>
      </c>
      <c r="J938" s="49">
        <f>+IF(FINANCIACION[[#This Row],[$ CAPITAL]]&gt;=0,FINANCIACION[[#This Row],[$ CAPITAL]]+FINANCIACION[[#This Row],[$ INTERESES]],0)</f>
        <v>0</v>
      </c>
    </row>
    <row r="939" spans="1:10" ht="24" hidden="1" customHeight="1" x14ac:dyDescent="0.25">
      <c r="A939" s="10">
        <v>44012</v>
      </c>
      <c r="B939" s="85" t="s">
        <v>724</v>
      </c>
      <c r="C939" s="7">
        <v>-106360.96000000089</v>
      </c>
      <c r="D939" s="7"/>
      <c r="E939" s="7" t="str">
        <f>+IF(FINANCIACION[[#This Row],[$ CAPITAL]]&gt;=0,FINANCIACION[[#This Row],[$ CAPITAL]]+FINANCIACION[[#This Row],[$ INTERESES]],"")</f>
        <v/>
      </c>
      <c r="F939" s="7">
        <f>+SUMIFS(FINANCIACION[$ CAPITAL],FINANCIACION[Fecha],"&lt;="&amp;FINANCIACION[[#This Row],[Fecha]],FINANCIACION[PRESTAMO],FINANCIACION[[#This Row],[PRESTAMO]])</f>
        <v>-65391637.960000001</v>
      </c>
      <c r="G939" s="11"/>
      <c r="H939" s="11"/>
      <c r="I939" s="7" t="b">
        <f>+IF(FINANCIACION[[#This Row],[$ CAPITAL]]&gt;0,FINANCIACION[[#This Row],[$ CAPITAL]])</f>
        <v>0</v>
      </c>
      <c r="J939" s="49">
        <f>+IF(FINANCIACION[[#This Row],[$ CAPITAL]]&gt;=0,FINANCIACION[[#This Row],[$ CAPITAL]]+FINANCIACION[[#This Row],[$ INTERESES]],0)</f>
        <v>0</v>
      </c>
    </row>
    <row r="940" spans="1:10" ht="24" hidden="1" customHeight="1" x14ac:dyDescent="0.25">
      <c r="A940" s="10">
        <v>44043</v>
      </c>
      <c r="B940" s="85" t="s">
        <v>724</v>
      </c>
      <c r="C940" s="7">
        <v>-543974.96999999904</v>
      </c>
      <c r="D940" s="7"/>
      <c r="E940" s="7" t="str">
        <f>+IF(FINANCIACION[[#This Row],[$ CAPITAL]]&gt;=0,FINANCIACION[[#This Row],[$ CAPITAL]]+FINANCIACION[[#This Row],[$ INTERESES]],"")</f>
        <v/>
      </c>
      <c r="F940" s="7">
        <f>+SUMIFS(FINANCIACION[$ CAPITAL],FINANCIACION[Fecha],"&lt;="&amp;FINANCIACION[[#This Row],[Fecha]],FINANCIACION[PRESTAMO],FINANCIACION[[#This Row],[PRESTAMO]])</f>
        <v>-65935612.93</v>
      </c>
      <c r="G940" s="11"/>
      <c r="H940" s="11"/>
      <c r="I940" s="7" t="b">
        <f>+IF(FINANCIACION[[#This Row],[$ CAPITAL]]&gt;0,FINANCIACION[[#This Row],[$ CAPITAL]])</f>
        <v>0</v>
      </c>
      <c r="J940" s="49">
        <f>+IF(FINANCIACION[[#This Row],[$ CAPITAL]]&gt;=0,FINANCIACION[[#This Row],[$ CAPITAL]]+FINANCIACION[[#This Row],[$ INTERESES]],0)</f>
        <v>0</v>
      </c>
    </row>
    <row r="941" spans="1:10" ht="24" hidden="1" customHeight="1" x14ac:dyDescent="0.25">
      <c r="A941" s="10">
        <v>44074</v>
      </c>
      <c r="B941" s="85" t="s">
        <v>724</v>
      </c>
      <c r="C941" s="7">
        <v>-511971.21999999898</v>
      </c>
      <c r="D941" s="7"/>
      <c r="E941" s="7" t="str">
        <f>+IF(FINANCIACION[[#This Row],[$ CAPITAL]]&gt;=0,FINANCIACION[[#This Row],[$ CAPITAL]]+FINANCIACION[[#This Row],[$ INTERESES]],"")</f>
        <v/>
      </c>
      <c r="F941" s="7">
        <f>+SUMIFS(FINANCIACION[$ CAPITAL],FINANCIACION[Fecha],"&lt;="&amp;FINANCIACION[[#This Row],[Fecha]],FINANCIACION[PRESTAMO],FINANCIACION[[#This Row],[PRESTAMO]])</f>
        <v>-66447584.149999999</v>
      </c>
      <c r="G941" s="11"/>
      <c r="H941" s="11"/>
      <c r="I941" s="7" t="b">
        <f>+IF(FINANCIACION[[#This Row],[$ CAPITAL]]&gt;0,FINANCIACION[[#This Row],[$ CAPITAL]])</f>
        <v>0</v>
      </c>
      <c r="J941" s="49">
        <f>+IF(FINANCIACION[[#This Row],[$ CAPITAL]]&gt;=0,FINANCIACION[[#This Row],[$ CAPITAL]]+FINANCIACION[[#This Row],[$ INTERESES]],0)</f>
        <v>0</v>
      </c>
    </row>
    <row r="942" spans="1:10" ht="24" hidden="1" customHeight="1" x14ac:dyDescent="0.25">
      <c r="A942" s="10">
        <v>44104</v>
      </c>
      <c r="B942" s="85" t="s">
        <v>724</v>
      </c>
      <c r="C942" s="7">
        <v>-473294.0700000003</v>
      </c>
      <c r="D942" s="7"/>
      <c r="E942" s="7" t="str">
        <f>+IF(FINANCIACION[[#This Row],[$ CAPITAL]]&gt;=0,FINANCIACION[[#This Row],[$ CAPITAL]]+FINANCIACION[[#This Row],[$ INTERESES]],"")</f>
        <v/>
      </c>
      <c r="F942" s="7">
        <f>+SUMIFS(FINANCIACION[$ CAPITAL],FINANCIACION[Fecha],"&lt;="&amp;FINANCIACION[[#This Row],[Fecha]],FINANCIACION[PRESTAMO],FINANCIACION[[#This Row],[PRESTAMO]])</f>
        <v>-66920878.219999999</v>
      </c>
      <c r="G942" s="11"/>
      <c r="H942" s="11"/>
      <c r="I942" s="7" t="b">
        <f>+IF(FINANCIACION[[#This Row],[$ CAPITAL]]&gt;0,FINANCIACION[[#This Row],[$ CAPITAL]])</f>
        <v>0</v>
      </c>
      <c r="J942" s="49">
        <f>+IF(FINANCIACION[[#This Row],[$ CAPITAL]]&gt;=0,FINANCIACION[[#This Row],[$ CAPITAL]]+FINANCIACION[[#This Row],[$ INTERESES]],0)</f>
        <v>0</v>
      </c>
    </row>
    <row r="943" spans="1:10" ht="24" hidden="1" customHeight="1" x14ac:dyDescent="0.25">
      <c r="A943" s="10">
        <v>44135</v>
      </c>
      <c r="B943" s="85" t="s">
        <v>724</v>
      </c>
      <c r="C943" s="7">
        <v>-529471.48000000417</v>
      </c>
      <c r="D943" s="7"/>
      <c r="E943" s="7" t="str">
        <f>+IF(FINANCIACION[[#This Row],[$ CAPITAL]]&gt;=0,FINANCIACION[[#This Row],[$ CAPITAL]]+FINANCIACION[[#This Row],[$ INTERESES]],"")</f>
        <v/>
      </c>
      <c r="F943" s="7">
        <f>+SUMIFS(FINANCIACION[$ CAPITAL],FINANCIACION[Fecha],"&lt;="&amp;FINANCIACION[[#This Row],[Fecha]],FINANCIACION[PRESTAMO],FINANCIACION[[#This Row],[PRESTAMO]])</f>
        <v>-67450349.700000003</v>
      </c>
      <c r="G943" s="11"/>
      <c r="H943" s="11"/>
      <c r="I943" s="7" t="b">
        <f>+IF(FINANCIACION[[#This Row],[$ CAPITAL]]&gt;0,FINANCIACION[[#This Row],[$ CAPITAL]])</f>
        <v>0</v>
      </c>
      <c r="J943" s="49">
        <f>+IF(FINANCIACION[[#This Row],[$ CAPITAL]]&gt;=0,FINANCIACION[[#This Row],[$ CAPITAL]]+FINANCIACION[[#This Row],[$ INTERESES]],0)</f>
        <v>0</v>
      </c>
    </row>
    <row r="944" spans="1:10" ht="24" hidden="1" customHeight="1" x14ac:dyDescent="0.25">
      <c r="A944" s="10">
        <v>44161</v>
      </c>
      <c r="B944" s="85" t="s">
        <v>724</v>
      </c>
      <c r="C944" s="7">
        <v>15308.959999993443</v>
      </c>
      <c r="D944" s="7">
        <v>2484691.0400000066</v>
      </c>
      <c r="E944" s="7">
        <f>+IF(FINANCIACION[[#This Row],[$ CAPITAL]]&gt;=0,FINANCIACION[[#This Row],[$ CAPITAL]]+FINANCIACION[[#This Row],[$ INTERESES]],"")</f>
        <v>2500000</v>
      </c>
      <c r="F944" s="7">
        <f>+SUMIFS(FINANCIACION[$ CAPITAL],FINANCIACION[Fecha],"&lt;="&amp;FINANCIACION[[#This Row],[Fecha]],FINANCIACION[PRESTAMO],FINANCIACION[[#This Row],[PRESTAMO]])</f>
        <v>-67435040.74000001</v>
      </c>
      <c r="G944" s="11"/>
      <c r="H944" s="11"/>
      <c r="I944" s="7">
        <f>+IF(FINANCIACION[[#This Row],[$ CAPITAL]]&gt;0,FINANCIACION[[#This Row],[$ CAPITAL]])</f>
        <v>15308.959999993443</v>
      </c>
      <c r="J944" s="49">
        <f>+IF(FINANCIACION[[#This Row],[$ CAPITAL]]&gt;=0,FINANCIACION[[#This Row],[$ CAPITAL]]+FINANCIACION[[#This Row],[$ INTERESES]],0)</f>
        <v>2500000</v>
      </c>
    </row>
    <row r="945" spans="1:10" ht="24" hidden="1" customHeight="1" x14ac:dyDescent="0.25">
      <c r="A945" s="10">
        <v>44165</v>
      </c>
      <c r="B945" s="85" t="s">
        <v>724</v>
      </c>
      <c r="C945" s="7">
        <v>2082309.400000006</v>
      </c>
      <c r="D945" s="7"/>
      <c r="E945" s="7">
        <f>+IF(FINANCIACION[[#This Row],[$ CAPITAL]]&gt;=0,FINANCIACION[[#This Row],[$ CAPITAL]]+FINANCIACION[[#This Row],[$ INTERESES]],"")</f>
        <v>2082309.400000006</v>
      </c>
      <c r="F945" s="7">
        <f>+SUMIFS(FINANCIACION[$ CAPITAL],FINANCIACION[Fecha],"&lt;="&amp;FINANCIACION[[#This Row],[Fecha]],FINANCIACION[PRESTAMO],FINANCIACION[[#This Row],[PRESTAMO]])</f>
        <v>-65352731.340000004</v>
      </c>
      <c r="G945" s="11"/>
      <c r="H945" s="11"/>
      <c r="I945" s="7">
        <f>+IF(FINANCIACION[[#This Row],[$ CAPITAL]]&gt;0,FINANCIACION[[#This Row],[$ CAPITAL]])</f>
        <v>2082309.400000006</v>
      </c>
      <c r="J945" s="49">
        <f>+IF(FINANCIACION[[#This Row],[$ CAPITAL]]&gt;=0,FINANCIACION[[#This Row],[$ CAPITAL]]+FINANCIACION[[#This Row],[$ INTERESES]],0)</f>
        <v>2082309.400000006</v>
      </c>
    </row>
    <row r="946" spans="1:10" ht="24" hidden="1" customHeight="1" x14ac:dyDescent="0.25">
      <c r="A946" s="10">
        <v>44196</v>
      </c>
      <c r="B946" s="85" t="s">
        <v>724</v>
      </c>
      <c r="C946" s="7">
        <v>-512809.30999999493</v>
      </c>
      <c r="D946" s="7"/>
      <c r="E946" s="7" t="str">
        <f>+IF(FINANCIACION[[#This Row],[$ CAPITAL]]&gt;=0,FINANCIACION[[#This Row],[$ CAPITAL]]+FINANCIACION[[#This Row],[$ INTERESES]],"")</f>
        <v/>
      </c>
      <c r="F946" s="7">
        <f>+SUMIFS(FINANCIACION[$ CAPITAL],FINANCIACION[Fecha],"&lt;="&amp;FINANCIACION[[#This Row],[Fecha]],FINANCIACION[PRESTAMO],FINANCIACION[[#This Row],[PRESTAMO]])</f>
        <v>-65865540.649999999</v>
      </c>
      <c r="G946" s="11"/>
      <c r="H946" s="11"/>
      <c r="I946" s="7" t="b">
        <f>+IF(FINANCIACION[[#This Row],[$ CAPITAL]]&gt;0,FINANCIACION[[#This Row],[$ CAPITAL]])</f>
        <v>0</v>
      </c>
      <c r="J946" s="49">
        <f>+IF(FINANCIACION[[#This Row],[$ CAPITAL]]&gt;=0,FINANCIACION[[#This Row],[$ CAPITAL]]+FINANCIACION[[#This Row],[$ INTERESES]],0)</f>
        <v>0</v>
      </c>
    </row>
    <row r="947" spans="1:10" ht="24" hidden="1" customHeight="1" x14ac:dyDescent="0.25">
      <c r="A947" s="10">
        <v>44244</v>
      </c>
      <c r="B947" s="85" t="s">
        <v>724</v>
      </c>
      <c r="C947" s="7">
        <v>2603000</v>
      </c>
      <c r="D947" s="7"/>
      <c r="E947" s="7">
        <f>+IF(FINANCIACION[[#This Row],[$ CAPITAL]]&gt;=0,FINANCIACION[[#This Row],[$ CAPITAL]]+FINANCIACION[[#This Row],[$ INTERESES]],"")</f>
        <v>2603000</v>
      </c>
      <c r="F947" s="7">
        <f>+SUMIFS(FINANCIACION[$ CAPITAL],FINANCIACION[Fecha],"&lt;="&amp;FINANCIACION[[#This Row],[Fecha]],FINANCIACION[PRESTAMO],FINANCIACION[[#This Row],[PRESTAMO]])</f>
        <v>-63262540.649999999</v>
      </c>
      <c r="G947" s="11"/>
      <c r="H947" s="11"/>
      <c r="I947" s="7">
        <f>+IF(FINANCIACION[[#This Row],[$ CAPITAL]]&gt;0,FINANCIACION[[#This Row],[$ CAPITAL]])</f>
        <v>2603000</v>
      </c>
      <c r="J947" s="12">
        <f>+IF(FINANCIACION[[#This Row],[$ CAPITAL]]&gt;=0,FINANCIACION[[#This Row],[$ CAPITAL]]+FINANCIACION[[#This Row],[$ INTERESES]],0)</f>
        <v>2603000</v>
      </c>
    </row>
    <row r="948" spans="1:10" ht="24" hidden="1" customHeight="1" x14ac:dyDescent="0.25">
      <c r="A948" s="10">
        <v>44255</v>
      </c>
      <c r="B948" s="85" t="s">
        <v>724</v>
      </c>
      <c r="C948" s="7">
        <v>2266793.0700000003</v>
      </c>
      <c r="D948" s="7"/>
      <c r="E948" s="7">
        <f>+IF(FINANCIACION[[#This Row],[$ CAPITAL]]&gt;=0,FINANCIACION[[#This Row],[$ CAPITAL]]+FINANCIACION[[#This Row],[$ INTERESES]],"")</f>
        <v>2266793.0700000003</v>
      </c>
      <c r="F948" s="7">
        <f>+SUMIFS(FINANCIACION[$ CAPITAL],FINANCIACION[Fecha],"&lt;="&amp;FINANCIACION[[#This Row],[Fecha]],FINANCIACION[PRESTAMO],FINANCIACION[[#This Row],[PRESTAMO]])</f>
        <v>-60995747.579999998</v>
      </c>
      <c r="G948" s="11" t="s">
        <v>512</v>
      </c>
      <c r="H948" s="11"/>
      <c r="I948" s="7">
        <f>+IF(FINANCIACION[[#This Row],[$ CAPITAL]]&gt;0,FINANCIACION[[#This Row],[$ CAPITAL]])</f>
        <v>2266793.0700000003</v>
      </c>
      <c r="J948" s="12">
        <f>+IF(FINANCIACION[[#This Row],[$ CAPITAL]]&gt;=0,FINANCIACION[[#This Row],[$ CAPITAL]]+FINANCIACION[[#This Row],[$ INTERESES]],0)</f>
        <v>2266793.0700000003</v>
      </c>
    </row>
    <row r="949" spans="1:10" ht="24" hidden="1" customHeight="1" x14ac:dyDescent="0.25">
      <c r="A949" s="10">
        <v>44284</v>
      </c>
      <c r="B949" s="85" t="s">
        <v>724</v>
      </c>
      <c r="C949" s="7">
        <v>2572447.9900000021</v>
      </c>
      <c r="D949" s="7">
        <v>12552.009999997914</v>
      </c>
      <c r="E949" s="7">
        <f>+IF(FINANCIACION[[#This Row],[$ CAPITAL]]&gt;=0,FINANCIACION[[#This Row],[$ CAPITAL]]+FINANCIACION[[#This Row],[$ INTERESES]],"")</f>
        <v>2585000</v>
      </c>
      <c r="F949" s="7">
        <f>+SUMIFS(FINANCIACION[$ CAPITAL],FINANCIACION[Fecha],"&lt;="&amp;FINANCIACION[[#This Row],[Fecha]],FINANCIACION[PRESTAMO],FINANCIACION[[#This Row],[PRESTAMO]])</f>
        <v>-58423299.589999996</v>
      </c>
      <c r="G949" s="11"/>
      <c r="H949" s="91"/>
      <c r="I949" s="7">
        <f>+IF(FINANCIACION[[#This Row],[$ CAPITAL]]&gt;0,FINANCIACION[[#This Row],[$ CAPITAL]])</f>
        <v>2572447.9900000021</v>
      </c>
      <c r="J949" s="12">
        <f>+IF(FINANCIACION[[#This Row],[$ CAPITAL]]&gt;=0,FINANCIACION[[#This Row],[$ CAPITAL]]+FINANCIACION[[#This Row],[$ INTERESES]],0)</f>
        <v>2585000</v>
      </c>
    </row>
    <row r="950" spans="1:10" ht="24" hidden="1" customHeight="1" x14ac:dyDescent="0.25">
      <c r="A950" s="10">
        <v>44286</v>
      </c>
      <c r="B950" s="85" t="s">
        <v>724</v>
      </c>
      <c r="C950" s="7">
        <v>-479341.21000000089</v>
      </c>
      <c r="D950" s="7"/>
      <c r="E950" s="7" t="str">
        <f>+IF(FINANCIACION[[#This Row],[$ CAPITAL]]&gt;=0,FINANCIACION[[#This Row],[$ CAPITAL]]+FINANCIACION[[#This Row],[$ INTERESES]],"")</f>
        <v/>
      </c>
      <c r="F950" s="7">
        <f>+SUMIFS(FINANCIACION[$ CAPITAL],FINANCIACION[Fecha],"&lt;="&amp;FINANCIACION[[#This Row],[Fecha]],FINANCIACION[PRESTAMO],FINANCIACION[[#This Row],[PRESTAMO]])</f>
        <v>-58902640.799999997</v>
      </c>
      <c r="G950" s="11" t="s">
        <v>512</v>
      </c>
      <c r="H950" s="91"/>
      <c r="I950" s="7" t="b">
        <f>+IF(FINANCIACION[[#This Row],[$ CAPITAL]]&gt;0,FINANCIACION[[#This Row],[$ CAPITAL]])</f>
        <v>0</v>
      </c>
      <c r="J950" s="12">
        <f>+IF(FINANCIACION[[#This Row],[$ CAPITAL]]&gt;=0,FINANCIACION[[#This Row],[$ CAPITAL]]+FINANCIACION[[#This Row],[$ INTERESES]],0)</f>
        <v>0</v>
      </c>
    </row>
    <row r="951" spans="1:10" ht="24" hidden="1" customHeight="1" x14ac:dyDescent="0.25">
      <c r="A951" s="10">
        <v>44316</v>
      </c>
      <c r="B951" s="85" t="s">
        <v>724</v>
      </c>
      <c r="C951" s="7">
        <v>2220246.8299999982</v>
      </c>
      <c r="D951" s="7"/>
      <c r="E951" s="7">
        <f>+IF(FINANCIACION[[#This Row],[$ CAPITAL]]&gt;=0,FINANCIACION[[#This Row],[$ CAPITAL]]+FINANCIACION[[#This Row],[$ INTERESES]],"")</f>
        <v>2220246.8299999982</v>
      </c>
      <c r="F951" s="7">
        <f>+SUMIFS(FINANCIACION[$ CAPITAL],FINANCIACION[Fecha],"&lt;="&amp;FINANCIACION[[#This Row],[Fecha]],FINANCIACION[PRESTAMO],FINANCIACION[[#This Row],[PRESTAMO]])</f>
        <v>-56682393.969999999</v>
      </c>
      <c r="G951" s="11" t="s">
        <v>512</v>
      </c>
      <c r="H951" s="91"/>
      <c r="I951" s="7">
        <f>+IF(FINANCIACION[[#This Row],[$ CAPITAL]]&gt;0,FINANCIACION[[#This Row],[$ CAPITAL]])</f>
        <v>2220246.8299999982</v>
      </c>
      <c r="J951" s="12">
        <f>+IF(FINANCIACION[[#This Row],[$ CAPITAL]]&gt;=0,FINANCIACION[[#This Row],[$ CAPITAL]]+FINANCIACION[[#This Row],[$ INTERESES]],0)</f>
        <v>2220246.8299999982</v>
      </c>
    </row>
    <row r="952" spans="1:10" ht="24" hidden="1" customHeight="1" x14ac:dyDescent="0.25">
      <c r="A952" s="10">
        <v>44340</v>
      </c>
      <c r="B952" s="85" t="s">
        <v>724</v>
      </c>
      <c r="C952" s="7">
        <v>2539245.3100000024</v>
      </c>
      <c r="D952" s="7">
        <v>11754.689999997616</v>
      </c>
      <c r="E952" s="7">
        <f>+IF(FINANCIACION[[#This Row],[$ CAPITAL]]&gt;=0,FINANCIACION[[#This Row],[$ CAPITAL]]+FINANCIACION[[#This Row],[$ INTERESES]],"")</f>
        <v>2551000</v>
      </c>
      <c r="F952" s="7">
        <f>+SUMIFS(FINANCIACION[$ CAPITAL],FINANCIACION[Fecha],"&lt;="&amp;FINANCIACION[[#This Row],[Fecha]],FINANCIACION[PRESTAMO],FINANCIACION[[#This Row],[PRESTAMO]])</f>
        <v>-54143148.659999996</v>
      </c>
      <c r="G952" s="11"/>
      <c r="H952" s="91"/>
      <c r="I952" s="7">
        <f>+IF(FINANCIACION[[#This Row],[$ CAPITAL]]&gt;0,FINANCIACION[[#This Row],[$ CAPITAL]])</f>
        <v>2539245.3100000024</v>
      </c>
      <c r="J952" s="12">
        <f>+IF(FINANCIACION[[#This Row],[$ CAPITAL]]&gt;=0,FINANCIACION[[#This Row],[$ CAPITAL]]+FINANCIACION[[#This Row],[$ INTERESES]],0)</f>
        <v>2551000</v>
      </c>
    </row>
    <row r="953" spans="1:10" ht="24" hidden="1" customHeight="1" x14ac:dyDescent="0.25">
      <c r="A953" s="10">
        <v>44346</v>
      </c>
      <c r="B953" s="85" t="s">
        <v>724</v>
      </c>
      <c r="C953" s="7">
        <v>-675338.46000000834</v>
      </c>
      <c r="D953" s="7"/>
      <c r="E953" s="7" t="str">
        <f>+IF(FINANCIACION[[#This Row],[$ CAPITAL]]&gt;=0,FINANCIACION[[#This Row],[$ CAPITAL]]+FINANCIACION[[#This Row],[$ INTERESES]],"")</f>
        <v/>
      </c>
      <c r="F953" s="7">
        <f>+SUMIFS(FINANCIACION[$ CAPITAL],FINANCIACION[Fecha],"&lt;="&amp;FINANCIACION[[#This Row],[Fecha]],FINANCIACION[PRESTAMO],FINANCIACION[[#This Row],[PRESTAMO]])</f>
        <v>-54818487.120000005</v>
      </c>
      <c r="G953" s="91" t="s">
        <v>512</v>
      </c>
      <c r="H953" s="11"/>
      <c r="I953" s="7" t="b">
        <f>+IF(FINANCIACION[[#This Row],[$ CAPITAL]]&gt;0,FINANCIACION[[#This Row],[$ CAPITAL]])</f>
        <v>0</v>
      </c>
      <c r="J953" s="49">
        <f>+IF(FINANCIACION[[#This Row],[$ CAPITAL]]&gt;=0,FINANCIACION[[#This Row],[$ CAPITAL]]+FINANCIACION[[#This Row],[$ INTERESES]],0)</f>
        <v>0</v>
      </c>
    </row>
    <row r="954" spans="1:10" ht="24" hidden="1" customHeight="1" x14ac:dyDescent="0.25">
      <c r="A954" s="10">
        <v>44371</v>
      </c>
      <c r="B954" s="85" t="s">
        <v>724</v>
      </c>
      <c r="C954" s="7">
        <v>2519439.0600000024</v>
      </c>
      <c r="D954" s="7">
        <v>22560.939999997616</v>
      </c>
      <c r="E954" s="7">
        <f>+IF(FINANCIACION[[#This Row],[$ CAPITAL]]&gt;=0,FINANCIACION[[#This Row],[$ CAPITAL]]+FINANCIACION[[#This Row],[$ INTERESES]],"")</f>
        <v>2542000</v>
      </c>
      <c r="F954" s="7">
        <f>+SUMIFS(FINANCIACION[$ CAPITAL],FINANCIACION[Fecha],"&lt;="&amp;FINANCIACION[[#This Row],[Fecha]],FINANCIACION[PRESTAMO],FINANCIACION[[#This Row],[PRESTAMO]])</f>
        <v>-52299048.060000002</v>
      </c>
      <c r="G954" s="91"/>
      <c r="H954" s="11"/>
      <c r="I954" s="7">
        <f>+IF(FINANCIACION[[#This Row],[$ CAPITAL]]&gt;0,FINANCIACION[[#This Row],[$ CAPITAL]])</f>
        <v>2519439.0600000024</v>
      </c>
      <c r="J954" s="49">
        <f>+IF(FINANCIACION[[#This Row],[$ CAPITAL]]&gt;=0,FINANCIACION[[#This Row],[$ CAPITAL]]+FINANCIACION[[#This Row],[$ INTERESES]],0)</f>
        <v>2542000</v>
      </c>
    </row>
    <row r="955" spans="1:10" ht="24" hidden="1" customHeight="1" x14ac:dyDescent="0.25">
      <c r="A955" s="10">
        <v>44398</v>
      </c>
      <c r="B955" s="85" t="s">
        <v>724</v>
      </c>
      <c r="C955" s="7">
        <v>2507536.7899999991</v>
      </c>
      <c r="D955" s="7">
        <v>22463.210000000894</v>
      </c>
      <c r="E955" s="7">
        <f>+IF(FINANCIACION[[#This Row],[$ CAPITAL]]&gt;=0,FINANCIACION[[#This Row],[$ CAPITAL]]+FINANCIACION[[#This Row],[$ INTERESES]],"")</f>
        <v>2530000</v>
      </c>
      <c r="F955" s="7">
        <f>+SUMIFS(FINANCIACION[$ CAPITAL],FINANCIACION[Fecha],"&lt;="&amp;FINANCIACION[[#This Row],[Fecha]],FINANCIACION[PRESTAMO],FINANCIACION[[#This Row],[PRESTAMO]])</f>
        <v>-49791511.270000003</v>
      </c>
      <c r="G955" s="91"/>
      <c r="H955" s="11"/>
      <c r="I955" s="7">
        <f>+IF(FINANCIACION[[#This Row],[$ CAPITAL]]&gt;0,FINANCIACION[[#This Row],[$ CAPITAL]])</f>
        <v>2507536.7899999991</v>
      </c>
      <c r="J955" s="49">
        <f>+IF(FINANCIACION[[#This Row],[$ CAPITAL]]&gt;=0,FINANCIACION[[#This Row],[$ CAPITAL]]+FINANCIACION[[#This Row],[$ INTERESES]],0)</f>
        <v>2530000</v>
      </c>
    </row>
    <row r="956" spans="1:10" ht="24" hidden="1" customHeight="1" x14ac:dyDescent="0.25">
      <c r="A956" s="10">
        <v>44408</v>
      </c>
      <c r="B956" s="85" t="s">
        <v>724</v>
      </c>
      <c r="C956" s="7">
        <v>-344502.33999999613</v>
      </c>
      <c r="D956" s="7"/>
      <c r="E956" s="7" t="str">
        <f>+IF(FINANCIACION[[#This Row],[$ CAPITAL]]&gt;=0,FINANCIACION[[#This Row],[$ CAPITAL]]+FINANCIACION[[#This Row],[$ INTERESES]],"")</f>
        <v/>
      </c>
      <c r="F956" s="7">
        <f>+SUMIFS(FINANCIACION[$ CAPITAL],FINANCIACION[Fecha],"&lt;="&amp;FINANCIACION[[#This Row],[Fecha]],FINANCIACION[PRESTAMO],FINANCIACION[[#This Row],[PRESTAMO]])</f>
        <v>-50136013.609999999</v>
      </c>
      <c r="G956" s="11" t="s">
        <v>512</v>
      </c>
      <c r="H956" s="11"/>
      <c r="I956" s="7" t="b">
        <f>+IF(FINANCIACION[[#This Row],[$ CAPITAL]]&gt;0,FINANCIACION[[#This Row],[$ CAPITAL]])</f>
        <v>0</v>
      </c>
      <c r="J956" s="49">
        <f>+IF(FINANCIACION[[#This Row],[$ CAPITAL]]&gt;=0,FINANCIACION[[#This Row],[$ CAPITAL]]+FINANCIACION[[#This Row],[$ INTERESES]],0)</f>
        <v>0</v>
      </c>
    </row>
    <row r="957" spans="1:10" ht="24" hidden="1" customHeight="1" x14ac:dyDescent="0.25">
      <c r="A957" s="10">
        <v>44426</v>
      </c>
      <c r="B957" s="85" t="s">
        <v>724</v>
      </c>
      <c r="C957" s="7">
        <v>2504623.9299999997</v>
      </c>
      <c r="D957" s="7">
        <v>10376.070000000298</v>
      </c>
      <c r="E957" s="7">
        <f>+IF(FINANCIACION[[#This Row],[$ CAPITAL]]&gt;=0,FINANCIACION[[#This Row],[$ CAPITAL]]+FINANCIACION[[#This Row],[$ INTERESES]],"")</f>
        <v>2515000</v>
      </c>
      <c r="F957" s="7">
        <f>+SUMIFS(FINANCIACION[$ CAPITAL],FINANCIACION[Fecha],"&lt;="&amp;FINANCIACION[[#This Row],[Fecha]],FINANCIACION[PRESTAMO],FINANCIACION[[#This Row],[PRESTAMO]])</f>
        <v>-47631389.68</v>
      </c>
      <c r="G957" s="91"/>
      <c r="H957" s="11"/>
      <c r="I957" s="7">
        <f>+IF(FINANCIACION[[#This Row],[$ CAPITAL]]&gt;0,FINANCIACION[[#This Row],[$ CAPITAL]])</f>
        <v>2504623.9299999997</v>
      </c>
      <c r="J957" s="49">
        <f>+IF(FINANCIACION[[#This Row],[$ CAPITAL]]&gt;=0,FINANCIACION[[#This Row],[$ CAPITAL]]+FINANCIACION[[#This Row],[$ INTERESES]],0)</f>
        <v>2515000</v>
      </c>
    </row>
    <row r="958" spans="1:10" ht="24" hidden="1" customHeight="1" x14ac:dyDescent="0.25">
      <c r="A958" s="10">
        <v>44459</v>
      </c>
      <c r="B958" s="85" t="s">
        <v>724</v>
      </c>
      <c r="C958" s="7">
        <v>2473862.3900000006</v>
      </c>
      <c r="D958" s="7">
        <v>30137.609999999404</v>
      </c>
      <c r="E958" s="7">
        <f>+IF(FINANCIACION[[#This Row],[$ CAPITAL]]&gt;=0,FINANCIACION[[#This Row],[$ CAPITAL]]+FINANCIACION[[#This Row],[$ INTERESES]],"")</f>
        <v>2504000</v>
      </c>
      <c r="F958" s="7">
        <f>+SUMIFS(FINANCIACION[$ CAPITAL],FINANCIACION[Fecha],"&lt;="&amp;FINANCIACION[[#This Row],[Fecha]],FINANCIACION[PRESTAMO],FINANCIACION[[#This Row],[PRESTAMO]])</f>
        <v>-45157527.289999999</v>
      </c>
      <c r="G958" s="91"/>
      <c r="H958" s="11"/>
      <c r="I958" s="7">
        <f>+IF(FINANCIACION[[#This Row],[$ CAPITAL]]&gt;0,FINANCIACION[[#This Row],[$ CAPITAL]])</f>
        <v>2473862.3900000006</v>
      </c>
      <c r="J958" s="49">
        <f>+IF(FINANCIACION[[#This Row],[$ CAPITAL]]&gt;=0,FINANCIACION[[#This Row],[$ CAPITAL]]+FINANCIACION[[#This Row],[$ INTERESES]],0)</f>
        <v>2504000</v>
      </c>
    </row>
    <row r="959" spans="1:10" ht="24" hidden="1" customHeight="1" x14ac:dyDescent="0.25">
      <c r="A959" s="10">
        <v>44490</v>
      </c>
      <c r="B959" s="85" t="s">
        <v>724</v>
      </c>
      <c r="C959" s="7">
        <v>2460269.9600000009</v>
      </c>
      <c r="D959" s="7">
        <v>29730.039999999106</v>
      </c>
      <c r="E959" s="7">
        <f>+IF(FINANCIACION[[#This Row],[$ CAPITAL]]&gt;=0,FINANCIACION[[#This Row],[$ CAPITAL]]+FINANCIACION[[#This Row],[$ INTERESES]],"")</f>
        <v>2490000</v>
      </c>
      <c r="F959" s="7">
        <f>+SUMIFS(FINANCIACION[$ CAPITAL],FINANCIACION[Fecha],"&lt;="&amp;FINANCIACION[[#This Row],[Fecha]],FINANCIACION[PRESTAMO],FINANCIACION[[#This Row],[PRESTAMO]])</f>
        <v>-42697257.329999998</v>
      </c>
      <c r="G959" s="91"/>
      <c r="H959" s="11"/>
      <c r="I959" s="7">
        <f>+IF(FINANCIACION[[#This Row],[$ CAPITAL]]&gt;0,FINANCIACION[[#This Row],[$ CAPITAL]])</f>
        <v>2460269.9600000009</v>
      </c>
      <c r="J959" s="49">
        <f>+IF(FINANCIACION[[#This Row],[$ CAPITAL]]&gt;=0,FINANCIACION[[#This Row],[$ CAPITAL]]+FINANCIACION[[#This Row],[$ INTERESES]],0)</f>
        <v>2490000</v>
      </c>
    </row>
    <row r="960" spans="1:10" ht="24" hidden="1" customHeight="1" x14ac:dyDescent="0.25">
      <c r="A960" s="10">
        <v>44523</v>
      </c>
      <c r="B960" s="85" t="s">
        <v>724</v>
      </c>
      <c r="C960" s="7">
        <v>2390422.3299999982</v>
      </c>
      <c r="D960" s="7">
        <v>87577.670000001788</v>
      </c>
      <c r="E960" s="7">
        <f>+IF(FINANCIACION[[#This Row],[$ CAPITAL]]&gt;=0,FINANCIACION[[#This Row],[$ CAPITAL]]+FINANCIACION[[#This Row],[$ INTERESES]],"")</f>
        <v>2478000</v>
      </c>
      <c r="F960" s="7">
        <f>+SUMIFS(FINANCIACION[$ CAPITAL],FINANCIACION[Fecha],"&lt;="&amp;FINANCIACION[[#This Row],[Fecha]],FINANCIACION[PRESTAMO],FINANCIACION[[#This Row],[PRESTAMO]])</f>
        <v>-40306835</v>
      </c>
      <c r="G960" s="91"/>
      <c r="H960" s="11"/>
      <c r="I960" s="7">
        <f>+IF(FINANCIACION[[#This Row],[$ CAPITAL]]&gt;0,FINANCIACION[[#This Row],[$ CAPITAL]])</f>
        <v>2390422.3299999982</v>
      </c>
      <c r="J960" s="49">
        <f>+IF(FINANCIACION[[#This Row],[$ CAPITAL]]&gt;=0,FINANCIACION[[#This Row],[$ CAPITAL]]+FINANCIACION[[#This Row],[$ INTERESES]],0)</f>
        <v>2478000</v>
      </c>
    </row>
    <row r="961" spans="1:10" ht="24" hidden="1" customHeight="1" x14ac:dyDescent="0.25">
      <c r="A961" s="10">
        <v>44544</v>
      </c>
      <c r="B961" s="85" t="s">
        <v>724</v>
      </c>
      <c r="C961" s="7">
        <v>2379867.6799999997</v>
      </c>
      <c r="D961" s="7">
        <v>99132.320000000298</v>
      </c>
      <c r="E961" s="7">
        <f>+IF(FINANCIACION[[#This Row],[$ CAPITAL]]&gt;=0,FINANCIACION[[#This Row],[$ CAPITAL]]+FINANCIACION[[#This Row],[$ INTERESES]],"")</f>
        <v>2479000</v>
      </c>
      <c r="F961" s="7">
        <f>+SUMIFS(FINANCIACION[$ CAPITAL],FINANCIACION[Fecha],"&lt;="&amp;FINANCIACION[[#This Row],[Fecha]],FINANCIACION[PRESTAMO],FINANCIACION[[#This Row],[PRESTAMO]])</f>
        <v>-37926967.32</v>
      </c>
      <c r="G961" s="91"/>
      <c r="H961" s="11"/>
      <c r="I961" s="7">
        <f>+IF(FINANCIACION[[#This Row],[$ CAPITAL]]&gt;0,FINANCIACION[[#This Row],[$ CAPITAL]])</f>
        <v>2379867.6799999997</v>
      </c>
      <c r="J961" s="49">
        <f>+IF(FINANCIACION[[#This Row],[$ CAPITAL]]&gt;=0,FINANCIACION[[#This Row],[$ CAPITAL]]+FINANCIACION[[#This Row],[$ INTERESES]],0)</f>
        <v>2479000</v>
      </c>
    </row>
    <row r="962" spans="1:10" ht="24" hidden="1" customHeight="1" x14ac:dyDescent="0.25">
      <c r="A962" s="10">
        <v>44006</v>
      </c>
      <c r="B962" s="85" t="s">
        <v>725</v>
      </c>
      <c r="C962" s="7">
        <v>-95000000</v>
      </c>
      <c r="D962" s="7">
        <v>3947242</v>
      </c>
      <c r="E962" s="7" t="str">
        <f>+IF(FINANCIACION[[#This Row],[$ CAPITAL]]&gt;=0,FINANCIACION[[#This Row],[$ CAPITAL]]+FINANCIACION[[#This Row],[$ INTERESES]],"")</f>
        <v/>
      </c>
      <c r="F962" s="7">
        <f>+SUMIFS(FINANCIACION[$ CAPITAL],FINANCIACION[Fecha],"&lt;="&amp;FINANCIACION[[#This Row],[Fecha]],FINANCIACION[PRESTAMO],FINANCIACION[[#This Row],[PRESTAMO]])</f>
        <v>-95000000</v>
      </c>
      <c r="G962" s="11"/>
      <c r="H962" s="11"/>
      <c r="I962" s="7" t="b">
        <f>+IF(FINANCIACION[[#This Row],[$ CAPITAL]]&gt;0,FINANCIACION[[#This Row],[$ CAPITAL]])</f>
        <v>0</v>
      </c>
      <c r="J962" s="49">
        <f>+IF(FINANCIACION[[#This Row],[$ CAPITAL]]&gt;=0,FINANCIACION[[#This Row],[$ CAPITAL]]+FINANCIACION[[#This Row],[$ INTERESES]],0)</f>
        <v>0</v>
      </c>
    </row>
    <row r="963" spans="1:10" ht="24" hidden="1" customHeight="1" x14ac:dyDescent="0.25">
      <c r="A963" s="10">
        <v>44012</v>
      </c>
      <c r="B963" s="85" t="s">
        <v>725</v>
      </c>
      <c r="C963" s="7">
        <v>-169090.98000000417</v>
      </c>
      <c r="D963" s="7"/>
      <c r="E963" s="7" t="str">
        <f>+IF(FINANCIACION[[#This Row],[$ CAPITAL]]&gt;=0,FINANCIACION[[#This Row],[$ CAPITAL]]+FINANCIACION[[#This Row],[$ INTERESES]],"")</f>
        <v/>
      </c>
      <c r="F963" s="7">
        <f>+SUMIFS(FINANCIACION[$ CAPITAL],FINANCIACION[Fecha],"&lt;="&amp;FINANCIACION[[#This Row],[Fecha]],FINANCIACION[PRESTAMO],FINANCIACION[[#This Row],[PRESTAMO]])</f>
        <v>-95169090.980000004</v>
      </c>
      <c r="G963" s="11"/>
      <c r="H963" s="11"/>
      <c r="I963" s="7" t="b">
        <f>+IF(FINANCIACION[[#This Row],[$ CAPITAL]]&gt;0,FINANCIACION[[#This Row],[$ CAPITAL]])</f>
        <v>0</v>
      </c>
      <c r="J963" s="49">
        <f>+IF(FINANCIACION[[#This Row],[$ CAPITAL]]&gt;=0,FINANCIACION[[#This Row],[$ CAPITAL]]+FINANCIACION[[#This Row],[$ INTERESES]],0)</f>
        <v>0</v>
      </c>
    </row>
    <row r="964" spans="1:10" ht="24" hidden="1" customHeight="1" x14ac:dyDescent="0.25">
      <c r="A964" s="10">
        <v>44043</v>
      </c>
      <c r="B964" s="85" t="s">
        <v>725</v>
      </c>
      <c r="C964" s="7">
        <v>-865832.45000000298</v>
      </c>
      <c r="D964" s="7"/>
      <c r="E964" s="7" t="str">
        <f>+IF(FINANCIACION[[#This Row],[$ CAPITAL]]&gt;=0,FINANCIACION[[#This Row],[$ CAPITAL]]+FINANCIACION[[#This Row],[$ INTERESES]],"")</f>
        <v/>
      </c>
      <c r="F964" s="7">
        <f>+SUMIFS(FINANCIACION[$ CAPITAL],FINANCIACION[Fecha],"&lt;="&amp;FINANCIACION[[#This Row],[Fecha]],FINANCIACION[PRESTAMO],FINANCIACION[[#This Row],[PRESTAMO]])</f>
        <v>-96034923.430000007</v>
      </c>
      <c r="G964" s="11"/>
      <c r="H964" s="11"/>
      <c r="I964" s="7" t="b">
        <f>+IF(FINANCIACION[[#This Row],[$ CAPITAL]]&gt;0,FINANCIACION[[#This Row],[$ CAPITAL]])</f>
        <v>0</v>
      </c>
      <c r="J964" s="49">
        <f>+IF(FINANCIACION[[#This Row],[$ CAPITAL]]&gt;=0,FINANCIACION[[#This Row],[$ CAPITAL]]+FINANCIACION[[#This Row],[$ INTERESES]],0)</f>
        <v>0</v>
      </c>
    </row>
    <row r="965" spans="1:10" ht="24" hidden="1" customHeight="1" x14ac:dyDescent="0.25">
      <c r="A965" s="10">
        <v>44074</v>
      </c>
      <c r="B965" s="85" t="s">
        <v>725</v>
      </c>
      <c r="C965" s="7">
        <v>-818880.33999998902</v>
      </c>
      <c r="D965" s="7"/>
      <c r="E965" s="7" t="str">
        <f>+IF(FINANCIACION[[#This Row],[$ CAPITAL]]&gt;=0,FINANCIACION[[#This Row],[$ CAPITAL]]+FINANCIACION[[#This Row],[$ INTERESES]],"")</f>
        <v/>
      </c>
      <c r="F965" s="7">
        <f>+SUMIFS(FINANCIACION[$ CAPITAL],FINANCIACION[Fecha],"&lt;="&amp;FINANCIACION[[#This Row],[Fecha]],FINANCIACION[PRESTAMO],FINANCIACION[[#This Row],[PRESTAMO]])</f>
        <v>-96853803.769999996</v>
      </c>
      <c r="G965" s="11"/>
      <c r="H965" s="11"/>
      <c r="I965" s="7" t="b">
        <f>+IF(FINANCIACION[[#This Row],[$ CAPITAL]]&gt;0,FINANCIACION[[#This Row],[$ CAPITAL]])</f>
        <v>0</v>
      </c>
      <c r="J965" s="49">
        <f>+IF(FINANCIACION[[#This Row],[$ CAPITAL]]&gt;=0,FINANCIACION[[#This Row],[$ CAPITAL]]+FINANCIACION[[#This Row],[$ INTERESES]],0)</f>
        <v>0</v>
      </c>
    </row>
    <row r="966" spans="1:10" ht="24" hidden="1" customHeight="1" x14ac:dyDescent="0.25">
      <c r="A966" s="10">
        <v>44104</v>
      </c>
      <c r="B966" s="85" t="s">
        <v>725</v>
      </c>
      <c r="C966" s="7">
        <v>-762127.79000000656</v>
      </c>
      <c r="D966" s="7"/>
      <c r="E966" s="7" t="str">
        <f>+IF(FINANCIACION[[#This Row],[$ CAPITAL]]&gt;=0,FINANCIACION[[#This Row],[$ CAPITAL]]+FINANCIACION[[#This Row],[$ INTERESES]],"")</f>
        <v/>
      </c>
      <c r="F966" s="7">
        <f>+SUMIFS(FINANCIACION[$ CAPITAL],FINANCIACION[Fecha],"&lt;="&amp;FINANCIACION[[#This Row],[Fecha]],FINANCIACION[PRESTAMO],FINANCIACION[[#This Row],[PRESTAMO]])</f>
        <v>-97615931.560000002</v>
      </c>
      <c r="G966" s="11"/>
      <c r="H966" s="11"/>
      <c r="I966" s="7" t="b">
        <f>+IF(FINANCIACION[[#This Row],[$ CAPITAL]]&gt;0,FINANCIACION[[#This Row],[$ CAPITAL]])</f>
        <v>0</v>
      </c>
      <c r="J966" s="49">
        <f>+IF(FINANCIACION[[#This Row],[$ CAPITAL]]&gt;=0,FINANCIACION[[#This Row],[$ CAPITAL]]+FINANCIACION[[#This Row],[$ INTERESES]],0)</f>
        <v>0</v>
      </c>
    </row>
    <row r="967" spans="1:10" ht="24" hidden="1" customHeight="1" x14ac:dyDescent="0.25">
      <c r="A967" s="10">
        <v>44135</v>
      </c>
      <c r="B967" s="85" t="s">
        <v>725</v>
      </c>
      <c r="C967" s="7">
        <v>-856581.43999999762</v>
      </c>
      <c r="D967" s="7"/>
      <c r="E967" s="7" t="str">
        <f>+IF(FINANCIACION[[#This Row],[$ CAPITAL]]&gt;=0,FINANCIACION[[#This Row],[$ CAPITAL]]+FINANCIACION[[#This Row],[$ INTERESES]],"")</f>
        <v/>
      </c>
      <c r="F967" s="7">
        <f>+SUMIFS(FINANCIACION[$ CAPITAL],FINANCIACION[Fecha],"&lt;="&amp;FINANCIACION[[#This Row],[Fecha]],FINANCIACION[PRESTAMO],FINANCIACION[[#This Row],[PRESTAMO]])</f>
        <v>-98472513</v>
      </c>
      <c r="G967" s="11"/>
      <c r="H967" s="11"/>
      <c r="I967" s="7" t="b">
        <f>+IF(FINANCIACION[[#This Row],[$ CAPITAL]]&gt;0,FINANCIACION[[#This Row],[$ CAPITAL]])</f>
        <v>0</v>
      </c>
      <c r="J967" s="49">
        <f>+IF(FINANCIACION[[#This Row],[$ CAPITAL]]&gt;=0,FINANCIACION[[#This Row],[$ CAPITAL]]+FINANCIACION[[#This Row],[$ INTERESES]],0)</f>
        <v>0</v>
      </c>
    </row>
    <row r="968" spans="1:10" ht="24" hidden="1" customHeight="1" x14ac:dyDescent="0.25">
      <c r="A968" s="10">
        <v>44161</v>
      </c>
      <c r="B968" s="85" t="s">
        <v>725</v>
      </c>
      <c r="C968" s="7">
        <v>24886.480000004172</v>
      </c>
      <c r="D968" s="7">
        <v>3984146.5199999958</v>
      </c>
      <c r="E968" s="7">
        <f>+IF(FINANCIACION[[#This Row],[$ CAPITAL]]&gt;=0,FINANCIACION[[#This Row],[$ CAPITAL]]+FINANCIACION[[#This Row],[$ INTERESES]],"")</f>
        <v>4009033</v>
      </c>
      <c r="F968" s="7">
        <f>+SUMIFS(FINANCIACION[$ CAPITAL],FINANCIACION[Fecha],"&lt;="&amp;FINANCIACION[[#This Row],[Fecha]],FINANCIACION[PRESTAMO],FINANCIACION[[#This Row],[PRESTAMO]])</f>
        <v>-98447626.519999996</v>
      </c>
      <c r="G968" s="11"/>
      <c r="H968" s="11"/>
      <c r="I968" s="7">
        <f>+IF(FINANCIACION[[#This Row],[$ CAPITAL]]&gt;0,FINANCIACION[[#This Row],[$ CAPITAL]])</f>
        <v>24886.480000004172</v>
      </c>
      <c r="J968" s="49">
        <f>+IF(FINANCIACION[[#This Row],[$ CAPITAL]]&gt;=0,FINANCIACION[[#This Row],[$ CAPITAL]]+FINANCIACION[[#This Row],[$ INTERESES]],0)</f>
        <v>4009033</v>
      </c>
    </row>
    <row r="969" spans="1:10" ht="24" hidden="1" customHeight="1" x14ac:dyDescent="0.25">
      <c r="A969" s="10">
        <v>44165</v>
      </c>
      <c r="B969" s="85" t="s">
        <v>725</v>
      </c>
      <c r="C969" s="7">
        <v>3330972.049999997</v>
      </c>
      <c r="D969" s="7"/>
      <c r="E969" s="7">
        <f>+IF(FINANCIACION[[#This Row],[$ CAPITAL]]&gt;=0,FINANCIACION[[#This Row],[$ CAPITAL]]+FINANCIACION[[#This Row],[$ INTERESES]],"")</f>
        <v>3330972.049999997</v>
      </c>
      <c r="F969" s="7">
        <f>+SUMIFS(FINANCIACION[$ CAPITAL],FINANCIACION[Fecha],"&lt;="&amp;FINANCIACION[[#This Row],[Fecha]],FINANCIACION[PRESTAMO],FINANCIACION[[#This Row],[PRESTAMO]])</f>
        <v>-95116654.469999999</v>
      </c>
      <c r="G969" s="11"/>
      <c r="H969" s="11"/>
      <c r="I969" s="7">
        <f>+IF(FINANCIACION[[#This Row],[$ CAPITAL]]&gt;0,FINANCIACION[[#This Row],[$ CAPITAL]])</f>
        <v>3330972.049999997</v>
      </c>
      <c r="J969" s="49">
        <f>+IF(FINANCIACION[[#This Row],[$ CAPITAL]]&gt;=0,FINANCIACION[[#This Row],[$ CAPITAL]]+FINANCIACION[[#This Row],[$ INTERESES]],0)</f>
        <v>3330972.049999997</v>
      </c>
    </row>
    <row r="970" spans="1:10" ht="24" hidden="1" customHeight="1" x14ac:dyDescent="0.25">
      <c r="A970" s="10">
        <v>44187</v>
      </c>
      <c r="B970" s="85" t="s">
        <v>725</v>
      </c>
      <c r="C970" s="7">
        <v>1000000</v>
      </c>
      <c r="D970" s="7"/>
      <c r="E970" s="7">
        <f>+IF(FINANCIACION[[#This Row],[$ CAPITAL]]&gt;=0,FINANCIACION[[#This Row],[$ CAPITAL]]+FINANCIACION[[#This Row],[$ INTERESES]],"")</f>
        <v>1000000</v>
      </c>
      <c r="F970" s="7">
        <f>+SUMIFS(FINANCIACION[$ CAPITAL],FINANCIACION[Fecha],"&lt;="&amp;FINANCIACION[[#This Row],[Fecha]],FINANCIACION[PRESTAMO],FINANCIACION[[#This Row],[PRESTAMO]])</f>
        <v>-94116654.469999999</v>
      </c>
      <c r="G970" s="11"/>
      <c r="H970" s="11"/>
      <c r="I970" s="7">
        <f>+IF(FINANCIACION[[#This Row],[$ CAPITAL]]&gt;0,FINANCIACION[[#This Row],[$ CAPITAL]])</f>
        <v>1000000</v>
      </c>
      <c r="J970" s="49">
        <f>+IF(FINANCIACION[[#This Row],[$ CAPITAL]]&gt;=0,FINANCIACION[[#This Row],[$ CAPITAL]]+FINANCIACION[[#This Row],[$ INTERESES]],0)</f>
        <v>1000000</v>
      </c>
    </row>
    <row r="971" spans="1:10" ht="24" hidden="1" customHeight="1" x14ac:dyDescent="0.25">
      <c r="A971" s="10">
        <v>44196</v>
      </c>
      <c r="B971" s="85" t="s">
        <v>725</v>
      </c>
      <c r="C971" s="7">
        <v>-827891.71999999881</v>
      </c>
      <c r="D971" s="7"/>
      <c r="E971" s="7" t="str">
        <f>+IF(FINANCIACION[[#This Row],[$ CAPITAL]]&gt;=0,FINANCIACION[[#This Row],[$ CAPITAL]]+FINANCIACION[[#This Row],[$ INTERESES]],"")</f>
        <v/>
      </c>
      <c r="F971" s="7">
        <f>+SUMIFS(FINANCIACION[$ CAPITAL],FINANCIACION[Fecha],"&lt;="&amp;FINANCIACION[[#This Row],[Fecha]],FINANCIACION[PRESTAMO],FINANCIACION[[#This Row],[PRESTAMO]])</f>
        <v>-94944546.189999998</v>
      </c>
      <c r="G971" s="11"/>
      <c r="H971" s="11"/>
      <c r="I971" s="7" t="b">
        <f>+IF(FINANCIACION[[#This Row],[$ CAPITAL]]&gt;0,FINANCIACION[[#This Row],[$ CAPITAL]])</f>
        <v>0</v>
      </c>
      <c r="J971" s="49">
        <f>+IF(FINANCIACION[[#This Row],[$ CAPITAL]]&gt;=0,FINANCIACION[[#This Row],[$ CAPITAL]]+FINANCIACION[[#This Row],[$ INTERESES]],0)</f>
        <v>0</v>
      </c>
    </row>
    <row r="972" spans="1:10" ht="24" hidden="1" customHeight="1" x14ac:dyDescent="0.25">
      <c r="A972" s="10">
        <v>44244</v>
      </c>
      <c r="B972" s="85" t="s">
        <v>725</v>
      </c>
      <c r="C972" s="7">
        <v>2718857</v>
      </c>
      <c r="D972" s="7"/>
      <c r="E972" s="7">
        <f>+IF(FINANCIACION[[#This Row],[$ CAPITAL]]&gt;=0,FINANCIACION[[#This Row],[$ CAPITAL]]+FINANCIACION[[#This Row],[$ INTERESES]],"")</f>
        <v>2718857</v>
      </c>
      <c r="F972" s="7">
        <f>+SUMIFS(FINANCIACION[$ CAPITAL],FINANCIACION[Fecha],"&lt;="&amp;FINANCIACION[[#This Row],[Fecha]],FINANCIACION[PRESTAMO],FINANCIACION[[#This Row],[PRESTAMO]])</f>
        <v>-92225689.189999998</v>
      </c>
      <c r="G972" s="11"/>
      <c r="H972" s="11"/>
      <c r="I972" s="7">
        <f>+IF(FINANCIACION[[#This Row],[$ CAPITAL]]&gt;0,FINANCIACION[[#This Row],[$ CAPITAL]])</f>
        <v>2718857</v>
      </c>
      <c r="J972" s="12">
        <f>+IF(FINANCIACION[[#This Row],[$ CAPITAL]]&gt;=0,FINANCIACION[[#This Row],[$ CAPITAL]]+FINANCIACION[[#This Row],[$ INTERESES]],0)</f>
        <v>2718857</v>
      </c>
    </row>
    <row r="973" spans="1:10" ht="24" hidden="1" customHeight="1" x14ac:dyDescent="0.25">
      <c r="A973" s="10">
        <v>44255</v>
      </c>
      <c r="B973" s="85" t="s">
        <v>725</v>
      </c>
      <c r="C973" s="7">
        <v>3748799.9599999934</v>
      </c>
      <c r="D973" s="7"/>
      <c r="E973" s="7">
        <f>+IF(FINANCIACION[[#This Row],[$ CAPITAL]]&gt;=0,FINANCIACION[[#This Row],[$ CAPITAL]]+FINANCIACION[[#This Row],[$ INTERESES]],"")</f>
        <v>3748799.9599999934</v>
      </c>
      <c r="F973" s="7">
        <f>+SUMIFS(FINANCIACION[$ CAPITAL],FINANCIACION[Fecha],"&lt;="&amp;FINANCIACION[[#This Row],[Fecha]],FINANCIACION[PRESTAMO],FINANCIACION[[#This Row],[PRESTAMO]])</f>
        <v>-88476889.230000004</v>
      </c>
      <c r="G973" s="11" t="s">
        <v>512</v>
      </c>
      <c r="H973" s="11"/>
      <c r="I973" s="7">
        <f>+IF(FINANCIACION[[#This Row],[$ CAPITAL]]&gt;0,FINANCIACION[[#This Row],[$ CAPITAL]])</f>
        <v>3748799.9599999934</v>
      </c>
      <c r="J973" s="12">
        <f>+IF(FINANCIACION[[#This Row],[$ CAPITAL]]&gt;=0,FINANCIACION[[#This Row],[$ CAPITAL]]+FINANCIACION[[#This Row],[$ INTERESES]],0)</f>
        <v>3748799.9599999934</v>
      </c>
    </row>
    <row r="974" spans="1:10" ht="24" hidden="1" customHeight="1" x14ac:dyDescent="0.25">
      <c r="A974" s="10">
        <v>44284</v>
      </c>
      <c r="B974" s="85" t="s">
        <v>725</v>
      </c>
      <c r="C974" s="7">
        <v>4917561.8900000006</v>
      </c>
      <c r="D974" s="7">
        <v>82438.109999999404</v>
      </c>
      <c r="E974" s="7">
        <f>+IF(FINANCIACION[[#This Row],[$ CAPITAL]]&gt;=0,FINANCIACION[[#This Row],[$ CAPITAL]]+FINANCIACION[[#This Row],[$ INTERESES]],"")</f>
        <v>5000000</v>
      </c>
      <c r="F974" s="7">
        <f>+SUMIFS(FINANCIACION[$ CAPITAL],FINANCIACION[Fecha],"&lt;="&amp;FINANCIACION[[#This Row],[Fecha]],FINANCIACION[PRESTAMO],FINANCIACION[[#This Row],[PRESTAMO]])</f>
        <v>-83559327.340000004</v>
      </c>
      <c r="G974" s="11"/>
      <c r="H974" s="91"/>
      <c r="I974" s="7">
        <f>+IF(FINANCIACION[[#This Row],[$ CAPITAL]]&gt;0,FINANCIACION[[#This Row],[$ CAPITAL]])</f>
        <v>4917561.8900000006</v>
      </c>
      <c r="J974" s="12">
        <f>+IF(FINANCIACION[[#This Row],[$ CAPITAL]]&gt;=0,FINANCIACION[[#This Row],[$ CAPITAL]]+FINANCIACION[[#This Row],[$ INTERESES]],0)</f>
        <v>5000000</v>
      </c>
    </row>
    <row r="975" spans="1:10" ht="24" hidden="1" customHeight="1" x14ac:dyDescent="0.25">
      <c r="A975" s="10">
        <v>44286</v>
      </c>
      <c r="B975" s="85" t="s">
        <v>725</v>
      </c>
      <c r="C975" s="7">
        <v>-703537.09999999404</v>
      </c>
      <c r="D975" s="7"/>
      <c r="E975" s="7" t="str">
        <f>+IF(FINANCIACION[[#This Row],[$ CAPITAL]]&gt;=0,FINANCIACION[[#This Row],[$ CAPITAL]]+FINANCIACION[[#This Row],[$ INTERESES]],"")</f>
        <v/>
      </c>
      <c r="F975" s="7">
        <f>+SUMIFS(FINANCIACION[$ CAPITAL],FINANCIACION[Fecha],"&lt;="&amp;FINANCIACION[[#This Row],[Fecha]],FINANCIACION[PRESTAMO],FINANCIACION[[#This Row],[PRESTAMO]])</f>
        <v>-84262864.439999998</v>
      </c>
      <c r="G975" s="11" t="s">
        <v>512</v>
      </c>
      <c r="H975" s="91"/>
      <c r="I975" s="7" t="b">
        <f>+IF(FINANCIACION[[#This Row],[$ CAPITAL]]&gt;0,FINANCIACION[[#This Row],[$ CAPITAL]])</f>
        <v>0</v>
      </c>
      <c r="J975" s="12">
        <f>+IF(FINANCIACION[[#This Row],[$ CAPITAL]]&gt;=0,FINANCIACION[[#This Row],[$ CAPITAL]]+FINANCIACION[[#This Row],[$ INTERESES]],0)</f>
        <v>0</v>
      </c>
    </row>
    <row r="976" spans="1:10" ht="24" hidden="1" customHeight="1" x14ac:dyDescent="0.25">
      <c r="A976" s="10">
        <v>44316</v>
      </c>
      <c r="B976" s="85" t="s">
        <v>725</v>
      </c>
      <c r="C976" s="7">
        <v>2039889.7599999905</v>
      </c>
      <c r="D976" s="7"/>
      <c r="E976" s="7">
        <f>+IF(FINANCIACION[[#This Row],[$ CAPITAL]]&gt;=0,FINANCIACION[[#This Row],[$ CAPITAL]]+FINANCIACION[[#This Row],[$ INTERESES]],"")</f>
        <v>2039889.7599999905</v>
      </c>
      <c r="F976" s="7">
        <f>+SUMIFS(FINANCIACION[$ CAPITAL],FINANCIACION[Fecha],"&lt;="&amp;FINANCIACION[[#This Row],[Fecha]],FINANCIACION[PRESTAMO],FINANCIACION[[#This Row],[PRESTAMO]])</f>
        <v>-82222974.680000007</v>
      </c>
      <c r="G976" s="11" t="s">
        <v>512</v>
      </c>
      <c r="H976" s="91"/>
      <c r="I976" s="7">
        <f>+IF(FINANCIACION[[#This Row],[$ CAPITAL]]&gt;0,FINANCIACION[[#This Row],[$ CAPITAL]])</f>
        <v>2039889.7599999905</v>
      </c>
      <c r="J976" s="12">
        <f>+IF(FINANCIACION[[#This Row],[$ CAPITAL]]&gt;=0,FINANCIACION[[#This Row],[$ CAPITAL]]+FINANCIACION[[#This Row],[$ INTERESES]],0)</f>
        <v>2039889.7599999905</v>
      </c>
    </row>
    <row r="977" spans="1:10" ht="24" hidden="1" customHeight="1" x14ac:dyDescent="0.25">
      <c r="A977" s="10">
        <v>44340</v>
      </c>
      <c r="B977" s="85" t="s">
        <v>725</v>
      </c>
      <c r="C977" s="7">
        <v>3748005.3799999952</v>
      </c>
      <c r="D977" s="7">
        <v>18994.620000004768</v>
      </c>
      <c r="E977" s="7">
        <f>+IF(FINANCIACION[[#This Row],[$ CAPITAL]]&gt;=0,FINANCIACION[[#This Row],[$ CAPITAL]]+FINANCIACION[[#This Row],[$ INTERESES]],"")</f>
        <v>3767000</v>
      </c>
      <c r="F977" s="7">
        <f>+SUMIFS(FINANCIACION[$ CAPITAL],FINANCIACION[Fecha],"&lt;="&amp;FINANCIACION[[#This Row],[Fecha]],FINANCIACION[PRESTAMO],FINANCIACION[[#This Row],[PRESTAMO]])</f>
        <v>-78474969.300000012</v>
      </c>
      <c r="G977" s="11"/>
      <c r="H977" s="91"/>
      <c r="I977" s="7">
        <f>+IF(FINANCIACION[[#This Row],[$ CAPITAL]]&gt;0,FINANCIACION[[#This Row],[$ CAPITAL]])</f>
        <v>3748005.3799999952</v>
      </c>
      <c r="J977" s="12">
        <f>+IF(FINANCIACION[[#This Row],[$ CAPITAL]]&gt;=0,FINANCIACION[[#This Row],[$ CAPITAL]]+FINANCIACION[[#This Row],[$ INTERESES]],0)</f>
        <v>3767000</v>
      </c>
    </row>
    <row r="978" spans="1:10" ht="24" hidden="1" customHeight="1" x14ac:dyDescent="0.25">
      <c r="A978" s="10">
        <v>44346</v>
      </c>
      <c r="B978" s="85" t="s">
        <v>725</v>
      </c>
      <c r="C978" s="7">
        <v>-1092235.3799999803</v>
      </c>
      <c r="D978" s="7"/>
      <c r="E978" s="7" t="str">
        <f>+IF(FINANCIACION[[#This Row],[$ CAPITAL]]&gt;=0,FINANCIACION[[#This Row],[$ CAPITAL]]+FINANCIACION[[#This Row],[$ INTERESES]],"")</f>
        <v/>
      </c>
      <c r="F978" s="7">
        <f>+SUMIFS(FINANCIACION[$ CAPITAL],FINANCIACION[Fecha],"&lt;="&amp;FINANCIACION[[#This Row],[Fecha]],FINANCIACION[PRESTAMO],FINANCIACION[[#This Row],[PRESTAMO]])</f>
        <v>-79567204.679999992</v>
      </c>
      <c r="G978" s="91" t="s">
        <v>512</v>
      </c>
      <c r="H978" s="11"/>
      <c r="I978" s="7" t="b">
        <f>+IF(FINANCIACION[[#This Row],[$ CAPITAL]]&gt;0,FINANCIACION[[#This Row],[$ CAPITAL]])</f>
        <v>0</v>
      </c>
      <c r="J978" s="49">
        <f>+IF(FINANCIACION[[#This Row],[$ CAPITAL]]&gt;=0,FINANCIACION[[#This Row],[$ CAPITAL]]+FINANCIACION[[#This Row],[$ INTERESES]],0)</f>
        <v>0</v>
      </c>
    </row>
    <row r="979" spans="1:10" ht="24" hidden="1" customHeight="1" x14ac:dyDescent="0.25">
      <c r="A979" s="10">
        <v>44372</v>
      </c>
      <c r="B979" s="85" t="s">
        <v>725</v>
      </c>
      <c r="C979" s="7">
        <v>3713546.1699999869</v>
      </c>
      <c r="D979" s="7">
        <v>36453.830000013113</v>
      </c>
      <c r="E979" s="7">
        <f>+IF(FINANCIACION[[#This Row],[$ CAPITAL]]&gt;=0,FINANCIACION[[#This Row],[$ CAPITAL]]+FINANCIACION[[#This Row],[$ INTERESES]],"")</f>
        <v>3750000</v>
      </c>
      <c r="F979" s="7">
        <f>+SUMIFS(FINANCIACION[$ CAPITAL],FINANCIACION[Fecha],"&lt;="&amp;FINANCIACION[[#This Row],[Fecha]],FINANCIACION[PRESTAMO],FINANCIACION[[#This Row],[PRESTAMO]])</f>
        <v>-75853658.510000005</v>
      </c>
      <c r="G979" s="91"/>
      <c r="H979" s="11"/>
      <c r="I979" s="7">
        <f>+IF(FINANCIACION[[#This Row],[$ CAPITAL]]&gt;0,FINANCIACION[[#This Row],[$ CAPITAL]])</f>
        <v>3713546.1699999869</v>
      </c>
      <c r="J979" s="49">
        <f>+IF(FINANCIACION[[#This Row],[$ CAPITAL]]&gt;=0,FINANCIACION[[#This Row],[$ CAPITAL]]+FINANCIACION[[#This Row],[$ INTERESES]],0)</f>
        <v>3750000</v>
      </c>
    </row>
    <row r="980" spans="1:10" ht="24" hidden="1" customHeight="1" x14ac:dyDescent="0.25">
      <c r="A980" s="10">
        <v>44398</v>
      </c>
      <c r="B980" s="85" t="s">
        <v>725</v>
      </c>
      <c r="C980" s="7">
        <v>3693729.5600000024</v>
      </c>
      <c r="D980" s="7">
        <v>36270.439999997616</v>
      </c>
      <c r="E980" s="7">
        <f>+IF(FINANCIACION[[#This Row],[$ CAPITAL]]&gt;=0,FINANCIACION[[#This Row],[$ CAPITAL]]+FINANCIACION[[#This Row],[$ INTERESES]],"")</f>
        <v>3730000</v>
      </c>
      <c r="F980" s="7">
        <f>+SUMIFS(FINANCIACION[$ CAPITAL],FINANCIACION[Fecha],"&lt;="&amp;FINANCIACION[[#This Row],[Fecha]],FINANCIACION[PRESTAMO],FINANCIACION[[#This Row],[PRESTAMO]])</f>
        <v>-72159928.950000003</v>
      </c>
      <c r="G980" s="91"/>
      <c r="H980" s="11"/>
      <c r="I980" s="7">
        <f>+IF(FINANCIACION[[#This Row],[$ CAPITAL]]&gt;0,FINANCIACION[[#This Row],[$ CAPITAL]])</f>
        <v>3693729.5600000024</v>
      </c>
      <c r="J980" s="49">
        <f>+IF(FINANCIACION[[#This Row],[$ CAPITAL]]&gt;=0,FINANCIACION[[#This Row],[$ CAPITAL]]+FINANCIACION[[#This Row],[$ INTERESES]],0)</f>
        <v>3730000</v>
      </c>
    </row>
    <row r="981" spans="1:10" ht="24" hidden="1" customHeight="1" x14ac:dyDescent="0.25">
      <c r="A981" s="10">
        <v>44408</v>
      </c>
      <c r="B981" s="85" t="s">
        <v>725</v>
      </c>
      <c r="C981" s="7">
        <v>-556501.06000000238</v>
      </c>
      <c r="D981" s="7"/>
      <c r="E981" s="7" t="str">
        <f>+IF(FINANCIACION[[#This Row],[$ CAPITAL]]&gt;=0,FINANCIACION[[#This Row],[$ CAPITAL]]+FINANCIACION[[#This Row],[$ INTERESES]],"")</f>
        <v/>
      </c>
      <c r="F981" s="7">
        <f>+SUMIFS(FINANCIACION[$ CAPITAL],FINANCIACION[Fecha],"&lt;="&amp;FINANCIACION[[#This Row],[Fecha]],FINANCIACION[PRESTAMO],FINANCIACION[[#This Row],[PRESTAMO]])</f>
        <v>-72716430.010000005</v>
      </c>
      <c r="G981" s="11" t="s">
        <v>512</v>
      </c>
      <c r="H981" s="11"/>
      <c r="I981" s="7" t="b">
        <f>+IF(FINANCIACION[[#This Row],[$ CAPITAL]]&gt;0,FINANCIACION[[#This Row],[$ CAPITAL]])</f>
        <v>0</v>
      </c>
      <c r="J981" s="49">
        <f>+IF(FINANCIACION[[#This Row],[$ CAPITAL]]&gt;=0,FINANCIACION[[#This Row],[$ CAPITAL]]+FINANCIACION[[#This Row],[$ INTERESES]],0)</f>
        <v>0</v>
      </c>
    </row>
    <row r="982" spans="1:10" ht="24" hidden="1" customHeight="1" x14ac:dyDescent="0.25">
      <c r="A982" s="10">
        <v>44426</v>
      </c>
      <c r="B982" s="85" t="s">
        <v>725</v>
      </c>
      <c r="C982" s="7">
        <v>3688246.1700000018</v>
      </c>
      <c r="D982" s="7">
        <v>16753.829999998212</v>
      </c>
      <c r="E982" s="7">
        <f>+IF(FINANCIACION[[#This Row],[$ CAPITAL]]&gt;=0,FINANCIACION[[#This Row],[$ CAPITAL]]+FINANCIACION[[#This Row],[$ INTERESES]],"")</f>
        <v>3705000</v>
      </c>
      <c r="F982" s="7">
        <f>+SUMIFS(FINANCIACION[$ CAPITAL],FINANCIACION[Fecha],"&lt;="&amp;FINANCIACION[[#This Row],[Fecha]],FINANCIACION[PRESTAMO],FINANCIACION[[#This Row],[PRESTAMO]])</f>
        <v>-69028183.840000004</v>
      </c>
      <c r="G982" s="91"/>
      <c r="H982" s="11"/>
      <c r="I982" s="7">
        <f>+IF(FINANCIACION[[#This Row],[$ CAPITAL]]&gt;0,FINANCIACION[[#This Row],[$ CAPITAL]])</f>
        <v>3688246.1700000018</v>
      </c>
      <c r="J982" s="49">
        <f>+IF(FINANCIACION[[#This Row],[$ CAPITAL]]&gt;=0,FINANCIACION[[#This Row],[$ CAPITAL]]+FINANCIACION[[#This Row],[$ INTERESES]],0)</f>
        <v>3705000</v>
      </c>
    </row>
    <row r="983" spans="1:10" ht="24" hidden="1" customHeight="1" x14ac:dyDescent="0.25">
      <c r="A983" s="10">
        <v>44459</v>
      </c>
      <c r="B983" s="85" t="s">
        <v>725</v>
      </c>
      <c r="C983" s="7">
        <v>3639410.0100000054</v>
      </c>
      <c r="D983" s="7">
        <v>48589.989999994636</v>
      </c>
      <c r="E983" s="7">
        <f>+IF(FINANCIACION[[#This Row],[$ CAPITAL]]&gt;=0,FINANCIACION[[#This Row],[$ CAPITAL]]+FINANCIACION[[#This Row],[$ INTERESES]],"")</f>
        <v>3688000</v>
      </c>
      <c r="F983" s="7">
        <f>+SUMIFS(FINANCIACION[$ CAPITAL],FINANCIACION[Fecha],"&lt;="&amp;FINANCIACION[[#This Row],[Fecha]],FINANCIACION[PRESTAMO],FINANCIACION[[#This Row],[PRESTAMO]])</f>
        <v>-65388773.829999998</v>
      </c>
      <c r="G983" s="91"/>
      <c r="H983" s="11"/>
      <c r="I983" s="7">
        <f>+IF(FINANCIACION[[#This Row],[$ CAPITAL]]&gt;0,FINANCIACION[[#This Row],[$ CAPITAL]])</f>
        <v>3639410.0100000054</v>
      </c>
      <c r="J983" s="49">
        <f>+IF(FINANCIACION[[#This Row],[$ CAPITAL]]&gt;=0,FINANCIACION[[#This Row],[$ CAPITAL]]+FINANCIACION[[#This Row],[$ INTERESES]],0)</f>
        <v>3688000</v>
      </c>
    </row>
    <row r="984" spans="1:10" ht="24" hidden="1" customHeight="1" x14ac:dyDescent="0.25">
      <c r="A984" s="10">
        <v>44490</v>
      </c>
      <c r="B984" s="85" t="s">
        <v>725</v>
      </c>
      <c r="C984" s="7">
        <v>3617080.799999997</v>
      </c>
      <c r="D984" s="7">
        <v>47919.20000000298</v>
      </c>
      <c r="E984" s="7">
        <f>+IF(FINANCIACION[[#This Row],[$ CAPITAL]]&gt;=0,FINANCIACION[[#This Row],[$ CAPITAL]]+FINANCIACION[[#This Row],[$ INTERESES]],"")</f>
        <v>3665000</v>
      </c>
      <c r="F984" s="7">
        <f>+SUMIFS(FINANCIACION[$ CAPITAL],FINANCIACION[Fecha],"&lt;="&amp;FINANCIACION[[#This Row],[Fecha]],FINANCIACION[PRESTAMO],FINANCIACION[[#This Row],[PRESTAMO]])</f>
        <v>-61771693.030000001</v>
      </c>
      <c r="G984" s="91"/>
      <c r="H984" s="11"/>
      <c r="I984" s="7">
        <f>+IF(FINANCIACION[[#This Row],[$ CAPITAL]]&gt;0,FINANCIACION[[#This Row],[$ CAPITAL]])</f>
        <v>3617080.799999997</v>
      </c>
      <c r="J984" s="49">
        <f>+IF(FINANCIACION[[#This Row],[$ CAPITAL]]&gt;=0,FINANCIACION[[#This Row],[$ CAPITAL]]+FINANCIACION[[#This Row],[$ INTERESES]],0)</f>
        <v>3665000</v>
      </c>
    </row>
    <row r="985" spans="1:10" ht="24" hidden="1" customHeight="1" x14ac:dyDescent="0.25">
      <c r="A985" s="10">
        <v>44523</v>
      </c>
      <c r="B985" s="85" t="s">
        <v>725</v>
      </c>
      <c r="C985" s="7">
        <v>3505028.4600000009</v>
      </c>
      <c r="D985" s="7">
        <v>140971.53999999911</v>
      </c>
      <c r="E985" s="7">
        <f>+IF(FINANCIACION[[#This Row],[$ CAPITAL]]&gt;=0,FINANCIACION[[#This Row],[$ CAPITAL]]+FINANCIACION[[#This Row],[$ INTERESES]],"")</f>
        <v>3646000</v>
      </c>
      <c r="F985" s="7">
        <f>+SUMIFS(FINANCIACION[$ CAPITAL],FINANCIACION[Fecha],"&lt;="&amp;FINANCIACION[[#This Row],[Fecha]],FINANCIACION[PRESTAMO],FINANCIACION[[#This Row],[PRESTAMO]])</f>
        <v>-58266664.57</v>
      </c>
      <c r="G985" s="91"/>
      <c r="H985" s="11"/>
      <c r="I985" s="7">
        <f>+IF(FINANCIACION[[#This Row],[$ CAPITAL]]&gt;0,FINANCIACION[[#This Row],[$ CAPITAL]])</f>
        <v>3505028.4600000009</v>
      </c>
      <c r="J985" s="49">
        <f>+IF(FINANCIACION[[#This Row],[$ CAPITAL]]&gt;=0,FINANCIACION[[#This Row],[$ CAPITAL]]+FINANCIACION[[#This Row],[$ INTERESES]],0)</f>
        <v>3646000</v>
      </c>
    </row>
    <row r="986" spans="1:10" ht="24" hidden="1" customHeight="1" x14ac:dyDescent="0.25">
      <c r="A986" s="10">
        <v>44544</v>
      </c>
      <c r="B986" s="85" t="s">
        <v>725</v>
      </c>
      <c r="C986" s="7">
        <v>3485285.1499999985</v>
      </c>
      <c r="D986" s="7">
        <v>158714.85000000149</v>
      </c>
      <c r="E986" s="7">
        <f>+IF(FINANCIACION[[#This Row],[$ CAPITAL]]&gt;=0,FINANCIACION[[#This Row],[$ CAPITAL]]+FINANCIACION[[#This Row],[$ INTERESES]],"")</f>
        <v>3644000</v>
      </c>
      <c r="F986" s="7">
        <f>+SUMIFS(FINANCIACION[$ CAPITAL],FINANCIACION[Fecha],"&lt;="&amp;FINANCIACION[[#This Row],[Fecha]],FINANCIACION[PRESTAMO],FINANCIACION[[#This Row],[PRESTAMO]])</f>
        <v>-54781379.420000002</v>
      </c>
      <c r="G986" s="91"/>
      <c r="H986" s="11"/>
      <c r="I986" s="7">
        <f>+IF(FINANCIACION[[#This Row],[$ CAPITAL]]&gt;0,FINANCIACION[[#This Row],[$ CAPITAL]])</f>
        <v>3485285.1499999985</v>
      </c>
      <c r="J986" s="49">
        <f>+IF(FINANCIACION[[#This Row],[$ CAPITAL]]&gt;=0,FINANCIACION[[#This Row],[$ CAPITAL]]+FINANCIACION[[#This Row],[$ INTERESES]],0)</f>
        <v>3644000</v>
      </c>
    </row>
    <row r="987" spans="1:10" ht="24" hidden="1" customHeight="1" x14ac:dyDescent="0.25">
      <c r="A987" s="10">
        <v>44047</v>
      </c>
      <c r="B987" s="85" t="s">
        <v>726</v>
      </c>
      <c r="C987" s="7">
        <v>-25733277</v>
      </c>
      <c r="D987" s="7"/>
      <c r="E987" s="7" t="str">
        <f>+IF(FINANCIACION[[#This Row],[$ CAPITAL]]&gt;=0,FINANCIACION[[#This Row],[$ CAPITAL]]+FINANCIACION[[#This Row],[$ INTERESES]],"")</f>
        <v/>
      </c>
      <c r="F987" s="7">
        <f>+SUMIFS(FINANCIACION[$ CAPITAL],FINANCIACION[Fecha],"&lt;="&amp;FINANCIACION[[#This Row],[Fecha]],FINANCIACION[PRESTAMO],FINANCIACION[[#This Row],[PRESTAMO]])</f>
        <v>-25733277</v>
      </c>
      <c r="G987" s="11"/>
      <c r="H987" s="11"/>
      <c r="I987" s="7" t="b">
        <f>+IF(FINANCIACION[[#This Row],[$ CAPITAL]]&gt;0,FINANCIACION[[#This Row],[$ CAPITAL]])</f>
        <v>0</v>
      </c>
      <c r="J987" s="49">
        <f>+IF(FINANCIACION[[#This Row],[$ CAPITAL]]&gt;=0,FINANCIACION[[#This Row],[$ CAPITAL]]+FINANCIACION[[#This Row],[$ INTERESES]],0)</f>
        <v>0</v>
      </c>
    </row>
    <row r="988" spans="1:10" ht="24" hidden="1" customHeight="1" x14ac:dyDescent="0.25">
      <c r="A988" s="10">
        <v>44047</v>
      </c>
      <c r="B988" s="85" t="s">
        <v>726</v>
      </c>
      <c r="C988" s="7"/>
      <c r="D988" s="7">
        <v>1100623</v>
      </c>
      <c r="E988" s="7">
        <f>+IF(FINANCIACION[[#This Row],[$ CAPITAL]]&gt;=0,FINANCIACION[[#This Row],[$ CAPITAL]]+FINANCIACION[[#This Row],[$ INTERESES]],"")</f>
        <v>1100623</v>
      </c>
      <c r="F988" s="7">
        <f>+SUMIFS(FINANCIACION[$ CAPITAL],FINANCIACION[Fecha],"&lt;="&amp;FINANCIACION[[#This Row],[Fecha]],FINANCIACION[PRESTAMO],FINANCIACION[[#This Row],[PRESTAMO]])</f>
        <v>-25733277</v>
      </c>
      <c r="G988" s="11"/>
      <c r="H988" s="11"/>
      <c r="I988" s="7" t="b">
        <f>+IF(FINANCIACION[[#This Row],[$ CAPITAL]]&gt;0,FINANCIACION[[#This Row],[$ CAPITAL]])</f>
        <v>0</v>
      </c>
      <c r="J988" s="49">
        <f>+IF(FINANCIACION[[#This Row],[$ CAPITAL]]&gt;=0,FINANCIACION[[#This Row],[$ CAPITAL]]+FINANCIACION[[#This Row],[$ INTERESES]],0)</f>
        <v>1100623</v>
      </c>
    </row>
    <row r="989" spans="1:10" ht="24" hidden="1" customHeight="1" x14ac:dyDescent="0.25">
      <c r="A989" s="10">
        <v>44074</v>
      </c>
      <c r="B989" s="85" t="s">
        <v>726</v>
      </c>
      <c r="C989" s="7">
        <v>-172466.73</v>
      </c>
      <c r="D989" s="7"/>
      <c r="E989" s="7" t="str">
        <f>+IF(FINANCIACION[[#This Row],[$ CAPITAL]]&gt;=0,FINANCIACION[[#This Row],[$ CAPITAL]]+FINANCIACION[[#This Row],[$ INTERESES]],"")</f>
        <v/>
      </c>
      <c r="F989" s="7">
        <f>+SUMIFS(FINANCIACION[$ CAPITAL],FINANCIACION[Fecha],"&lt;="&amp;FINANCIACION[[#This Row],[Fecha]],FINANCIACION[PRESTAMO],FINANCIACION[[#This Row],[PRESTAMO]])</f>
        <v>-25905743.73</v>
      </c>
      <c r="G989" s="11"/>
      <c r="H989" s="11"/>
      <c r="I989" s="7" t="b">
        <f>+IF(FINANCIACION[[#This Row],[$ CAPITAL]]&gt;0,FINANCIACION[[#This Row],[$ CAPITAL]])</f>
        <v>0</v>
      </c>
      <c r="J989" s="49">
        <f>+IF(FINANCIACION[[#This Row],[$ CAPITAL]]&gt;=0,FINANCIACION[[#This Row],[$ CAPITAL]]+FINANCIACION[[#This Row],[$ INTERESES]],0)</f>
        <v>0</v>
      </c>
    </row>
    <row r="990" spans="1:10" ht="24" hidden="1" customHeight="1" x14ac:dyDescent="0.25">
      <c r="A990" s="10">
        <v>44104</v>
      </c>
      <c r="B990" s="85" t="s">
        <v>726</v>
      </c>
      <c r="C990" s="7">
        <v>-189966.1799999997</v>
      </c>
      <c r="D990" s="7"/>
      <c r="E990" s="7" t="str">
        <f>+IF(FINANCIACION[[#This Row],[$ CAPITAL]]&gt;=0,FINANCIACION[[#This Row],[$ CAPITAL]]+FINANCIACION[[#This Row],[$ INTERESES]],"")</f>
        <v/>
      </c>
      <c r="F990" s="7">
        <f>+SUMIFS(FINANCIACION[$ CAPITAL],FINANCIACION[Fecha],"&lt;="&amp;FINANCIACION[[#This Row],[Fecha]],FINANCIACION[PRESTAMO],FINANCIACION[[#This Row],[PRESTAMO]])</f>
        <v>-26095709.91</v>
      </c>
      <c r="G990" s="11"/>
      <c r="H990" s="11"/>
      <c r="I990" s="7" t="b">
        <f>+IF(FINANCIACION[[#This Row],[$ CAPITAL]]&gt;0,FINANCIACION[[#This Row],[$ CAPITAL]])</f>
        <v>0</v>
      </c>
      <c r="J990" s="49">
        <f>+IF(FINANCIACION[[#This Row],[$ CAPITAL]]&gt;=0,FINANCIACION[[#This Row],[$ CAPITAL]]+FINANCIACION[[#This Row],[$ INTERESES]],0)</f>
        <v>0</v>
      </c>
    </row>
    <row r="991" spans="1:10" ht="24" hidden="1" customHeight="1" x14ac:dyDescent="0.25">
      <c r="A991" s="10">
        <v>44135</v>
      </c>
      <c r="B991" s="85" t="s">
        <v>726</v>
      </c>
      <c r="C991" s="7">
        <v>-204034.69000000134</v>
      </c>
      <c r="D991" s="7"/>
      <c r="E991" s="7" t="str">
        <f>+IF(FINANCIACION[[#This Row],[$ CAPITAL]]&gt;=0,FINANCIACION[[#This Row],[$ CAPITAL]]+FINANCIACION[[#This Row],[$ INTERESES]],"")</f>
        <v/>
      </c>
      <c r="F991" s="7">
        <f>+SUMIFS(FINANCIACION[$ CAPITAL],FINANCIACION[Fecha],"&lt;="&amp;FINANCIACION[[#This Row],[Fecha]],FINANCIACION[PRESTAMO],FINANCIACION[[#This Row],[PRESTAMO]])</f>
        <v>-26299744.600000001</v>
      </c>
      <c r="G991" s="11"/>
      <c r="H991" s="11"/>
      <c r="I991" s="7" t="b">
        <f>+IF(FINANCIACION[[#This Row],[$ CAPITAL]]&gt;0,FINANCIACION[[#This Row],[$ CAPITAL]])</f>
        <v>0</v>
      </c>
      <c r="J991" s="49">
        <f>+IF(FINANCIACION[[#This Row],[$ CAPITAL]]&gt;=0,FINANCIACION[[#This Row],[$ CAPITAL]]+FINANCIACION[[#This Row],[$ INTERESES]],0)</f>
        <v>0</v>
      </c>
    </row>
    <row r="992" spans="1:10" ht="24" hidden="1" customHeight="1" x14ac:dyDescent="0.25">
      <c r="A992" s="10">
        <v>44161</v>
      </c>
      <c r="B992" s="85" t="s">
        <v>726</v>
      </c>
      <c r="C992" s="7">
        <v>5997.0599999986589</v>
      </c>
      <c r="D992" s="7">
        <v>570130.94000000134</v>
      </c>
      <c r="E992" s="7">
        <f>+IF(FINANCIACION[[#This Row],[$ CAPITAL]]&gt;=0,FINANCIACION[[#This Row],[$ CAPITAL]]+FINANCIACION[[#This Row],[$ INTERESES]],"")</f>
        <v>576128</v>
      </c>
      <c r="F992" s="7">
        <f>+SUMIFS(FINANCIACION[$ CAPITAL],FINANCIACION[Fecha],"&lt;="&amp;FINANCIACION[[#This Row],[Fecha]],FINANCIACION[PRESTAMO],FINANCIACION[[#This Row],[PRESTAMO]])</f>
        <v>-26293747.540000003</v>
      </c>
      <c r="G992" s="11"/>
      <c r="H992" s="11"/>
      <c r="I992" s="7">
        <f>+IF(FINANCIACION[[#This Row],[$ CAPITAL]]&gt;0,FINANCIACION[[#This Row],[$ CAPITAL]])</f>
        <v>5997.0599999986589</v>
      </c>
      <c r="J992" s="49">
        <f>+IF(FINANCIACION[[#This Row],[$ CAPITAL]]&gt;=0,FINANCIACION[[#This Row],[$ CAPITAL]]+FINANCIACION[[#This Row],[$ INTERESES]],0)</f>
        <v>576128</v>
      </c>
    </row>
    <row r="993" spans="1:10" ht="24" hidden="1" customHeight="1" x14ac:dyDescent="0.25">
      <c r="A993" s="10">
        <v>44165</v>
      </c>
      <c r="B993" s="85" t="s">
        <v>726</v>
      </c>
      <c r="C993" s="7">
        <v>409054.01000000164</v>
      </c>
      <c r="D993" s="7"/>
      <c r="E993" s="7">
        <f>+IF(FINANCIACION[[#This Row],[$ CAPITAL]]&gt;=0,FINANCIACION[[#This Row],[$ CAPITAL]]+FINANCIACION[[#This Row],[$ INTERESES]],"")</f>
        <v>409054.01000000164</v>
      </c>
      <c r="F993" s="7">
        <f>+SUMIFS(FINANCIACION[$ CAPITAL],FINANCIACION[Fecha],"&lt;="&amp;FINANCIACION[[#This Row],[Fecha]],FINANCIACION[PRESTAMO],FINANCIACION[[#This Row],[PRESTAMO]])</f>
        <v>-25884693.530000001</v>
      </c>
      <c r="G993" s="11"/>
      <c r="H993" s="11"/>
      <c r="I993" s="7">
        <f>+IF(FINANCIACION[[#This Row],[$ CAPITAL]]&gt;0,FINANCIACION[[#This Row],[$ CAPITAL]])</f>
        <v>409054.01000000164</v>
      </c>
      <c r="J993" s="49">
        <f>+IF(FINANCIACION[[#This Row],[$ CAPITAL]]&gt;=0,FINANCIACION[[#This Row],[$ CAPITAL]]+FINANCIACION[[#This Row],[$ INTERESES]],0)</f>
        <v>409054.01000000164</v>
      </c>
    </row>
    <row r="994" spans="1:10" ht="24" hidden="1" customHeight="1" x14ac:dyDescent="0.25">
      <c r="A994" s="10">
        <v>44187</v>
      </c>
      <c r="B994" s="85" t="s">
        <v>726</v>
      </c>
      <c r="C994" s="7">
        <v>500000</v>
      </c>
      <c r="D994" s="7"/>
      <c r="E994" s="7">
        <f>+IF(FINANCIACION[[#This Row],[$ CAPITAL]]&gt;=0,FINANCIACION[[#This Row],[$ CAPITAL]]+FINANCIACION[[#This Row],[$ INTERESES]],"")</f>
        <v>500000</v>
      </c>
      <c r="F994" s="7">
        <f>+SUMIFS(FINANCIACION[$ CAPITAL],FINANCIACION[Fecha],"&lt;="&amp;FINANCIACION[[#This Row],[Fecha]],FINANCIACION[PRESTAMO],FINANCIACION[[#This Row],[PRESTAMO]])</f>
        <v>-25384693.530000001</v>
      </c>
      <c r="G994" s="11"/>
      <c r="H994" s="11"/>
      <c r="I994" s="7">
        <f>+IF(FINANCIACION[[#This Row],[$ CAPITAL]]&gt;0,FINANCIACION[[#This Row],[$ CAPITAL]])</f>
        <v>500000</v>
      </c>
      <c r="J994" s="49">
        <f>+IF(FINANCIACION[[#This Row],[$ CAPITAL]]&gt;=0,FINANCIACION[[#This Row],[$ CAPITAL]]+FINANCIACION[[#This Row],[$ INTERESES]],0)</f>
        <v>500000</v>
      </c>
    </row>
    <row r="995" spans="1:10" ht="24" hidden="1" customHeight="1" x14ac:dyDescent="0.25">
      <c r="A995" s="10">
        <v>44196</v>
      </c>
      <c r="B995" s="85" t="s">
        <v>726</v>
      </c>
      <c r="C995" s="7">
        <v>-198009.68999999799</v>
      </c>
      <c r="D995" s="7"/>
      <c r="E995" s="7" t="str">
        <f>+IF(FINANCIACION[[#This Row],[$ CAPITAL]]&gt;=0,FINANCIACION[[#This Row],[$ CAPITAL]]+FINANCIACION[[#This Row],[$ INTERESES]],"")</f>
        <v/>
      </c>
      <c r="F995" s="7">
        <f>+SUMIFS(FINANCIACION[$ CAPITAL],FINANCIACION[Fecha],"&lt;="&amp;FINANCIACION[[#This Row],[Fecha]],FINANCIACION[PRESTAMO],FINANCIACION[[#This Row],[PRESTAMO]])</f>
        <v>-25582703.219999999</v>
      </c>
      <c r="G995" s="11"/>
      <c r="H995" s="11"/>
      <c r="I995" s="7" t="b">
        <f>+IF(FINANCIACION[[#This Row],[$ CAPITAL]]&gt;0,FINANCIACION[[#This Row],[$ CAPITAL]])</f>
        <v>0</v>
      </c>
      <c r="J995" s="49">
        <f>+IF(FINANCIACION[[#This Row],[$ CAPITAL]]&gt;=0,FINANCIACION[[#This Row],[$ CAPITAL]]+FINANCIACION[[#This Row],[$ INTERESES]],0)</f>
        <v>0</v>
      </c>
    </row>
    <row r="996" spans="1:10" ht="24" hidden="1" customHeight="1" x14ac:dyDescent="0.25">
      <c r="A996" s="10">
        <v>44244</v>
      </c>
      <c r="B996" s="85" t="s">
        <v>726</v>
      </c>
      <c r="C996" s="7">
        <v>1200643</v>
      </c>
      <c r="D996" s="7"/>
      <c r="E996" s="7">
        <f>+IF(FINANCIACION[[#This Row],[$ CAPITAL]]&gt;=0,FINANCIACION[[#This Row],[$ CAPITAL]]+FINANCIACION[[#This Row],[$ INTERESES]],"")</f>
        <v>1200643</v>
      </c>
      <c r="F996" s="7">
        <f>+SUMIFS(FINANCIACION[$ CAPITAL],FINANCIACION[Fecha],"&lt;="&amp;FINANCIACION[[#This Row],[Fecha]],FINANCIACION[PRESTAMO],FINANCIACION[[#This Row],[PRESTAMO]])</f>
        <v>-24382060.219999999</v>
      </c>
      <c r="G996" s="11"/>
      <c r="H996" s="11"/>
      <c r="I996" s="7">
        <f>+IF(FINANCIACION[[#This Row],[$ CAPITAL]]&gt;0,FINANCIACION[[#This Row],[$ CAPITAL]])</f>
        <v>1200643</v>
      </c>
      <c r="J996" s="12">
        <f>+IF(FINANCIACION[[#This Row],[$ CAPITAL]]&gt;=0,FINANCIACION[[#This Row],[$ CAPITAL]]+FINANCIACION[[#This Row],[$ INTERESES]],0)</f>
        <v>1200643</v>
      </c>
    </row>
    <row r="997" spans="1:10" ht="24" hidden="1" customHeight="1" x14ac:dyDescent="0.25">
      <c r="A997" s="10">
        <v>44255</v>
      </c>
      <c r="B997" s="85" t="s">
        <v>726</v>
      </c>
      <c r="C997" s="7">
        <v>-324272.9299999997</v>
      </c>
      <c r="D997" s="7"/>
      <c r="E997" s="7" t="str">
        <f>+IF(FINANCIACION[[#This Row],[$ CAPITAL]]&gt;=0,FINANCIACION[[#This Row],[$ CAPITAL]]+FINANCIACION[[#This Row],[$ INTERESES]],"")</f>
        <v/>
      </c>
      <c r="F997" s="7">
        <f>+SUMIFS(FINANCIACION[$ CAPITAL],FINANCIACION[Fecha],"&lt;="&amp;FINANCIACION[[#This Row],[Fecha]],FINANCIACION[PRESTAMO],FINANCIACION[[#This Row],[PRESTAMO]])</f>
        <v>-24706333.149999999</v>
      </c>
      <c r="G997" s="11" t="s">
        <v>512</v>
      </c>
      <c r="H997" s="11"/>
      <c r="I997" s="7" t="b">
        <f>+IF(FINANCIACION[[#This Row],[$ CAPITAL]]&gt;0,FINANCIACION[[#This Row],[$ CAPITAL]])</f>
        <v>0</v>
      </c>
      <c r="J997" s="12">
        <f>+IF(FINANCIACION[[#This Row],[$ CAPITAL]]&gt;=0,FINANCIACION[[#This Row],[$ CAPITAL]]+FINANCIACION[[#This Row],[$ INTERESES]],0)</f>
        <v>0</v>
      </c>
    </row>
    <row r="998" spans="1:10" ht="24" hidden="1" customHeight="1" x14ac:dyDescent="0.25">
      <c r="A998" s="10">
        <v>44284</v>
      </c>
      <c r="B998" s="85" t="s">
        <v>726</v>
      </c>
      <c r="C998" s="7">
        <v>997424.58000000194</v>
      </c>
      <c r="D998" s="7">
        <v>20575.419999998063</v>
      </c>
      <c r="E998" s="7">
        <f>+IF(FINANCIACION[[#This Row],[$ CAPITAL]]&gt;=0,FINANCIACION[[#This Row],[$ CAPITAL]]+FINANCIACION[[#This Row],[$ INTERESES]],"")</f>
        <v>1018000</v>
      </c>
      <c r="F998" s="7">
        <f>+SUMIFS(FINANCIACION[$ CAPITAL],FINANCIACION[Fecha],"&lt;="&amp;FINANCIACION[[#This Row],[Fecha]],FINANCIACION[PRESTAMO],FINANCIACION[[#This Row],[PRESTAMO]])</f>
        <v>-23708908.569999997</v>
      </c>
      <c r="G998" s="11"/>
      <c r="H998" s="91"/>
      <c r="I998" s="7">
        <f>+IF(FINANCIACION[[#This Row],[$ CAPITAL]]&gt;0,FINANCIACION[[#This Row],[$ CAPITAL]])</f>
        <v>997424.58000000194</v>
      </c>
      <c r="J998" s="12">
        <f>+IF(FINANCIACION[[#This Row],[$ CAPITAL]]&gt;=0,FINANCIACION[[#This Row],[$ CAPITAL]]+FINANCIACION[[#This Row],[$ INTERESES]],0)</f>
        <v>1018000</v>
      </c>
    </row>
    <row r="999" spans="1:10" ht="24" hidden="1" customHeight="1" x14ac:dyDescent="0.25">
      <c r="A999" s="10">
        <v>44286</v>
      </c>
      <c r="B999" s="85" t="s">
        <v>726</v>
      </c>
      <c r="C999" s="7">
        <v>-159538.51000000164</v>
      </c>
      <c r="D999" s="7"/>
      <c r="E999" s="7" t="str">
        <f>+IF(FINANCIACION[[#This Row],[$ CAPITAL]]&gt;=0,FINANCIACION[[#This Row],[$ CAPITAL]]+FINANCIACION[[#This Row],[$ INTERESES]],"")</f>
        <v/>
      </c>
      <c r="F999" s="7">
        <f>+SUMIFS(FINANCIACION[$ CAPITAL],FINANCIACION[Fecha],"&lt;="&amp;FINANCIACION[[#This Row],[Fecha]],FINANCIACION[PRESTAMO],FINANCIACION[[#This Row],[PRESTAMO]])</f>
        <v>-23868447.079999998</v>
      </c>
      <c r="G999" s="11" t="s">
        <v>512</v>
      </c>
      <c r="H999" s="91"/>
      <c r="I999" s="7" t="b">
        <f>+IF(FINANCIACION[[#This Row],[$ CAPITAL]]&gt;0,FINANCIACION[[#This Row],[$ CAPITAL]])</f>
        <v>0</v>
      </c>
      <c r="J999" s="12">
        <f>+IF(FINANCIACION[[#This Row],[$ CAPITAL]]&gt;=0,FINANCIACION[[#This Row],[$ CAPITAL]]+FINANCIACION[[#This Row],[$ INTERESES]],0)</f>
        <v>0</v>
      </c>
    </row>
    <row r="1000" spans="1:10" ht="24" hidden="1" customHeight="1" x14ac:dyDescent="0.25">
      <c r="A1000" s="10">
        <v>44316</v>
      </c>
      <c r="B1000" s="85" t="s">
        <v>726</v>
      </c>
      <c r="C1000" s="7">
        <v>-152551.12000000104</v>
      </c>
      <c r="D1000" s="7"/>
      <c r="E1000" s="7" t="str">
        <f>+IF(FINANCIACION[[#This Row],[$ CAPITAL]]&gt;=0,FINANCIACION[[#This Row],[$ CAPITAL]]+FINANCIACION[[#This Row],[$ INTERESES]],"")</f>
        <v/>
      </c>
      <c r="F1000" s="7">
        <f>+SUMIFS(FINANCIACION[$ CAPITAL],FINANCIACION[Fecha],"&lt;="&amp;FINANCIACION[[#This Row],[Fecha]],FINANCIACION[PRESTAMO],FINANCIACION[[#This Row],[PRESTAMO]])</f>
        <v>-24020998.199999999</v>
      </c>
      <c r="G1000" s="11" t="s">
        <v>512</v>
      </c>
      <c r="H1000" s="91"/>
      <c r="I1000" s="7" t="b">
        <f>+IF(FINANCIACION[[#This Row],[$ CAPITAL]]&gt;0,FINANCIACION[[#This Row],[$ CAPITAL]])</f>
        <v>0</v>
      </c>
      <c r="J1000" s="12">
        <f>+IF(FINANCIACION[[#This Row],[$ CAPITAL]]&gt;=0,FINANCIACION[[#This Row],[$ CAPITAL]]+FINANCIACION[[#This Row],[$ INTERESES]],0)</f>
        <v>0</v>
      </c>
    </row>
    <row r="1001" spans="1:10" ht="24" hidden="1" customHeight="1" x14ac:dyDescent="0.25">
      <c r="A1001" s="10">
        <v>44320</v>
      </c>
      <c r="B1001" s="85" t="s">
        <v>726</v>
      </c>
      <c r="C1001" s="7">
        <v>1011000</v>
      </c>
      <c r="D1001" s="7"/>
      <c r="E1001" s="7">
        <f>+IF(FINANCIACION[[#This Row],[$ CAPITAL]]&gt;=0,FINANCIACION[[#This Row],[$ CAPITAL]]+FINANCIACION[[#This Row],[$ INTERESES]],"")</f>
        <v>1011000</v>
      </c>
      <c r="F1001" s="7">
        <f>+SUMIFS(FINANCIACION[$ CAPITAL],FINANCIACION[Fecha],"&lt;="&amp;FINANCIACION[[#This Row],[Fecha]],FINANCIACION[PRESTAMO],FINANCIACION[[#This Row],[PRESTAMO]])</f>
        <v>-23009998.199999999</v>
      </c>
      <c r="G1001" s="11"/>
      <c r="H1001" s="91"/>
      <c r="I1001" s="7">
        <f>+IF(FINANCIACION[[#This Row],[$ CAPITAL]]&gt;0,FINANCIACION[[#This Row],[$ CAPITAL]])</f>
        <v>1011000</v>
      </c>
      <c r="J1001" s="12">
        <f>+IF(FINANCIACION[[#This Row],[$ CAPITAL]]&gt;=0,FINANCIACION[[#This Row],[$ CAPITAL]]+FINANCIACION[[#This Row],[$ INTERESES]],0)</f>
        <v>1011000</v>
      </c>
    </row>
    <row r="1002" spans="1:10" ht="24" hidden="1" customHeight="1" x14ac:dyDescent="0.25">
      <c r="A1002" s="10">
        <v>44340</v>
      </c>
      <c r="B1002" s="85" t="s">
        <v>726</v>
      </c>
      <c r="C1002" s="7">
        <v>1002261.0300000012</v>
      </c>
      <c r="D1002" s="7">
        <v>4738.9699999988079</v>
      </c>
      <c r="E1002" s="7">
        <f>+IF(FINANCIACION[[#This Row],[$ CAPITAL]]&gt;=0,FINANCIACION[[#This Row],[$ CAPITAL]]+FINANCIACION[[#This Row],[$ INTERESES]],"")</f>
        <v>1007000</v>
      </c>
      <c r="F1002" s="7">
        <f>+SUMIFS(FINANCIACION[$ CAPITAL],FINANCIACION[Fecha],"&lt;="&amp;FINANCIACION[[#This Row],[Fecha]],FINANCIACION[PRESTAMO],FINANCIACION[[#This Row],[PRESTAMO]])</f>
        <v>-22007737.169999998</v>
      </c>
      <c r="G1002" s="11"/>
      <c r="H1002" s="91"/>
      <c r="I1002" s="7">
        <f>+IF(FINANCIACION[[#This Row],[$ CAPITAL]]&gt;0,FINANCIACION[[#This Row],[$ CAPITAL]])</f>
        <v>1002261.0300000012</v>
      </c>
      <c r="J1002" s="12">
        <f>+IF(FINANCIACION[[#This Row],[$ CAPITAL]]&gt;=0,FINANCIACION[[#This Row],[$ CAPITAL]]+FINANCIACION[[#This Row],[$ INTERESES]],0)</f>
        <v>1007000</v>
      </c>
    </row>
    <row r="1003" spans="1:10" ht="24" hidden="1" customHeight="1" x14ac:dyDescent="0.25">
      <c r="A1003" s="10">
        <v>44346</v>
      </c>
      <c r="B1003" s="85" t="s">
        <v>726</v>
      </c>
      <c r="C1003" s="7">
        <v>-274364.74000000209</v>
      </c>
      <c r="D1003" s="7"/>
      <c r="E1003" s="7" t="str">
        <f>+IF(FINANCIACION[[#This Row],[$ CAPITAL]]&gt;=0,FINANCIACION[[#This Row],[$ CAPITAL]]+FINANCIACION[[#This Row],[$ INTERESES]],"")</f>
        <v/>
      </c>
      <c r="F1003" s="7">
        <f>+SUMIFS(FINANCIACION[$ CAPITAL],FINANCIACION[Fecha],"&lt;="&amp;FINANCIACION[[#This Row],[Fecha]],FINANCIACION[PRESTAMO],FINANCIACION[[#This Row],[PRESTAMO]])</f>
        <v>-22282101.91</v>
      </c>
      <c r="G1003" s="91" t="s">
        <v>512</v>
      </c>
      <c r="H1003" s="11"/>
      <c r="I1003" s="7" t="b">
        <f>+IF(FINANCIACION[[#This Row],[$ CAPITAL]]&gt;0,FINANCIACION[[#This Row],[$ CAPITAL]])</f>
        <v>0</v>
      </c>
      <c r="J1003" s="49">
        <f>+IF(FINANCIACION[[#This Row],[$ CAPITAL]]&gt;=0,FINANCIACION[[#This Row],[$ CAPITAL]]+FINANCIACION[[#This Row],[$ INTERESES]],0)</f>
        <v>0</v>
      </c>
    </row>
    <row r="1004" spans="1:10" ht="24" hidden="1" customHeight="1" x14ac:dyDescent="0.25">
      <c r="A1004" s="10">
        <v>44373</v>
      </c>
      <c r="B1004" s="85" t="s">
        <v>726</v>
      </c>
      <c r="C1004" s="7">
        <v>993488.5700000003</v>
      </c>
      <c r="D1004" s="7">
        <v>9511.429999999702</v>
      </c>
      <c r="E1004" s="7">
        <f>+IF(FINANCIACION[[#This Row],[$ CAPITAL]]&gt;=0,FINANCIACION[[#This Row],[$ CAPITAL]]+FINANCIACION[[#This Row],[$ INTERESES]],"")</f>
        <v>1003000</v>
      </c>
      <c r="F1004" s="7">
        <f>+SUMIFS(FINANCIACION[$ CAPITAL],FINANCIACION[Fecha],"&lt;="&amp;FINANCIACION[[#This Row],[Fecha]],FINANCIACION[PRESTAMO],FINANCIACION[[#This Row],[PRESTAMO]])</f>
        <v>-21288613.34</v>
      </c>
      <c r="G1004" s="91"/>
      <c r="H1004" s="11"/>
      <c r="I1004" s="7">
        <f>+IF(FINANCIACION[[#This Row],[$ CAPITAL]]&gt;0,FINANCIACION[[#This Row],[$ CAPITAL]])</f>
        <v>993488.5700000003</v>
      </c>
      <c r="J1004" s="49">
        <f>+IF(FINANCIACION[[#This Row],[$ CAPITAL]]&gt;=0,FINANCIACION[[#This Row],[$ CAPITAL]]+FINANCIACION[[#This Row],[$ INTERESES]],0)</f>
        <v>1003000</v>
      </c>
    </row>
    <row r="1005" spans="1:10" ht="24" hidden="1" customHeight="1" x14ac:dyDescent="0.25">
      <c r="A1005" s="10">
        <v>44398</v>
      </c>
      <c r="B1005" s="85" t="s">
        <v>726</v>
      </c>
      <c r="C1005" s="7">
        <v>988148.28999999911</v>
      </c>
      <c r="D1005" s="7">
        <v>8851.7100000008941</v>
      </c>
      <c r="E1005" s="7">
        <f>+IF(FINANCIACION[[#This Row],[$ CAPITAL]]&gt;=0,FINANCIACION[[#This Row],[$ CAPITAL]]+FINANCIACION[[#This Row],[$ INTERESES]],"")</f>
        <v>997000</v>
      </c>
      <c r="F1005" s="7">
        <f>+SUMIFS(FINANCIACION[$ CAPITAL],FINANCIACION[Fecha],"&lt;="&amp;FINANCIACION[[#This Row],[Fecha]],FINANCIACION[PRESTAMO],FINANCIACION[[#This Row],[PRESTAMO]])</f>
        <v>-20300465.050000001</v>
      </c>
      <c r="G1005" s="91"/>
      <c r="H1005" s="11"/>
      <c r="I1005" s="7">
        <f>+IF(FINANCIACION[[#This Row],[$ CAPITAL]]&gt;0,FINANCIACION[[#This Row],[$ CAPITAL]])</f>
        <v>988148.28999999911</v>
      </c>
      <c r="J1005" s="49">
        <f>+IF(FINANCIACION[[#This Row],[$ CAPITAL]]&gt;=0,FINANCIACION[[#This Row],[$ CAPITAL]]+FINANCIACION[[#This Row],[$ INTERESES]],0)</f>
        <v>997000</v>
      </c>
    </row>
    <row r="1006" spans="1:10" ht="24" hidden="1" customHeight="1" x14ac:dyDescent="0.25">
      <c r="A1006" s="10">
        <v>44408</v>
      </c>
      <c r="B1006" s="85" t="s">
        <v>726</v>
      </c>
      <c r="C1006" s="7">
        <v>-137370.62000000104</v>
      </c>
      <c r="D1006" s="7"/>
      <c r="E1006" s="7" t="str">
        <f>+IF(FINANCIACION[[#This Row],[$ CAPITAL]]&gt;=0,FINANCIACION[[#This Row],[$ CAPITAL]]+FINANCIACION[[#This Row],[$ INTERESES]],"")</f>
        <v/>
      </c>
      <c r="F1006" s="7">
        <f>+SUMIFS(FINANCIACION[$ CAPITAL],FINANCIACION[Fecha],"&lt;="&amp;FINANCIACION[[#This Row],[Fecha]],FINANCIACION[PRESTAMO],FINANCIACION[[#This Row],[PRESTAMO]])</f>
        <v>-20437835.670000002</v>
      </c>
      <c r="G1006" s="11" t="s">
        <v>512</v>
      </c>
      <c r="H1006" s="11"/>
      <c r="I1006" s="7" t="b">
        <f>+IF(FINANCIACION[[#This Row],[$ CAPITAL]]&gt;0,FINANCIACION[[#This Row],[$ CAPITAL]])</f>
        <v>0</v>
      </c>
      <c r="J1006" s="49">
        <f>+IF(FINANCIACION[[#This Row],[$ CAPITAL]]&gt;=0,FINANCIACION[[#This Row],[$ CAPITAL]]+FINANCIACION[[#This Row],[$ INTERESES]],0)</f>
        <v>0</v>
      </c>
    </row>
    <row r="1007" spans="1:10" ht="24" hidden="1" customHeight="1" x14ac:dyDescent="0.25">
      <c r="A1007" s="10">
        <v>44426</v>
      </c>
      <c r="B1007" s="85" t="s">
        <v>726</v>
      </c>
      <c r="C1007" s="7">
        <v>988729.23999999836</v>
      </c>
      <c r="D1007" s="7">
        <v>4270.7600000016391</v>
      </c>
      <c r="E1007" s="7">
        <f>+IF(FINANCIACION[[#This Row],[$ CAPITAL]]&gt;=0,FINANCIACION[[#This Row],[$ CAPITAL]]+FINANCIACION[[#This Row],[$ INTERESES]],"")</f>
        <v>993000</v>
      </c>
      <c r="F1007" s="7">
        <f>+SUMIFS(FINANCIACION[$ CAPITAL],FINANCIACION[Fecha],"&lt;="&amp;FINANCIACION[[#This Row],[Fecha]],FINANCIACION[PRESTAMO],FINANCIACION[[#This Row],[PRESTAMO]])</f>
        <v>-19449106.430000003</v>
      </c>
      <c r="G1007" s="91"/>
      <c r="H1007" s="11"/>
      <c r="I1007" s="7">
        <f>+IF(FINANCIACION[[#This Row],[$ CAPITAL]]&gt;0,FINANCIACION[[#This Row],[$ CAPITAL]])</f>
        <v>988729.23999999836</v>
      </c>
      <c r="J1007" s="49">
        <f>+IF(FINANCIACION[[#This Row],[$ CAPITAL]]&gt;=0,FINANCIACION[[#This Row],[$ CAPITAL]]+FINANCIACION[[#This Row],[$ INTERESES]],0)</f>
        <v>993000</v>
      </c>
    </row>
    <row r="1008" spans="1:10" ht="24" hidden="1" customHeight="1" x14ac:dyDescent="0.25">
      <c r="A1008" s="10">
        <v>44459</v>
      </c>
      <c r="B1008" s="85" t="s">
        <v>726</v>
      </c>
      <c r="C1008" s="7">
        <v>974272.16999999806</v>
      </c>
      <c r="D1008" s="7">
        <v>12727.830000001937</v>
      </c>
      <c r="E1008" s="7">
        <f>+IF(FINANCIACION[[#This Row],[$ CAPITAL]]&gt;=0,FINANCIACION[[#This Row],[$ CAPITAL]]+FINANCIACION[[#This Row],[$ INTERESES]],"")</f>
        <v>987000</v>
      </c>
      <c r="F1008" s="7">
        <f>+SUMIFS(FINANCIACION[$ CAPITAL],FINANCIACION[Fecha],"&lt;="&amp;FINANCIACION[[#This Row],[Fecha]],FINANCIACION[PRESTAMO],FINANCIACION[[#This Row],[PRESTAMO]])</f>
        <v>-18474834.260000005</v>
      </c>
      <c r="G1008" s="91"/>
      <c r="H1008" s="11"/>
      <c r="I1008" s="7">
        <f>+IF(FINANCIACION[[#This Row],[$ CAPITAL]]&gt;0,FINANCIACION[[#This Row],[$ CAPITAL]])</f>
        <v>974272.16999999806</v>
      </c>
      <c r="J1008" s="49">
        <f>+IF(FINANCIACION[[#This Row],[$ CAPITAL]]&gt;=0,FINANCIACION[[#This Row],[$ CAPITAL]]+FINANCIACION[[#This Row],[$ INTERESES]],0)</f>
        <v>987000</v>
      </c>
    </row>
    <row r="1009" spans="1:10" ht="24" hidden="1" customHeight="1" x14ac:dyDescent="0.25">
      <c r="A1009" s="10">
        <v>44490</v>
      </c>
      <c r="B1009" s="85" t="s">
        <v>726</v>
      </c>
      <c r="C1009" s="7">
        <v>966289.62999999896</v>
      </c>
      <c r="D1009" s="7">
        <v>15710.370000001043</v>
      </c>
      <c r="E1009" s="7">
        <f>+IF(FINANCIACION[[#This Row],[$ CAPITAL]]&gt;=0,FINANCIACION[[#This Row],[$ CAPITAL]]+FINANCIACION[[#This Row],[$ INTERESES]],"")</f>
        <v>982000</v>
      </c>
      <c r="F1009" s="7">
        <f>+SUMIFS(FINANCIACION[$ CAPITAL],FINANCIACION[Fecha],"&lt;="&amp;FINANCIACION[[#This Row],[Fecha]],FINANCIACION[PRESTAMO],FINANCIACION[[#This Row],[PRESTAMO]])</f>
        <v>-17508544.630000006</v>
      </c>
      <c r="G1009" s="91"/>
      <c r="H1009" s="11"/>
      <c r="I1009" s="7">
        <f>+IF(FINANCIACION[[#This Row],[$ CAPITAL]]&gt;0,FINANCIACION[[#This Row],[$ CAPITAL]])</f>
        <v>966289.62999999896</v>
      </c>
      <c r="J1009" s="49">
        <f>+IF(FINANCIACION[[#This Row],[$ CAPITAL]]&gt;=0,FINANCIACION[[#This Row],[$ CAPITAL]]+FINANCIACION[[#This Row],[$ INTERESES]],0)</f>
        <v>982000</v>
      </c>
    </row>
    <row r="1010" spans="1:10" ht="24" hidden="1" customHeight="1" x14ac:dyDescent="0.25">
      <c r="A1010" s="10">
        <v>44523</v>
      </c>
      <c r="B1010" s="85" t="s">
        <v>726</v>
      </c>
      <c r="C1010" s="7">
        <v>943294.1799999997</v>
      </c>
      <c r="D1010" s="7">
        <v>37705.820000000298</v>
      </c>
      <c r="E1010" s="7">
        <f>+IF(FINANCIACION[[#This Row],[$ CAPITAL]]&gt;=0,FINANCIACION[[#This Row],[$ CAPITAL]]+FINANCIACION[[#This Row],[$ INTERESES]],"")</f>
        <v>981000</v>
      </c>
      <c r="F1010" s="7">
        <f>+SUMIFS(FINANCIACION[$ CAPITAL],FINANCIACION[Fecha],"&lt;="&amp;FINANCIACION[[#This Row],[Fecha]],FINANCIACION[PRESTAMO],FINANCIACION[[#This Row],[PRESTAMO]])</f>
        <v>-16565250.450000007</v>
      </c>
      <c r="G1010" s="91"/>
      <c r="H1010" s="11"/>
      <c r="I1010" s="7">
        <f>+IF(FINANCIACION[[#This Row],[$ CAPITAL]]&gt;0,FINANCIACION[[#This Row],[$ CAPITAL]])</f>
        <v>943294.1799999997</v>
      </c>
      <c r="J1010" s="49">
        <f>+IF(FINANCIACION[[#This Row],[$ CAPITAL]]&gt;=0,FINANCIACION[[#This Row],[$ CAPITAL]]+FINANCIACION[[#This Row],[$ INTERESES]],0)</f>
        <v>981000</v>
      </c>
    </row>
    <row r="1011" spans="1:10" ht="24" hidden="1" customHeight="1" x14ac:dyDescent="0.25">
      <c r="A1011" s="10">
        <v>44544</v>
      </c>
      <c r="B1011" s="85" t="s">
        <v>726</v>
      </c>
      <c r="C1011" s="7">
        <v>940063.25999999791</v>
      </c>
      <c r="D1011" s="7">
        <v>39936.740000002086</v>
      </c>
      <c r="E1011" s="7">
        <f>+IF(FINANCIACION[[#This Row],[$ CAPITAL]]&gt;=0,FINANCIACION[[#This Row],[$ CAPITAL]]+FINANCIACION[[#This Row],[$ INTERESES]],"")</f>
        <v>980000</v>
      </c>
      <c r="F1011" s="7">
        <f>+SUMIFS(FINANCIACION[$ CAPITAL],FINANCIACION[Fecha],"&lt;="&amp;FINANCIACION[[#This Row],[Fecha]],FINANCIACION[PRESTAMO],FINANCIACION[[#This Row],[PRESTAMO]])</f>
        <v>-15625187.190000009</v>
      </c>
      <c r="G1011" s="91"/>
      <c r="H1011" s="11"/>
      <c r="I1011" s="7">
        <f>+IF(FINANCIACION[[#This Row],[$ CAPITAL]]&gt;0,FINANCIACION[[#This Row],[$ CAPITAL]])</f>
        <v>940063.25999999791</v>
      </c>
      <c r="J1011" s="49">
        <f>+IF(FINANCIACION[[#This Row],[$ CAPITAL]]&gt;=0,FINANCIACION[[#This Row],[$ CAPITAL]]+FINANCIACION[[#This Row],[$ INTERESES]],0)</f>
        <v>980000</v>
      </c>
    </row>
    <row r="1012" spans="1:10" ht="24" hidden="1" customHeight="1" x14ac:dyDescent="0.25">
      <c r="A1012" s="10">
        <v>44075</v>
      </c>
      <c r="B1012" s="85" t="s">
        <v>727</v>
      </c>
      <c r="C1012" s="7">
        <v>-26952781</v>
      </c>
      <c r="D1012" s="7">
        <v>1152781</v>
      </c>
      <c r="E1012" s="7" t="str">
        <f>+IF(FINANCIACION[[#This Row],[$ CAPITAL]]&gt;=0,FINANCIACION[[#This Row],[$ CAPITAL]]+FINANCIACION[[#This Row],[$ INTERESES]],"")</f>
        <v/>
      </c>
      <c r="F1012" s="7">
        <f>+SUMIFS(FINANCIACION[$ CAPITAL],FINANCIACION[Fecha],"&lt;="&amp;FINANCIACION[[#This Row],[Fecha]],FINANCIACION[PRESTAMO],FINANCIACION[[#This Row],[PRESTAMO]])</f>
        <v>-26952781</v>
      </c>
      <c r="G1012" s="11"/>
      <c r="H1012" s="11"/>
      <c r="I1012" s="7" t="b">
        <f>+IF(FINANCIACION[[#This Row],[$ CAPITAL]]&gt;0,FINANCIACION[[#This Row],[$ CAPITAL]])</f>
        <v>0</v>
      </c>
      <c r="J1012" s="49">
        <f>+IF(FINANCIACION[[#This Row],[$ CAPITAL]]&gt;=0,FINANCIACION[[#This Row],[$ CAPITAL]]+FINANCIACION[[#This Row],[$ INTERESES]],0)</f>
        <v>0</v>
      </c>
    </row>
    <row r="1013" spans="1:10" ht="24" hidden="1" customHeight="1" x14ac:dyDescent="0.25">
      <c r="A1013" s="10">
        <v>44104</v>
      </c>
      <c r="B1013" s="85" t="s">
        <v>727</v>
      </c>
      <c r="C1013" s="7">
        <v>-190565.6099999994</v>
      </c>
      <c r="D1013" s="7"/>
      <c r="E1013" s="7" t="str">
        <f>+IF(FINANCIACION[[#This Row],[$ CAPITAL]]&gt;=0,FINANCIACION[[#This Row],[$ CAPITAL]]+FINANCIACION[[#This Row],[$ INTERESES]],"")</f>
        <v/>
      </c>
      <c r="F1013" s="7">
        <f>+SUMIFS(FINANCIACION[$ CAPITAL],FINANCIACION[Fecha],"&lt;="&amp;FINANCIACION[[#This Row],[Fecha]],FINANCIACION[PRESTAMO],FINANCIACION[[#This Row],[PRESTAMO]])</f>
        <v>-27143346.609999999</v>
      </c>
      <c r="G1013" s="11"/>
      <c r="H1013" s="11"/>
      <c r="I1013" s="7" t="b">
        <f>+IF(FINANCIACION[[#This Row],[$ CAPITAL]]&gt;0,FINANCIACION[[#This Row],[$ CAPITAL]])</f>
        <v>0</v>
      </c>
      <c r="J1013" s="49">
        <f>+IF(FINANCIACION[[#This Row],[$ CAPITAL]]&gt;=0,FINANCIACION[[#This Row],[$ CAPITAL]]+FINANCIACION[[#This Row],[$ INTERESES]],0)</f>
        <v>0</v>
      </c>
    </row>
    <row r="1014" spans="1:10" ht="24" hidden="1" customHeight="1" x14ac:dyDescent="0.25">
      <c r="A1014" s="10">
        <v>44135</v>
      </c>
      <c r="B1014" s="85" t="s">
        <v>727</v>
      </c>
      <c r="C1014" s="7">
        <v>-198507.05000000075</v>
      </c>
      <c r="D1014" s="7"/>
      <c r="E1014" s="7" t="str">
        <f>+IF(FINANCIACION[[#This Row],[$ CAPITAL]]&gt;=0,FINANCIACION[[#This Row],[$ CAPITAL]]+FINANCIACION[[#This Row],[$ INTERESES]],"")</f>
        <v/>
      </c>
      <c r="F1014" s="7">
        <f>+SUMIFS(FINANCIACION[$ CAPITAL],FINANCIACION[Fecha],"&lt;="&amp;FINANCIACION[[#This Row],[Fecha]],FINANCIACION[PRESTAMO],FINANCIACION[[#This Row],[PRESTAMO]])</f>
        <v>-27341853.66</v>
      </c>
      <c r="G1014" s="11"/>
      <c r="H1014" s="11"/>
      <c r="I1014" s="7" t="b">
        <f>+IF(FINANCIACION[[#This Row],[$ CAPITAL]]&gt;0,FINANCIACION[[#This Row],[$ CAPITAL]])</f>
        <v>0</v>
      </c>
      <c r="J1014" s="49">
        <f>+IF(FINANCIACION[[#This Row],[$ CAPITAL]]&gt;=0,FINANCIACION[[#This Row],[$ CAPITAL]]+FINANCIACION[[#This Row],[$ INTERESES]],0)</f>
        <v>0</v>
      </c>
    </row>
    <row r="1015" spans="1:10" ht="24" hidden="1" customHeight="1" x14ac:dyDescent="0.25">
      <c r="A1015" s="10">
        <v>44161</v>
      </c>
      <c r="B1015" s="85" t="s">
        <v>727</v>
      </c>
      <c r="C1015" s="7">
        <v>6216.2899999991059</v>
      </c>
      <c r="D1015" s="7">
        <v>393783.71000000089</v>
      </c>
      <c r="E1015" s="7">
        <f>+IF(FINANCIACION[[#This Row],[$ CAPITAL]]&gt;=0,FINANCIACION[[#This Row],[$ CAPITAL]]+FINANCIACION[[#This Row],[$ INTERESES]],"")</f>
        <v>400000</v>
      </c>
      <c r="F1015" s="7">
        <f>+SUMIFS(FINANCIACION[$ CAPITAL],FINANCIACION[Fecha],"&lt;="&amp;FINANCIACION[[#This Row],[Fecha]],FINANCIACION[PRESTAMO],FINANCIACION[[#This Row],[PRESTAMO]])</f>
        <v>-27335637.370000001</v>
      </c>
      <c r="G1015" s="11"/>
      <c r="H1015" s="11"/>
      <c r="I1015" s="7">
        <f>+IF(FINANCIACION[[#This Row],[$ CAPITAL]]&gt;0,FINANCIACION[[#This Row],[$ CAPITAL]])</f>
        <v>6216.2899999991059</v>
      </c>
      <c r="J1015" s="49">
        <f>+IF(FINANCIACION[[#This Row],[$ CAPITAL]]&gt;=0,FINANCIACION[[#This Row],[$ CAPITAL]]+FINANCIACION[[#This Row],[$ INTERESES]],0)</f>
        <v>400000</v>
      </c>
    </row>
    <row r="1016" spans="1:10" ht="24" hidden="1" customHeight="1" x14ac:dyDescent="0.25">
      <c r="A1016" s="10">
        <v>44165</v>
      </c>
      <c r="B1016" s="85" t="s">
        <v>727</v>
      </c>
      <c r="C1016" s="7">
        <v>214280.08000000194</v>
      </c>
      <c r="D1016" s="7"/>
      <c r="E1016" s="7">
        <f>+IF(FINANCIACION[[#This Row],[$ CAPITAL]]&gt;=0,FINANCIACION[[#This Row],[$ CAPITAL]]+FINANCIACION[[#This Row],[$ INTERESES]],"")</f>
        <v>214280.08000000194</v>
      </c>
      <c r="F1016" s="7">
        <f>+SUMIFS(FINANCIACION[$ CAPITAL],FINANCIACION[Fecha],"&lt;="&amp;FINANCIACION[[#This Row],[Fecha]],FINANCIACION[PRESTAMO],FINANCIACION[[#This Row],[PRESTAMO]])</f>
        <v>-27121357.289999999</v>
      </c>
      <c r="G1016" s="11"/>
      <c r="H1016" s="11"/>
      <c r="I1016" s="7">
        <f>+IF(FINANCIACION[[#This Row],[$ CAPITAL]]&gt;0,FINANCIACION[[#This Row],[$ CAPITAL]])</f>
        <v>214280.08000000194</v>
      </c>
      <c r="J1016" s="49">
        <f>+IF(FINANCIACION[[#This Row],[$ CAPITAL]]&gt;=0,FINANCIACION[[#This Row],[$ CAPITAL]]+FINANCIACION[[#This Row],[$ INTERESES]],0)</f>
        <v>214280.08000000194</v>
      </c>
    </row>
    <row r="1017" spans="1:10" ht="24" hidden="1" customHeight="1" x14ac:dyDescent="0.25">
      <c r="A1017" s="10">
        <v>44187</v>
      </c>
      <c r="B1017" s="85" t="s">
        <v>727</v>
      </c>
      <c r="C1017" s="7">
        <v>500000</v>
      </c>
      <c r="D1017" s="7"/>
      <c r="E1017" s="7">
        <f>+IF(FINANCIACION[[#This Row],[$ CAPITAL]]&gt;=0,FINANCIACION[[#This Row],[$ CAPITAL]]+FINANCIACION[[#This Row],[$ INTERESES]],"")</f>
        <v>500000</v>
      </c>
      <c r="F1017" s="7">
        <f>+SUMIFS(FINANCIACION[$ CAPITAL],FINANCIACION[Fecha],"&lt;="&amp;FINANCIACION[[#This Row],[Fecha]],FINANCIACION[PRESTAMO],FINANCIACION[[#This Row],[PRESTAMO]])</f>
        <v>-26621357.289999999</v>
      </c>
      <c r="G1017" s="11"/>
      <c r="H1017" s="11"/>
      <c r="I1017" s="7">
        <f>+IF(FINANCIACION[[#This Row],[$ CAPITAL]]&gt;0,FINANCIACION[[#This Row],[$ CAPITAL]])</f>
        <v>500000</v>
      </c>
      <c r="J1017" s="49">
        <f>+IF(FINANCIACION[[#This Row],[$ CAPITAL]]&gt;=0,FINANCIACION[[#This Row],[$ CAPITAL]]+FINANCIACION[[#This Row],[$ INTERESES]],0)</f>
        <v>500000</v>
      </c>
    </row>
    <row r="1018" spans="1:10" ht="24" hidden="1" customHeight="1" x14ac:dyDescent="0.25">
      <c r="A1018" s="10">
        <v>44196</v>
      </c>
      <c r="B1018" s="85" t="s">
        <v>727</v>
      </c>
      <c r="C1018" s="7">
        <v>-189250.28999999899</v>
      </c>
      <c r="D1018" s="7"/>
      <c r="E1018" s="7" t="str">
        <f>+IF(FINANCIACION[[#This Row],[$ CAPITAL]]&gt;=0,FINANCIACION[[#This Row],[$ CAPITAL]]+FINANCIACION[[#This Row],[$ INTERESES]],"")</f>
        <v/>
      </c>
      <c r="F1018" s="7">
        <f>+SUMIFS(FINANCIACION[$ CAPITAL],FINANCIACION[Fecha],"&lt;="&amp;FINANCIACION[[#This Row],[Fecha]],FINANCIACION[PRESTAMO],FINANCIACION[[#This Row],[PRESTAMO]])</f>
        <v>-26810607.579999998</v>
      </c>
      <c r="G1018" s="11"/>
      <c r="H1018" s="11"/>
      <c r="I1018" s="7" t="b">
        <f>+IF(FINANCIACION[[#This Row],[$ CAPITAL]]&gt;0,FINANCIACION[[#This Row],[$ CAPITAL]])</f>
        <v>0</v>
      </c>
      <c r="J1018" s="49">
        <f>+IF(FINANCIACION[[#This Row],[$ CAPITAL]]&gt;=0,FINANCIACION[[#This Row],[$ CAPITAL]]+FINANCIACION[[#This Row],[$ INTERESES]],0)</f>
        <v>0</v>
      </c>
    </row>
    <row r="1019" spans="1:10" ht="24" hidden="1" customHeight="1" x14ac:dyDescent="0.25">
      <c r="A1019" s="10">
        <v>44244</v>
      </c>
      <c r="B1019" s="85" t="s">
        <v>727</v>
      </c>
      <c r="C1019" s="7">
        <v>181769</v>
      </c>
      <c r="D1019" s="7"/>
      <c r="E1019" s="7">
        <f>+IF(FINANCIACION[[#This Row],[$ CAPITAL]]&gt;=0,FINANCIACION[[#This Row],[$ CAPITAL]]+FINANCIACION[[#This Row],[$ INTERESES]],"")</f>
        <v>181769</v>
      </c>
      <c r="F1019" s="7">
        <f>+SUMIFS(FINANCIACION[$ CAPITAL],FINANCIACION[Fecha],"&lt;="&amp;FINANCIACION[[#This Row],[Fecha]],FINANCIACION[PRESTAMO],FINANCIACION[[#This Row],[PRESTAMO]])</f>
        <v>-26628838.579999998</v>
      </c>
      <c r="G1019" s="11"/>
      <c r="H1019" s="11"/>
      <c r="I1019" s="7">
        <f>+IF(FINANCIACION[[#This Row],[$ CAPITAL]]&gt;0,FINANCIACION[[#This Row],[$ CAPITAL]])</f>
        <v>181769</v>
      </c>
      <c r="J1019" s="12">
        <f>+IF(FINANCIACION[[#This Row],[$ CAPITAL]]&gt;=0,FINANCIACION[[#This Row],[$ CAPITAL]]+FINANCIACION[[#This Row],[$ INTERESES]],0)</f>
        <v>181769</v>
      </c>
    </row>
    <row r="1020" spans="1:10" ht="24" hidden="1" customHeight="1" x14ac:dyDescent="0.25">
      <c r="A1020" s="10">
        <v>44255</v>
      </c>
      <c r="B1020" s="85" t="s">
        <v>727</v>
      </c>
      <c r="C1020" s="7">
        <v>-362321.97000000253</v>
      </c>
      <c r="D1020" s="7"/>
      <c r="E1020" s="7" t="str">
        <f>+IF(FINANCIACION[[#This Row],[$ CAPITAL]]&gt;=0,FINANCIACION[[#This Row],[$ CAPITAL]]+FINANCIACION[[#This Row],[$ INTERESES]],"")</f>
        <v/>
      </c>
      <c r="F1020" s="7">
        <f>+SUMIFS(FINANCIACION[$ CAPITAL],FINANCIACION[Fecha],"&lt;="&amp;FINANCIACION[[#This Row],[Fecha]],FINANCIACION[PRESTAMO],FINANCIACION[[#This Row],[PRESTAMO]])</f>
        <v>-26991160.550000001</v>
      </c>
      <c r="G1020" s="11" t="s">
        <v>512</v>
      </c>
      <c r="H1020" s="11"/>
      <c r="I1020" s="7" t="b">
        <f>+IF(FINANCIACION[[#This Row],[$ CAPITAL]]&gt;0,FINANCIACION[[#This Row],[$ CAPITAL]])</f>
        <v>0</v>
      </c>
      <c r="J1020" s="12">
        <f>+IF(FINANCIACION[[#This Row],[$ CAPITAL]]&gt;=0,FINANCIACION[[#This Row],[$ CAPITAL]]+FINANCIACION[[#This Row],[$ INTERESES]],0)</f>
        <v>0</v>
      </c>
    </row>
    <row r="1021" spans="1:10" ht="24" hidden="1" customHeight="1" x14ac:dyDescent="0.25">
      <c r="A1021" s="10">
        <v>44284</v>
      </c>
      <c r="B1021" s="85" t="s">
        <v>727</v>
      </c>
      <c r="C1021" s="7">
        <v>1233330.6600000001</v>
      </c>
      <c r="D1021" s="7">
        <v>22384.339999999851</v>
      </c>
      <c r="E1021" s="7">
        <f>+IF(FINANCIACION[[#This Row],[$ CAPITAL]]&gt;=0,FINANCIACION[[#This Row],[$ CAPITAL]]+FINANCIACION[[#This Row],[$ INTERESES]],"")</f>
        <v>1255715</v>
      </c>
      <c r="F1021" s="7">
        <f>+SUMIFS(FINANCIACION[$ CAPITAL],FINANCIACION[Fecha],"&lt;="&amp;FINANCIACION[[#This Row],[Fecha]],FINANCIACION[PRESTAMO],FINANCIACION[[#This Row],[PRESTAMO]])</f>
        <v>-25757829.890000001</v>
      </c>
      <c r="G1021" s="11"/>
      <c r="H1021" s="91"/>
      <c r="I1021" s="7">
        <f>+IF(FINANCIACION[[#This Row],[$ CAPITAL]]&gt;0,FINANCIACION[[#This Row],[$ CAPITAL]])</f>
        <v>1233330.6600000001</v>
      </c>
      <c r="J1021" s="12">
        <f>+IF(FINANCIACION[[#This Row],[$ CAPITAL]]&gt;=0,FINANCIACION[[#This Row],[$ CAPITAL]]+FINANCIACION[[#This Row],[$ INTERESES]],0)</f>
        <v>1255715</v>
      </c>
    </row>
    <row r="1022" spans="1:10" ht="24" hidden="1" customHeight="1" x14ac:dyDescent="0.25">
      <c r="A1022" s="10">
        <v>44286</v>
      </c>
      <c r="B1022" s="85" t="s">
        <v>727</v>
      </c>
      <c r="C1022" s="7">
        <v>-155319.6400000006</v>
      </c>
      <c r="D1022" s="7"/>
      <c r="E1022" s="7" t="str">
        <f>+IF(FINANCIACION[[#This Row],[$ CAPITAL]]&gt;=0,FINANCIACION[[#This Row],[$ CAPITAL]]+FINANCIACION[[#This Row],[$ INTERESES]],"")</f>
        <v/>
      </c>
      <c r="F1022" s="7">
        <f>+SUMIFS(FINANCIACION[$ CAPITAL],FINANCIACION[Fecha],"&lt;="&amp;FINANCIACION[[#This Row],[Fecha]],FINANCIACION[PRESTAMO],FINANCIACION[[#This Row],[PRESTAMO]])</f>
        <v>-25913149.530000001</v>
      </c>
      <c r="G1022" s="11" t="s">
        <v>512</v>
      </c>
      <c r="H1022" s="91"/>
      <c r="I1022" s="7" t="b">
        <f>+IF(FINANCIACION[[#This Row],[$ CAPITAL]]&gt;0,FINANCIACION[[#This Row],[$ CAPITAL]])</f>
        <v>0</v>
      </c>
      <c r="J1022" s="12">
        <f>+IF(FINANCIACION[[#This Row],[$ CAPITAL]]&gt;=0,FINANCIACION[[#This Row],[$ CAPITAL]]+FINANCIACION[[#This Row],[$ INTERESES]],0)</f>
        <v>0</v>
      </c>
    </row>
    <row r="1023" spans="1:10" ht="24" hidden="1" customHeight="1" x14ac:dyDescent="0.25">
      <c r="A1023" s="10">
        <v>44316</v>
      </c>
      <c r="B1023" s="85" t="s">
        <v>727</v>
      </c>
      <c r="C1023" s="7">
        <v>-171349.36999999732</v>
      </c>
      <c r="D1023" s="7"/>
      <c r="E1023" s="7" t="str">
        <f>+IF(FINANCIACION[[#This Row],[$ CAPITAL]]&gt;=0,FINANCIACION[[#This Row],[$ CAPITAL]]+FINANCIACION[[#This Row],[$ INTERESES]],"")</f>
        <v/>
      </c>
      <c r="F1023" s="7">
        <f>+SUMIFS(FINANCIACION[$ CAPITAL],FINANCIACION[Fecha],"&lt;="&amp;FINANCIACION[[#This Row],[Fecha]],FINANCIACION[PRESTAMO],FINANCIACION[[#This Row],[PRESTAMO]])</f>
        <v>-26084498.899999999</v>
      </c>
      <c r="G1023" s="11" t="s">
        <v>512</v>
      </c>
      <c r="H1023" s="91"/>
      <c r="I1023" s="7" t="b">
        <f>+IF(FINANCIACION[[#This Row],[$ CAPITAL]]&gt;0,FINANCIACION[[#This Row],[$ CAPITAL]])</f>
        <v>0</v>
      </c>
      <c r="J1023" s="12">
        <f>+IF(FINANCIACION[[#This Row],[$ CAPITAL]]&gt;=0,FINANCIACION[[#This Row],[$ CAPITAL]]+FINANCIACION[[#This Row],[$ INTERESES]],0)</f>
        <v>0</v>
      </c>
    </row>
    <row r="1024" spans="1:10" ht="24" hidden="1" customHeight="1" x14ac:dyDescent="0.25">
      <c r="A1024" s="10">
        <v>44319</v>
      </c>
      <c r="B1024" s="85" t="s">
        <v>727</v>
      </c>
      <c r="C1024" s="7">
        <v>894000</v>
      </c>
      <c r="D1024" s="7">
        <v>166402.96</v>
      </c>
      <c r="E1024" s="7">
        <f>+IF(FINANCIACION[[#This Row],[$ CAPITAL]]&gt;=0,FINANCIACION[[#This Row],[$ CAPITAL]]+FINANCIACION[[#This Row],[$ INTERESES]],"")</f>
        <v>1060402.96</v>
      </c>
      <c r="F1024" s="7">
        <f>+SUMIFS(FINANCIACION[$ CAPITAL],FINANCIACION[Fecha],"&lt;="&amp;FINANCIACION[[#This Row],[Fecha]],FINANCIACION[PRESTAMO],FINANCIACION[[#This Row],[PRESTAMO]])</f>
        <v>-25190498.899999999</v>
      </c>
      <c r="G1024" s="91"/>
      <c r="H1024" s="11"/>
      <c r="I1024" s="7">
        <f>+IF(FINANCIACION[[#This Row],[$ CAPITAL]]&gt;0,FINANCIACION[[#This Row],[$ CAPITAL]])</f>
        <v>894000</v>
      </c>
      <c r="J1024" s="49">
        <f>+IF(FINANCIACION[[#This Row],[$ CAPITAL]]&gt;=0,FINANCIACION[[#This Row],[$ CAPITAL]]+FINANCIACION[[#This Row],[$ INTERESES]],0)</f>
        <v>1060402.96</v>
      </c>
    </row>
    <row r="1025" spans="1:10" ht="24" hidden="1" customHeight="1" x14ac:dyDescent="0.25">
      <c r="A1025" s="10">
        <v>44340</v>
      </c>
      <c r="B1025" s="85" t="s">
        <v>727</v>
      </c>
      <c r="C1025" s="7">
        <v>1055849.8999999985</v>
      </c>
      <c r="D1025" s="7">
        <v>5150.1000000014901</v>
      </c>
      <c r="E1025" s="7">
        <f>+IF(FINANCIACION[[#This Row],[$ CAPITAL]]&gt;=0,FINANCIACION[[#This Row],[$ CAPITAL]]+FINANCIACION[[#This Row],[$ INTERESES]],"")</f>
        <v>1061000</v>
      </c>
      <c r="F1025" s="7">
        <f>+SUMIFS(FINANCIACION[$ CAPITAL],FINANCIACION[Fecha],"&lt;="&amp;FINANCIACION[[#This Row],[Fecha]],FINANCIACION[PRESTAMO],FINANCIACION[[#This Row],[PRESTAMO]])</f>
        <v>-24134649</v>
      </c>
      <c r="G1025" s="11"/>
      <c r="H1025" s="91"/>
      <c r="I1025" s="7">
        <f>+IF(FINANCIACION[[#This Row],[$ CAPITAL]]&gt;0,FINANCIACION[[#This Row],[$ CAPITAL]])</f>
        <v>1055849.8999999985</v>
      </c>
      <c r="J1025" s="12">
        <f>+IF(FINANCIACION[[#This Row],[$ CAPITAL]]&gt;=0,FINANCIACION[[#This Row],[$ CAPITAL]]+FINANCIACION[[#This Row],[$ INTERESES]],0)</f>
        <v>1061000</v>
      </c>
    </row>
    <row r="1026" spans="1:10" ht="24" hidden="1" customHeight="1" x14ac:dyDescent="0.25">
      <c r="A1026" s="10">
        <v>44346</v>
      </c>
      <c r="B1026" s="85" t="s">
        <v>727</v>
      </c>
      <c r="C1026" s="7">
        <v>-137423.60000000149</v>
      </c>
      <c r="D1026" s="7"/>
      <c r="E1026" s="7" t="str">
        <f>+IF(FINANCIACION[[#This Row],[$ CAPITAL]]&gt;=0,FINANCIACION[[#This Row],[$ CAPITAL]]+FINANCIACION[[#This Row],[$ INTERESES]],"")</f>
        <v/>
      </c>
      <c r="F1026" s="7">
        <f>+SUMIFS(FINANCIACION[$ CAPITAL],FINANCIACION[Fecha],"&lt;="&amp;FINANCIACION[[#This Row],[Fecha]],FINANCIACION[PRESTAMO],FINANCIACION[[#This Row],[PRESTAMO]])</f>
        <v>-24272072.600000001</v>
      </c>
      <c r="G1026" s="91" t="s">
        <v>512</v>
      </c>
      <c r="H1026" s="11"/>
      <c r="I1026" s="7" t="b">
        <f>+IF(FINANCIACION[[#This Row],[$ CAPITAL]]&gt;0,FINANCIACION[[#This Row],[$ CAPITAL]])</f>
        <v>0</v>
      </c>
      <c r="J1026" s="49">
        <f>+IF(FINANCIACION[[#This Row],[$ CAPITAL]]&gt;=0,FINANCIACION[[#This Row],[$ CAPITAL]]+FINANCIACION[[#This Row],[$ INTERESES]],0)</f>
        <v>0</v>
      </c>
    </row>
    <row r="1027" spans="1:10" ht="24" hidden="1" customHeight="1" x14ac:dyDescent="0.25">
      <c r="A1027" s="10">
        <v>44374</v>
      </c>
      <c r="B1027" s="85" t="s">
        <v>727</v>
      </c>
      <c r="C1027" s="7">
        <v>1046623.2200000025</v>
      </c>
      <c r="D1027" s="7">
        <v>10376.779999997467</v>
      </c>
      <c r="E1027" s="7">
        <f>+IF(FINANCIACION[[#This Row],[$ CAPITAL]]&gt;=0,FINANCIACION[[#This Row],[$ CAPITAL]]+FINANCIACION[[#This Row],[$ INTERESES]],"")</f>
        <v>1057000</v>
      </c>
      <c r="F1027" s="7">
        <f>+SUMIFS(FINANCIACION[$ CAPITAL],FINANCIACION[Fecha],"&lt;="&amp;FINANCIACION[[#This Row],[Fecha]],FINANCIACION[PRESTAMO],FINANCIACION[[#This Row],[PRESTAMO]])</f>
        <v>-23225449.379999999</v>
      </c>
      <c r="G1027" s="91"/>
      <c r="H1027" s="11"/>
      <c r="I1027" s="7">
        <f>+IF(FINANCIACION[[#This Row],[$ CAPITAL]]&gt;0,FINANCIACION[[#This Row],[$ CAPITAL]])</f>
        <v>1046623.2200000025</v>
      </c>
      <c r="J1027" s="49">
        <f>+IF(FINANCIACION[[#This Row],[$ CAPITAL]]&gt;=0,FINANCIACION[[#This Row],[$ CAPITAL]]+FINANCIACION[[#This Row],[$ INTERESES]],0)</f>
        <v>1057000</v>
      </c>
    </row>
    <row r="1028" spans="1:10" ht="24" hidden="1" customHeight="1" x14ac:dyDescent="0.25">
      <c r="A1028" s="10">
        <v>44398</v>
      </c>
      <c r="B1028" s="85" t="s">
        <v>727</v>
      </c>
      <c r="C1028" s="7">
        <v>1041327.2299999967</v>
      </c>
      <c r="D1028" s="7">
        <v>9672.7700000032783</v>
      </c>
      <c r="E1028" s="7">
        <f>+IF(FINANCIACION[[#This Row],[$ CAPITAL]]&gt;=0,FINANCIACION[[#This Row],[$ CAPITAL]]+FINANCIACION[[#This Row],[$ INTERESES]],"")</f>
        <v>1051000</v>
      </c>
      <c r="F1028" s="7">
        <f>+SUMIFS(FINANCIACION[$ CAPITAL],FINANCIACION[Fecha],"&lt;="&amp;FINANCIACION[[#This Row],[Fecha]],FINANCIACION[PRESTAMO],FINANCIACION[[#This Row],[PRESTAMO]])</f>
        <v>-22184122.150000002</v>
      </c>
      <c r="G1028" s="91"/>
      <c r="H1028" s="11"/>
      <c r="I1028" s="7">
        <f>+IF(FINANCIACION[[#This Row],[$ CAPITAL]]&gt;0,FINANCIACION[[#This Row],[$ CAPITAL]])</f>
        <v>1041327.2299999967</v>
      </c>
      <c r="J1028" s="49">
        <f>+IF(FINANCIACION[[#This Row],[$ CAPITAL]]&gt;=0,FINANCIACION[[#This Row],[$ CAPITAL]]+FINANCIACION[[#This Row],[$ INTERESES]],0)</f>
        <v>1051000</v>
      </c>
    </row>
    <row r="1029" spans="1:10" ht="24" hidden="1" customHeight="1" x14ac:dyDescent="0.25">
      <c r="A1029" s="10">
        <v>44408</v>
      </c>
      <c r="B1029" s="85" t="s">
        <v>727</v>
      </c>
      <c r="C1029" s="7">
        <v>-144629.48999999836</v>
      </c>
      <c r="D1029" s="7"/>
      <c r="E1029" s="7" t="str">
        <f>+IF(FINANCIACION[[#This Row],[$ CAPITAL]]&gt;=0,FINANCIACION[[#This Row],[$ CAPITAL]]+FINANCIACION[[#This Row],[$ INTERESES]],"")</f>
        <v/>
      </c>
      <c r="F1029" s="7">
        <f>+SUMIFS(FINANCIACION[$ CAPITAL],FINANCIACION[Fecha],"&lt;="&amp;FINANCIACION[[#This Row],[Fecha]],FINANCIACION[PRESTAMO],FINANCIACION[[#This Row],[PRESTAMO]])</f>
        <v>-22328751.640000001</v>
      </c>
      <c r="G1029" s="11" t="s">
        <v>512</v>
      </c>
      <c r="H1029" s="11"/>
      <c r="I1029" s="7" t="b">
        <f>+IF(FINANCIACION[[#This Row],[$ CAPITAL]]&gt;0,FINANCIACION[[#This Row],[$ CAPITAL]])</f>
        <v>0</v>
      </c>
      <c r="J1029" s="49">
        <f>+IF(FINANCIACION[[#This Row],[$ CAPITAL]]&gt;=0,FINANCIACION[[#This Row],[$ CAPITAL]]+FINANCIACION[[#This Row],[$ INTERESES]],0)</f>
        <v>0</v>
      </c>
    </row>
    <row r="1030" spans="1:10" ht="24" hidden="1" customHeight="1" x14ac:dyDescent="0.25">
      <c r="A1030" s="10">
        <v>44426</v>
      </c>
      <c r="B1030" s="85" t="s">
        <v>727</v>
      </c>
      <c r="C1030" s="7">
        <v>1040361.5199999996</v>
      </c>
      <c r="D1030" s="7">
        <v>4638.480000000447</v>
      </c>
      <c r="E1030" s="7">
        <f>+IF(FINANCIACION[[#This Row],[$ CAPITAL]]&gt;=0,FINANCIACION[[#This Row],[$ CAPITAL]]+FINANCIACION[[#This Row],[$ INTERESES]],"")</f>
        <v>1045000</v>
      </c>
      <c r="F1030" s="7">
        <f>+SUMIFS(FINANCIACION[$ CAPITAL],FINANCIACION[Fecha],"&lt;="&amp;FINANCIACION[[#This Row],[Fecha]],FINANCIACION[PRESTAMO],FINANCIACION[[#This Row],[PRESTAMO]])</f>
        <v>-21288390.120000001</v>
      </c>
      <c r="G1030" s="91"/>
      <c r="H1030" s="11"/>
      <c r="I1030" s="7">
        <f>+IF(FINANCIACION[[#This Row],[$ CAPITAL]]&gt;0,FINANCIACION[[#This Row],[$ CAPITAL]])</f>
        <v>1040361.5199999996</v>
      </c>
      <c r="J1030" s="49">
        <f>+IF(FINANCIACION[[#This Row],[$ CAPITAL]]&gt;=0,FINANCIACION[[#This Row],[$ CAPITAL]]+FINANCIACION[[#This Row],[$ INTERESES]],0)</f>
        <v>1045000</v>
      </c>
    </row>
    <row r="1031" spans="1:10" ht="24" hidden="1" customHeight="1" x14ac:dyDescent="0.25">
      <c r="A1031" s="10">
        <v>44459</v>
      </c>
      <c r="B1031" s="85" t="s">
        <v>727</v>
      </c>
      <c r="C1031" s="7">
        <v>1027038.799999997</v>
      </c>
      <c r="D1031" s="7">
        <v>13961.20000000298</v>
      </c>
      <c r="E1031" s="7">
        <f>+IF(FINANCIACION[[#This Row],[$ CAPITAL]]&gt;=0,FINANCIACION[[#This Row],[$ CAPITAL]]+FINANCIACION[[#This Row],[$ INTERESES]],"")</f>
        <v>1041000</v>
      </c>
      <c r="F1031" s="7">
        <f>+SUMIFS(FINANCIACION[$ CAPITAL],FINANCIACION[Fecha],"&lt;="&amp;FINANCIACION[[#This Row],[Fecha]],FINANCIACION[PRESTAMO],FINANCIACION[[#This Row],[PRESTAMO]])</f>
        <v>-20261351.320000004</v>
      </c>
      <c r="G1031" s="91"/>
      <c r="H1031" s="11"/>
      <c r="I1031" s="7">
        <f>+IF(FINANCIACION[[#This Row],[$ CAPITAL]]&gt;0,FINANCIACION[[#This Row],[$ CAPITAL]])</f>
        <v>1027038.799999997</v>
      </c>
      <c r="J1031" s="49">
        <f>+IF(FINANCIACION[[#This Row],[$ CAPITAL]]&gt;=0,FINANCIACION[[#This Row],[$ CAPITAL]]+FINANCIACION[[#This Row],[$ INTERESES]],0)</f>
        <v>1041000</v>
      </c>
    </row>
    <row r="1032" spans="1:10" ht="24" hidden="1" customHeight="1" x14ac:dyDescent="0.25">
      <c r="A1032" s="10">
        <v>44490</v>
      </c>
      <c r="B1032" s="85" t="s">
        <v>727</v>
      </c>
      <c r="C1032" s="7">
        <v>1018692.3000000007</v>
      </c>
      <c r="D1032" s="7">
        <v>17307.699999999255</v>
      </c>
      <c r="E1032" s="7">
        <f>+IF(FINANCIACION[[#This Row],[$ CAPITAL]]&gt;=0,FINANCIACION[[#This Row],[$ CAPITAL]]+FINANCIACION[[#This Row],[$ INTERESES]],"")</f>
        <v>1036000</v>
      </c>
      <c r="F1032" s="7">
        <f>+SUMIFS(FINANCIACION[$ CAPITAL],FINANCIACION[Fecha],"&lt;="&amp;FINANCIACION[[#This Row],[Fecha]],FINANCIACION[PRESTAMO],FINANCIACION[[#This Row],[PRESTAMO]])</f>
        <v>-19242659.020000003</v>
      </c>
      <c r="G1032" s="91"/>
      <c r="H1032" s="11"/>
      <c r="I1032" s="7">
        <f>+IF(FINANCIACION[[#This Row],[$ CAPITAL]]&gt;0,FINANCIACION[[#This Row],[$ CAPITAL]])</f>
        <v>1018692.3000000007</v>
      </c>
      <c r="J1032" s="49">
        <f>+IF(FINANCIACION[[#This Row],[$ CAPITAL]]&gt;=0,FINANCIACION[[#This Row],[$ CAPITAL]]+FINANCIACION[[#This Row],[$ INTERESES]],0)</f>
        <v>1036000</v>
      </c>
    </row>
    <row r="1033" spans="1:10" ht="24" hidden="1" customHeight="1" x14ac:dyDescent="0.25">
      <c r="A1033" s="10">
        <v>44523</v>
      </c>
      <c r="B1033" s="85" t="s">
        <v>727</v>
      </c>
      <c r="C1033" s="7">
        <v>992530.51999999955</v>
      </c>
      <c r="D1033" s="7">
        <v>41469.480000000447</v>
      </c>
      <c r="E1033" s="7">
        <f>+IF(FINANCIACION[[#This Row],[$ CAPITAL]]&gt;=0,FINANCIACION[[#This Row],[$ CAPITAL]]+FINANCIACION[[#This Row],[$ INTERESES]],"")</f>
        <v>1034000</v>
      </c>
      <c r="F1033" s="7">
        <f>+SUMIFS(FINANCIACION[$ CAPITAL],FINANCIACION[Fecha],"&lt;="&amp;FINANCIACION[[#This Row],[Fecha]],FINANCIACION[PRESTAMO],FINANCIACION[[#This Row],[PRESTAMO]])</f>
        <v>-18250128.500000004</v>
      </c>
      <c r="G1033" s="91"/>
      <c r="H1033" s="11"/>
      <c r="I1033" s="7">
        <f>+IF(FINANCIACION[[#This Row],[$ CAPITAL]]&gt;0,FINANCIACION[[#This Row],[$ CAPITAL]])</f>
        <v>992530.51999999955</v>
      </c>
      <c r="J1033" s="49">
        <f>+IF(FINANCIACION[[#This Row],[$ CAPITAL]]&gt;=0,FINANCIACION[[#This Row],[$ CAPITAL]]+FINANCIACION[[#This Row],[$ INTERESES]],0)</f>
        <v>1034000</v>
      </c>
    </row>
    <row r="1034" spans="1:10" ht="24" hidden="1" customHeight="1" x14ac:dyDescent="0.25">
      <c r="A1034" s="10">
        <v>44544</v>
      </c>
      <c r="B1034" s="85" t="s">
        <v>727</v>
      </c>
      <c r="C1034" s="7">
        <v>988960.98000000045</v>
      </c>
      <c r="D1034" s="7">
        <v>44039.019999999553</v>
      </c>
      <c r="E1034" s="7">
        <f>+IF(FINANCIACION[[#This Row],[$ CAPITAL]]&gt;=0,FINANCIACION[[#This Row],[$ CAPITAL]]+FINANCIACION[[#This Row],[$ INTERESES]],"")</f>
        <v>1033000</v>
      </c>
      <c r="F1034" s="7">
        <f>+SUMIFS(FINANCIACION[$ CAPITAL],FINANCIACION[Fecha],"&lt;="&amp;FINANCIACION[[#This Row],[Fecha]],FINANCIACION[PRESTAMO],FINANCIACION[[#This Row],[PRESTAMO]])</f>
        <v>-17261167.520000003</v>
      </c>
      <c r="G1034" s="91"/>
      <c r="H1034" s="11"/>
      <c r="I1034" s="7">
        <f>+IF(FINANCIACION[[#This Row],[$ CAPITAL]]&gt;0,FINANCIACION[[#This Row],[$ CAPITAL]])</f>
        <v>988960.98000000045</v>
      </c>
      <c r="J1034" s="49">
        <f>+IF(FINANCIACION[[#This Row],[$ CAPITAL]]&gt;=0,FINANCIACION[[#This Row],[$ CAPITAL]]+FINANCIACION[[#This Row],[$ INTERESES]],0)</f>
        <v>1033000</v>
      </c>
    </row>
    <row r="1035" spans="1:10" ht="24" hidden="1" customHeight="1" x14ac:dyDescent="0.25">
      <c r="A1035" s="10">
        <v>44525</v>
      </c>
      <c r="B1035" s="85" t="s">
        <v>980</v>
      </c>
      <c r="C1035" s="7">
        <v>-80206729.879999995</v>
      </c>
      <c r="D1035" s="7">
        <v>6148159.1900000004</v>
      </c>
      <c r="E1035" s="7" t="str">
        <f>+IF(FINANCIACION[[#This Row],[$ CAPITAL]]&gt;=0,FINANCIACION[[#This Row],[$ CAPITAL]]+FINANCIACION[[#This Row],[$ INTERESES]],"")</f>
        <v/>
      </c>
      <c r="F1035" s="7">
        <f>+SUMIFS(FINANCIACION[$ CAPITAL],FINANCIACION[Fecha],"&lt;="&amp;FINANCIACION[[#This Row],[Fecha]],FINANCIACION[PRESTAMO],FINANCIACION[[#This Row],[PRESTAMO]])</f>
        <v>-80206729.879999995</v>
      </c>
      <c r="G1035" s="91" t="s">
        <v>981</v>
      </c>
      <c r="H1035" s="11"/>
      <c r="I1035" s="7" t="b">
        <f>+IF(FINANCIACION[[#This Row],[$ CAPITAL]]&gt;0,FINANCIACION[[#This Row],[$ CAPITAL]])</f>
        <v>0</v>
      </c>
      <c r="J1035" s="49">
        <f>+IF(FINANCIACION[[#This Row],[$ CAPITAL]]&gt;=0,FINANCIACION[[#This Row],[$ CAPITAL]]+FINANCIACION[[#This Row],[$ INTERESES]],0)</f>
        <v>0</v>
      </c>
    </row>
    <row r="1036" spans="1:10" ht="24" hidden="1" customHeight="1" x14ac:dyDescent="0.25">
      <c r="A1036" s="10">
        <v>44544</v>
      </c>
      <c r="B1036" s="85" t="s">
        <v>980</v>
      </c>
      <c r="C1036" s="7">
        <v>345651.39999999106</v>
      </c>
      <c r="D1036" s="7">
        <v>172348.60000000894</v>
      </c>
      <c r="E1036" s="7">
        <f>+IF(FINANCIACION[[#This Row],[$ CAPITAL]]&gt;=0,FINANCIACION[[#This Row],[$ CAPITAL]]+FINANCIACION[[#This Row],[$ INTERESES]],"")</f>
        <v>518000</v>
      </c>
      <c r="F1036" s="7">
        <f>+SUMIFS(FINANCIACION[$ CAPITAL],FINANCIACION[Fecha],"&lt;="&amp;FINANCIACION[[#This Row],[Fecha]],FINANCIACION[PRESTAMO],FINANCIACION[[#This Row],[PRESTAMO]])</f>
        <v>-79861078.480000004</v>
      </c>
      <c r="G1036" s="91"/>
      <c r="H1036" s="11"/>
      <c r="I1036" s="7">
        <f>+IF(FINANCIACION[[#This Row],[$ CAPITAL]]&gt;0,FINANCIACION[[#This Row],[$ CAPITAL]])</f>
        <v>345651.39999999106</v>
      </c>
      <c r="J1036" s="49">
        <f>+IF(FINANCIACION[[#This Row],[$ CAPITAL]]&gt;=0,FINANCIACION[[#This Row],[$ CAPITAL]]+FINANCIACION[[#This Row],[$ INTERESES]],0)</f>
        <v>518000</v>
      </c>
    </row>
    <row r="1037" spans="1:10" ht="24" hidden="1" customHeight="1" x14ac:dyDescent="0.25">
      <c r="A1037" s="10">
        <v>44317</v>
      </c>
      <c r="B1037" s="85" t="s">
        <v>764</v>
      </c>
      <c r="C1037" s="7">
        <v>-39606000</v>
      </c>
      <c r="D1037" s="7"/>
      <c r="E1037" s="7" t="str">
        <f>+IF(FINANCIACION[[#This Row],[$ CAPITAL]]&gt;=0,FINANCIACION[[#This Row],[$ CAPITAL]]+FINANCIACION[[#This Row],[$ INTERESES]],"")</f>
        <v/>
      </c>
      <c r="F1037" s="7">
        <f>+SUMIFS(FINANCIACION[$ CAPITAL],FINANCIACION[Fecha],"&lt;="&amp;FINANCIACION[[#This Row],[Fecha]],FINANCIACION[PRESTAMO],FINANCIACION[[#This Row],[PRESTAMO]])</f>
        <v>-39606000</v>
      </c>
      <c r="G1037" s="91"/>
      <c r="H1037" s="11"/>
      <c r="I1037" s="7" t="b">
        <f>+IF(FINANCIACION[[#This Row],[$ CAPITAL]]&gt;0,FINANCIACION[[#This Row],[$ CAPITAL]])</f>
        <v>0</v>
      </c>
      <c r="J1037" s="49">
        <f>+IF(FINANCIACION[[#This Row],[$ CAPITAL]]&gt;=0,FINANCIACION[[#This Row],[$ CAPITAL]]+FINANCIACION[[#This Row],[$ INTERESES]],0)</f>
        <v>0</v>
      </c>
    </row>
    <row r="1038" spans="1:10" ht="24" hidden="1" customHeight="1" x14ac:dyDescent="0.25">
      <c r="A1038" s="10">
        <v>44404</v>
      </c>
      <c r="B1038" s="85" t="s">
        <v>764</v>
      </c>
      <c r="C1038" s="7">
        <v>19066000</v>
      </c>
      <c r="D1038" s="7">
        <v>1934000</v>
      </c>
      <c r="E1038" s="7">
        <f>+IF(FINANCIACION[[#This Row],[$ CAPITAL]]&gt;=0,FINANCIACION[[#This Row],[$ CAPITAL]]+FINANCIACION[[#This Row],[$ INTERESES]],"")</f>
        <v>21000000</v>
      </c>
      <c r="F1038" s="7">
        <f>+SUMIFS(FINANCIACION[$ CAPITAL],FINANCIACION[Fecha],"&lt;="&amp;FINANCIACION[[#This Row],[Fecha]],FINANCIACION[PRESTAMO],FINANCIACION[[#This Row],[PRESTAMO]])</f>
        <v>-20540000</v>
      </c>
      <c r="G1038" s="91"/>
      <c r="H1038" s="11"/>
      <c r="I1038" s="7">
        <f>+IF(FINANCIACION[[#This Row],[$ CAPITAL]]&gt;0,FINANCIACION[[#This Row],[$ CAPITAL]])</f>
        <v>19066000</v>
      </c>
      <c r="J1038" s="49">
        <f>+IF(FINANCIACION[[#This Row],[$ CAPITAL]]&gt;=0,FINANCIACION[[#This Row],[$ CAPITAL]]+FINANCIACION[[#This Row],[$ INTERESES]],0)</f>
        <v>21000000</v>
      </c>
    </row>
    <row r="1039" spans="1:10" ht="24" hidden="1" customHeight="1" x14ac:dyDescent="0.25">
      <c r="A1039" s="10">
        <v>44426</v>
      </c>
      <c r="B1039" s="85" t="s">
        <v>764</v>
      </c>
      <c r="C1039" s="7">
        <v>10000000</v>
      </c>
      <c r="D1039" s="7">
        <v>551000</v>
      </c>
      <c r="E1039" s="7">
        <f>+IF(FINANCIACION[[#This Row],[$ CAPITAL]]&gt;=0,FINANCIACION[[#This Row],[$ CAPITAL]]+FINANCIACION[[#This Row],[$ INTERESES]],"")</f>
        <v>10551000</v>
      </c>
      <c r="F1039" s="7">
        <f>+SUMIFS(FINANCIACION[$ CAPITAL],FINANCIACION[Fecha],"&lt;="&amp;FINANCIACION[[#This Row],[Fecha]],FINANCIACION[PRESTAMO],FINANCIACION[[#This Row],[PRESTAMO]])</f>
        <v>-10540000</v>
      </c>
      <c r="G1039" s="91"/>
      <c r="H1039" s="11"/>
      <c r="I1039" s="7">
        <f>+IF(FINANCIACION[[#This Row],[$ CAPITAL]]&gt;0,FINANCIACION[[#This Row],[$ CAPITAL]])</f>
        <v>10000000</v>
      </c>
      <c r="J1039" s="49">
        <f>+IF(FINANCIACION[[#This Row],[$ CAPITAL]]&gt;=0,FINANCIACION[[#This Row],[$ CAPITAL]]+FINANCIACION[[#This Row],[$ INTERESES]],0)</f>
        <v>10551000</v>
      </c>
    </row>
    <row r="1040" spans="1:10" ht="24" hidden="1" customHeight="1" x14ac:dyDescent="0.25">
      <c r="A1040" s="10">
        <v>44435</v>
      </c>
      <c r="B1040" s="85" t="s">
        <v>764</v>
      </c>
      <c r="C1040" s="7">
        <v>8936000</v>
      </c>
      <c r="D1040" s="7">
        <v>613000</v>
      </c>
      <c r="E1040" s="7">
        <f>+IF(FINANCIACION[[#This Row],[$ CAPITAL]]&gt;=0,FINANCIACION[[#This Row],[$ CAPITAL]]+FINANCIACION[[#This Row],[$ INTERESES]],"")</f>
        <v>9549000</v>
      </c>
      <c r="F1040" s="7">
        <f>+SUMIFS(FINANCIACION[$ CAPITAL],FINANCIACION[Fecha],"&lt;="&amp;FINANCIACION[[#This Row],[Fecha]],FINANCIACION[PRESTAMO],FINANCIACION[[#This Row],[PRESTAMO]])</f>
        <v>0</v>
      </c>
      <c r="G1040" s="91"/>
      <c r="H1040" s="11"/>
      <c r="I1040" s="7">
        <f>+IF(FINANCIACION[[#This Row],[$ CAPITAL]]&gt;0,FINANCIACION[[#This Row],[$ CAPITAL]])</f>
        <v>8936000</v>
      </c>
      <c r="J1040" s="49">
        <f>+IF(FINANCIACION[[#This Row],[$ CAPITAL]]&gt;=0,FINANCIACION[[#This Row],[$ CAPITAL]]+FINANCIACION[[#This Row],[$ INTERESES]],0)</f>
        <v>9549000</v>
      </c>
    </row>
    <row r="1041" spans="1:10" ht="24" hidden="1" customHeight="1" x14ac:dyDescent="0.25">
      <c r="A1041" s="10">
        <v>44435</v>
      </c>
      <c r="B1041" s="85" t="s">
        <v>764</v>
      </c>
      <c r="C1041" s="7">
        <v>1604000</v>
      </c>
      <c r="D1041" s="7"/>
      <c r="E1041" s="7">
        <f>+IF(FINANCIACION[[#This Row],[$ CAPITAL]]&gt;=0,FINANCIACION[[#This Row],[$ CAPITAL]]+FINANCIACION[[#This Row],[$ INTERESES]],"")</f>
        <v>1604000</v>
      </c>
      <c r="F1041" s="7">
        <f>+SUMIFS(FINANCIACION[$ CAPITAL],FINANCIACION[Fecha],"&lt;="&amp;FINANCIACION[[#This Row],[Fecha]],FINANCIACION[PRESTAMO],FINANCIACION[[#This Row],[PRESTAMO]])</f>
        <v>0</v>
      </c>
      <c r="G1041" s="91" t="s">
        <v>828</v>
      </c>
      <c r="H1041" s="11"/>
      <c r="I1041" s="7">
        <f>+IF(FINANCIACION[[#This Row],[$ CAPITAL]]&gt;0,FINANCIACION[[#This Row],[$ CAPITAL]])</f>
        <v>1604000</v>
      </c>
      <c r="J1041" s="49">
        <f>+IF(FINANCIACION[[#This Row],[$ CAPITAL]]&gt;=0,FINANCIACION[[#This Row],[$ CAPITAL]]+FINANCIACION[[#This Row],[$ INTERESES]],0)</f>
        <v>1604000</v>
      </c>
    </row>
    <row r="1042" spans="1:10" ht="24" hidden="1" customHeight="1" x14ac:dyDescent="0.25">
      <c r="A1042" s="10">
        <v>43465</v>
      </c>
      <c r="B1042" s="85" t="s">
        <v>460</v>
      </c>
      <c r="C1042" s="7">
        <v>-30000000</v>
      </c>
      <c r="D1042" s="7"/>
      <c r="E1042" s="7" t="str">
        <f>+IF(FINANCIACION[[#This Row],[$ CAPITAL]]&gt;=0,FINANCIACION[[#This Row],[$ CAPITAL]]+FINANCIACION[[#This Row],[$ INTERESES]],"")</f>
        <v/>
      </c>
      <c r="F1042" s="7">
        <f>+SUMIFS(FINANCIACION[$ CAPITAL],FINANCIACION[Fecha],"&lt;="&amp;FINANCIACION[[#This Row],[Fecha]],FINANCIACION[PRESTAMO],FINANCIACION[[#This Row],[PRESTAMO]])</f>
        <v>-30000000</v>
      </c>
      <c r="G1042" s="11"/>
      <c r="H1042" s="11"/>
      <c r="I1042" s="7" t="b">
        <f>+IF(FINANCIACION[[#This Row],[$ CAPITAL]]&gt;0,FINANCIACION[[#This Row],[$ CAPITAL]])</f>
        <v>0</v>
      </c>
      <c r="J1042" s="49">
        <f>+IF(FINANCIACION[[#This Row],[$ CAPITAL]]&gt;=0,FINANCIACION[[#This Row],[$ CAPITAL]]+FINANCIACION[[#This Row],[$ INTERESES]],0)</f>
        <v>0</v>
      </c>
    </row>
    <row r="1043" spans="1:10" ht="24" hidden="1" customHeight="1" x14ac:dyDescent="0.25">
      <c r="A1043" s="10">
        <v>43469</v>
      </c>
      <c r="B1043" s="85" t="s">
        <v>460</v>
      </c>
      <c r="C1043" s="7">
        <v>-30000000</v>
      </c>
      <c r="D1043" s="7"/>
      <c r="E1043" s="7" t="str">
        <f>+IF(FINANCIACION[[#This Row],[$ CAPITAL]]&gt;=0,FINANCIACION[[#This Row],[$ CAPITAL]]+FINANCIACION[[#This Row],[$ INTERESES]],"")</f>
        <v/>
      </c>
      <c r="F1043" s="7">
        <f>+SUMIFS(FINANCIACION[$ CAPITAL],FINANCIACION[Fecha],"&lt;="&amp;FINANCIACION[[#This Row],[Fecha]],FINANCIACION[PRESTAMO],FINANCIACION[[#This Row],[PRESTAMO]])</f>
        <v>-60000000</v>
      </c>
      <c r="G1043" s="11"/>
      <c r="H1043" s="11"/>
      <c r="I1043" s="7" t="b">
        <f>+IF(FINANCIACION[[#This Row],[$ CAPITAL]]&gt;0,FINANCIACION[[#This Row],[$ CAPITAL]])</f>
        <v>0</v>
      </c>
      <c r="J1043" s="49">
        <f>+IF(FINANCIACION[[#This Row],[$ CAPITAL]]&gt;=0,FINANCIACION[[#This Row],[$ CAPITAL]]+FINANCIACION[[#This Row],[$ INTERESES]],0)</f>
        <v>0</v>
      </c>
    </row>
    <row r="1044" spans="1:10" ht="24" hidden="1" customHeight="1" x14ac:dyDescent="0.25">
      <c r="A1044" s="10">
        <v>43469</v>
      </c>
      <c r="B1044" s="85" t="s">
        <v>460</v>
      </c>
      <c r="C1044" s="7"/>
      <c r="D1044" s="7">
        <v>102749.31</v>
      </c>
      <c r="E1044" s="7">
        <f>+IF(FINANCIACION[[#This Row],[$ CAPITAL]]&gt;=0,FINANCIACION[[#This Row],[$ CAPITAL]]+FINANCIACION[[#This Row],[$ INTERESES]],"")</f>
        <v>102749.31</v>
      </c>
      <c r="F1044" s="7">
        <f>+SUMIFS(FINANCIACION[$ CAPITAL],FINANCIACION[Fecha],"&lt;="&amp;FINANCIACION[[#This Row],[Fecha]],FINANCIACION[PRESTAMO],FINANCIACION[[#This Row],[PRESTAMO]])</f>
        <v>-60000000</v>
      </c>
      <c r="G1044" s="11"/>
      <c r="H1044" s="11"/>
      <c r="I1044" s="7" t="b">
        <f>+IF(FINANCIACION[[#This Row],[$ CAPITAL]]&gt;0,FINANCIACION[[#This Row],[$ CAPITAL]])</f>
        <v>0</v>
      </c>
      <c r="J1044" s="49">
        <f>+IF(FINANCIACION[[#This Row],[$ CAPITAL]]&gt;=0,FINANCIACION[[#This Row],[$ CAPITAL]]+FINANCIACION[[#This Row],[$ INTERESES]],0)</f>
        <v>102749.31</v>
      </c>
    </row>
    <row r="1045" spans="1:10" ht="24" hidden="1" customHeight="1" x14ac:dyDescent="0.25">
      <c r="A1045" s="10">
        <v>43528</v>
      </c>
      <c r="B1045" s="85" t="s">
        <v>460</v>
      </c>
      <c r="C1045" s="7">
        <v>2500000</v>
      </c>
      <c r="D1045" s="7">
        <v>675720</v>
      </c>
      <c r="E1045" s="7">
        <f>+IF(FINANCIACION[[#This Row],[$ CAPITAL]]&gt;=0,FINANCIACION[[#This Row],[$ CAPITAL]]+FINANCIACION[[#This Row],[$ INTERESES]],"")</f>
        <v>3175720</v>
      </c>
      <c r="F1045" s="7">
        <f>+SUMIFS(FINANCIACION[$ CAPITAL],FINANCIACION[Fecha],"&lt;="&amp;FINANCIACION[[#This Row],[Fecha]],FINANCIACION[PRESTAMO],FINANCIACION[[#This Row],[PRESTAMO]])</f>
        <v>-57500000</v>
      </c>
      <c r="G1045" s="11"/>
      <c r="H1045" s="11"/>
      <c r="I1045" s="7">
        <f>+IF(FINANCIACION[[#This Row],[$ CAPITAL]]&gt;0,FINANCIACION[[#This Row],[$ CAPITAL]])</f>
        <v>2500000</v>
      </c>
      <c r="J1045" s="49">
        <f>+IF(FINANCIACION[[#This Row],[$ CAPITAL]]&gt;=0,FINANCIACION[[#This Row],[$ CAPITAL]]+FINANCIACION[[#This Row],[$ INTERESES]],0)</f>
        <v>3175720</v>
      </c>
    </row>
    <row r="1046" spans="1:10" ht="24" hidden="1" customHeight="1" x14ac:dyDescent="0.25">
      <c r="A1046" s="10">
        <v>43559</v>
      </c>
      <c r="B1046" s="85" t="s">
        <v>460</v>
      </c>
      <c r="C1046" s="7">
        <v>2500000</v>
      </c>
      <c r="D1046" s="7">
        <v>646341.66</v>
      </c>
      <c r="E1046" s="7">
        <f>+IF(FINANCIACION[[#This Row],[$ CAPITAL]]&gt;=0,FINANCIACION[[#This Row],[$ CAPITAL]]+FINANCIACION[[#This Row],[$ INTERESES]],"")</f>
        <v>3146341.66</v>
      </c>
      <c r="F1046" s="7">
        <f>+SUMIFS(FINANCIACION[$ CAPITAL],FINANCIACION[Fecha],"&lt;="&amp;FINANCIACION[[#This Row],[Fecha]],FINANCIACION[PRESTAMO],FINANCIACION[[#This Row],[PRESTAMO]])</f>
        <v>-55000000</v>
      </c>
      <c r="G1046" s="11"/>
      <c r="H1046" s="11"/>
      <c r="I1046" s="7">
        <f>+IF(FINANCIACION[[#This Row],[$ CAPITAL]]&gt;0,FINANCIACION[[#This Row],[$ CAPITAL]])</f>
        <v>2500000</v>
      </c>
      <c r="J1046" s="49">
        <f>+IF(FINANCIACION[[#This Row],[$ CAPITAL]]&gt;=0,FINANCIACION[[#This Row],[$ CAPITAL]]+FINANCIACION[[#This Row],[$ INTERESES]],0)</f>
        <v>3146341.66</v>
      </c>
    </row>
    <row r="1047" spans="1:10" ht="24" hidden="1" customHeight="1" x14ac:dyDescent="0.25">
      <c r="A1047" s="10">
        <v>43591</v>
      </c>
      <c r="B1047" s="85" t="s">
        <v>460</v>
      </c>
      <c r="C1047" s="7">
        <v>2500000</v>
      </c>
      <c r="D1047" s="7">
        <v>616962.5</v>
      </c>
      <c r="E1047" s="7">
        <f>+IF(FINANCIACION[[#This Row],[$ CAPITAL]]&gt;=0,FINANCIACION[[#This Row],[$ CAPITAL]]+FINANCIACION[[#This Row],[$ INTERESES]],"")</f>
        <v>3116962.5</v>
      </c>
      <c r="F1047" s="7">
        <f>+SUMIFS(FINANCIACION[$ CAPITAL],FINANCIACION[Fecha],"&lt;="&amp;FINANCIACION[[#This Row],[Fecha]],FINANCIACION[PRESTAMO],FINANCIACION[[#This Row],[PRESTAMO]])</f>
        <v>-52500000</v>
      </c>
      <c r="G1047" s="11"/>
      <c r="H1047" s="11"/>
      <c r="I1047" s="7">
        <f>+IF(FINANCIACION[[#This Row],[$ CAPITAL]]&gt;0,FINANCIACION[[#This Row],[$ CAPITAL]])</f>
        <v>2500000</v>
      </c>
      <c r="J1047" s="49">
        <f>+IF(FINANCIACION[[#This Row],[$ CAPITAL]]&gt;=0,FINANCIACION[[#This Row],[$ CAPITAL]]+FINANCIACION[[#This Row],[$ INTERESES]],0)</f>
        <v>3116962.5</v>
      </c>
    </row>
    <row r="1048" spans="1:10" ht="24" hidden="1" customHeight="1" x14ac:dyDescent="0.25">
      <c r="A1048" s="10">
        <v>43650</v>
      </c>
      <c r="B1048" s="85" t="s">
        <v>460</v>
      </c>
      <c r="C1048" s="7">
        <v>2500000</v>
      </c>
      <c r="D1048" s="7">
        <v>558204.16999999993</v>
      </c>
      <c r="E1048" s="7">
        <f>+IF(FINANCIACION[[#This Row],[$ CAPITAL]]&gt;=0,FINANCIACION[[#This Row],[$ CAPITAL]]+FINANCIACION[[#This Row],[$ INTERESES]],"")</f>
        <v>3058204.17</v>
      </c>
      <c r="F1048" s="7">
        <f>+SUMIFS(FINANCIACION[$ CAPITAL],FINANCIACION[Fecha],"&lt;="&amp;FINANCIACION[[#This Row],[Fecha]],FINANCIACION[PRESTAMO],FINANCIACION[[#This Row],[PRESTAMO]])</f>
        <v>-50000000</v>
      </c>
      <c r="G1048" s="11"/>
      <c r="H1048" s="11"/>
      <c r="I1048" s="7">
        <f>+IF(FINANCIACION[[#This Row],[$ CAPITAL]]&gt;0,FINANCIACION[[#This Row],[$ CAPITAL]])</f>
        <v>2500000</v>
      </c>
      <c r="J1048" s="49">
        <f>+IF(FINANCIACION[[#This Row],[$ CAPITAL]]&gt;=0,FINANCIACION[[#This Row],[$ CAPITAL]]+FINANCIACION[[#This Row],[$ INTERESES]],0)</f>
        <v>3058204.17</v>
      </c>
    </row>
    <row r="1049" spans="1:10" ht="24" hidden="1" customHeight="1" x14ac:dyDescent="0.25">
      <c r="A1049" s="10">
        <v>43658</v>
      </c>
      <c r="B1049" s="85" t="s">
        <v>460</v>
      </c>
      <c r="C1049" s="7">
        <v>2500000</v>
      </c>
      <c r="D1049" s="7">
        <v>539455</v>
      </c>
      <c r="E1049" s="7">
        <f>+IF(FINANCIACION[[#This Row],[$ CAPITAL]]&gt;=0,FINANCIACION[[#This Row],[$ CAPITAL]]+FINANCIACION[[#This Row],[$ INTERESES]],"")</f>
        <v>3039455</v>
      </c>
      <c r="F1049" s="7">
        <f>+SUMIFS(FINANCIACION[$ CAPITAL],FINANCIACION[Fecha],"&lt;="&amp;FINANCIACION[[#This Row],[Fecha]],FINANCIACION[PRESTAMO],FINANCIACION[[#This Row],[PRESTAMO]])</f>
        <v>-47500000</v>
      </c>
      <c r="G1049" s="11"/>
      <c r="H1049" s="11"/>
      <c r="I1049" s="7">
        <f>+IF(FINANCIACION[[#This Row],[$ CAPITAL]]&gt;0,FINANCIACION[[#This Row],[$ CAPITAL]])</f>
        <v>2500000</v>
      </c>
      <c r="J1049" s="49">
        <f>+IF(FINANCIACION[[#This Row],[$ CAPITAL]]&gt;=0,FINANCIACION[[#This Row],[$ CAPITAL]]+FINANCIACION[[#This Row],[$ INTERESES]],0)</f>
        <v>3039455</v>
      </c>
    </row>
    <row r="1050" spans="1:10" ht="24" hidden="1" customHeight="1" x14ac:dyDescent="0.25">
      <c r="A1050" s="10">
        <v>43712</v>
      </c>
      <c r="B1050" s="85" t="s">
        <v>460</v>
      </c>
      <c r="C1050" s="7">
        <v>2500000</v>
      </c>
      <c r="D1050" s="7">
        <v>499220.62000000011</v>
      </c>
      <c r="E1050" s="7">
        <f>+IF(FINANCIACION[[#This Row],[$ CAPITAL]]&gt;=0,FINANCIACION[[#This Row],[$ CAPITAL]]+FINANCIACION[[#This Row],[$ INTERESES]],"")</f>
        <v>2999220.62</v>
      </c>
      <c r="F1050" s="7">
        <f>+SUMIFS(FINANCIACION[$ CAPITAL],FINANCIACION[Fecha],"&lt;="&amp;FINANCIACION[[#This Row],[Fecha]],FINANCIACION[PRESTAMO],FINANCIACION[[#This Row],[PRESTAMO]])</f>
        <v>-45000000</v>
      </c>
      <c r="G1050" s="11"/>
      <c r="H1050" s="11"/>
      <c r="I1050" s="7">
        <f>+IF(FINANCIACION[[#This Row],[$ CAPITAL]]&gt;0,FINANCIACION[[#This Row],[$ CAPITAL]])</f>
        <v>2500000</v>
      </c>
      <c r="J1050" s="49">
        <f>+IF(FINANCIACION[[#This Row],[$ CAPITAL]]&gt;=0,FINANCIACION[[#This Row],[$ CAPITAL]]+FINANCIACION[[#This Row],[$ INTERESES]],0)</f>
        <v>2999220.62</v>
      </c>
    </row>
    <row r="1051" spans="1:10" ht="24" hidden="1" customHeight="1" x14ac:dyDescent="0.25">
      <c r="A1051" s="10">
        <v>44196</v>
      </c>
      <c r="B1051" s="85" t="s">
        <v>460</v>
      </c>
      <c r="C1051" s="7">
        <f>45000000-13081503.79</f>
        <v>31918496.210000001</v>
      </c>
      <c r="D1051" s="7"/>
      <c r="E1051" s="7">
        <f>+IF(FINANCIACION[[#This Row],[$ CAPITAL]]&gt;=0,FINANCIACION[[#This Row],[$ CAPITAL]]+FINANCIACION[[#This Row],[$ INTERESES]],"")</f>
        <v>31918496.210000001</v>
      </c>
      <c r="F1051" s="7">
        <f>+SUMIFS(FINANCIACION[$ CAPITAL],FINANCIACION[Fecha],"&lt;="&amp;FINANCIACION[[#This Row],[Fecha]],FINANCIACION[PRESTAMO],FINANCIACION[[#This Row],[PRESTAMO]])</f>
        <v>-13081503.789999999</v>
      </c>
      <c r="G1051" s="91" t="s">
        <v>512</v>
      </c>
      <c r="H1051" s="11"/>
      <c r="I1051" s="7">
        <f>+IF(FINANCIACION[[#This Row],[$ CAPITAL]]&gt;0,FINANCIACION[[#This Row],[$ CAPITAL]])</f>
        <v>31918496.210000001</v>
      </c>
      <c r="J1051" s="49">
        <f>+IF(FINANCIACION[[#This Row],[$ CAPITAL]]&gt;=0,FINANCIACION[[#This Row],[$ CAPITAL]]+FINANCIACION[[#This Row],[$ INTERESES]],0)</f>
        <v>31918496.210000001</v>
      </c>
    </row>
    <row r="1052" spans="1:10" ht="24" hidden="1" customHeight="1" x14ac:dyDescent="0.25">
      <c r="A1052" s="10">
        <v>44200</v>
      </c>
      <c r="B1052" s="85" t="s">
        <v>460</v>
      </c>
      <c r="C1052" s="7">
        <v>990095</v>
      </c>
      <c r="D1052" s="7">
        <v>157302</v>
      </c>
      <c r="E1052" s="7">
        <f>+IF(FINANCIACION[[#This Row],[$ CAPITAL]]&gt;=0,FINANCIACION[[#This Row],[$ CAPITAL]]+FINANCIACION[[#This Row],[$ INTERESES]],"")</f>
        <v>1147397</v>
      </c>
      <c r="F1052" s="7">
        <f>+SUMIFS(FINANCIACION[$ CAPITAL],FINANCIACION[Fecha],"&lt;="&amp;FINANCIACION[[#This Row],[Fecha]],FINANCIACION[PRESTAMO],FINANCIACION[[#This Row],[PRESTAMO]])</f>
        <v>-12091408.789999999</v>
      </c>
      <c r="G1052" s="91"/>
      <c r="H1052" s="11"/>
      <c r="I1052" s="7">
        <f>+IF(FINANCIACION[[#This Row],[$ CAPITAL]]&gt;0,FINANCIACION[[#This Row],[$ CAPITAL]])</f>
        <v>990095</v>
      </c>
      <c r="J1052" s="49">
        <f>+IF(FINANCIACION[[#This Row],[$ CAPITAL]]&gt;=0,FINANCIACION[[#This Row],[$ CAPITAL]]+FINANCIACION[[#This Row],[$ INTERESES]],0)</f>
        <v>1147397</v>
      </c>
    </row>
    <row r="1053" spans="1:10" ht="24" hidden="1" customHeight="1" x14ac:dyDescent="0.25">
      <c r="A1053" s="10">
        <v>44231</v>
      </c>
      <c r="B1053" s="85" t="s">
        <v>460</v>
      </c>
      <c r="C1053" s="7">
        <v>990095</v>
      </c>
      <c r="D1053" s="7">
        <v>144841.01</v>
      </c>
      <c r="E1053" s="7">
        <f>+IF(FINANCIACION[[#This Row],[$ CAPITAL]]&gt;=0,FINANCIACION[[#This Row],[$ CAPITAL]]+FINANCIACION[[#This Row],[$ INTERESES]],"")</f>
        <v>1134936.01</v>
      </c>
      <c r="F1053" s="7">
        <f>+SUMIFS(FINANCIACION[$ CAPITAL],FINANCIACION[Fecha],"&lt;="&amp;FINANCIACION[[#This Row],[Fecha]],FINANCIACION[PRESTAMO],FINANCIACION[[#This Row],[PRESTAMO]])</f>
        <v>-11101313.789999999</v>
      </c>
      <c r="G1053" s="91"/>
      <c r="H1053" s="11"/>
      <c r="I1053" s="7">
        <f>+IF(FINANCIACION[[#This Row],[$ CAPITAL]]&gt;0,FINANCIACION[[#This Row],[$ CAPITAL]])</f>
        <v>990095</v>
      </c>
      <c r="J1053" s="49">
        <f>+IF(FINANCIACION[[#This Row],[$ CAPITAL]]&gt;=0,FINANCIACION[[#This Row],[$ CAPITAL]]+FINANCIACION[[#This Row],[$ INTERESES]],0)</f>
        <v>1134936.01</v>
      </c>
    </row>
    <row r="1054" spans="1:10" ht="24" hidden="1" customHeight="1" x14ac:dyDescent="0.25">
      <c r="A1054" s="10">
        <v>44259</v>
      </c>
      <c r="B1054" s="85" t="s">
        <v>460</v>
      </c>
      <c r="C1054" s="7">
        <v>990095</v>
      </c>
      <c r="D1054" s="7">
        <v>132481</v>
      </c>
      <c r="E1054" s="7">
        <f>+IF(FINANCIACION[[#This Row],[$ CAPITAL]]&gt;=0,FINANCIACION[[#This Row],[$ CAPITAL]]+FINANCIACION[[#This Row],[$ INTERESES]],"")</f>
        <v>1122576</v>
      </c>
      <c r="F1054" s="7">
        <f>+SUMIFS(FINANCIACION[$ CAPITAL],FINANCIACION[Fecha],"&lt;="&amp;FINANCIACION[[#This Row],[Fecha]],FINANCIACION[PRESTAMO],FINANCIACION[[#This Row],[PRESTAMO]])</f>
        <v>-10111218.789999999</v>
      </c>
      <c r="G1054" s="91"/>
      <c r="H1054" s="11"/>
      <c r="I1054" s="7">
        <f>+IF(FINANCIACION[[#This Row],[$ CAPITAL]]&gt;0,FINANCIACION[[#This Row],[$ CAPITAL]])</f>
        <v>990095</v>
      </c>
      <c r="J1054" s="49">
        <f>+IF(FINANCIACION[[#This Row],[$ CAPITAL]]&gt;=0,FINANCIACION[[#This Row],[$ CAPITAL]]+FINANCIACION[[#This Row],[$ INTERESES]],0)</f>
        <v>1122576</v>
      </c>
    </row>
    <row r="1055" spans="1:10" ht="24" hidden="1" customHeight="1" x14ac:dyDescent="0.25">
      <c r="A1055" s="10">
        <v>44290</v>
      </c>
      <c r="B1055" s="85" t="s">
        <v>460</v>
      </c>
      <c r="C1055" s="7">
        <v>990095</v>
      </c>
      <c r="D1055" s="7">
        <v>120070</v>
      </c>
      <c r="E1055" s="7">
        <f>+IF(FINANCIACION[[#This Row],[$ CAPITAL]]&gt;=0,FINANCIACION[[#This Row],[$ CAPITAL]]+FINANCIACION[[#This Row],[$ INTERESES]],"")</f>
        <v>1110165</v>
      </c>
      <c r="F1055" s="7">
        <f>+SUMIFS(FINANCIACION[$ CAPITAL],FINANCIACION[Fecha],"&lt;="&amp;FINANCIACION[[#This Row],[Fecha]],FINANCIACION[PRESTAMO],FINANCIACION[[#This Row],[PRESTAMO]])</f>
        <v>-9121123.7899999991</v>
      </c>
      <c r="G1055" s="91"/>
      <c r="H1055" s="11"/>
      <c r="I1055" s="7">
        <f>+IF(FINANCIACION[[#This Row],[$ CAPITAL]]&gt;0,FINANCIACION[[#This Row],[$ CAPITAL]])</f>
        <v>990095</v>
      </c>
      <c r="J1055" s="49">
        <f>+IF(FINANCIACION[[#This Row],[$ CAPITAL]]&gt;=0,FINANCIACION[[#This Row],[$ CAPITAL]]+FINANCIACION[[#This Row],[$ INTERESES]],0)</f>
        <v>1110165</v>
      </c>
    </row>
    <row r="1056" spans="1:10" ht="24" hidden="1" customHeight="1" x14ac:dyDescent="0.25">
      <c r="A1056" s="10">
        <v>44320</v>
      </c>
      <c r="B1056" s="85" t="s">
        <v>460</v>
      </c>
      <c r="C1056" s="7">
        <v>990095</v>
      </c>
      <c r="D1056" s="7">
        <v>107659</v>
      </c>
      <c r="E1056" s="7">
        <f>+IF(FINANCIACION[[#This Row],[$ CAPITAL]]&gt;=0,FINANCIACION[[#This Row],[$ CAPITAL]]+FINANCIACION[[#This Row],[$ INTERESES]],"")</f>
        <v>1097754</v>
      </c>
      <c r="F1056" s="7">
        <f>+SUMIFS(FINANCIACION[$ CAPITAL],FINANCIACION[Fecha],"&lt;="&amp;FINANCIACION[[#This Row],[Fecha]],FINANCIACION[PRESTAMO],FINANCIACION[[#This Row],[PRESTAMO]])</f>
        <v>-8131028.7899999991</v>
      </c>
      <c r="G1056" s="91"/>
      <c r="H1056" s="11"/>
      <c r="I1056" s="7">
        <f>+IF(FINANCIACION[[#This Row],[$ CAPITAL]]&gt;0,FINANCIACION[[#This Row],[$ CAPITAL]])</f>
        <v>990095</v>
      </c>
      <c r="J1056" s="49">
        <f>+IF(FINANCIACION[[#This Row],[$ CAPITAL]]&gt;=0,FINANCIACION[[#This Row],[$ CAPITAL]]+FINANCIACION[[#This Row],[$ INTERESES]],0)</f>
        <v>1097754</v>
      </c>
    </row>
    <row r="1057" spans="1:10" ht="24" hidden="1" customHeight="1" x14ac:dyDescent="0.25">
      <c r="A1057" s="10">
        <v>44330</v>
      </c>
      <c r="B1057" s="85" t="s">
        <v>460</v>
      </c>
      <c r="C1057" s="7">
        <v>8131028.7899999991</v>
      </c>
      <c r="D1057" s="7"/>
      <c r="E1057" s="7">
        <f>+IF(FINANCIACION[[#This Row],[$ CAPITAL]]&gt;=0,FINANCIACION[[#This Row],[$ CAPITAL]]+FINANCIACION[[#This Row],[$ INTERESES]],"")</f>
        <v>8131028.7899999991</v>
      </c>
      <c r="F1057" s="7">
        <f>+SUMIFS(FINANCIACION[$ CAPITAL],FINANCIACION[Fecha],"&lt;="&amp;FINANCIACION[[#This Row],[Fecha]],FINANCIACION[PRESTAMO],FINANCIACION[[#This Row],[PRESTAMO]])</f>
        <v>-35000000</v>
      </c>
      <c r="G1057" s="91"/>
      <c r="H1057" s="11"/>
      <c r="I1057" s="7">
        <f>+IF(FINANCIACION[[#This Row],[$ CAPITAL]]&gt;0,FINANCIACION[[#This Row],[$ CAPITAL]])</f>
        <v>8131028.7899999991</v>
      </c>
      <c r="J1057" s="49">
        <f>+IF(FINANCIACION[[#This Row],[$ CAPITAL]]&gt;=0,FINANCIACION[[#This Row],[$ CAPITAL]]+FINANCIACION[[#This Row],[$ INTERESES]],0)</f>
        <v>8131028.7899999991</v>
      </c>
    </row>
    <row r="1058" spans="1:10" ht="24" hidden="1" customHeight="1" x14ac:dyDescent="0.25">
      <c r="A1058" s="10">
        <v>44330</v>
      </c>
      <c r="B1058" s="85" t="s">
        <v>460</v>
      </c>
      <c r="C1058" s="7">
        <v>-35000000</v>
      </c>
      <c r="D1058" s="7">
        <f>-FINANCIACION[[#This Row],[$ CAPITAL]]-34044192</f>
        <v>955808</v>
      </c>
      <c r="E1058" s="7" t="str">
        <f>+IF(FINANCIACION[[#This Row],[$ CAPITAL]]&gt;=0,FINANCIACION[[#This Row],[$ CAPITAL]]+FINANCIACION[[#This Row],[$ INTERESES]],"")</f>
        <v/>
      </c>
      <c r="F1058" s="7">
        <f>+SUMIFS(FINANCIACION[$ CAPITAL],FINANCIACION[Fecha],"&lt;="&amp;FINANCIACION[[#This Row],[Fecha]],FINANCIACION[PRESTAMO],FINANCIACION[[#This Row],[PRESTAMO]])</f>
        <v>-35000000</v>
      </c>
      <c r="G1058" s="91"/>
      <c r="H1058" s="11"/>
      <c r="I1058" s="7" t="b">
        <f>+IF(FINANCIACION[[#This Row],[$ CAPITAL]]&gt;0,FINANCIACION[[#This Row],[$ CAPITAL]])</f>
        <v>0</v>
      </c>
      <c r="J1058" s="49">
        <f>+IF(FINANCIACION[[#This Row],[$ CAPITAL]]&gt;=0,FINANCIACION[[#This Row],[$ CAPITAL]]+FINANCIACION[[#This Row],[$ INTERESES]],0)</f>
        <v>0</v>
      </c>
    </row>
    <row r="1059" spans="1:10" ht="24" hidden="1" customHeight="1" x14ac:dyDescent="0.25">
      <c r="A1059" s="10">
        <v>44362</v>
      </c>
      <c r="B1059" s="85" t="s">
        <v>460</v>
      </c>
      <c r="C1059" s="7"/>
      <c r="D1059" s="7">
        <v>227850</v>
      </c>
      <c r="E1059" s="7">
        <f>+IF(FINANCIACION[[#This Row],[$ CAPITAL]]&gt;=0,FINANCIACION[[#This Row],[$ CAPITAL]]+FINANCIACION[[#This Row],[$ INTERESES]],"")</f>
        <v>227850</v>
      </c>
      <c r="F1059" s="7">
        <f>+SUMIFS(FINANCIACION[$ CAPITAL],FINANCIACION[Fecha],"&lt;="&amp;FINANCIACION[[#This Row],[Fecha]],FINANCIACION[PRESTAMO],FINANCIACION[[#This Row],[PRESTAMO]])</f>
        <v>-35000000</v>
      </c>
      <c r="G1059" s="91"/>
      <c r="H1059" s="11"/>
      <c r="I1059" s="7" t="b">
        <f>+IF(FINANCIACION[[#This Row],[$ CAPITAL]]&gt;0,FINANCIACION[[#This Row],[$ CAPITAL]])</f>
        <v>0</v>
      </c>
      <c r="J1059" s="49">
        <f>+IF(FINANCIACION[[#This Row],[$ CAPITAL]]&gt;=0,FINANCIACION[[#This Row],[$ CAPITAL]]+FINANCIACION[[#This Row],[$ INTERESES]],0)</f>
        <v>227850</v>
      </c>
    </row>
    <row r="1060" spans="1:10" ht="24" hidden="1" customHeight="1" x14ac:dyDescent="0.25">
      <c r="A1060" s="10">
        <v>44391</v>
      </c>
      <c r="B1060" s="85" t="s">
        <v>460</v>
      </c>
      <c r="C1060" s="7"/>
      <c r="D1060" s="7">
        <v>227850</v>
      </c>
      <c r="E1060" s="7">
        <f>+IF(FINANCIACION[[#This Row],[$ CAPITAL]]&gt;=0,FINANCIACION[[#This Row],[$ CAPITAL]]+FINANCIACION[[#This Row],[$ INTERESES]],"")</f>
        <v>227850</v>
      </c>
      <c r="F1060" s="7">
        <f>+SUMIFS(FINANCIACION[$ CAPITAL],FINANCIACION[Fecha],"&lt;="&amp;FINANCIACION[[#This Row],[Fecha]],FINANCIACION[PRESTAMO],FINANCIACION[[#This Row],[PRESTAMO]])</f>
        <v>-35000000</v>
      </c>
      <c r="G1060" s="91"/>
      <c r="H1060" s="11"/>
      <c r="I1060" s="7" t="b">
        <f>+IF(FINANCIACION[[#This Row],[$ CAPITAL]]&gt;0,FINANCIACION[[#This Row],[$ CAPITAL]])</f>
        <v>0</v>
      </c>
      <c r="J1060" s="49">
        <f>+IF(FINANCIACION[[#This Row],[$ CAPITAL]]&gt;=0,FINANCIACION[[#This Row],[$ CAPITAL]]+FINANCIACION[[#This Row],[$ INTERESES]],0)</f>
        <v>227850</v>
      </c>
    </row>
    <row r="1061" spans="1:10" ht="24" hidden="1" customHeight="1" x14ac:dyDescent="0.25">
      <c r="A1061" s="10">
        <v>44425</v>
      </c>
      <c r="B1061" s="85" t="s">
        <v>460</v>
      </c>
      <c r="C1061" s="7"/>
      <c r="D1061" s="7">
        <v>227850</v>
      </c>
      <c r="E1061" s="7">
        <f>+IF(FINANCIACION[[#This Row],[$ CAPITAL]]&gt;=0,FINANCIACION[[#This Row],[$ CAPITAL]]+FINANCIACION[[#This Row],[$ INTERESES]],"")</f>
        <v>227850</v>
      </c>
      <c r="F1061" s="7">
        <f>+SUMIFS(FINANCIACION[$ CAPITAL],FINANCIACION[Fecha],"&lt;="&amp;FINANCIACION[[#This Row],[Fecha]],FINANCIACION[PRESTAMO],FINANCIACION[[#This Row],[PRESTAMO]])</f>
        <v>-35000000</v>
      </c>
      <c r="G1061" s="91"/>
      <c r="H1061" s="11"/>
      <c r="I1061" s="7" t="b">
        <f>+IF(FINANCIACION[[#This Row],[$ CAPITAL]]&gt;0,FINANCIACION[[#This Row],[$ CAPITAL]])</f>
        <v>0</v>
      </c>
      <c r="J1061" s="49">
        <f>+IF(FINANCIACION[[#This Row],[$ CAPITAL]]&gt;=0,FINANCIACION[[#This Row],[$ CAPITAL]]+FINANCIACION[[#This Row],[$ INTERESES]],0)</f>
        <v>227850</v>
      </c>
    </row>
    <row r="1062" spans="1:10" ht="24" hidden="1" customHeight="1" x14ac:dyDescent="0.25">
      <c r="A1062" s="10">
        <v>44453</v>
      </c>
      <c r="B1062" s="85" t="s">
        <v>460</v>
      </c>
      <c r="C1062" s="7"/>
      <c r="D1062" s="7">
        <v>228229.16</v>
      </c>
      <c r="E1062" s="7">
        <f>+IF(FINANCIACION[[#This Row],[$ CAPITAL]]&gt;=0,FINANCIACION[[#This Row],[$ CAPITAL]]+FINANCIACION[[#This Row],[$ INTERESES]],"")</f>
        <v>228229.16</v>
      </c>
      <c r="F1062" s="7">
        <f>+SUMIFS(FINANCIACION[$ CAPITAL],FINANCIACION[Fecha],"&lt;="&amp;FINANCIACION[[#This Row],[Fecha]],FINANCIACION[PRESTAMO],FINANCIACION[[#This Row],[PRESTAMO]])</f>
        <v>-35000000</v>
      </c>
      <c r="G1062" s="91"/>
      <c r="H1062" s="11"/>
      <c r="I1062" s="7" t="b">
        <f>+IF(FINANCIACION[[#This Row],[$ CAPITAL]]&gt;0,FINANCIACION[[#This Row],[$ CAPITAL]])</f>
        <v>0</v>
      </c>
      <c r="J1062" s="49">
        <f>+IF(FINANCIACION[[#This Row],[$ CAPITAL]]&gt;=0,FINANCIACION[[#This Row],[$ CAPITAL]]+FINANCIACION[[#This Row],[$ INTERESES]],0)</f>
        <v>228229.16</v>
      </c>
    </row>
    <row r="1063" spans="1:10" ht="24" hidden="1" customHeight="1" x14ac:dyDescent="0.25">
      <c r="A1063" s="10">
        <v>44483</v>
      </c>
      <c r="B1063" s="85" t="s">
        <v>460</v>
      </c>
      <c r="C1063" s="7"/>
      <c r="D1063" s="7">
        <v>231875</v>
      </c>
      <c r="E1063" s="7">
        <f>+IF(FINANCIACION[[#This Row],[$ CAPITAL]]&gt;=0,FINANCIACION[[#This Row],[$ CAPITAL]]+FINANCIACION[[#This Row],[$ INTERESES]],"")</f>
        <v>231875</v>
      </c>
      <c r="F1063" s="7">
        <f>+SUMIFS(FINANCIACION[$ CAPITAL],FINANCIACION[Fecha],"&lt;="&amp;FINANCIACION[[#This Row],[Fecha]],FINANCIACION[PRESTAMO],FINANCIACION[[#This Row],[PRESTAMO]])</f>
        <v>-35000000</v>
      </c>
      <c r="G1063" s="91"/>
      <c r="H1063" s="11"/>
      <c r="I1063" s="7" t="b">
        <f>+IF(FINANCIACION[[#This Row],[$ CAPITAL]]&gt;0,FINANCIACION[[#This Row],[$ CAPITAL]])</f>
        <v>0</v>
      </c>
      <c r="J1063" s="49">
        <f>+IF(FINANCIACION[[#This Row],[$ CAPITAL]]&gt;=0,FINANCIACION[[#This Row],[$ CAPITAL]]+FINANCIACION[[#This Row],[$ INTERESES]],0)</f>
        <v>231875</v>
      </c>
    </row>
    <row r="1064" spans="1:10" ht="24" hidden="1" customHeight="1" x14ac:dyDescent="0.25">
      <c r="A1064" s="10">
        <v>44516</v>
      </c>
      <c r="B1064" s="85" t="s">
        <v>460</v>
      </c>
      <c r="C1064" s="7"/>
      <c r="D1064" s="7">
        <v>241004.17</v>
      </c>
      <c r="E1064" s="7">
        <f>+IF(FINANCIACION[[#This Row],[$ CAPITAL]]&gt;=0,FINANCIACION[[#This Row],[$ CAPITAL]]+FINANCIACION[[#This Row],[$ INTERESES]],"")</f>
        <v>241004.17</v>
      </c>
      <c r="F1064" s="7">
        <f>+SUMIFS(FINANCIACION[$ CAPITAL],FINANCIACION[Fecha],"&lt;="&amp;FINANCIACION[[#This Row],[Fecha]],FINANCIACION[PRESTAMO],FINANCIACION[[#This Row],[PRESTAMO]])</f>
        <v>-35000000</v>
      </c>
      <c r="G1064" s="91"/>
      <c r="H1064" s="11"/>
      <c r="I1064" s="7" t="b">
        <f>+IF(FINANCIACION[[#This Row],[$ CAPITAL]]&gt;0,FINANCIACION[[#This Row],[$ CAPITAL]])</f>
        <v>0</v>
      </c>
      <c r="J1064" s="49">
        <f>+IF(FINANCIACION[[#This Row],[$ CAPITAL]]&gt;=0,FINANCIACION[[#This Row],[$ CAPITAL]]+FINANCIACION[[#This Row],[$ INTERESES]],0)</f>
        <v>241004.17</v>
      </c>
    </row>
    <row r="1065" spans="1:10" ht="24" hidden="1" customHeight="1" x14ac:dyDescent="0.25">
      <c r="A1065" s="10">
        <v>44544</v>
      </c>
      <c r="B1065" s="85" t="s">
        <v>460</v>
      </c>
      <c r="C1065" s="7">
        <v>1944444</v>
      </c>
      <c r="D1065" s="7">
        <v>240038</v>
      </c>
      <c r="E1065" s="7">
        <f>+IF(FINANCIACION[[#This Row],[$ CAPITAL]]&gt;=0,FINANCIACION[[#This Row],[$ CAPITAL]]+FINANCIACION[[#This Row],[$ INTERESES]],"")</f>
        <v>2184482</v>
      </c>
      <c r="F1065" s="7">
        <f>+SUMIFS(FINANCIACION[$ CAPITAL],FINANCIACION[Fecha],"&lt;="&amp;FINANCIACION[[#This Row],[Fecha]],FINANCIACION[PRESTAMO],FINANCIACION[[#This Row],[PRESTAMO]])</f>
        <v>-33055556</v>
      </c>
      <c r="G1065" s="91"/>
      <c r="H1065" s="11"/>
      <c r="I1065" s="7">
        <f>+IF(FINANCIACION[[#This Row],[$ CAPITAL]]&gt;0,FINANCIACION[[#This Row],[$ CAPITAL]])</f>
        <v>1944444</v>
      </c>
      <c r="J1065" s="49">
        <f>+IF(FINANCIACION[[#This Row],[$ CAPITAL]]&gt;=0,FINANCIACION[[#This Row],[$ CAPITAL]]+FINANCIACION[[#This Row],[$ INTERESES]],0)</f>
        <v>2184482</v>
      </c>
    </row>
    <row r="1066" spans="1:10" ht="24" hidden="1" customHeight="1" x14ac:dyDescent="0.25">
      <c r="A1066" s="10">
        <v>44377</v>
      </c>
      <c r="B1066" s="85" t="s">
        <v>461</v>
      </c>
      <c r="C1066" s="7">
        <v>-1409465</v>
      </c>
      <c r="D1066" s="7"/>
      <c r="E1066" s="7" t="str">
        <f>+IF(FINANCIACION[[#This Row],[$ CAPITAL]]&gt;=0,FINANCIACION[[#This Row],[$ CAPITAL]]+FINANCIACION[[#This Row],[$ INTERESES]],"")</f>
        <v/>
      </c>
      <c r="F1066" s="7">
        <f>+SUMIFS(FINANCIACION[$ CAPITAL],FINANCIACION[Fecha],"&lt;="&amp;FINANCIACION[[#This Row],[Fecha]],FINANCIACION[PRESTAMO],FINANCIACION[[#This Row],[PRESTAMO]])</f>
        <v>-1409465</v>
      </c>
      <c r="G1066" s="91" t="s">
        <v>512</v>
      </c>
      <c r="H1066" s="11"/>
      <c r="I1066" s="7" t="b">
        <f>+IF(FINANCIACION[[#This Row],[$ CAPITAL]]&gt;0,FINANCIACION[[#This Row],[$ CAPITAL]])</f>
        <v>0</v>
      </c>
      <c r="J1066" s="49">
        <f>+IF(FINANCIACION[[#This Row],[$ CAPITAL]]&gt;=0,FINANCIACION[[#This Row],[$ CAPITAL]]+FINANCIACION[[#This Row],[$ INTERESES]],0)</f>
        <v>0</v>
      </c>
    </row>
    <row r="1067" spans="1:10" ht="24" hidden="1" customHeight="1" x14ac:dyDescent="0.25">
      <c r="A1067" s="10">
        <v>44389</v>
      </c>
      <c r="B1067" s="85" t="s">
        <v>461</v>
      </c>
      <c r="C1067" s="7">
        <v>1000000</v>
      </c>
      <c r="D1067" s="7"/>
      <c r="E1067" s="7">
        <f>+IF(FINANCIACION[[#This Row],[$ CAPITAL]]&gt;=0,FINANCIACION[[#This Row],[$ CAPITAL]]+FINANCIACION[[#This Row],[$ INTERESES]],"")</f>
        <v>1000000</v>
      </c>
      <c r="F1067" s="7">
        <f>+SUMIFS(FINANCIACION[$ CAPITAL],FINANCIACION[Fecha],"&lt;="&amp;FINANCIACION[[#This Row],[Fecha]],FINANCIACION[PRESTAMO],FINANCIACION[[#This Row],[PRESTAMO]])</f>
        <v>-409465</v>
      </c>
      <c r="G1067" s="91"/>
      <c r="H1067" s="11"/>
      <c r="I1067" s="7">
        <f>+IF(FINANCIACION[[#This Row],[$ CAPITAL]]&gt;0,FINANCIACION[[#This Row],[$ CAPITAL]])</f>
        <v>1000000</v>
      </c>
      <c r="J1067" s="49">
        <f>+IF(FINANCIACION[[#This Row],[$ CAPITAL]]&gt;=0,FINANCIACION[[#This Row],[$ CAPITAL]]+FINANCIACION[[#This Row],[$ INTERESES]],0)</f>
        <v>1000000</v>
      </c>
    </row>
    <row r="1068" spans="1:10" ht="24" hidden="1" customHeight="1" x14ac:dyDescent="0.25">
      <c r="A1068" s="10">
        <v>44396</v>
      </c>
      <c r="B1068" s="85" t="s">
        <v>461</v>
      </c>
      <c r="C1068" s="7">
        <v>484706</v>
      </c>
      <c r="D1068" s="7"/>
      <c r="E1068" s="7">
        <f>+IF(FINANCIACION[[#This Row],[$ CAPITAL]]&gt;=0,FINANCIACION[[#This Row],[$ CAPITAL]]+FINANCIACION[[#This Row],[$ INTERESES]],"")</f>
        <v>484706</v>
      </c>
      <c r="F1068" s="7">
        <f>+SUMIFS(FINANCIACION[$ CAPITAL],FINANCIACION[Fecha],"&lt;="&amp;FINANCIACION[[#This Row],[Fecha]],FINANCIACION[PRESTAMO],FINANCIACION[[#This Row],[PRESTAMO]])</f>
        <v>75241</v>
      </c>
      <c r="G1068" s="91"/>
      <c r="H1068" s="11"/>
      <c r="I1068" s="7">
        <f>+IF(FINANCIACION[[#This Row],[$ CAPITAL]]&gt;0,FINANCIACION[[#This Row],[$ CAPITAL]])</f>
        <v>484706</v>
      </c>
      <c r="J1068" s="49">
        <f>+IF(FINANCIACION[[#This Row],[$ CAPITAL]]&gt;=0,FINANCIACION[[#This Row],[$ CAPITAL]]+FINANCIACION[[#This Row],[$ INTERESES]],0)</f>
        <v>484706</v>
      </c>
    </row>
    <row r="1069" spans="1:10" ht="24" hidden="1" customHeight="1" x14ac:dyDescent="0.25">
      <c r="A1069" s="10">
        <v>44408</v>
      </c>
      <c r="B1069" s="85" t="s">
        <v>461</v>
      </c>
      <c r="C1069" s="7">
        <v>-1348569</v>
      </c>
      <c r="D1069" s="7"/>
      <c r="E1069" s="7" t="str">
        <f>+IF(FINANCIACION[[#This Row],[$ CAPITAL]]&gt;=0,FINANCIACION[[#This Row],[$ CAPITAL]]+FINANCIACION[[#This Row],[$ INTERESES]],"")</f>
        <v/>
      </c>
      <c r="F1069" s="7">
        <f>+SUMIFS(FINANCIACION[$ CAPITAL],FINANCIACION[Fecha],"&lt;="&amp;FINANCIACION[[#This Row],[Fecha]],FINANCIACION[PRESTAMO],FINANCIACION[[#This Row],[PRESTAMO]])</f>
        <v>-1273328</v>
      </c>
      <c r="G1069" s="11" t="s">
        <v>512</v>
      </c>
      <c r="H1069" s="11"/>
      <c r="I1069" s="7" t="b">
        <f>+IF(FINANCIACION[[#This Row],[$ CAPITAL]]&gt;0,FINANCIACION[[#This Row],[$ CAPITAL]])</f>
        <v>0</v>
      </c>
      <c r="J1069" s="49">
        <f>+IF(FINANCIACION[[#This Row],[$ CAPITAL]]&gt;=0,FINANCIACION[[#This Row],[$ CAPITAL]]+FINANCIACION[[#This Row],[$ INTERESES]],0)</f>
        <v>0</v>
      </c>
    </row>
    <row r="1070" spans="1:10" ht="24" hidden="1" customHeight="1" x14ac:dyDescent="0.25">
      <c r="A1070" s="10">
        <v>44414</v>
      </c>
      <c r="B1070" s="85" t="s">
        <v>461</v>
      </c>
      <c r="C1070" s="7">
        <v>1200000</v>
      </c>
      <c r="D1070" s="7"/>
      <c r="E1070" s="7">
        <f>+IF(FINANCIACION[[#This Row],[$ CAPITAL]]&gt;=0,FINANCIACION[[#This Row],[$ CAPITAL]]+FINANCIACION[[#This Row],[$ INTERESES]],"")</f>
        <v>1200000</v>
      </c>
      <c r="F1070" s="7">
        <f>+SUMIFS(FINANCIACION[$ CAPITAL],FINANCIACION[Fecha],"&lt;="&amp;FINANCIACION[[#This Row],[Fecha]],FINANCIACION[PRESTAMO],FINANCIACION[[#This Row],[PRESTAMO]])</f>
        <v>-73328</v>
      </c>
      <c r="G1070" s="91"/>
      <c r="H1070" s="11"/>
      <c r="I1070" s="7">
        <f>+IF(FINANCIACION[[#This Row],[$ CAPITAL]]&gt;0,FINANCIACION[[#This Row],[$ CAPITAL]])</f>
        <v>1200000</v>
      </c>
      <c r="J1070" s="49">
        <f>+IF(FINANCIACION[[#This Row],[$ CAPITAL]]&gt;=0,FINANCIACION[[#This Row],[$ CAPITAL]]+FINANCIACION[[#This Row],[$ INTERESES]],0)</f>
        <v>1200000</v>
      </c>
    </row>
    <row r="1071" spans="1:10" ht="24" hidden="1" customHeight="1" x14ac:dyDescent="0.25">
      <c r="A1071" s="10">
        <v>44426</v>
      </c>
      <c r="B1071" s="85" t="s">
        <v>461</v>
      </c>
      <c r="C1071" s="7">
        <v>74118</v>
      </c>
      <c r="D1071" s="7"/>
      <c r="E1071" s="7">
        <f>+IF(FINANCIACION[[#This Row],[$ CAPITAL]]&gt;=0,FINANCIACION[[#This Row],[$ CAPITAL]]+FINANCIACION[[#This Row],[$ INTERESES]],"")</f>
        <v>74118</v>
      </c>
      <c r="F1071" s="7">
        <f>+SUMIFS(FINANCIACION[$ CAPITAL],FINANCIACION[Fecha],"&lt;="&amp;FINANCIACION[[#This Row],[Fecha]],FINANCIACION[PRESTAMO],FINANCIACION[[#This Row],[PRESTAMO]])</f>
        <v>790</v>
      </c>
      <c r="G1071" s="91"/>
      <c r="H1071" s="11"/>
      <c r="I1071" s="7">
        <f>+IF(FINANCIACION[[#This Row],[$ CAPITAL]]&gt;0,FINANCIACION[[#This Row],[$ CAPITAL]])</f>
        <v>74118</v>
      </c>
      <c r="J1071" s="49">
        <f>+IF(FINANCIACION[[#This Row],[$ CAPITAL]]&gt;=0,FINANCIACION[[#This Row],[$ CAPITAL]]+FINANCIACION[[#This Row],[$ INTERESES]],0)</f>
        <v>74118</v>
      </c>
    </row>
    <row r="1072" spans="1:10" ht="24" hidden="1" customHeight="1" x14ac:dyDescent="0.25">
      <c r="A1072" s="10">
        <v>44439</v>
      </c>
      <c r="B1072" s="85" t="s">
        <v>461</v>
      </c>
      <c r="C1072" s="7">
        <v>-790</v>
      </c>
      <c r="D1072" s="7"/>
      <c r="E1072" s="7" t="str">
        <f>+IF(FINANCIACION[[#This Row],[$ CAPITAL]]&gt;=0,FINANCIACION[[#This Row],[$ CAPITAL]]+FINANCIACION[[#This Row],[$ INTERESES]],"")</f>
        <v/>
      </c>
      <c r="F1072" s="7">
        <f>+SUMIFS(FINANCIACION[$ CAPITAL],FINANCIACION[Fecha],"&lt;="&amp;FINANCIACION[[#This Row],[Fecha]],FINANCIACION[PRESTAMO],FINANCIACION[[#This Row],[PRESTAMO]])</f>
        <v>63580</v>
      </c>
      <c r="G1072" s="91" t="s">
        <v>512</v>
      </c>
      <c r="H1072" s="11"/>
      <c r="I1072" s="7" t="b">
        <f>+IF(FINANCIACION[[#This Row],[$ CAPITAL]]&gt;0,FINANCIACION[[#This Row],[$ CAPITAL]])</f>
        <v>0</v>
      </c>
      <c r="J1072" s="49">
        <f>+IF(FINANCIACION[[#This Row],[$ CAPITAL]]&gt;=0,FINANCIACION[[#This Row],[$ CAPITAL]]+FINANCIACION[[#This Row],[$ INTERESES]],0)</f>
        <v>0</v>
      </c>
    </row>
    <row r="1073" spans="1:10" ht="24" hidden="1" customHeight="1" x14ac:dyDescent="0.25">
      <c r="A1073" s="10">
        <v>44439</v>
      </c>
      <c r="B1073" s="85" t="s">
        <v>461</v>
      </c>
      <c r="C1073" s="7">
        <v>63580</v>
      </c>
      <c r="D1073" s="7"/>
      <c r="E1073" s="7">
        <f>+IF(FINANCIACION[[#This Row],[$ CAPITAL]]&gt;=0,FINANCIACION[[#This Row],[$ CAPITAL]]+FINANCIACION[[#This Row],[$ INTERESES]],"")</f>
        <v>63580</v>
      </c>
      <c r="F1073" s="7">
        <f>+SUMIFS(FINANCIACION[$ CAPITAL],FINANCIACION[Fecha],"&lt;="&amp;FINANCIACION[[#This Row],[Fecha]],FINANCIACION[PRESTAMO],FINANCIACION[[#This Row],[PRESTAMO]])</f>
        <v>63580</v>
      </c>
      <c r="G1073" s="91"/>
      <c r="H1073" s="11"/>
      <c r="I1073" s="7">
        <f>+IF(FINANCIACION[[#This Row],[$ CAPITAL]]&gt;0,FINANCIACION[[#This Row],[$ CAPITAL]])</f>
        <v>63580</v>
      </c>
      <c r="J1073" s="49">
        <f>+IF(FINANCIACION[[#This Row],[$ CAPITAL]]&gt;=0,FINANCIACION[[#This Row],[$ CAPITAL]]+FINANCIACION[[#This Row],[$ INTERESES]],0)</f>
        <v>63580</v>
      </c>
    </row>
    <row r="1074" spans="1:10" ht="24" hidden="1" customHeight="1" x14ac:dyDescent="0.25">
      <c r="A1074" s="10">
        <v>44469</v>
      </c>
      <c r="B1074" s="85" t="s">
        <v>461</v>
      </c>
      <c r="C1074" s="87">
        <v>-692683</v>
      </c>
      <c r="D1074" s="7"/>
      <c r="E1074" s="7" t="str">
        <f>+IF(FINANCIACION[[#This Row],[$ CAPITAL]]&gt;=0,FINANCIACION[[#This Row],[$ CAPITAL]]+FINANCIACION[[#This Row],[$ INTERESES]],"")</f>
        <v/>
      </c>
      <c r="F1074" s="7">
        <f>+SUMIFS(FINANCIACION[$ CAPITAL],FINANCIACION[Fecha],"&lt;="&amp;FINANCIACION[[#This Row],[Fecha]],FINANCIACION[PRESTAMO],FINANCIACION[[#This Row],[PRESTAMO]])</f>
        <v>-629103</v>
      </c>
      <c r="G1074" s="91" t="s">
        <v>512</v>
      </c>
      <c r="H1074" s="11"/>
      <c r="I1074" s="7" t="b">
        <f>+IF(FINANCIACION[[#This Row],[$ CAPITAL]]&gt;0,FINANCIACION[[#This Row],[$ CAPITAL]])</f>
        <v>0</v>
      </c>
      <c r="J1074" s="49">
        <f>+IF(FINANCIACION[[#This Row],[$ CAPITAL]]&gt;=0,FINANCIACION[[#This Row],[$ CAPITAL]]+FINANCIACION[[#This Row],[$ INTERESES]],0)</f>
        <v>0</v>
      </c>
    </row>
    <row r="1075" spans="1:10" ht="24" hidden="1" customHeight="1" x14ac:dyDescent="0.25">
      <c r="A1075" s="10">
        <v>44476</v>
      </c>
      <c r="B1075" s="85" t="s">
        <v>461</v>
      </c>
      <c r="C1075" s="7">
        <v>1000000</v>
      </c>
      <c r="D1075" s="7"/>
      <c r="E1075" s="7">
        <f>+IF(FINANCIACION[[#This Row],[$ CAPITAL]]&gt;=0,FINANCIACION[[#This Row],[$ CAPITAL]]+FINANCIACION[[#This Row],[$ INTERESES]],"")</f>
        <v>1000000</v>
      </c>
      <c r="F1075" s="7">
        <f>+SUMIFS(FINANCIACION[$ CAPITAL],FINANCIACION[Fecha],"&lt;="&amp;FINANCIACION[[#This Row],[Fecha]],FINANCIACION[PRESTAMO],FINANCIACION[[#This Row],[PRESTAMO]])</f>
        <v>370897</v>
      </c>
      <c r="G1075" s="91"/>
      <c r="H1075" s="11"/>
      <c r="I1075" s="7">
        <f>+IF(FINANCIACION[[#This Row],[$ CAPITAL]]&gt;0,FINANCIACION[[#This Row],[$ CAPITAL]])</f>
        <v>1000000</v>
      </c>
      <c r="J1075" s="49">
        <f>+IF(FINANCIACION[[#This Row],[$ CAPITAL]]&gt;=0,FINANCIACION[[#This Row],[$ CAPITAL]]+FINANCIACION[[#This Row],[$ INTERESES]],0)</f>
        <v>1000000</v>
      </c>
    </row>
    <row r="1076" spans="1:10" ht="24" hidden="1" customHeight="1" x14ac:dyDescent="0.25">
      <c r="A1076" s="10">
        <v>44483</v>
      </c>
      <c r="B1076" s="85" t="s">
        <v>461</v>
      </c>
      <c r="C1076" s="7">
        <v>945175</v>
      </c>
      <c r="D1076" s="7"/>
      <c r="E1076" s="7">
        <f>+IF(FINANCIACION[[#This Row],[$ CAPITAL]]&gt;=0,FINANCIACION[[#This Row],[$ CAPITAL]]+FINANCIACION[[#This Row],[$ INTERESES]],"")</f>
        <v>945175</v>
      </c>
      <c r="F1076" s="7">
        <f>+SUMIFS(FINANCIACION[$ CAPITAL],FINANCIACION[Fecha],"&lt;="&amp;FINANCIACION[[#This Row],[Fecha]],FINANCIACION[PRESTAMO],FINANCIACION[[#This Row],[PRESTAMO]])</f>
        <v>1316072</v>
      </c>
      <c r="G1076" s="91"/>
      <c r="H1076" s="11"/>
      <c r="I1076" s="7">
        <f>+IF(FINANCIACION[[#This Row],[$ CAPITAL]]&gt;0,FINANCIACION[[#This Row],[$ CAPITAL]])</f>
        <v>945175</v>
      </c>
      <c r="J1076" s="49">
        <f>+IF(FINANCIACION[[#This Row],[$ CAPITAL]]&gt;=0,FINANCIACION[[#This Row],[$ CAPITAL]]+FINANCIACION[[#This Row],[$ INTERESES]],0)</f>
        <v>945175</v>
      </c>
    </row>
    <row r="1077" spans="1:10" ht="24" hidden="1" customHeight="1" x14ac:dyDescent="0.25">
      <c r="A1077" s="10">
        <v>44488</v>
      </c>
      <c r="B1077" s="85" t="s">
        <v>461</v>
      </c>
      <c r="C1077" s="7">
        <v>1570289</v>
      </c>
      <c r="D1077" s="7"/>
      <c r="E1077" s="7">
        <f>+IF(FINANCIACION[[#This Row],[$ CAPITAL]]&gt;=0,FINANCIACION[[#This Row],[$ CAPITAL]]+FINANCIACION[[#This Row],[$ INTERESES]],"")</f>
        <v>1570289</v>
      </c>
      <c r="F1077" s="7">
        <f>+SUMIFS(FINANCIACION[$ CAPITAL],FINANCIACION[Fecha],"&lt;="&amp;FINANCIACION[[#This Row],[Fecha]],FINANCIACION[PRESTAMO],FINANCIACION[[#This Row],[PRESTAMO]])</f>
        <v>2886361</v>
      </c>
      <c r="G1077" s="91"/>
      <c r="H1077" s="11"/>
      <c r="I1077" s="7">
        <f>+IF(FINANCIACION[[#This Row],[$ CAPITAL]]&gt;0,FINANCIACION[[#This Row],[$ CAPITAL]])</f>
        <v>1570289</v>
      </c>
      <c r="J1077" s="49">
        <f>+IF(FINANCIACION[[#This Row],[$ CAPITAL]]&gt;=0,FINANCIACION[[#This Row],[$ CAPITAL]]+FINANCIACION[[#This Row],[$ INTERESES]],0)</f>
        <v>1570289</v>
      </c>
    </row>
    <row r="1078" spans="1:10" ht="24" hidden="1" customHeight="1" x14ac:dyDescent="0.25">
      <c r="A1078" s="10">
        <v>44500</v>
      </c>
      <c r="B1078" s="85" t="s">
        <v>461</v>
      </c>
      <c r="C1078" s="7">
        <v>-2886361</v>
      </c>
      <c r="D1078" s="7"/>
      <c r="E1078" s="7" t="str">
        <f>+IF(FINANCIACION[[#This Row],[$ CAPITAL]]&gt;=0,FINANCIACION[[#This Row],[$ CAPITAL]]+FINANCIACION[[#This Row],[$ INTERESES]],"")</f>
        <v/>
      </c>
      <c r="F1078" s="7">
        <f>+SUMIFS(FINANCIACION[$ CAPITAL],FINANCIACION[Fecha],"&lt;="&amp;FINANCIACION[[#This Row],[Fecha]],FINANCIACION[PRESTAMO],FINANCIACION[[#This Row],[PRESTAMO]])</f>
        <v>0</v>
      </c>
      <c r="G1078" s="91" t="s">
        <v>512</v>
      </c>
      <c r="H1078" s="11"/>
      <c r="I1078" s="7" t="b">
        <f>+IF(FINANCIACION[[#This Row],[$ CAPITAL]]&gt;0,FINANCIACION[[#This Row],[$ CAPITAL]])</f>
        <v>0</v>
      </c>
      <c r="J1078" s="49">
        <f>+IF(FINANCIACION[[#This Row],[$ CAPITAL]]&gt;=0,FINANCIACION[[#This Row],[$ CAPITAL]]+FINANCIACION[[#This Row],[$ INTERESES]],0)</f>
        <v>0</v>
      </c>
    </row>
    <row r="1079" spans="1:10" ht="24" hidden="1" customHeight="1" x14ac:dyDescent="0.25">
      <c r="A1079" s="10">
        <v>44530</v>
      </c>
      <c r="B1079" s="85" t="s">
        <v>461</v>
      </c>
      <c r="C1079" s="7">
        <v>568232</v>
      </c>
      <c r="D1079" s="7"/>
      <c r="E1079" s="7">
        <f>+IF(FINANCIACION[[#This Row],[$ CAPITAL]]&gt;=0,FINANCIACION[[#This Row],[$ CAPITAL]]+FINANCIACION[[#This Row],[$ INTERESES]],"")</f>
        <v>568232</v>
      </c>
      <c r="F1079" s="7">
        <f>+SUMIFS(FINANCIACION[$ CAPITAL],FINANCIACION[Fecha],"&lt;="&amp;FINANCIACION[[#This Row],[Fecha]],FINANCIACION[PRESTAMO],FINANCIACION[[#This Row],[PRESTAMO]])</f>
        <v>0</v>
      </c>
      <c r="G1079" s="91"/>
      <c r="H1079" s="11"/>
      <c r="I1079" s="7">
        <f>+IF(FINANCIACION[[#This Row],[$ CAPITAL]]&gt;0,FINANCIACION[[#This Row],[$ CAPITAL]])</f>
        <v>568232</v>
      </c>
      <c r="J1079" s="49">
        <f>+IF(FINANCIACION[[#This Row],[$ CAPITAL]]&gt;=0,FINANCIACION[[#This Row],[$ CAPITAL]]+FINANCIACION[[#This Row],[$ INTERESES]],0)</f>
        <v>568232</v>
      </c>
    </row>
    <row r="1080" spans="1:10" ht="24" hidden="1" customHeight="1" x14ac:dyDescent="0.25">
      <c r="A1080" s="10">
        <v>44530</v>
      </c>
      <c r="B1080" s="85" t="s">
        <v>461</v>
      </c>
      <c r="C1080" s="7">
        <v>-568232</v>
      </c>
      <c r="D1080" s="7"/>
      <c r="E1080" s="7"/>
      <c r="F1080" s="7"/>
      <c r="G1080" s="91" t="s">
        <v>512</v>
      </c>
      <c r="H1080" s="11"/>
      <c r="I1080" s="7" t="b">
        <f>+IF(FINANCIACION[[#This Row],[$ CAPITAL]]&gt;0,FINANCIACION[[#This Row],[$ CAPITAL]])</f>
        <v>0</v>
      </c>
      <c r="J1080" s="49">
        <f>+IF(FINANCIACION[[#This Row],[$ CAPITAL]]&gt;=0,FINANCIACION[[#This Row],[$ CAPITAL]]+FINANCIACION[[#This Row],[$ INTERESES]],0)</f>
        <v>0</v>
      </c>
    </row>
    <row r="1081" spans="1:10" ht="24" hidden="1" customHeight="1" x14ac:dyDescent="0.25">
      <c r="A1081" s="10">
        <v>44550</v>
      </c>
      <c r="B1081" s="85" t="s">
        <v>461</v>
      </c>
      <c r="C1081" s="7">
        <v>2882226</v>
      </c>
      <c r="D1081" s="7"/>
      <c r="E1081" s="7">
        <f>+IF(FINANCIACION[[#This Row],[$ CAPITAL]]&gt;=0,FINANCIACION[[#This Row],[$ CAPITAL]]+FINANCIACION[[#This Row],[$ INTERESES]],"")</f>
        <v>2882226</v>
      </c>
      <c r="F1081" s="7">
        <f>+SUMIFS(FINANCIACION[$ CAPITAL],FINANCIACION[Fecha],"&lt;="&amp;FINANCIACION[[#This Row],[Fecha]],FINANCIACION[PRESTAMO],FINANCIACION[[#This Row],[PRESTAMO]])</f>
        <v>2882226</v>
      </c>
      <c r="G1081" s="91"/>
      <c r="H1081" s="11"/>
      <c r="I1081" s="7">
        <f>+IF(FINANCIACION[[#This Row],[$ CAPITAL]]&gt;0,FINANCIACION[[#This Row],[$ CAPITAL]])</f>
        <v>2882226</v>
      </c>
      <c r="J1081" s="49">
        <f>+IF(FINANCIACION[[#This Row],[$ CAPITAL]]&gt;=0,FINANCIACION[[#This Row],[$ CAPITAL]]+FINANCIACION[[#This Row],[$ INTERESES]],0)</f>
        <v>2882226</v>
      </c>
    </row>
    <row r="1082" spans="1:10" ht="24" hidden="1" customHeight="1" x14ac:dyDescent="0.25">
      <c r="A1082" s="10">
        <v>44561</v>
      </c>
      <c r="B1082" s="85" t="s">
        <v>461</v>
      </c>
      <c r="C1082" s="7">
        <v>-3484626</v>
      </c>
      <c r="D1082" s="7"/>
      <c r="E1082" s="7" t="str">
        <f>+IF(FINANCIACION[[#This Row],[$ CAPITAL]]&gt;=0,FINANCIACION[[#This Row],[$ CAPITAL]]+FINANCIACION[[#This Row],[$ INTERESES]],"")</f>
        <v/>
      </c>
      <c r="F1082" s="7">
        <f>+SUMIFS(FINANCIACION[$ CAPITAL],FINANCIACION[Fecha],"&lt;="&amp;FINANCIACION[[#This Row],[Fecha]],FINANCIACION[PRESTAMO],FINANCIACION[[#This Row],[PRESTAMO]])</f>
        <v>-602400</v>
      </c>
      <c r="G1082" s="91"/>
      <c r="H1082" s="11"/>
      <c r="I1082" s="7" t="b">
        <f>+IF(FINANCIACION[[#This Row],[$ CAPITAL]]&gt;0,FINANCIACION[[#This Row],[$ CAPITAL]])</f>
        <v>0</v>
      </c>
      <c r="J1082" s="49">
        <f>+IF(FINANCIACION[[#This Row],[$ CAPITAL]]&gt;=0,FINANCIACION[[#This Row],[$ CAPITAL]]+FINANCIACION[[#This Row],[$ INTERESES]],0)</f>
        <v>0</v>
      </c>
    </row>
    <row r="1083" spans="1:10" ht="24" hidden="1" customHeight="1" x14ac:dyDescent="0.25">
      <c r="A1083" s="10">
        <v>44226</v>
      </c>
      <c r="B1083" s="85" t="s">
        <v>462</v>
      </c>
      <c r="C1083" s="7">
        <v>-7016439</v>
      </c>
      <c r="D1083" s="7"/>
      <c r="E1083" s="7" t="str">
        <f>+IF(FINANCIACION[[#This Row],[$ CAPITAL]]&gt;=0,FINANCIACION[[#This Row],[$ CAPITAL]]+FINANCIACION[[#This Row],[$ INTERESES]],"")</f>
        <v/>
      </c>
      <c r="F1083" s="7">
        <f>+SUMIFS(FINANCIACION[$ CAPITAL],FINANCIACION[Fecha],"&lt;="&amp;FINANCIACION[[#This Row],[Fecha]],FINANCIACION[PRESTAMO],FINANCIACION[[#This Row],[PRESTAMO]])</f>
        <v>-7016439</v>
      </c>
      <c r="G1083" s="91" t="s">
        <v>512</v>
      </c>
      <c r="H1083" s="11"/>
      <c r="I1083" s="7" t="b">
        <f>+IF(FINANCIACION[[#This Row],[$ CAPITAL]]&gt;0,FINANCIACION[[#This Row],[$ CAPITAL]])</f>
        <v>0</v>
      </c>
      <c r="J1083" s="49">
        <f>+IF(FINANCIACION[[#This Row],[$ CAPITAL]]&gt;=0,FINANCIACION[[#This Row],[$ CAPITAL]]+FINANCIACION[[#This Row],[$ INTERESES]],0)</f>
        <v>0</v>
      </c>
    </row>
    <row r="1084" spans="1:10" ht="24" hidden="1" customHeight="1" x14ac:dyDescent="0.25">
      <c r="A1084" s="10">
        <v>44255</v>
      </c>
      <c r="B1084" s="85" t="s">
        <v>462</v>
      </c>
      <c r="C1084" s="7">
        <v>-20437161</v>
      </c>
      <c r="D1084" s="7"/>
      <c r="E1084" s="7" t="str">
        <f>+IF(FINANCIACION[[#This Row],[$ CAPITAL]]&gt;=0,FINANCIACION[[#This Row],[$ CAPITAL]]+FINANCIACION[[#This Row],[$ INTERESES]],"")</f>
        <v/>
      </c>
      <c r="F1084" s="7">
        <f>+SUMIFS(FINANCIACION[$ CAPITAL],FINANCIACION[Fecha],"&lt;="&amp;FINANCIACION[[#This Row],[Fecha]],FINANCIACION[PRESTAMO],FINANCIACION[[#This Row],[PRESTAMO]])</f>
        <v>-27453600</v>
      </c>
      <c r="G1084" s="91" t="s">
        <v>512</v>
      </c>
      <c r="H1084" s="11"/>
      <c r="I1084" s="7" t="b">
        <f>+IF(FINANCIACION[[#This Row],[$ CAPITAL]]&gt;0,FINANCIACION[[#This Row],[$ CAPITAL]])</f>
        <v>0</v>
      </c>
      <c r="J1084" s="49">
        <f>+IF(FINANCIACION[[#This Row],[$ CAPITAL]]&gt;=0,FINANCIACION[[#This Row],[$ CAPITAL]]+FINANCIACION[[#This Row],[$ INTERESES]],0)</f>
        <v>0</v>
      </c>
    </row>
    <row r="1085" spans="1:10" ht="24" hidden="1" customHeight="1" x14ac:dyDescent="0.25">
      <c r="A1085" s="10">
        <v>44285</v>
      </c>
      <c r="B1085" s="85" t="s">
        <v>462</v>
      </c>
      <c r="C1085" s="7">
        <v>1068900</v>
      </c>
      <c r="D1085" s="7"/>
      <c r="E1085" s="7">
        <f>+IF(FINANCIACION[[#This Row],[$ CAPITAL]]&gt;=0,FINANCIACION[[#This Row],[$ CAPITAL]]+FINANCIACION[[#This Row],[$ INTERESES]],"")</f>
        <v>1068900</v>
      </c>
      <c r="F1085" s="7">
        <f>+SUMIFS(FINANCIACION[$ CAPITAL],FINANCIACION[Fecha],"&lt;="&amp;FINANCIACION[[#This Row],[Fecha]],FINANCIACION[PRESTAMO],FINANCIACION[[#This Row],[PRESTAMO]])</f>
        <v>-26384700</v>
      </c>
      <c r="G1085" s="91" t="s">
        <v>512</v>
      </c>
      <c r="H1085" s="11"/>
      <c r="I1085" s="7">
        <f>+IF(FINANCIACION[[#This Row],[$ CAPITAL]]&gt;0,FINANCIACION[[#This Row],[$ CAPITAL]])</f>
        <v>1068900</v>
      </c>
      <c r="J1085" s="49">
        <f>+IF(FINANCIACION[[#This Row],[$ CAPITAL]]&gt;=0,FINANCIACION[[#This Row],[$ CAPITAL]]+FINANCIACION[[#This Row],[$ INTERESES]],0)</f>
        <v>1068900</v>
      </c>
    </row>
    <row r="1086" spans="1:10" ht="24" hidden="1" customHeight="1" x14ac:dyDescent="0.25">
      <c r="A1086" s="10">
        <v>44316</v>
      </c>
      <c r="B1086" s="85" t="s">
        <v>462</v>
      </c>
      <c r="C1086" s="7">
        <v>-7917900</v>
      </c>
      <c r="D1086" s="7"/>
      <c r="E1086" s="7" t="str">
        <f>+IF(FINANCIACION[[#This Row],[$ CAPITAL]]&gt;=0,FINANCIACION[[#This Row],[$ CAPITAL]]+FINANCIACION[[#This Row],[$ INTERESES]],"")</f>
        <v/>
      </c>
      <c r="F1086" s="7">
        <f>+SUMIFS(FINANCIACION[$ CAPITAL],FINANCIACION[Fecha],"&lt;="&amp;FINANCIACION[[#This Row],[Fecha]],FINANCIACION[PRESTAMO],FINANCIACION[[#This Row],[PRESTAMO]])</f>
        <v>-34302600</v>
      </c>
      <c r="G1086" s="91" t="s">
        <v>512</v>
      </c>
      <c r="H1086" s="11"/>
      <c r="I1086" s="7" t="b">
        <f>+IF(FINANCIACION[[#This Row],[$ CAPITAL]]&gt;0,FINANCIACION[[#This Row],[$ CAPITAL]])</f>
        <v>0</v>
      </c>
      <c r="J1086" s="49">
        <f>+IF(FINANCIACION[[#This Row],[$ CAPITAL]]&gt;=0,FINANCIACION[[#This Row],[$ CAPITAL]]+FINANCIACION[[#This Row],[$ INTERESES]],0)</f>
        <v>0</v>
      </c>
    </row>
    <row r="1087" spans="1:10" ht="24" hidden="1" customHeight="1" x14ac:dyDescent="0.25">
      <c r="A1087" s="10">
        <v>44346</v>
      </c>
      <c r="B1087" s="85" t="s">
        <v>462</v>
      </c>
      <c r="C1087" s="7">
        <v>936000</v>
      </c>
      <c r="D1087" s="7"/>
      <c r="E1087" s="7">
        <f>+IF(FINANCIACION[[#This Row],[$ CAPITAL]]&gt;=0,FINANCIACION[[#This Row],[$ CAPITAL]]+FINANCIACION[[#This Row],[$ INTERESES]],"")</f>
        <v>936000</v>
      </c>
      <c r="F1087" s="7">
        <f>+SUMIFS(FINANCIACION[$ CAPITAL],FINANCIACION[Fecha],"&lt;="&amp;FINANCIACION[[#This Row],[Fecha]],FINANCIACION[PRESTAMO],FINANCIACION[[#This Row],[PRESTAMO]])</f>
        <v>-33366600</v>
      </c>
      <c r="G1087" s="91"/>
      <c r="H1087" s="11"/>
      <c r="I1087" s="7">
        <f>+IF(FINANCIACION[[#This Row],[$ CAPITAL]]&gt;0,FINANCIACION[[#This Row],[$ CAPITAL]])</f>
        <v>936000</v>
      </c>
      <c r="J1087" s="49">
        <f>+IF(FINANCIACION[[#This Row],[$ CAPITAL]]&gt;=0,FINANCIACION[[#This Row],[$ CAPITAL]]+FINANCIACION[[#This Row],[$ INTERESES]],0)</f>
        <v>936000</v>
      </c>
    </row>
    <row r="1088" spans="1:10" ht="24" hidden="1" customHeight="1" x14ac:dyDescent="0.25">
      <c r="A1088" s="10">
        <v>44350</v>
      </c>
      <c r="B1088" s="85" t="s">
        <v>462</v>
      </c>
      <c r="C1088" s="7">
        <v>3642290</v>
      </c>
      <c r="D1088" s="7"/>
      <c r="E1088" s="7">
        <f>+IF(FINANCIACION[[#This Row],[$ CAPITAL]]&gt;=0,FINANCIACION[[#This Row],[$ CAPITAL]]+FINANCIACION[[#This Row],[$ INTERESES]],"")</f>
        <v>3642290</v>
      </c>
      <c r="F1088" s="7">
        <f>+SUMIFS(FINANCIACION[$ CAPITAL],FINANCIACION[Fecha],"&lt;="&amp;FINANCIACION[[#This Row],[Fecha]],FINANCIACION[PRESTAMO],FINANCIACION[[#This Row],[PRESTAMO]])</f>
        <v>-29724310</v>
      </c>
      <c r="G1088" s="91"/>
      <c r="H1088" s="11"/>
      <c r="I1088" s="7">
        <f>+IF(FINANCIACION[[#This Row],[$ CAPITAL]]&gt;0,FINANCIACION[[#This Row],[$ CAPITAL]])</f>
        <v>3642290</v>
      </c>
      <c r="J1088" s="49">
        <f>+IF(FINANCIACION[[#This Row],[$ CAPITAL]]&gt;=0,FINANCIACION[[#This Row],[$ CAPITAL]]+FINANCIACION[[#This Row],[$ INTERESES]],0)</f>
        <v>3642290</v>
      </c>
    </row>
    <row r="1089" spans="1:10" ht="24" hidden="1" customHeight="1" x14ac:dyDescent="0.25">
      <c r="A1089" s="10">
        <v>44365</v>
      </c>
      <c r="B1089" s="85" t="s">
        <v>462</v>
      </c>
      <c r="C1089" s="7">
        <v>5968720</v>
      </c>
      <c r="D1089" s="7"/>
      <c r="E1089" s="7">
        <f>+IF(FINANCIACION[[#This Row],[$ CAPITAL]]&gt;=0,FINANCIACION[[#This Row],[$ CAPITAL]]+FINANCIACION[[#This Row],[$ INTERESES]],"")</f>
        <v>5968720</v>
      </c>
      <c r="F1089" s="7">
        <f>+SUMIFS(FINANCIACION[$ CAPITAL],FINANCIACION[Fecha],"&lt;="&amp;FINANCIACION[[#This Row],[Fecha]],FINANCIACION[PRESTAMO],FINANCIACION[[#This Row],[PRESTAMO]])</f>
        <v>-23755590</v>
      </c>
      <c r="G1089" s="91"/>
      <c r="H1089" s="11"/>
      <c r="I1089" s="7">
        <f>+IF(FINANCIACION[[#This Row],[$ CAPITAL]]&gt;0,FINANCIACION[[#This Row],[$ CAPITAL]])</f>
        <v>5968720</v>
      </c>
      <c r="J1089" s="49">
        <f>+IF(FINANCIACION[[#This Row],[$ CAPITAL]]&gt;=0,FINANCIACION[[#This Row],[$ CAPITAL]]+FINANCIACION[[#This Row],[$ INTERESES]],0)</f>
        <v>5968720</v>
      </c>
    </row>
    <row r="1090" spans="1:10" ht="24" hidden="1" customHeight="1" x14ac:dyDescent="0.25">
      <c r="A1090" s="10">
        <v>44377</v>
      </c>
      <c r="B1090" s="85" t="s">
        <v>462</v>
      </c>
      <c r="C1090" s="7">
        <v>1790</v>
      </c>
      <c r="D1090" s="7"/>
      <c r="E1090" s="7">
        <f>+IF(FINANCIACION[[#This Row],[$ CAPITAL]]&gt;=0,FINANCIACION[[#This Row],[$ CAPITAL]]+FINANCIACION[[#This Row],[$ INTERESES]],"")</f>
        <v>1790</v>
      </c>
      <c r="F1090" s="7">
        <f>+SUMIFS(FINANCIACION[$ CAPITAL],FINANCIACION[Fecha],"&lt;="&amp;FINANCIACION[[#This Row],[Fecha]],FINANCIACION[PRESTAMO],FINANCIACION[[#This Row],[PRESTAMO]])</f>
        <v>-23753800</v>
      </c>
      <c r="G1090" s="91" t="s">
        <v>512</v>
      </c>
      <c r="H1090" s="11"/>
      <c r="I1090" s="7">
        <f>+IF(FINANCIACION[[#This Row],[$ CAPITAL]]&gt;0,FINANCIACION[[#This Row],[$ CAPITAL]])</f>
        <v>1790</v>
      </c>
      <c r="J1090" s="49">
        <f>+IF(FINANCIACION[[#This Row],[$ CAPITAL]]&gt;=0,FINANCIACION[[#This Row],[$ CAPITAL]]+FINANCIACION[[#This Row],[$ INTERESES]],0)</f>
        <v>1790</v>
      </c>
    </row>
    <row r="1091" spans="1:10" ht="24" hidden="1" customHeight="1" x14ac:dyDescent="0.25">
      <c r="A1091" s="10">
        <v>44389</v>
      </c>
      <c r="B1091" s="85" t="s">
        <v>462</v>
      </c>
      <c r="C1091" s="7">
        <v>3829460</v>
      </c>
      <c r="D1091" s="7"/>
      <c r="E1091" s="7">
        <f>+IF(FINANCIACION[[#This Row],[$ CAPITAL]]&gt;=0,FINANCIACION[[#This Row],[$ CAPITAL]]+FINANCIACION[[#This Row],[$ INTERESES]],"")</f>
        <v>3829460</v>
      </c>
      <c r="F1091" s="7">
        <f>+SUMIFS(FINANCIACION[$ CAPITAL],FINANCIACION[Fecha],"&lt;="&amp;FINANCIACION[[#This Row],[Fecha]],FINANCIACION[PRESTAMO],FINANCIACION[[#This Row],[PRESTAMO]])</f>
        <v>-19924340</v>
      </c>
      <c r="G1091" s="91"/>
      <c r="H1091" s="11"/>
      <c r="I1091" s="7">
        <f>+IF(FINANCIACION[[#This Row],[$ CAPITAL]]&gt;0,FINANCIACION[[#This Row],[$ CAPITAL]])</f>
        <v>3829460</v>
      </c>
      <c r="J1091" s="49">
        <f>+IF(FINANCIACION[[#This Row],[$ CAPITAL]]&gt;=0,FINANCIACION[[#This Row],[$ CAPITAL]]+FINANCIACION[[#This Row],[$ INTERESES]],0)</f>
        <v>3829460</v>
      </c>
    </row>
    <row r="1092" spans="1:10" ht="24" hidden="1" customHeight="1" x14ac:dyDescent="0.25">
      <c r="A1092" s="10">
        <v>44396</v>
      </c>
      <c r="B1092" s="85" t="s">
        <v>462</v>
      </c>
      <c r="C1092" s="7">
        <v>3808460</v>
      </c>
      <c r="D1092" s="7"/>
      <c r="E1092" s="7">
        <f>+IF(FINANCIACION[[#This Row],[$ CAPITAL]]&gt;=0,FINANCIACION[[#This Row],[$ CAPITAL]]+FINANCIACION[[#This Row],[$ INTERESES]],"")</f>
        <v>3808460</v>
      </c>
      <c r="F1092" s="7">
        <f>+SUMIFS(FINANCIACION[$ CAPITAL],FINANCIACION[Fecha],"&lt;="&amp;FINANCIACION[[#This Row],[Fecha]],FINANCIACION[PRESTAMO],FINANCIACION[[#This Row],[PRESTAMO]])</f>
        <v>-16115880</v>
      </c>
      <c r="G1092" s="91"/>
      <c r="H1092" s="11"/>
      <c r="I1092" s="7">
        <f>+IF(FINANCIACION[[#This Row],[$ CAPITAL]]&gt;0,FINANCIACION[[#This Row],[$ CAPITAL]])</f>
        <v>3808460</v>
      </c>
      <c r="J1092" s="49">
        <f>+IF(FINANCIACION[[#This Row],[$ CAPITAL]]&gt;=0,FINANCIACION[[#This Row],[$ CAPITAL]]+FINANCIACION[[#This Row],[$ INTERESES]],0)</f>
        <v>3808460</v>
      </c>
    </row>
    <row r="1093" spans="1:10" ht="24" hidden="1" customHeight="1" x14ac:dyDescent="0.25">
      <c r="A1093" s="10">
        <v>44408</v>
      </c>
      <c r="B1093" s="85" t="s">
        <v>462</v>
      </c>
      <c r="C1093" s="7">
        <v>-11578020</v>
      </c>
      <c r="D1093" s="7"/>
      <c r="E1093" s="7" t="str">
        <f>+IF(FINANCIACION[[#This Row],[$ CAPITAL]]&gt;=0,FINANCIACION[[#This Row],[$ CAPITAL]]+FINANCIACION[[#This Row],[$ INTERESES]],"")</f>
        <v/>
      </c>
      <c r="F1093" s="7">
        <f>+SUMIFS(FINANCIACION[$ CAPITAL],FINANCIACION[Fecha],"&lt;="&amp;FINANCIACION[[#This Row],[Fecha]],FINANCIACION[PRESTAMO],FINANCIACION[[#This Row],[PRESTAMO]])</f>
        <v>-27693900</v>
      </c>
      <c r="G1093" s="11" t="s">
        <v>512</v>
      </c>
      <c r="H1093" s="11"/>
      <c r="I1093" s="7" t="b">
        <f>+IF(FINANCIACION[[#This Row],[$ CAPITAL]]&gt;0,FINANCIACION[[#This Row],[$ CAPITAL]])</f>
        <v>0</v>
      </c>
      <c r="J1093" s="49">
        <f>+IF(FINANCIACION[[#This Row],[$ CAPITAL]]&gt;=0,FINANCIACION[[#This Row],[$ CAPITAL]]+FINANCIACION[[#This Row],[$ INTERESES]],0)</f>
        <v>0</v>
      </c>
    </row>
    <row r="1094" spans="1:10" ht="24" hidden="1" customHeight="1" x14ac:dyDescent="0.25">
      <c r="A1094" s="10">
        <v>44414</v>
      </c>
      <c r="B1094" s="85" t="s">
        <v>462</v>
      </c>
      <c r="C1094" s="7">
        <v>3910810</v>
      </c>
      <c r="D1094" s="7"/>
      <c r="E1094" s="7">
        <f>+IF(FINANCIACION[[#This Row],[$ CAPITAL]]&gt;=0,FINANCIACION[[#This Row],[$ CAPITAL]]+FINANCIACION[[#This Row],[$ INTERESES]],"")</f>
        <v>3910810</v>
      </c>
      <c r="F1094" s="7">
        <f>+SUMIFS(FINANCIACION[$ CAPITAL],FINANCIACION[Fecha],"&lt;="&amp;FINANCIACION[[#This Row],[Fecha]],FINANCIACION[PRESTAMO],FINANCIACION[[#This Row],[PRESTAMO]])</f>
        <v>-23783090</v>
      </c>
      <c r="G1094" s="91"/>
      <c r="H1094" s="11"/>
      <c r="I1094" s="7">
        <f>+IF(FINANCIACION[[#This Row],[$ CAPITAL]]&gt;0,FINANCIACION[[#This Row],[$ CAPITAL]])</f>
        <v>3910810</v>
      </c>
      <c r="J1094" s="49">
        <f>+IF(FINANCIACION[[#This Row],[$ CAPITAL]]&gt;=0,FINANCIACION[[#This Row],[$ CAPITAL]]+FINANCIACION[[#This Row],[$ INTERESES]],0)</f>
        <v>3910810</v>
      </c>
    </row>
    <row r="1095" spans="1:10" ht="24" hidden="1" customHeight="1" x14ac:dyDescent="0.25">
      <c r="A1095" s="10">
        <v>44421</v>
      </c>
      <c r="B1095" s="85" t="s">
        <v>462</v>
      </c>
      <c r="C1095" s="7">
        <v>3887070</v>
      </c>
      <c r="D1095" s="7"/>
      <c r="E1095" s="7">
        <f>+IF(FINANCIACION[[#This Row],[$ CAPITAL]]&gt;=0,FINANCIACION[[#This Row],[$ CAPITAL]]+FINANCIACION[[#This Row],[$ INTERESES]],"")</f>
        <v>3887070</v>
      </c>
      <c r="F1095" s="7">
        <f>+SUMIFS(FINANCIACION[$ CAPITAL],FINANCIACION[Fecha],"&lt;="&amp;FINANCIACION[[#This Row],[Fecha]],FINANCIACION[PRESTAMO],FINANCIACION[[#This Row],[PRESTAMO]])</f>
        <v>-19896020</v>
      </c>
      <c r="G1095" s="91"/>
      <c r="H1095" s="11"/>
      <c r="I1095" s="7">
        <f>+IF(FINANCIACION[[#This Row],[$ CAPITAL]]&gt;0,FINANCIACION[[#This Row],[$ CAPITAL]])</f>
        <v>3887070</v>
      </c>
      <c r="J1095" s="49">
        <f>+IF(FINANCIACION[[#This Row],[$ CAPITAL]]&gt;=0,FINANCIACION[[#This Row],[$ CAPITAL]]+FINANCIACION[[#This Row],[$ INTERESES]],0)</f>
        <v>3887070</v>
      </c>
    </row>
    <row r="1096" spans="1:10" ht="24" hidden="1" customHeight="1" x14ac:dyDescent="0.25">
      <c r="A1096" s="10">
        <v>44426</v>
      </c>
      <c r="B1096" s="85" t="s">
        <v>462</v>
      </c>
      <c r="C1096" s="7">
        <v>3868410</v>
      </c>
      <c r="D1096" s="7"/>
      <c r="E1096" s="7">
        <f>+IF(FINANCIACION[[#This Row],[$ CAPITAL]]&gt;=0,FINANCIACION[[#This Row],[$ CAPITAL]]+FINANCIACION[[#This Row],[$ INTERESES]],"")</f>
        <v>3868410</v>
      </c>
      <c r="F1096" s="7">
        <f>+SUMIFS(FINANCIACION[$ CAPITAL],FINANCIACION[Fecha],"&lt;="&amp;FINANCIACION[[#This Row],[Fecha]],FINANCIACION[PRESTAMO],FINANCIACION[[#This Row],[PRESTAMO]])</f>
        <v>-16027610</v>
      </c>
      <c r="G1096" s="91"/>
      <c r="H1096" s="11"/>
      <c r="I1096" s="7">
        <f>+IF(FINANCIACION[[#This Row],[$ CAPITAL]]&gt;0,FINANCIACION[[#This Row],[$ CAPITAL]])</f>
        <v>3868410</v>
      </c>
      <c r="J1096" s="49">
        <f>+IF(FINANCIACION[[#This Row],[$ CAPITAL]]&gt;=0,FINANCIACION[[#This Row],[$ CAPITAL]]+FINANCIACION[[#This Row],[$ INTERESES]],0)</f>
        <v>3868410</v>
      </c>
    </row>
    <row r="1097" spans="1:10" ht="24" hidden="1" customHeight="1" x14ac:dyDescent="0.25">
      <c r="A1097" s="10">
        <v>44439</v>
      </c>
      <c r="B1097" s="85" t="s">
        <v>462</v>
      </c>
      <c r="C1097" s="7">
        <v>38068.699999999997</v>
      </c>
      <c r="D1097" s="7"/>
      <c r="E1097" s="7">
        <f>+IF(FINANCIACION[[#This Row],[$ CAPITAL]]&gt;=0,FINANCIACION[[#This Row],[$ CAPITAL]]+FINANCIACION[[#This Row],[$ INTERESES]],"")</f>
        <v>38068.699999999997</v>
      </c>
      <c r="F1097" s="7">
        <f>+SUMIFS(FINANCIACION[$ CAPITAL],FINANCIACION[Fecha],"&lt;="&amp;FINANCIACION[[#This Row],[Fecha]],FINANCIACION[PRESTAMO],FINANCIACION[[#This Row],[PRESTAMO]])</f>
        <v>-31683600</v>
      </c>
      <c r="G1097" s="91"/>
      <c r="H1097" s="11"/>
      <c r="I1097" s="7">
        <f>+IF(FINANCIACION[[#This Row],[$ CAPITAL]]&gt;0,FINANCIACION[[#This Row],[$ CAPITAL]])</f>
        <v>38068.699999999997</v>
      </c>
      <c r="J1097" s="49">
        <f>+IF(FINANCIACION[[#This Row],[$ CAPITAL]]&gt;=0,FINANCIACION[[#This Row],[$ CAPITAL]]+FINANCIACION[[#This Row],[$ INTERESES]],0)</f>
        <v>38068.699999999997</v>
      </c>
    </row>
    <row r="1098" spans="1:10" ht="24" hidden="1" customHeight="1" x14ac:dyDescent="0.25">
      <c r="A1098" s="10">
        <v>44439</v>
      </c>
      <c r="B1098" s="85" t="s">
        <v>462</v>
      </c>
      <c r="C1098" s="7">
        <v>-15694058.699999999</v>
      </c>
      <c r="D1098" s="7"/>
      <c r="E1098" s="7" t="str">
        <f>+IF(FINANCIACION[[#This Row],[$ CAPITAL]]&gt;=0,FINANCIACION[[#This Row],[$ CAPITAL]]+FINANCIACION[[#This Row],[$ INTERESES]],"")</f>
        <v/>
      </c>
      <c r="F1098" s="7">
        <f>+SUMIFS(FINANCIACION[$ CAPITAL],FINANCIACION[Fecha],"&lt;="&amp;FINANCIACION[[#This Row],[Fecha]],FINANCIACION[PRESTAMO],FINANCIACION[[#This Row],[PRESTAMO]])</f>
        <v>-31683600</v>
      </c>
      <c r="G1098" s="91" t="s">
        <v>512</v>
      </c>
      <c r="H1098" s="11"/>
      <c r="I1098" s="7" t="b">
        <f>+IF(FINANCIACION[[#This Row],[$ CAPITAL]]&gt;0,FINANCIACION[[#This Row],[$ CAPITAL]])</f>
        <v>0</v>
      </c>
      <c r="J1098" s="49">
        <f>+IF(FINANCIACION[[#This Row],[$ CAPITAL]]&gt;=0,FINANCIACION[[#This Row],[$ CAPITAL]]+FINANCIACION[[#This Row],[$ INTERESES]],0)</f>
        <v>0</v>
      </c>
    </row>
    <row r="1099" spans="1:10" ht="24" hidden="1" customHeight="1" x14ac:dyDescent="0.25">
      <c r="A1099" s="10">
        <v>44440</v>
      </c>
      <c r="B1099" s="85" t="s">
        <v>462</v>
      </c>
      <c r="C1099" s="7">
        <v>11300000</v>
      </c>
      <c r="D1099" s="7"/>
      <c r="E1099" s="7">
        <f>+IF(FINANCIACION[[#This Row],[$ CAPITAL]]&gt;=0,FINANCIACION[[#This Row],[$ CAPITAL]]+FINANCIACION[[#This Row],[$ INTERESES]],"")</f>
        <v>11300000</v>
      </c>
      <c r="F1099" s="7">
        <f>+SUMIFS(FINANCIACION[$ CAPITAL],FINANCIACION[Fecha],"&lt;="&amp;FINANCIACION[[#This Row],[Fecha]],FINANCIACION[PRESTAMO],FINANCIACION[[#This Row],[PRESTAMO]])</f>
        <v>-20383600</v>
      </c>
      <c r="G1099" s="91"/>
      <c r="H1099" s="11"/>
      <c r="I1099" s="7">
        <f>+IF(FINANCIACION[[#This Row],[$ CAPITAL]]&gt;0,FINANCIACION[[#This Row],[$ CAPITAL]])</f>
        <v>11300000</v>
      </c>
      <c r="J1099" s="49">
        <f>+IF(FINANCIACION[[#This Row],[$ CAPITAL]]&gt;=0,FINANCIACION[[#This Row],[$ CAPITAL]]+FINANCIACION[[#This Row],[$ INTERESES]],0)</f>
        <v>11300000</v>
      </c>
    </row>
    <row r="1100" spans="1:10" ht="24" hidden="1" customHeight="1" x14ac:dyDescent="0.25">
      <c r="A1100" s="10">
        <v>44469</v>
      </c>
      <c r="B1100" s="85" t="s">
        <v>462</v>
      </c>
      <c r="C1100" s="87">
        <v>-13423250</v>
      </c>
      <c r="D1100" s="7"/>
      <c r="E1100" s="7" t="str">
        <f>+IF(FINANCIACION[[#This Row],[$ CAPITAL]]&gt;=0,FINANCIACION[[#This Row],[$ CAPITAL]]+FINANCIACION[[#This Row],[$ INTERESES]],"")</f>
        <v/>
      </c>
      <c r="F1100" s="7">
        <f>+SUMIFS(FINANCIACION[$ CAPITAL],FINANCIACION[Fecha],"&lt;="&amp;FINANCIACION[[#This Row],[Fecha]],FINANCIACION[PRESTAMO],FINANCIACION[[#This Row],[PRESTAMO]])</f>
        <v>-33806850</v>
      </c>
      <c r="G1100" s="91" t="s">
        <v>512</v>
      </c>
      <c r="H1100" s="11"/>
      <c r="I1100" s="7" t="b">
        <f>+IF(FINANCIACION[[#This Row],[$ CAPITAL]]&gt;0,FINANCIACION[[#This Row],[$ CAPITAL]])</f>
        <v>0</v>
      </c>
      <c r="J1100" s="49">
        <f>+IF(FINANCIACION[[#This Row],[$ CAPITAL]]&gt;=0,FINANCIACION[[#This Row],[$ CAPITAL]]+FINANCIACION[[#This Row],[$ INTERESES]],0)</f>
        <v>0</v>
      </c>
    </row>
    <row r="1101" spans="1:10" ht="24" hidden="1" customHeight="1" x14ac:dyDescent="0.25">
      <c r="A1101" s="10">
        <v>44476</v>
      </c>
      <c r="B1101" s="85" t="s">
        <v>462</v>
      </c>
      <c r="C1101" s="7">
        <v>3788030</v>
      </c>
      <c r="D1101" s="7"/>
      <c r="E1101" s="7">
        <f>+IF(FINANCIACION[[#This Row],[$ CAPITAL]]&gt;=0,FINANCIACION[[#This Row],[$ CAPITAL]]+FINANCIACION[[#This Row],[$ INTERESES]],"")</f>
        <v>3788030</v>
      </c>
      <c r="F1101" s="7">
        <f>+SUMIFS(FINANCIACION[$ CAPITAL],FINANCIACION[Fecha],"&lt;="&amp;FINANCIACION[[#This Row],[Fecha]],FINANCIACION[PRESTAMO],FINANCIACION[[#This Row],[PRESTAMO]])</f>
        <v>-30018820</v>
      </c>
      <c r="G1101" s="91"/>
      <c r="H1101" s="11"/>
      <c r="I1101" s="7">
        <f>+IF(FINANCIACION[[#This Row],[$ CAPITAL]]&gt;0,FINANCIACION[[#This Row],[$ CAPITAL]])</f>
        <v>3788030</v>
      </c>
      <c r="J1101" s="49">
        <f>+IF(FINANCIACION[[#This Row],[$ CAPITAL]]&gt;=0,FINANCIACION[[#This Row],[$ CAPITAL]]+FINANCIACION[[#This Row],[$ INTERESES]],0)</f>
        <v>3788030</v>
      </c>
    </row>
    <row r="1102" spans="1:10" ht="24" hidden="1" customHeight="1" x14ac:dyDescent="0.25">
      <c r="A1102" s="10">
        <v>44480</v>
      </c>
      <c r="B1102" s="85" t="s">
        <v>462</v>
      </c>
      <c r="C1102" s="7">
        <v>3765800</v>
      </c>
      <c r="D1102" s="7"/>
      <c r="E1102" s="7">
        <f>+IF(FINANCIACION[[#This Row],[$ CAPITAL]]&gt;=0,FINANCIACION[[#This Row],[$ CAPITAL]]+FINANCIACION[[#This Row],[$ INTERESES]],"")</f>
        <v>3765800</v>
      </c>
      <c r="F1102" s="7">
        <f>+SUMIFS(FINANCIACION[$ CAPITAL],FINANCIACION[Fecha],"&lt;="&amp;FINANCIACION[[#This Row],[Fecha]],FINANCIACION[PRESTAMO],FINANCIACION[[#This Row],[PRESTAMO]])</f>
        <v>-26253020</v>
      </c>
      <c r="G1102" s="91"/>
      <c r="H1102" s="11"/>
      <c r="I1102" s="7">
        <f>+IF(FINANCIACION[[#This Row],[$ CAPITAL]]&gt;0,FINANCIACION[[#This Row],[$ CAPITAL]])</f>
        <v>3765800</v>
      </c>
      <c r="J1102" s="49">
        <f>+IF(FINANCIACION[[#This Row],[$ CAPITAL]]&gt;=0,FINANCIACION[[#This Row],[$ CAPITAL]]+FINANCIACION[[#This Row],[$ INTERESES]],0)</f>
        <v>3765800</v>
      </c>
    </row>
    <row r="1103" spans="1:10" ht="24" hidden="1" customHeight="1" x14ac:dyDescent="0.25">
      <c r="A1103" s="10">
        <v>44483</v>
      </c>
      <c r="B1103" s="85" t="s">
        <v>462</v>
      </c>
      <c r="C1103" s="7">
        <f>1500*3738.48</f>
        <v>5607720</v>
      </c>
      <c r="D1103" s="7"/>
      <c r="E1103" s="7">
        <f>+IF(FINANCIACION[[#This Row],[$ CAPITAL]]&gt;=0,FINANCIACION[[#This Row],[$ CAPITAL]]+FINANCIACION[[#This Row],[$ INTERESES]],"")</f>
        <v>5607720</v>
      </c>
      <c r="F1103" s="7">
        <f>+SUMIFS(FINANCIACION[$ CAPITAL],FINANCIACION[Fecha],"&lt;="&amp;FINANCIACION[[#This Row],[Fecha]],FINANCIACION[PRESTAMO],FINANCIACION[[#This Row],[PRESTAMO]])</f>
        <v>-5691380</v>
      </c>
      <c r="G1103" s="91"/>
      <c r="H1103" s="11"/>
      <c r="I1103" s="7">
        <f>+IF(FINANCIACION[[#This Row],[$ CAPITAL]]&gt;0,FINANCIACION[[#This Row],[$ CAPITAL]])</f>
        <v>5607720</v>
      </c>
      <c r="J1103" s="49">
        <f>+IF(FINANCIACION[[#This Row],[$ CAPITAL]]&gt;=0,FINANCIACION[[#This Row],[$ CAPITAL]]+FINANCIACION[[#This Row],[$ INTERESES]],0)</f>
        <v>5607720</v>
      </c>
    </row>
    <row r="1104" spans="1:10" ht="24" hidden="1" customHeight="1" x14ac:dyDescent="0.25">
      <c r="A1104" s="10">
        <v>44483</v>
      </c>
      <c r="B1104" s="85" t="s">
        <v>462</v>
      </c>
      <c r="C1104" s="7">
        <f>4000*3738.48</f>
        <v>14953920</v>
      </c>
      <c r="D1104" s="7"/>
      <c r="E1104" s="7">
        <f>+IF(FINANCIACION[[#This Row],[$ CAPITAL]]&gt;=0,FINANCIACION[[#This Row],[$ CAPITAL]]+FINANCIACION[[#This Row],[$ INTERESES]],"")</f>
        <v>14953920</v>
      </c>
      <c r="F1104" s="7">
        <f>+SUMIFS(FINANCIACION[$ CAPITAL],FINANCIACION[Fecha],"&lt;="&amp;FINANCIACION[[#This Row],[Fecha]],FINANCIACION[PRESTAMO],FINANCIACION[[#This Row],[PRESTAMO]])</f>
        <v>-5691380</v>
      </c>
      <c r="G1104" s="91"/>
      <c r="H1104" s="11"/>
      <c r="I1104" s="7">
        <f>+IF(FINANCIACION[[#This Row],[$ CAPITAL]]&gt;0,FINANCIACION[[#This Row],[$ CAPITAL]])</f>
        <v>14953920</v>
      </c>
      <c r="J1104" s="49">
        <f>+IF(FINANCIACION[[#This Row],[$ CAPITAL]]&gt;=0,FINANCIACION[[#This Row],[$ CAPITAL]]+FINANCIACION[[#This Row],[$ INTERESES]],0)</f>
        <v>14953920</v>
      </c>
    </row>
    <row r="1105" spans="1:10" ht="24" hidden="1" customHeight="1" x14ac:dyDescent="0.25">
      <c r="A1105" s="10">
        <v>44491</v>
      </c>
      <c r="B1105" s="85" t="s">
        <v>462</v>
      </c>
      <c r="C1105" s="7">
        <v>3783300</v>
      </c>
      <c r="D1105" s="7"/>
      <c r="E1105" s="7">
        <f>+IF(FINANCIACION[[#This Row],[$ CAPITAL]]&gt;=0,FINANCIACION[[#This Row],[$ CAPITAL]]+FINANCIACION[[#This Row],[$ INTERESES]],"")</f>
        <v>3783300</v>
      </c>
      <c r="F1105" s="7">
        <f>+SUMIFS(FINANCIACION[$ CAPITAL],FINANCIACION[Fecha],"&lt;="&amp;FINANCIACION[[#This Row],[Fecha]],FINANCIACION[PRESTAMO],FINANCIACION[[#This Row],[PRESTAMO]])</f>
        <v>1875220</v>
      </c>
      <c r="G1105" s="91"/>
      <c r="H1105" s="11"/>
      <c r="I1105" s="7">
        <f>+IF(FINANCIACION[[#This Row],[$ CAPITAL]]&gt;0,FINANCIACION[[#This Row],[$ CAPITAL]])</f>
        <v>3783300</v>
      </c>
      <c r="J1105" s="49">
        <f>+IF(FINANCIACION[[#This Row],[$ CAPITAL]]&gt;=0,FINANCIACION[[#This Row],[$ CAPITAL]]+FINANCIACION[[#This Row],[$ INTERESES]],0)</f>
        <v>3783300</v>
      </c>
    </row>
    <row r="1106" spans="1:10" ht="24" hidden="1" customHeight="1" x14ac:dyDescent="0.25">
      <c r="A1106" s="10">
        <v>44491</v>
      </c>
      <c r="B1106" s="85" t="s">
        <v>462</v>
      </c>
      <c r="C1106" s="7">
        <v>3783300</v>
      </c>
      <c r="D1106" s="7"/>
      <c r="E1106" s="7">
        <f>+IF(FINANCIACION[[#This Row],[$ CAPITAL]]&gt;=0,FINANCIACION[[#This Row],[$ CAPITAL]]+FINANCIACION[[#This Row],[$ INTERESES]],"")</f>
        <v>3783300</v>
      </c>
      <c r="F1106" s="7">
        <f>+SUMIFS(FINANCIACION[$ CAPITAL],FINANCIACION[Fecha],"&lt;="&amp;FINANCIACION[[#This Row],[Fecha]],FINANCIACION[PRESTAMO],FINANCIACION[[#This Row],[PRESTAMO]])</f>
        <v>1875220</v>
      </c>
      <c r="G1106" s="91"/>
      <c r="H1106" s="11"/>
      <c r="I1106" s="7">
        <f>+IF(FINANCIACION[[#This Row],[$ CAPITAL]]&gt;0,FINANCIACION[[#This Row],[$ CAPITAL]])</f>
        <v>3783300</v>
      </c>
      <c r="J1106" s="49">
        <f>+IF(FINANCIACION[[#This Row],[$ CAPITAL]]&gt;=0,FINANCIACION[[#This Row],[$ CAPITAL]]+FINANCIACION[[#This Row],[$ INTERESES]],0)</f>
        <v>3783300</v>
      </c>
    </row>
    <row r="1107" spans="1:10" ht="24" hidden="1" customHeight="1" x14ac:dyDescent="0.25">
      <c r="A1107" s="10">
        <v>44500</v>
      </c>
      <c r="B1107" s="85" t="s">
        <v>462</v>
      </c>
      <c r="C1107" s="7">
        <v>-1876641</v>
      </c>
      <c r="D1107" s="7"/>
      <c r="E1107" s="7" t="str">
        <f>+IF(FINANCIACION[[#This Row],[$ CAPITAL]]&gt;=0,FINANCIACION[[#This Row],[$ CAPITAL]]+FINANCIACION[[#This Row],[$ INTERESES]],"")</f>
        <v/>
      </c>
      <c r="F1107" s="7">
        <f>+SUMIFS(FINANCIACION[$ CAPITAL],FINANCIACION[Fecha],"&lt;="&amp;FINANCIACION[[#This Row],[Fecha]],FINANCIACION[PRESTAMO],FINANCIACION[[#This Row],[PRESTAMO]])</f>
        <v>-1421</v>
      </c>
      <c r="G1107" s="91" t="s">
        <v>512</v>
      </c>
      <c r="H1107" s="11"/>
      <c r="I1107" s="7" t="b">
        <f>+IF(FINANCIACION[[#This Row],[$ CAPITAL]]&gt;0,FINANCIACION[[#This Row],[$ CAPITAL]])</f>
        <v>0</v>
      </c>
      <c r="J1107" s="49">
        <f>+IF(FINANCIACION[[#This Row],[$ CAPITAL]]&gt;=0,FINANCIACION[[#This Row],[$ CAPITAL]]+FINANCIACION[[#This Row],[$ INTERESES]],0)</f>
        <v>0</v>
      </c>
    </row>
    <row r="1108" spans="1:10" ht="24" hidden="1" customHeight="1" x14ac:dyDescent="0.25">
      <c r="A1108" s="10">
        <v>44502</v>
      </c>
      <c r="B1108" s="85" t="s">
        <v>462</v>
      </c>
      <c r="C1108" s="7">
        <f>500*3784.44</f>
        <v>1892220</v>
      </c>
      <c r="D1108" s="7"/>
      <c r="E1108" s="7">
        <f>+IF(FINANCIACION[[#This Row],[$ CAPITAL]]&gt;=0,FINANCIACION[[#This Row],[$ CAPITAL]]+FINANCIACION[[#This Row],[$ INTERESES]],"")</f>
        <v>1892220</v>
      </c>
      <c r="F1108" s="7">
        <f>+SUMIFS(FINANCIACION[$ CAPITAL],FINANCIACION[Fecha],"&lt;="&amp;FINANCIACION[[#This Row],[Fecha]],FINANCIACION[PRESTAMO],FINANCIACION[[#This Row],[PRESTAMO]])</f>
        <v>1890799</v>
      </c>
      <c r="G1108" s="91"/>
      <c r="H1108" s="11"/>
      <c r="I1108" s="7">
        <f>+IF(FINANCIACION[[#This Row],[$ CAPITAL]]&gt;0,FINANCIACION[[#This Row],[$ CAPITAL]])</f>
        <v>1892220</v>
      </c>
      <c r="J1108" s="49">
        <f>+IF(FINANCIACION[[#This Row],[$ CAPITAL]]&gt;=0,FINANCIACION[[#This Row],[$ CAPITAL]]+FINANCIACION[[#This Row],[$ INTERESES]],0)</f>
        <v>1892220</v>
      </c>
    </row>
    <row r="1109" spans="1:10" ht="24" hidden="1" customHeight="1" x14ac:dyDescent="0.25">
      <c r="A1109" s="10">
        <v>44510</v>
      </c>
      <c r="B1109" s="85" t="s">
        <v>462</v>
      </c>
      <c r="C1109" s="7">
        <f>700*3876.86</f>
        <v>2713802</v>
      </c>
      <c r="D1109" s="7"/>
      <c r="E1109" s="7">
        <f>+IF(FINANCIACION[[#This Row],[$ CAPITAL]]&gt;=0,FINANCIACION[[#This Row],[$ CAPITAL]]+FINANCIACION[[#This Row],[$ INTERESES]],"")</f>
        <v>2713802</v>
      </c>
      <c r="F1109" s="7">
        <f>+SUMIFS(FINANCIACION[$ CAPITAL],FINANCIACION[Fecha],"&lt;="&amp;FINANCIACION[[#This Row],[Fecha]],FINANCIACION[PRESTAMO],FINANCIACION[[#This Row],[PRESTAMO]])</f>
        <v>4604601</v>
      </c>
      <c r="G1109" s="91"/>
      <c r="H1109" s="11"/>
      <c r="I1109" s="7">
        <f>+IF(FINANCIACION[[#This Row],[$ CAPITAL]]&gt;0,FINANCIACION[[#This Row],[$ CAPITAL]])</f>
        <v>2713802</v>
      </c>
      <c r="J1109" s="49">
        <f>+IF(FINANCIACION[[#This Row],[$ CAPITAL]]&gt;=0,FINANCIACION[[#This Row],[$ CAPITAL]]+FINANCIACION[[#This Row],[$ INTERESES]],0)</f>
        <v>2713802</v>
      </c>
    </row>
    <row r="1110" spans="1:10" ht="24" hidden="1" customHeight="1" x14ac:dyDescent="0.25">
      <c r="A1110" s="10">
        <v>44525</v>
      </c>
      <c r="B1110" s="85" t="s">
        <v>462</v>
      </c>
      <c r="C1110" s="7">
        <f>2420*3820</f>
        <v>9244400</v>
      </c>
      <c r="D1110" s="7"/>
      <c r="E1110" s="7">
        <f>+IF(FINANCIACION[[#This Row],[$ CAPITAL]]&gt;=0,FINANCIACION[[#This Row],[$ CAPITAL]]+FINANCIACION[[#This Row],[$ INTERESES]],"")</f>
        <v>9244400</v>
      </c>
      <c r="F1110" s="7">
        <f>+SUMIFS(FINANCIACION[$ CAPITAL],FINANCIACION[Fecha],"&lt;="&amp;FINANCIACION[[#This Row],[Fecha]],FINANCIACION[PRESTAMO],FINANCIACION[[#This Row],[PRESTAMO]])</f>
        <v>13849001</v>
      </c>
      <c r="G1110" s="91"/>
      <c r="H1110" s="11"/>
      <c r="I1110" s="7">
        <f>+IF(FINANCIACION[[#This Row],[$ CAPITAL]]&gt;0,FINANCIACION[[#This Row],[$ CAPITAL]])</f>
        <v>9244400</v>
      </c>
      <c r="J1110" s="49">
        <f>+IF(FINANCIACION[[#This Row],[$ CAPITAL]]&gt;=0,FINANCIACION[[#This Row],[$ CAPITAL]]+FINANCIACION[[#This Row],[$ INTERESES]],0)</f>
        <v>9244400</v>
      </c>
    </row>
    <row r="1111" spans="1:10" ht="24" hidden="1" customHeight="1" x14ac:dyDescent="0.25">
      <c r="A1111" s="10">
        <v>44530</v>
      </c>
      <c r="B1111" s="85" t="s">
        <v>462</v>
      </c>
      <c r="C1111" s="7">
        <v>-42540986</v>
      </c>
      <c r="D1111" s="7"/>
      <c r="E1111" s="7"/>
      <c r="F1111" s="7"/>
      <c r="G1111" s="91" t="s">
        <v>512</v>
      </c>
      <c r="H1111" s="11"/>
      <c r="I1111" s="7" t="b">
        <f>+IF(FINANCIACION[[#This Row],[$ CAPITAL]]&gt;0,FINANCIACION[[#This Row],[$ CAPITAL]])</f>
        <v>0</v>
      </c>
      <c r="J1111" s="49">
        <f>+IF(FINANCIACION[[#This Row],[$ CAPITAL]]&gt;=0,FINANCIACION[[#This Row],[$ CAPITAL]]+FINANCIACION[[#This Row],[$ INTERESES]],0)</f>
        <v>0</v>
      </c>
    </row>
    <row r="1112" spans="1:10" ht="24" hidden="1" customHeight="1" x14ac:dyDescent="0.25">
      <c r="A1112" s="10">
        <v>44536</v>
      </c>
      <c r="B1112" s="85" t="s">
        <v>462</v>
      </c>
      <c r="C1112" s="7">
        <f>3000*3948.33</f>
        <v>11844990</v>
      </c>
      <c r="D1112" s="7"/>
      <c r="E1112" s="7">
        <f>+IF(FINANCIACION[[#This Row],[$ CAPITAL]]&gt;=0,FINANCIACION[[#This Row],[$ CAPITAL]]+FINANCIACION[[#This Row],[$ INTERESES]],"")</f>
        <v>11844990</v>
      </c>
      <c r="F1112" s="7">
        <f>+SUMIFS(FINANCIACION[$ CAPITAL],FINANCIACION[Fecha],"&lt;="&amp;FINANCIACION[[#This Row],[Fecha]],FINANCIACION[PRESTAMO],FINANCIACION[[#This Row],[PRESTAMO]])</f>
        <v>-16846995</v>
      </c>
      <c r="G1112" s="91"/>
      <c r="H1112" s="11"/>
      <c r="I1112" s="7">
        <f>+IF(FINANCIACION[[#This Row],[$ CAPITAL]]&gt;0,FINANCIACION[[#This Row],[$ CAPITAL]])</f>
        <v>11844990</v>
      </c>
      <c r="J1112" s="49">
        <f>+IF(FINANCIACION[[#This Row],[$ CAPITAL]]&gt;=0,FINANCIACION[[#This Row],[$ CAPITAL]]+FINANCIACION[[#This Row],[$ INTERESES]],0)</f>
        <v>11844990</v>
      </c>
    </row>
    <row r="1113" spans="1:10" ht="24" hidden="1" customHeight="1" x14ac:dyDescent="0.25">
      <c r="A1113" s="10">
        <v>44554</v>
      </c>
      <c r="B1113" s="85" t="s">
        <v>462</v>
      </c>
      <c r="C1113" s="7">
        <f>1000*3997.09</f>
        <v>3997090</v>
      </c>
      <c r="D1113" s="7"/>
      <c r="E1113" s="7">
        <f>+IF(FINANCIACION[[#This Row],[$ CAPITAL]]&gt;=0,FINANCIACION[[#This Row],[$ CAPITAL]]+FINANCIACION[[#This Row],[$ INTERESES]],"")</f>
        <v>3997090</v>
      </c>
      <c r="F1113" s="7">
        <f>+SUMIFS(FINANCIACION[$ CAPITAL],FINANCIACION[Fecha],"&lt;="&amp;FINANCIACION[[#This Row],[Fecha]],FINANCIACION[PRESTAMO],FINANCIACION[[#This Row],[PRESTAMO]])</f>
        <v>-12849905</v>
      </c>
      <c r="G1113" s="91"/>
      <c r="H1113" s="11"/>
      <c r="I1113" s="7">
        <f>+IF(FINANCIACION[[#This Row],[$ CAPITAL]]&gt;0,FINANCIACION[[#This Row],[$ CAPITAL]])</f>
        <v>3997090</v>
      </c>
      <c r="J1113" s="49">
        <f>+IF(FINANCIACION[[#This Row],[$ CAPITAL]]&gt;=0,FINANCIACION[[#This Row],[$ CAPITAL]]+FINANCIACION[[#This Row],[$ INTERESES]],0)</f>
        <v>3997090</v>
      </c>
    </row>
    <row r="1114" spans="1:10" ht="24" hidden="1" customHeight="1" x14ac:dyDescent="0.25">
      <c r="A1114" s="10">
        <v>44557</v>
      </c>
      <c r="B1114" s="85" t="s">
        <v>462</v>
      </c>
      <c r="C1114" s="7">
        <v>3994150</v>
      </c>
      <c r="D1114" s="7"/>
      <c r="E1114" s="7">
        <f>+IF(FINANCIACION[[#This Row],[$ CAPITAL]]&gt;=0,FINANCIACION[[#This Row],[$ CAPITAL]]+FINANCIACION[[#This Row],[$ INTERESES]],"")</f>
        <v>3994150</v>
      </c>
      <c r="F1114" s="7">
        <f>+SUMIFS(FINANCIACION[$ CAPITAL],FINANCIACION[Fecha],"&lt;="&amp;FINANCIACION[[#This Row],[Fecha]],FINANCIACION[PRESTAMO],FINANCIACION[[#This Row],[PRESTAMO]])</f>
        <v>-8855755</v>
      </c>
      <c r="G1114" s="91"/>
      <c r="H1114" s="11"/>
      <c r="I1114" s="7">
        <f>+IF(FINANCIACION[[#This Row],[$ CAPITAL]]&gt;0,FINANCIACION[[#This Row],[$ CAPITAL]])</f>
        <v>3994150</v>
      </c>
      <c r="J1114" s="49">
        <f>+IF(FINANCIACION[[#This Row],[$ CAPITAL]]&gt;=0,FINANCIACION[[#This Row],[$ CAPITAL]]+FINANCIACION[[#This Row],[$ INTERESES]],0)</f>
        <v>3994150</v>
      </c>
    </row>
    <row r="1115" spans="1:10" ht="24" hidden="1" customHeight="1" x14ac:dyDescent="0.25">
      <c r="A1115" s="10">
        <v>44560</v>
      </c>
      <c r="B1115" s="85" t="s">
        <v>462</v>
      </c>
      <c r="C1115" s="7">
        <f>4023.68*1000</f>
        <v>4023680</v>
      </c>
      <c r="D1115" s="7"/>
      <c r="E1115" s="7">
        <f>+IF(FINANCIACION[[#This Row],[$ CAPITAL]]&gt;=0,FINANCIACION[[#This Row],[$ CAPITAL]]+FINANCIACION[[#This Row],[$ INTERESES]],"")</f>
        <v>4023680</v>
      </c>
      <c r="F1115" s="7">
        <f>+SUMIFS(FINANCIACION[$ CAPITAL],FINANCIACION[Fecha],"&lt;="&amp;FINANCIACION[[#This Row],[Fecha]],FINANCIACION[PRESTAMO],FINANCIACION[[#This Row],[PRESTAMO]])</f>
        <v>-4832075</v>
      </c>
      <c r="G1115" s="91"/>
      <c r="H1115" s="11"/>
      <c r="I1115" s="7">
        <f>+IF(FINANCIACION[[#This Row],[$ CAPITAL]]&gt;0,FINANCIACION[[#This Row],[$ CAPITAL]])</f>
        <v>4023680</v>
      </c>
      <c r="J1115" s="49">
        <f>+IF(FINANCIACION[[#This Row],[$ CAPITAL]]&gt;=0,FINANCIACION[[#This Row],[$ CAPITAL]]+FINANCIACION[[#This Row],[$ INTERESES]],0)</f>
        <v>4023680</v>
      </c>
    </row>
    <row r="1116" spans="1:10" ht="24" hidden="1" customHeight="1" x14ac:dyDescent="0.25">
      <c r="A1116" s="10">
        <v>44561</v>
      </c>
      <c r="B1116" s="85" t="s">
        <v>462</v>
      </c>
      <c r="C1116" s="7">
        <v>-15729425</v>
      </c>
      <c r="D1116" s="7"/>
      <c r="E1116" s="7" t="str">
        <f>+IF(FINANCIACION[[#This Row],[$ CAPITAL]]&gt;=0,FINANCIACION[[#This Row],[$ CAPITAL]]+FINANCIACION[[#This Row],[$ INTERESES]],"")</f>
        <v/>
      </c>
      <c r="F1116" s="7">
        <f>+SUMIFS(FINANCIACION[$ CAPITAL],FINANCIACION[Fecha],"&lt;="&amp;FINANCIACION[[#This Row],[Fecha]],FINANCIACION[PRESTAMO],FINANCIACION[[#This Row],[PRESTAMO]])</f>
        <v>-20561500</v>
      </c>
      <c r="G1116" s="91"/>
      <c r="H1116" s="11"/>
      <c r="I1116" s="7" t="b">
        <f>+IF(FINANCIACION[[#This Row],[$ CAPITAL]]&gt;0,FINANCIACION[[#This Row],[$ CAPITAL]])</f>
        <v>0</v>
      </c>
      <c r="J1116" s="49">
        <f>+IF(FINANCIACION[[#This Row],[$ CAPITAL]]&gt;=0,FINANCIACION[[#This Row],[$ CAPITAL]]+FINANCIACION[[#This Row],[$ INTERESES]],0)</f>
        <v>0</v>
      </c>
    </row>
    <row r="1117" spans="1:10" ht="24" hidden="1" customHeight="1" x14ac:dyDescent="0.25">
      <c r="A1117" s="10">
        <v>44363</v>
      </c>
      <c r="B1117" s="85" t="s">
        <v>463</v>
      </c>
      <c r="C1117" s="7">
        <v>2000000</v>
      </c>
      <c r="D1117" s="7"/>
      <c r="E1117" s="7">
        <f>+IF(FINANCIACION[[#This Row],[$ CAPITAL]]&gt;=0,FINANCIACION[[#This Row],[$ CAPITAL]]+FINANCIACION[[#This Row],[$ INTERESES]],"")</f>
        <v>2000000</v>
      </c>
      <c r="F1117" s="7">
        <f>+SUMIFS(FINANCIACION[$ CAPITAL],FINANCIACION[Fecha],"&lt;="&amp;FINANCIACION[[#This Row],[Fecha]],FINANCIACION[PRESTAMO],FINANCIACION[[#This Row],[PRESTAMO]])</f>
        <v>-3450061</v>
      </c>
      <c r="G1117" s="91"/>
      <c r="H1117" s="11"/>
      <c r="I1117" s="7">
        <f>+IF(FINANCIACION[[#This Row],[$ CAPITAL]]&gt;0,FINANCIACION[[#This Row],[$ CAPITAL]])</f>
        <v>2000000</v>
      </c>
      <c r="J1117" s="49">
        <f>+IF(FINANCIACION[[#This Row],[$ CAPITAL]]&gt;=0,FINANCIACION[[#This Row],[$ CAPITAL]]+FINANCIACION[[#This Row],[$ INTERESES]],0)</f>
        <v>2000000</v>
      </c>
    </row>
    <row r="1118" spans="1:10" ht="24" hidden="1" customHeight="1" x14ac:dyDescent="0.25">
      <c r="A1118" s="10">
        <v>44363</v>
      </c>
      <c r="B1118" s="85" t="s">
        <v>463</v>
      </c>
      <c r="C1118" s="7">
        <v>-5450061</v>
      </c>
      <c r="D1118" s="7"/>
      <c r="E1118" s="7" t="str">
        <f>+IF(FINANCIACION[[#This Row],[$ CAPITAL]]&gt;=0,FINANCIACION[[#This Row],[$ CAPITAL]]+FINANCIACION[[#This Row],[$ INTERESES]],"")</f>
        <v/>
      </c>
      <c r="F1118" s="7">
        <f>+SUMIFS(FINANCIACION[$ CAPITAL],FINANCIACION[Fecha],"&lt;="&amp;FINANCIACION[[#This Row],[Fecha]],FINANCIACION[PRESTAMO],FINANCIACION[[#This Row],[PRESTAMO]])</f>
        <v>-3450061</v>
      </c>
      <c r="G1118" s="91"/>
      <c r="H1118" s="11"/>
      <c r="I1118" s="7" t="b">
        <f>+IF(FINANCIACION[[#This Row],[$ CAPITAL]]&gt;0,FINANCIACION[[#This Row],[$ CAPITAL]])</f>
        <v>0</v>
      </c>
      <c r="J1118" s="49">
        <f>+IF(FINANCIACION[[#This Row],[$ CAPITAL]]&gt;=0,FINANCIACION[[#This Row],[$ CAPITAL]]+FINANCIACION[[#This Row],[$ INTERESES]],0)</f>
        <v>0</v>
      </c>
    </row>
    <row r="1119" spans="1:10" ht="24" hidden="1" customHeight="1" x14ac:dyDescent="0.25">
      <c r="A1119" s="10">
        <v>44377</v>
      </c>
      <c r="B1119" s="85" t="s">
        <v>463</v>
      </c>
      <c r="C1119" s="7">
        <v>-2469502</v>
      </c>
      <c r="D1119" s="7"/>
      <c r="E1119" s="7" t="str">
        <f>+IF(FINANCIACION[[#This Row],[$ CAPITAL]]&gt;=0,FINANCIACION[[#This Row],[$ CAPITAL]]+FINANCIACION[[#This Row],[$ INTERESES]],"")</f>
        <v/>
      </c>
      <c r="F1119" s="7">
        <f>+SUMIFS(FINANCIACION[$ CAPITAL],FINANCIACION[Fecha],"&lt;="&amp;FINANCIACION[[#This Row],[Fecha]],FINANCIACION[PRESTAMO],FINANCIACION[[#This Row],[PRESTAMO]])</f>
        <v>-5919563</v>
      </c>
      <c r="G1119" s="91" t="s">
        <v>512</v>
      </c>
      <c r="H1119" s="11"/>
      <c r="I1119" s="7" t="b">
        <f>+IF(FINANCIACION[[#This Row],[$ CAPITAL]]&gt;0,FINANCIACION[[#This Row],[$ CAPITAL]])</f>
        <v>0</v>
      </c>
      <c r="J1119" s="49">
        <f>+IF(FINANCIACION[[#This Row],[$ CAPITAL]]&gt;=0,FINANCIACION[[#This Row],[$ CAPITAL]]+FINANCIACION[[#This Row],[$ INTERESES]],0)</f>
        <v>0</v>
      </c>
    </row>
    <row r="1120" spans="1:10" ht="24" hidden="1" customHeight="1" x14ac:dyDescent="0.25">
      <c r="A1120" s="10">
        <v>44389</v>
      </c>
      <c r="B1120" s="85" t="s">
        <v>463</v>
      </c>
      <c r="C1120" s="7">
        <v>1000000</v>
      </c>
      <c r="D1120" s="7"/>
      <c r="E1120" s="7">
        <f>+IF(FINANCIACION[[#This Row],[$ CAPITAL]]&gt;=0,FINANCIACION[[#This Row],[$ CAPITAL]]+FINANCIACION[[#This Row],[$ INTERESES]],"")</f>
        <v>1000000</v>
      </c>
      <c r="F1120" s="7">
        <f>+SUMIFS(FINANCIACION[$ CAPITAL],FINANCIACION[Fecha],"&lt;="&amp;FINANCIACION[[#This Row],[Fecha]],FINANCIACION[PRESTAMO],FINANCIACION[[#This Row],[PRESTAMO]])</f>
        <v>-4919563</v>
      </c>
      <c r="G1120" s="91"/>
      <c r="H1120" s="11"/>
      <c r="I1120" s="7">
        <f>+IF(FINANCIACION[[#This Row],[$ CAPITAL]]&gt;0,FINANCIACION[[#This Row],[$ CAPITAL]])</f>
        <v>1000000</v>
      </c>
      <c r="J1120" s="49">
        <f>+IF(FINANCIACION[[#This Row],[$ CAPITAL]]&gt;=0,FINANCIACION[[#This Row],[$ CAPITAL]]+FINANCIACION[[#This Row],[$ INTERESES]],0)</f>
        <v>1000000</v>
      </c>
    </row>
    <row r="1121" spans="1:10" ht="24" hidden="1" customHeight="1" x14ac:dyDescent="0.25">
      <c r="A1121" s="10">
        <v>44396</v>
      </c>
      <c r="B1121" s="85" t="s">
        <v>463</v>
      </c>
      <c r="C1121" s="7">
        <v>1000000</v>
      </c>
      <c r="D1121" s="7"/>
      <c r="E1121" s="7">
        <f>+IF(FINANCIACION[[#This Row],[$ CAPITAL]]&gt;=0,FINANCIACION[[#This Row],[$ CAPITAL]]+FINANCIACION[[#This Row],[$ INTERESES]],"")</f>
        <v>1000000</v>
      </c>
      <c r="F1121" s="7">
        <f>+SUMIFS(FINANCIACION[$ CAPITAL],FINANCIACION[Fecha],"&lt;="&amp;FINANCIACION[[#This Row],[Fecha]],FINANCIACION[PRESTAMO],FINANCIACION[[#This Row],[PRESTAMO]])</f>
        <v>-3919563</v>
      </c>
      <c r="G1121" s="91"/>
      <c r="H1121" s="11"/>
      <c r="I1121" s="7">
        <f>+IF(FINANCIACION[[#This Row],[$ CAPITAL]]&gt;0,FINANCIACION[[#This Row],[$ CAPITAL]])</f>
        <v>1000000</v>
      </c>
      <c r="J1121" s="49">
        <f>+IF(FINANCIACION[[#This Row],[$ CAPITAL]]&gt;=0,FINANCIACION[[#This Row],[$ CAPITAL]]+FINANCIACION[[#This Row],[$ INTERESES]],0)</f>
        <v>1000000</v>
      </c>
    </row>
    <row r="1122" spans="1:10" ht="24" hidden="1" customHeight="1" x14ac:dyDescent="0.25">
      <c r="A1122" s="10">
        <v>44407</v>
      </c>
      <c r="B1122" s="85" t="s">
        <v>463</v>
      </c>
      <c r="C1122" s="7">
        <v>1000000</v>
      </c>
      <c r="D1122" s="7"/>
      <c r="E1122" s="7">
        <f>+IF(FINANCIACION[[#This Row],[$ CAPITAL]]&gt;=0,FINANCIACION[[#This Row],[$ CAPITAL]]+FINANCIACION[[#This Row],[$ INTERESES]],"")</f>
        <v>1000000</v>
      </c>
      <c r="F1122" s="7">
        <f>+SUMIFS(FINANCIACION[$ CAPITAL],FINANCIACION[Fecha],"&lt;="&amp;FINANCIACION[[#This Row],[Fecha]],FINANCIACION[PRESTAMO],FINANCIACION[[#This Row],[PRESTAMO]])</f>
        <v>-2919563</v>
      </c>
      <c r="G1122" s="91"/>
      <c r="H1122" s="11"/>
      <c r="I1122" s="7">
        <f>+IF(FINANCIACION[[#This Row],[$ CAPITAL]]&gt;0,FINANCIACION[[#This Row],[$ CAPITAL]])</f>
        <v>1000000</v>
      </c>
      <c r="J1122" s="49">
        <f>+IF(FINANCIACION[[#This Row],[$ CAPITAL]]&gt;=0,FINANCIACION[[#This Row],[$ CAPITAL]]+FINANCIACION[[#This Row],[$ INTERESES]],0)</f>
        <v>1000000</v>
      </c>
    </row>
    <row r="1123" spans="1:10" ht="24" hidden="1" customHeight="1" x14ac:dyDescent="0.25">
      <c r="A1123" s="10">
        <v>44408</v>
      </c>
      <c r="B1123" s="85" t="s">
        <v>463</v>
      </c>
      <c r="C1123" s="7">
        <v>-992237</v>
      </c>
      <c r="D1123" s="7"/>
      <c r="E1123" s="7" t="str">
        <f>+IF(FINANCIACION[[#This Row],[$ CAPITAL]]&gt;=0,FINANCIACION[[#This Row],[$ CAPITAL]]+FINANCIACION[[#This Row],[$ INTERESES]],"")</f>
        <v/>
      </c>
      <c r="F1123" s="7">
        <f>+SUMIFS(FINANCIACION[$ CAPITAL],FINANCIACION[Fecha],"&lt;="&amp;FINANCIACION[[#This Row],[Fecha]],FINANCIACION[PRESTAMO],FINANCIACION[[#This Row],[PRESTAMO]])</f>
        <v>-3911800</v>
      </c>
      <c r="G1123" s="11" t="s">
        <v>512</v>
      </c>
      <c r="H1123" s="11"/>
      <c r="I1123" s="7" t="b">
        <f>+IF(FINANCIACION[[#This Row],[$ CAPITAL]]&gt;0,FINANCIACION[[#This Row],[$ CAPITAL]])</f>
        <v>0</v>
      </c>
      <c r="J1123" s="49">
        <f>+IF(FINANCIACION[[#This Row],[$ CAPITAL]]&gt;=0,FINANCIACION[[#This Row],[$ CAPITAL]]+FINANCIACION[[#This Row],[$ INTERESES]],0)</f>
        <v>0</v>
      </c>
    </row>
    <row r="1124" spans="1:10" ht="24" hidden="1" customHeight="1" x14ac:dyDescent="0.25">
      <c r="A1124" s="10">
        <v>44414</v>
      </c>
      <c r="B1124" s="85" t="s">
        <v>463</v>
      </c>
      <c r="C1124" s="7">
        <v>2500000</v>
      </c>
      <c r="D1124" s="7"/>
      <c r="E1124" s="7">
        <f>+IF(FINANCIACION[[#This Row],[$ CAPITAL]]&gt;=0,FINANCIACION[[#This Row],[$ CAPITAL]]+FINANCIACION[[#This Row],[$ INTERESES]],"")</f>
        <v>2500000</v>
      </c>
      <c r="F1124" s="7">
        <f>+SUMIFS(FINANCIACION[$ CAPITAL],FINANCIACION[Fecha],"&lt;="&amp;FINANCIACION[[#This Row],[Fecha]],FINANCIACION[PRESTAMO],FINANCIACION[[#This Row],[PRESTAMO]])</f>
        <v>-1411800</v>
      </c>
      <c r="G1124" s="91"/>
      <c r="H1124" s="11"/>
      <c r="I1124" s="7">
        <f>+IF(FINANCIACION[[#This Row],[$ CAPITAL]]&gt;0,FINANCIACION[[#This Row],[$ CAPITAL]])</f>
        <v>2500000</v>
      </c>
      <c r="J1124" s="49">
        <f>+IF(FINANCIACION[[#This Row],[$ CAPITAL]]&gt;=0,FINANCIACION[[#This Row],[$ CAPITAL]]+FINANCIACION[[#This Row],[$ INTERESES]],0)</f>
        <v>2500000</v>
      </c>
    </row>
    <row r="1125" spans="1:10" ht="24" hidden="1" customHeight="1" x14ac:dyDescent="0.25">
      <c r="A1125" s="10">
        <v>44426</v>
      </c>
      <c r="B1125" s="85" t="s">
        <v>463</v>
      </c>
      <c r="C1125" s="7">
        <v>1000000</v>
      </c>
      <c r="D1125" s="7"/>
      <c r="E1125" s="7">
        <f>+IF(FINANCIACION[[#This Row],[$ CAPITAL]]&gt;=0,FINANCIACION[[#This Row],[$ CAPITAL]]+FINANCIACION[[#This Row],[$ INTERESES]],"")</f>
        <v>1000000</v>
      </c>
      <c r="F1125" s="7">
        <f>+SUMIFS(FINANCIACION[$ CAPITAL],FINANCIACION[Fecha],"&lt;="&amp;FINANCIACION[[#This Row],[Fecha]],FINANCIACION[PRESTAMO],FINANCIACION[[#This Row],[PRESTAMO]])</f>
        <v>-411800</v>
      </c>
      <c r="G1125" s="91"/>
      <c r="H1125" s="11"/>
      <c r="I1125" s="7">
        <f>+IF(FINANCIACION[[#This Row],[$ CAPITAL]]&gt;0,FINANCIACION[[#This Row],[$ CAPITAL]])</f>
        <v>1000000</v>
      </c>
      <c r="J1125" s="49">
        <f>+IF(FINANCIACION[[#This Row],[$ CAPITAL]]&gt;=0,FINANCIACION[[#This Row],[$ CAPITAL]]+FINANCIACION[[#This Row],[$ INTERESES]],0)</f>
        <v>1000000</v>
      </c>
    </row>
    <row r="1126" spans="1:10" ht="24" hidden="1" customHeight="1" x14ac:dyDescent="0.25">
      <c r="A1126" s="10">
        <v>44439</v>
      </c>
      <c r="B1126" s="85" t="s">
        <v>463</v>
      </c>
      <c r="C1126" s="7">
        <v>-5634</v>
      </c>
      <c r="D1126" s="7"/>
      <c r="E1126" s="7" t="str">
        <f>+IF(FINANCIACION[[#This Row],[$ CAPITAL]]&gt;=0,FINANCIACION[[#This Row],[$ CAPITAL]]+FINANCIACION[[#This Row],[$ INTERESES]],"")</f>
        <v/>
      </c>
      <c r="F1126" s="7">
        <f>+SUMIFS(FINANCIACION[$ CAPITAL],FINANCIACION[Fecha],"&lt;="&amp;FINANCIACION[[#This Row],[Fecha]],FINANCIACION[PRESTAMO],FINANCIACION[[#This Row],[PRESTAMO]])</f>
        <v>-417434</v>
      </c>
      <c r="G1126" s="91" t="s">
        <v>512</v>
      </c>
      <c r="H1126" s="11"/>
      <c r="I1126" s="7" t="b">
        <f>+IF(FINANCIACION[[#This Row],[$ CAPITAL]]&gt;0,FINANCIACION[[#This Row],[$ CAPITAL]])</f>
        <v>0</v>
      </c>
      <c r="J1126" s="49">
        <f>+IF(FINANCIACION[[#This Row],[$ CAPITAL]]&gt;=0,FINANCIACION[[#This Row],[$ CAPITAL]]+FINANCIACION[[#This Row],[$ INTERESES]],0)</f>
        <v>0</v>
      </c>
    </row>
    <row r="1127" spans="1:10" ht="24" hidden="1" customHeight="1" x14ac:dyDescent="0.25">
      <c r="A1127" s="10">
        <v>44440</v>
      </c>
      <c r="B1127" s="85" t="s">
        <v>463</v>
      </c>
      <c r="C1127" s="7">
        <v>417434</v>
      </c>
      <c r="D1127" s="7"/>
      <c r="E1127" s="7">
        <f>+IF(FINANCIACION[[#This Row],[$ CAPITAL]]&gt;=0,FINANCIACION[[#This Row],[$ CAPITAL]]+FINANCIACION[[#This Row],[$ INTERESES]],"")</f>
        <v>417434</v>
      </c>
      <c r="F1127" s="7">
        <f>+SUMIFS(FINANCIACION[$ CAPITAL],FINANCIACION[Fecha],"&lt;="&amp;FINANCIACION[[#This Row],[Fecha]],FINANCIACION[PRESTAMO],FINANCIACION[[#This Row],[PRESTAMO]])</f>
        <v>0</v>
      </c>
      <c r="G1127" s="91"/>
      <c r="H1127" s="11"/>
      <c r="I1127" s="7">
        <f>+IF(FINANCIACION[[#This Row],[$ CAPITAL]]&gt;0,FINANCIACION[[#This Row],[$ CAPITAL]])</f>
        <v>417434</v>
      </c>
      <c r="J1127" s="49">
        <f>+IF(FINANCIACION[[#This Row],[$ CAPITAL]]&gt;=0,FINANCIACION[[#This Row],[$ CAPITAL]]+FINANCIACION[[#This Row],[$ INTERESES]],0)</f>
        <v>417434</v>
      </c>
    </row>
    <row r="1128" spans="1:10" ht="24" hidden="1" customHeight="1" x14ac:dyDescent="0.25">
      <c r="A1128" s="10">
        <v>44469</v>
      </c>
      <c r="B1128" s="85" t="s">
        <v>463</v>
      </c>
      <c r="C1128" s="87">
        <v>-4108939</v>
      </c>
      <c r="D1128" s="7"/>
      <c r="E1128" s="7" t="str">
        <f>+IF(FINANCIACION[[#This Row],[$ CAPITAL]]&gt;=0,FINANCIACION[[#This Row],[$ CAPITAL]]+FINANCIACION[[#This Row],[$ INTERESES]],"")</f>
        <v/>
      </c>
      <c r="F1128" s="7">
        <f>+SUMIFS(FINANCIACION[$ CAPITAL],FINANCIACION[Fecha],"&lt;="&amp;FINANCIACION[[#This Row],[Fecha]],FINANCIACION[PRESTAMO],FINANCIACION[[#This Row],[PRESTAMO]])</f>
        <v>-4108939</v>
      </c>
      <c r="G1128" s="91" t="s">
        <v>512</v>
      </c>
      <c r="H1128" s="11"/>
      <c r="I1128" s="7" t="b">
        <f>+IF(FINANCIACION[[#This Row],[$ CAPITAL]]&gt;0,FINANCIACION[[#This Row],[$ CAPITAL]])</f>
        <v>0</v>
      </c>
      <c r="J1128" s="49">
        <f>+IF(FINANCIACION[[#This Row],[$ CAPITAL]]&gt;=0,FINANCIACION[[#This Row],[$ CAPITAL]]+FINANCIACION[[#This Row],[$ INTERESES]],0)</f>
        <v>0</v>
      </c>
    </row>
    <row r="1129" spans="1:10" ht="24" hidden="1" customHeight="1" x14ac:dyDescent="0.25">
      <c r="A1129" s="10">
        <v>44476</v>
      </c>
      <c r="B1129" s="85" t="s">
        <v>463</v>
      </c>
      <c r="C1129" s="7">
        <v>1000000</v>
      </c>
      <c r="D1129" s="7"/>
      <c r="E1129" s="7">
        <f>+IF(FINANCIACION[[#This Row],[$ CAPITAL]]&gt;=0,FINANCIACION[[#This Row],[$ CAPITAL]]+FINANCIACION[[#This Row],[$ INTERESES]],"")</f>
        <v>1000000</v>
      </c>
      <c r="F1129" s="7">
        <f>+SUMIFS(FINANCIACION[$ CAPITAL],FINANCIACION[Fecha],"&lt;="&amp;FINANCIACION[[#This Row],[Fecha]],FINANCIACION[PRESTAMO],FINANCIACION[[#This Row],[PRESTAMO]])</f>
        <v>-3108939</v>
      </c>
      <c r="G1129" s="91"/>
      <c r="H1129" s="11"/>
      <c r="I1129" s="7">
        <f>+IF(FINANCIACION[[#This Row],[$ CAPITAL]]&gt;0,FINANCIACION[[#This Row],[$ CAPITAL]])</f>
        <v>1000000</v>
      </c>
      <c r="J1129" s="49">
        <f>+IF(FINANCIACION[[#This Row],[$ CAPITAL]]&gt;=0,FINANCIACION[[#This Row],[$ CAPITAL]]+FINANCIACION[[#This Row],[$ INTERESES]],0)</f>
        <v>1000000</v>
      </c>
    </row>
    <row r="1130" spans="1:10" ht="24" hidden="1" customHeight="1" x14ac:dyDescent="0.25">
      <c r="A1130" s="10">
        <v>44483</v>
      </c>
      <c r="B1130" s="85" t="s">
        <v>463</v>
      </c>
      <c r="C1130" s="7">
        <v>1000000</v>
      </c>
      <c r="D1130" s="7"/>
      <c r="E1130" s="7">
        <f>+IF(FINANCIACION[[#This Row],[$ CAPITAL]]&gt;=0,FINANCIACION[[#This Row],[$ CAPITAL]]+FINANCIACION[[#This Row],[$ INTERESES]],"")</f>
        <v>1000000</v>
      </c>
      <c r="F1130" s="7">
        <f>+SUMIFS(FINANCIACION[$ CAPITAL],FINANCIACION[Fecha],"&lt;="&amp;FINANCIACION[[#This Row],[Fecha]],FINANCIACION[PRESTAMO],FINANCIACION[[#This Row],[PRESTAMO]])</f>
        <v>-2108939</v>
      </c>
      <c r="G1130" s="91"/>
      <c r="H1130" s="11"/>
      <c r="I1130" s="7">
        <f>+IF(FINANCIACION[[#This Row],[$ CAPITAL]]&gt;0,FINANCIACION[[#This Row],[$ CAPITAL]])</f>
        <v>1000000</v>
      </c>
      <c r="J1130" s="49">
        <f>+IF(FINANCIACION[[#This Row],[$ CAPITAL]]&gt;=0,FINANCIACION[[#This Row],[$ CAPITAL]]+FINANCIACION[[#This Row],[$ INTERESES]],0)</f>
        <v>1000000</v>
      </c>
    </row>
    <row r="1131" spans="1:10" ht="24" hidden="1" customHeight="1" x14ac:dyDescent="0.25">
      <c r="A1131" s="10">
        <v>44491</v>
      </c>
      <c r="B1131" s="85" t="s">
        <v>463</v>
      </c>
      <c r="C1131" s="7">
        <v>1000000</v>
      </c>
      <c r="D1131" s="7"/>
      <c r="E1131" s="7">
        <f>+IF(FINANCIACION[[#This Row],[$ CAPITAL]]&gt;=0,FINANCIACION[[#This Row],[$ CAPITAL]]+FINANCIACION[[#This Row],[$ INTERESES]],"")</f>
        <v>1000000</v>
      </c>
      <c r="F1131" s="7">
        <f>+SUMIFS(FINANCIACION[$ CAPITAL],FINANCIACION[Fecha],"&lt;="&amp;FINANCIACION[[#This Row],[Fecha]],FINANCIACION[PRESTAMO],FINANCIACION[[#This Row],[PRESTAMO]])</f>
        <v>-1108939</v>
      </c>
      <c r="G1131" s="91"/>
      <c r="H1131" s="11"/>
      <c r="I1131" s="7">
        <f>+IF(FINANCIACION[[#This Row],[$ CAPITAL]]&gt;0,FINANCIACION[[#This Row],[$ CAPITAL]])</f>
        <v>1000000</v>
      </c>
      <c r="J1131" s="49">
        <f>+IF(FINANCIACION[[#This Row],[$ CAPITAL]]&gt;=0,FINANCIACION[[#This Row],[$ CAPITAL]]+FINANCIACION[[#This Row],[$ INTERESES]],0)</f>
        <v>1000000</v>
      </c>
    </row>
    <row r="1132" spans="1:10" ht="24" hidden="1" customHeight="1" x14ac:dyDescent="0.25">
      <c r="A1132" s="10">
        <v>44500</v>
      </c>
      <c r="B1132" s="85" t="s">
        <v>463</v>
      </c>
      <c r="C1132" s="7">
        <v>141799</v>
      </c>
      <c r="D1132" s="7"/>
      <c r="E1132" s="7">
        <f>+IF(FINANCIACION[[#This Row],[$ CAPITAL]]&gt;=0,FINANCIACION[[#This Row],[$ CAPITAL]]+FINANCIACION[[#This Row],[$ INTERESES]],"")</f>
        <v>141799</v>
      </c>
      <c r="F1132" s="7">
        <f>+SUMIFS(FINANCIACION[$ CAPITAL],FINANCIACION[Fecha],"&lt;="&amp;FINANCIACION[[#This Row],[Fecha]],FINANCIACION[PRESTAMO],FINANCIACION[[#This Row],[PRESTAMO]])</f>
        <v>-967140</v>
      </c>
      <c r="G1132" s="91" t="s">
        <v>512</v>
      </c>
      <c r="H1132" s="11"/>
      <c r="I1132" s="7">
        <f>+IF(FINANCIACION[[#This Row],[$ CAPITAL]]&gt;0,FINANCIACION[[#This Row],[$ CAPITAL]])</f>
        <v>141799</v>
      </c>
      <c r="J1132" s="49">
        <f>+IF(FINANCIACION[[#This Row],[$ CAPITAL]]&gt;=0,FINANCIACION[[#This Row],[$ CAPITAL]]+FINANCIACION[[#This Row],[$ INTERESES]],0)</f>
        <v>141799</v>
      </c>
    </row>
    <row r="1133" spans="1:10" ht="24" hidden="1" customHeight="1" x14ac:dyDescent="0.25">
      <c r="A1133" s="10">
        <v>44502</v>
      </c>
      <c r="B1133" s="85" t="s">
        <v>463</v>
      </c>
      <c r="C1133" s="7">
        <v>967140</v>
      </c>
      <c r="D1133" s="7"/>
      <c r="E1133" s="7">
        <f>+IF(FINANCIACION[[#This Row],[$ CAPITAL]]&gt;=0,FINANCIACION[[#This Row],[$ CAPITAL]]+FINANCIACION[[#This Row],[$ INTERESES]],"")</f>
        <v>967140</v>
      </c>
      <c r="F1133" s="7">
        <f>+SUMIFS(FINANCIACION[$ CAPITAL],FINANCIACION[Fecha],"&lt;="&amp;FINANCIACION[[#This Row],[Fecha]],FINANCIACION[PRESTAMO],FINANCIACION[[#This Row],[PRESTAMO]])</f>
        <v>0</v>
      </c>
      <c r="G1133" s="91"/>
      <c r="H1133" s="11"/>
      <c r="I1133" s="7">
        <f>+IF(FINANCIACION[[#This Row],[$ CAPITAL]]&gt;0,FINANCIACION[[#This Row],[$ CAPITAL]])</f>
        <v>967140</v>
      </c>
      <c r="J1133" s="49">
        <f>+IF(FINANCIACION[[#This Row],[$ CAPITAL]]&gt;=0,FINANCIACION[[#This Row],[$ CAPITAL]]+FINANCIACION[[#This Row],[$ INTERESES]],0)</f>
        <v>967140</v>
      </c>
    </row>
    <row r="1134" spans="1:10" ht="24" hidden="1" customHeight="1" x14ac:dyDescent="0.25">
      <c r="A1134" s="10">
        <v>44530</v>
      </c>
      <c r="B1134" s="85" t="s">
        <v>463</v>
      </c>
      <c r="C1134" s="7">
        <v>-454357</v>
      </c>
      <c r="D1134" s="7"/>
      <c r="E1134" s="7"/>
      <c r="F1134" s="7"/>
      <c r="G1134" s="91" t="s">
        <v>512</v>
      </c>
      <c r="H1134" s="11"/>
      <c r="I1134" s="7" t="b">
        <f>+IF(FINANCIACION[[#This Row],[$ CAPITAL]]&gt;0,FINANCIACION[[#This Row],[$ CAPITAL]])</f>
        <v>0</v>
      </c>
      <c r="J1134" s="49">
        <f>+IF(FINANCIACION[[#This Row],[$ CAPITAL]]&gt;=0,FINANCIACION[[#This Row],[$ CAPITAL]]+FINANCIACION[[#This Row],[$ INTERESES]],0)</f>
        <v>0</v>
      </c>
    </row>
    <row r="1135" spans="1:10" ht="24" hidden="1" customHeight="1" x14ac:dyDescent="0.25">
      <c r="A1135" s="10">
        <v>44536</v>
      </c>
      <c r="B1135" s="85" t="s">
        <v>463</v>
      </c>
      <c r="C1135" s="7">
        <v>454357</v>
      </c>
      <c r="D1135" s="7"/>
      <c r="E1135" s="7">
        <f>+IF(FINANCIACION[[#This Row],[$ CAPITAL]]&gt;=0,FINANCIACION[[#This Row],[$ CAPITAL]]+FINANCIACION[[#This Row],[$ INTERESES]],"")</f>
        <v>454357</v>
      </c>
      <c r="F1135" s="7">
        <f>+SUMIFS(FINANCIACION[$ CAPITAL],FINANCIACION[Fecha],"&lt;="&amp;FINANCIACION[[#This Row],[Fecha]],FINANCIACION[PRESTAMO],FINANCIACION[[#This Row],[PRESTAMO]])</f>
        <v>0</v>
      </c>
      <c r="G1135" s="91"/>
      <c r="H1135" s="11"/>
      <c r="I1135" s="7">
        <f>+IF(FINANCIACION[[#This Row],[$ CAPITAL]]&gt;0,FINANCIACION[[#This Row],[$ CAPITAL]])</f>
        <v>454357</v>
      </c>
      <c r="J1135" s="49">
        <f>+IF(FINANCIACION[[#This Row],[$ CAPITAL]]&gt;=0,FINANCIACION[[#This Row],[$ CAPITAL]]+FINANCIACION[[#This Row],[$ INTERESES]],0)</f>
        <v>454357</v>
      </c>
    </row>
    <row r="1136" spans="1:10" ht="24" hidden="1" customHeight="1" x14ac:dyDescent="0.25">
      <c r="A1136" s="10">
        <v>44560</v>
      </c>
      <c r="B1136" s="85" t="s">
        <v>463</v>
      </c>
      <c r="C1136" s="7">
        <v>1000000</v>
      </c>
      <c r="D1136" s="7"/>
      <c r="E1136" s="7">
        <f>+IF(FINANCIACION[[#This Row],[$ CAPITAL]]&gt;=0,FINANCIACION[[#This Row],[$ CAPITAL]]+FINANCIACION[[#This Row],[$ INTERESES]],"")</f>
        <v>1000000</v>
      </c>
      <c r="F1136" s="7">
        <f>+SUMIFS(FINANCIACION[$ CAPITAL],FINANCIACION[Fecha],"&lt;="&amp;FINANCIACION[[#This Row],[Fecha]],FINANCIACION[PRESTAMO],FINANCIACION[[#This Row],[PRESTAMO]])</f>
        <v>1000000</v>
      </c>
      <c r="G1136" s="91"/>
      <c r="H1136" s="11"/>
      <c r="I1136" s="7">
        <f>+IF(FINANCIACION[[#This Row],[$ CAPITAL]]&gt;0,FINANCIACION[[#This Row],[$ CAPITAL]])</f>
        <v>1000000</v>
      </c>
      <c r="J1136" s="49">
        <f>+IF(FINANCIACION[[#This Row],[$ CAPITAL]]&gt;=0,FINANCIACION[[#This Row],[$ CAPITAL]]+FINANCIACION[[#This Row],[$ INTERESES]],0)</f>
        <v>1000000</v>
      </c>
    </row>
    <row r="1137" spans="1:10" ht="24" hidden="1" customHeight="1" x14ac:dyDescent="0.25">
      <c r="A1137" s="10">
        <v>44566</v>
      </c>
      <c r="B1137" s="85" t="s">
        <v>463</v>
      </c>
      <c r="C1137" s="7">
        <v>357536</v>
      </c>
      <c r="D1137" s="7"/>
      <c r="E1137" s="7">
        <f>+IF(FINANCIACION[[#This Row],[$ CAPITAL]]&gt;=0,FINANCIACION[[#This Row],[$ CAPITAL]]+FINANCIACION[[#This Row],[$ INTERESES]],"")</f>
        <v>357536</v>
      </c>
      <c r="F1137" s="7">
        <f>+SUMIFS(FINANCIACION[$ CAPITAL],FINANCIACION[Fecha],"&lt;="&amp;FINANCIACION[[#This Row],[Fecha]],FINANCIACION[PRESTAMO],FINANCIACION[[#This Row],[PRESTAMO]])</f>
        <v>0</v>
      </c>
      <c r="G1137" s="91"/>
      <c r="H1137" s="11"/>
      <c r="I1137" s="7">
        <f>+IF(FINANCIACION[[#This Row],[$ CAPITAL]]&gt;0,FINANCIACION[[#This Row],[$ CAPITAL]])</f>
        <v>357536</v>
      </c>
      <c r="J1137" s="49">
        <f>+IF(FINANCIACION[[#This Row],[$ CAPITAL]]&gt;=0,FINANCIACION[[#This Row],[$ CAPITAL]]+FINANCIACION[[#This Row],[$ INTERESES]],0)</f>
        <v>357536</v>
      </c>
    </row>
    <row r="1138" spans="1:10" ht="24" hidden="1" customHeight="1" x14ac:dyDescent="0.25">
      <c r="A1138" s="10">
        <v>44561</v>
      </c>
      <c r="B1138" s="85" t="s">
        <v>463</v>
      </c>
      <c r="C1138" s="7">
        <v>-1357536</v>
      </c>
      <c r="D1138" s="7"/>
      <c r="E1138" s="7" t="str">
        <f>+IF(FINANCIACION[[#This Row],[$ CAPITAL]]&gt;=0,FINANCIACION[[#This Row],[$ CAPITAL]]+FINANCIACION[[#This Row],[$ INTERESES]],"")</f>
        <v/>
      </c>
      <c r="F1138" s="7">
        <f>+SUMIFS(FINANCIACION[$ CAPITAL],FINANCIACION[Fecha],"&lt;="&amp;FINANCIACION[[#This Row],[Fecha]],FINANCIACION[PRESTAMO],FINANCIACION[[#This Row],[PRESTAMO]])</f>
        <v>-357536</v>
      </c>
      <c r="G1138" s="91"/>
      <c r="H1138" s="11"/>
      <c r="I1138" s="7" t="b">
        <f>+IF(FINANCIACION[[#This Row],[$ CAPITAL]]&gt;0,FINANCIACION[[#This Row],[$ CAPITAL]])</f>
        <v>0</v>
      </c>
      <c r="J1138" s="49">
        <f>+IF(FINANCIACION[[#This Row],[$ CAPITAL]]&gt;=0,FINANCIACION[[#This Row],[$ CAPITAL]]+FINANCIACION[[#This Row],[$ INTERESES]],0)</f>
        <v>0</v>
      </c>
    </row>
  </sheetData>
  <phoneticPr fontId="2" type="noConversion"/>
  <dataValidations xWindow="542" yWindow="371" count="2">
    <dataValidation allowBlank="1" showInputMessage="1" showErrorMessage="1" prompt="Si es una deuda escribelo negativo._x000a__x000a_Si es un abono que sea positivo." sqref="C2:C690 C780 C800 C958" xr:uid="{00000000-0002-0000-0200-000000000000}"/>
    <dataValidation type="date" allowBlank="1" showInputMessage="1" showErrorMessage="1" error="SOLO FECHAS" sqref="A2:A1138" xr:uid="{5BE27017-20B5-4A59-86E4-A766483605B6}">
      <formula1>36526</formula1>
      <formula2>47848</formula2>
    </dataValidation>
  </dataValidations>
  <pageMargins left="0.7" right="0.7" top="0.75" bottom="0.75" header="0.3" footer="0.3"/>
  <pageSetup scale="5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542" yWindow="371" count="2">
        <x14:dataValidation type="list" allowBlank="1" showInputMessage="1" showErrorMessage="1" xr:uid="{016ED927-600B-4A1F-A49E-FB520E7C4029}">
          <x14:formula1>
            <xm:f>Financiadores!$A:$A</xm:f>
          </x14:formula1>
          <xm:sqref>B698:B721 B723:B725 B728:B739 B741:B750 B752:B772 B1 B774:B824 B828:B836 B838:B844 B846:B897 B899:B955 B961:B972 B974:B992 B999:B1006 B1011:B1018 B1020:B1025 B1027:B1033 B1037:B1066 B1070:B1082 B1084:B1101 B1104:B1119 B1121:B1048576</xm:sqref>
        </x14:dataValidation>
        <x14:dataValidation type="list" allowBlank="1" showInputMessage="1" showErrorMessage="1" error="Primero escribe el nombre del crédito en la hoja &quot;Financiadores&quot;" xr:uid="{D998F43E-86ED-4FFF-A8A6-557DE6EC6BB1}">
          <x14:formula1>
            <xm:f>Financiadores!$A:$A</xm:f>
          </x14:formula1>
          <xm:sqref>B726:B727 B740 B773 B751 B2:B697 B722 B825:B827 B837 B845 B898 B956:B960 B973 B993:B998 B1007:B1010 B1019 B1026 B1034:B1036 B1067:B1069 B1083 B1102:B1103 B1120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C3AA-417B-4233-A1A6-AB2DFB197407}">
  <sheetPr codeName="Hoja9"/>
  <dimension ref="A1:Y45"/>
  <sheetViews>
    <sheetView topLeftCell="A16" workbookViewId="0">
      <selection activeCell="Y27" sqref="Y27:Y29"/>
    </sheetView>
  </sheetViews>
  <sheetFormatPr baseColWidth="10" defaultColWidth="13.42578125" defaultRowHeight="21.6" customHeight="1" x14ac:dyDescent="0.25"/>
  <cols>
    <col min="1" max="1" width="29.42578125" style="74" customWidth="1"/>
    <col min="2" max="13" width="13.42578125" style="74" hidden="1" customWidth="1"/>
    <col min="14" max="17" width="13.7109375" style="74" hidden="1" customWidth="1"/>
    <col min="18" max="20" width="13.42578125" style="74" hidden="1" customWidth="1"/>
    <col min="21" max="21" width="0" style="74" hidden="1" customWidth="1"/>
    <col min="22" max="22" width="13.42578125" style="74"/>
    <col min="23" max="23" width="0" style="74" hidden="1" customWidth="1"/>
    <col min="24" max="16384" width="13.42578125" style="74"/>
  </cols>
  <sheetData>
    <row r="1" spans="1:25" ht="21.6" customHeight="1" x14ac:dyDescent="0.25">
      <c r="A1" s="74" t="s">
        <v>477</v>
      </c>
      <c r="B1" s="74" t="s">
        <v>478</v>
      </c>
      <c r="C1" s="74" t="s">
        <v>479</v>
      </c>
      <c r="D1" s="74" t="s">
        <v>480</v>
      </c>
      <c r="E1" s="74" t="s">
        <v>481</v>
      </c>
      <c r="F1" s="74" t="s">
        <v>482</v>
      </c>
      <c r="G1" s="74" t="s">
        <v>483</v>
      </c>
      <c r="H1" s="74" t="s">
        <v>484</v>
      </c>
      <c r="I1" s="74" t="s">
        <v>485</v>
      </c>
      <c r="J1" s="74" t="s">
        <v>486</v>
      </c>
      <c r="K1" s="74" t="s">
        <v>487</v>
      </c>
      <c r="L1" s="74" t="s">
        <v>488</v>
      </c>
      <c r="M1" s="74" t="s">
        <v>489</v>
      </c>
      <c r="N1" s="74" t="s">
        <v>490</v>
      </c>
      <c r="O1" s="74" t="s">
        <v>491</v>
      </c>
      <c r="P1" s="96" t="s">
        <v>524</v>
      </c>
      <c r="Q1" s="96" t="s">
        <v>651</v>
      </c>
      <c r="R1" s="96" t="s">
        <v>737</v>
      </c>
      <c r="S1" s="96" t="s">
        <v>738</v>
      </c>
      <c r="T1" s="96" t="s">
        <v>767</v>
      </c>
      <c r="U1" s="96" t="s">
        <v>832</v>
      </c>
      <c r="V1" s="96" t="s">
        <v>856</v>
      </c>
      <c r="W1" s="96" t="s">
        <v>936</v>
      </c>
      <c r="X1" s="96" t="s">
        <v>979</v>
      </c>
      <c r="Y1" s="96" t="s">
        <v>998</v>
      </c>
    </row>
    <row r="2" spans="1:25" ht="21.6" customHeight="1" x14ac:dyDescent="0.25">
      <c r="A2" s="74" t="s">
        <v>661</v>
      </c>
      <c r="B2" s="87">
        <f>-SUMIFS(FINANCIACION[$ CAPITAL],
FINANCIACION[Fecha],"&lt;="&amp;EOMONTH(B$1,0),
FINANCIACION[PRESTAMO],$A2)</f>
        <v>18000000</v>
      </c>
      <c r="C2" s="87">
        <f>-SUMIFS(FINANCIACION[$ CAPITAL],
FINANCIACION[Fecha],"&lt;="&amp;EOMONTH(C$1,0),
FINANCIACION[PRESTAMO],$A2)</f>
        <v>18000000</v>
      </c>
      <c r="D2" s="87">
        <f>-SUMIFS(FINANCIACION[$ CAPITAL],
FINANCIACION[Fecha],"&lt;="&amp;EOMONTH(D$1,0),
FINANCIACION[PRESTAMO],$A2)</f>
        <v>18000000</v>
      </c>
      <c r="E2" s="87">
        <f>-SUMIFS(FINANCIACION[$ CAPITAL],
FINANCIACION[Fecha],"&lt;="&amp;EOMONTH(E$1,0),
FINANCIACION[PRESTAMO],$A2)</f>
        <v>18000000</v>
      </c>
      <c r="F2" s="87">
        <f>-SUMIFS(FINANCIACION[$ CAPITAL],
FINANCIACION[Fecha],"&lt;="&amp;EOMONTH(F$1,0),
FINANCIACION[PRESTAMO],$A2)</f>
        <v>18000000</v>
      </c>
      <c r="G2" s="87">
        <f>-SUMIFS(FINANCIACION[$ CAPITAL],
FINANCIACION[Fecha],"&lt;="&amp;EOMONTH(G$1,0),
FINANCIACION[PRESTAMO],$A2)</f>
        <v>18000000</v>
      </c>
      <c r="H2" s="87">
        <f>-SUMIFS(FINANCIACION[$ CAPITAL],
FINANCIACION[Fecha],"&lt;="&amp;EOMONTH(H$1,0),
FINANCIACION[PRESTAMO],$A2)</f>
        <v>18000000</v>
      </c>
      <c r="I2" s="87">
        <f>-SUMIFS(FINANCIACION[$ CAPITAL],
FINANCIACION[Fecha],"&lt;="&amp;EOMONTH(I$1,0),
FINANCIACION[PRESTAMO],$A2)</f>
        <v>18000000</v>
      </c>
      <c r="J2" s="87">
        <f>-SUMIFS(FINANCIACION[$ CAPITAL],
FINANCIACION[Fecha],"&lt;="&amp;EOMONTH(J$1,0),
FINANCIACION[PRESTAMO],$A2)</f>
        <v>14591767</v>
      </c>
      <c r="K2" s="87">
        <f>-SUMIFS(FINANCIACION[$ CAPITAL],
FINANCIACION[Fecha],"&lt;="&amp;EOMONTH(K$1,0),
FINANCIACION[PRESTAMO],$A2)</f>
        <v>14591767</v>
      </c>
      <c r="L2" s="87">
        <f>-SUMIFS(FINANCIACION[$ CAPITAL],
FINANCIACION[Fecha],"&lt;="&amp;EOMONTH(L$1,0),
FINANCIACION[PRESTAMO],$A2)</f>
        <v>14591767</v>
      </c>
      <c r="M2" s="87">
        <f>-SUMIFS(FINANCIACION[$ CAPITAL],
FINANCIACION[Fecha],"&lt;="&amp;EOMONTH(M$1,0),
FINANCIACION[PRESTAMO],$A2)</f>
        <v>14591767</v>
      </c>
      <c r="N2" s="87">
        <f>-SUMIFS(FINANCIACION[$ CAPITAL],
FINANCIACION[Fecha],"&lt;="&amp;EOMONTH(N$1,0),
FINANCIACION[PRESTAMO],$A2)</f>
        <v>14591767</v>
      </c>
      <c r="O2" s="87">
        <f>-SUMIFS(FINANCIACION[$ CAPITAL],
FINANCIACION[Fecha],"&lt;="&amp;EOMONTH(O$1,0),
FINANCIACION[PRESTAMO],$A2)</f>
        <v>7295887</v>
      </c>
      <c r="P2" s="87">
        <f>-SUMIFS(FINANCIACION[$ CAPITAL],
FINANCIACION[Fecha],"&lt;="&amp;EOMONTH(P$1,0),
FINANCIACION[PRESTAMO],$A2)</f>
        <v>7295887</v>
      </c>
      <c r="Q2" s="87">
        <f>-SUMIFS(FINANCIACION[$ CAPITAL],
FINANCIACION[Fecha],"&lt;="&amp;EOMONTH(Q$1,0),
FINANCIACION[PRESTAMO],$A2)</f>
        <v>7295887</v>
      </c>
      <c r="R2" s="87">
        <f>-SUMIFS(FINANCIACION[$ CAPITAL],
FINANCIACION[Fecha],"&lt;="&amp;EOMONTH(R$1,0),
FINANCIACION[PRESTAMO],$A2)</f>
        <v>7295887</v>
      </c>
      <c r="S2" s="87">
        <f>-SUMIFS(FINANCIACION[$ CAPITAL],
FINANCIACION[Fecha],"&lt;="&amp;EOMONTH(S$1,0),
FINANCIACION[PRESTAMO],$A2)</f>
        <v>7295887</v>
      </c>
      <c r="T2" s="87">
        <f>-SUMIFS(FINANCIACION[$ CAPITAL],
FINANCIACION[Fecha],"&lt;="&amp;EOMONTH(T$1,0),
FINANCIACION[PRESTAMO],$A2)</f>
        <v>7295887</v>
      </c>
      <c r="U2" s="87">
        <f>-SUMIFS(FINANCIACION[$ CAPITAL],
FINANCIACION[Fecha],"&lt;="&amp;EOMONTH(U$1,0),
FINANCIACION[PRESTAMO],$A2)</f>
        <v>7295887</v>
      </c>
      <c r="V2" s="87">
        <f>-SUMIFS(FINANCIACION[$ CAPITAL],
FINANCIACION[Fecha],"&lt;="&amp;EOMONTH(V$1,0),
FINANCIACION[PRESTAMO],$A2)</f>
        <v>7295887</v>
      </c>
      <c r="W2" s="87">
        <f>-SUMIFS(FINANCIACION[$ CAPITAL],
FINANCIACION[Fecha],"&lt;="&amp;EOMONTH(W$1,0),
FINANCIACION[PRESTAMO],$A2)</f>
        <v>0</v>
      </c>
      <c r="X2" s="87">
        <f>-SUMIFS(FINANCIACION[$ CAPITAL],
FINANCIACION[Fecha],"&lt;="&amp;EOMONTH(X$1,0),
FINANCIACION[PRESTAMO],$A2)</f>
        <v>0</v>
      </c>
      <c r="Y2" s="87">
        <f>-SUMIFS(FINANCIACION[$ CAPITAL],
FINANCIACION[Fecha],"&lt;="&amp;EOMONTH(Y$1,0),
FINANCIACION[PRESTAMO],$A2)</f>
        <v>0</v>
      </c>
    </row>
    <row r="3" spans="1:25" ht="21.6" customHeight="1" x14ac:dyDescent="0.25">
      <c r="A3" s="74" t="s">
        <v>475</v>
      </c>
      <c r="B3" s="87">
        <f>-SUMIFS(FINANCIACION[$ CAPITAL],
FINANCIACION[Fecha],"&lt;="&amp;EOMONTH(B$1,0),
FINANCIACION[PRESTAMO],$A3)</f>
        <v>13000000</v>
      </c>
      <c r="C3" s="87">
        <f>-SUMIFS(FINANCIACION[$ CAPITAL],
FINANCIACION[Fecha],"&lt;="&amp;EOMONTH(C$1,0),
FINANCIACION[PRESTAMO],$A3)</f>
        <v>13000000</v>
      </c>
      <c r="D3" s="87">
        <f>-SUMIFS(FINANCIACION[$ CAPITAL],
FINANCIACION[Fecha],"&lt;="&amp;EOMONTH(D$1,0),
FINANCIACION[PRESTAMO],$A3)</f>
        <v>13000000</v>
      </c>
      <c r="E3" s="87">
        <f>-SUMIFS(FINANCIACION[$ CAPITAL],
FINANCIACION[Fecha],"&lt;="&amp;EOMONTH(E$1,0),
FINANCIACION[PRESTAMO],$A3)</f>
        <v>13000000</v>
      </c>
      <c r="F3" s="87">
        <f>-SUMIFS(FINANCIACION[$ CAPITAL],
FINANCIACION[Fecha],"&lt;="&amp;EOMONTH(F$1,0),
FINANCIACION[PRESTAMO],$A3)</f>
        <v>13000000</v>
      </c>
      <c r="G3" s="87">
        <f>-SUMIFS(FINANCIACION[$ CAPITAL],
FINANCIACION[Fecha],"&lt;="&amp;EOMONTH(G$1,0),
FINANCIACION[PRESTAMO],$A3)</f>
        <v>13000000</v>
      </c>
      <c r="H3" s="87">
        <f>-SUMIFS(FINANCIACION[$ CAPITAL],
FINANCIACION[Fecha],"&lt;="&amp;EOMONTH(H$1,0),
FINANCIACION[PRESTAMO],$A3)</f>
        <v>13000000</v>
      </c>
      <c r="I3" s="87">
        <f>-SUMIFS(FINANCIACION[$ CAPITAL],
FINANCIACION[Fecha],"&lt;="&amp;EOMONTH(I$1,0),
FINANCIACION[PRESTAMO],$A3)</f>
        <v>13000000</v>
      </c>
      <c r="J3" s="87">
        <f>-SUMIFS(FINANCIACION[$ CAPITAL],
FINANCIACION[Fecha],"&lt;="&amp;EOMONTH(J$1,0),
FINANCIACION[PRESTAMO],$A3)</f>
        <v>13000000</v>
      </c>
      <c r="K3" s="87">
        <f>-SUMIFS(FINANCIACION[$ CAPITAL],
FINANCIACION[Fecha],"&lt;="&amp;EOMONTH(K$1,0),
FINANCIACION[PRESTAMO],$A3)</f>
        <v>13000000</v>
      </c>
      <c r="L3" s="87">
        <f>-SUMIFS(FINANCIACION[$ CAPITAL],
FINANCIACION[Fecha],"&lt;="&amp;EOMONTH(L$1,0),
FINANCIACION[PRESTAMO],$A3)</f>
        <v>13000000</v>
      </c>
      <c r="M3" s="87">
        <f>-SUMIFS(FINANCIACION[$ CAPITAL],
FINANCIACION[Fecha],"&lt;="&amp;EOMONTH(M$1,0),
FINANCIACION[PRESTAMO],$A3)</f>
        <v>13000000</v>
      </c>
      <c r="N3" s="87">
        <f>-SUMIFS(FINANCIACION[$ CAPITAL],
FINANCIACION[Fecha],"&lt;="&amp;EOMONTH(N$1,0),
FINANCIACION[PRESTAMO],$A3)</f>
        <v>13000000</v>
      </c>
      <c r="O3" s="87">
        <f>-SUMIFS(FINANCIACION[$ CAPITAL],
FINANCIACION[Fecha],"&lt;="&amp;EOMONTH(O$1,0),
FINANCIACION[PRESTAMO],$A3)</f>
        <v>13000000</v>
      </c>
      <c r="P3" s="87">
        <f>-SUMIFS(FINANCIACION[$ CAPITAL],
FINANCIACION[Fecha],"&lt;="&amp;EOMONTH(P$1,0),
FINANCIACION[PRESTAMO],$A3)</f>
        <v>13000000</v>
      </c>
      <c r="Q3" s="87">
        <f>-SUMIFS(FINANCIACION[$ CAPITAL],
FINANCIACION[Fecha],"&lt;="&amp;EOMONTH(Q$1,0),
FINANCIACION[PRESTAMO],$A3)</f>
        <v>13000000</v>
      </c>
      <c r="R3" s="87">
        <f>-SUMIFS(FINANCIACION[$ CAPITAL],
FINANCIACION[Fecha],"&lt;="&amp;EOMONTH(R$1,0),
FINANCIACION[PRESTAMO],$A3)</f>
        <v>13000000</v>
      </c>
      <c r="S3" s="87">
        <f>-SUMIFS(FINANCIACION[$ CAPITAL],
FINANCIACION[Fecha],"&lt;="&amp;EOMONTH(S$1,0),
FINANCIACION[PRESTAMO],$A3)</f>
        <v>13000000</v>
      </c>
      <c r="T3" s="87">
        <f>-SUMIFS(FINANCIACION[$ CAPITAL],
FINANCIACION[Fecha],"&lt;="&amp;EOMONTH(T$1,0),
FINANCIACION[PRESTAMO],$A3)</f>
        <v>13000000</v>
      </c>
      <c r="U3" s="87">
        <f>-SUMIFS(FINANCIACION[$ CAPITAL],
FINANCIACION[Fecha],"&lt;="&amp;EOMONTH(U$1,0),
FINANCIACION[PRESTAMO],$A3)</f>
        <v>13000000</v>
      </c>
      <c r="V3" s="87">
        <f>-SUMIFS(FINANCIACION[$ CAPITAL],
FINANCIACION[Fecha],"&lt;="&amp;EOMONTH(V$1,0),
FINANCIACION[PRESTAMO],$A3)</f>
        <v>13000000</v>
      </c>
      <c r="W3" s="87">
        <f>-SUMIFS(FINANCIACION[$ CAPITAL],
FINANCIACION[Fecha],"&lt;="&amp;EOMONTH(W$1,0),
FINANCIACION[PRESTAMO],$A3)</f>
        <v>13000000</v>
      </c>
      <c r="X3" s="87">
        <f>-SUMIFS(FINANCIACION[$ CAPITAL],
FINANCIACION[Fecha],"&lt;="&amp;EOMONTH(X$1,0),
FINANCIACION[PRESTAMO],$A3)</f>
        <v>13000000</v>
      </c>
      <c r="Y3" s="87">
        <f>-SUMIFS(FINANCIACION[$ CAPITAL],
FINANCIACION[Fecha],"&lt;="&amp;EOMONTH(Y$1,0),
FINANCIACION[PRESTAMO],$A3)</f>
        <v>13000000</v>
      </c>
    </row>
    <row r="4" spans="1:25" ht="21.6" customHeight="1" x14ac:dyDescent="0.25">
      <c r="A4" s="74" t="s">
        <v>476</v>
      </c>
      <c r="B4" s="87">
        <f>-SUMIFS(FINANCIACION[$ CAPITAL],
FINANCIACION[Fecha],"&lt;="&amp;EOMONTH(B$1,0),
FINANCIACION[PRESTAMO],$A4)</f>
        <v>3500000</v>
      </c>
      <c r="C4" s="87">
        <f>-SUMIFS(FINANCIACION[$ CAPITAL],
FINANCIACION[Fecha],"&lt;="&amp;EOMONTH(C$1,0),
FINANCIACION[PRESTAMO],$A4)</f>
        <v>3500000</v>
      </c>
      <c r="D4" s="87">
        <f>-SUMIFS(FINANCIACION[$ CAPITAL],
FINANCIACION[Fecha],"&lt;="&amp;EOMONTH(D$1,0),
FINANCIACION[PRESTAMO],$A4)</f>
        <v>3500000</v>
      </c>
      <c r="E4" s="87">
        <f>-SUMIFS(FINANCIACION[$ CAPITAL],
FINANCIACION[Fecha],"&lt;="&amp;EOMONTH(E$1,0),
FINANCIACION[PRESTAMO],$A4)</f>
        <v>0</v>
      </c>
      <c r="F4" s="87">
        <f>-SUMIFS(FINANCIACION[$ CAPITAL],
FINANCIACION[Fecha],"&lt;="&amp;EOMONTH(F$1,0),
FINANCIACION[PRESTAMO],$A4)</f>
        <v>0</v>
      </c>
      <c r="G4" s="87">
        <f>-SUMIFS(FINANCIACION[$ CAPITAL],
FINANCIACION[Fecha],"&lt;="&amp;EOMONTH(G$1,0),
FINANCIACION[PRESTAMO],$A4)</f>
        <v>0</v>
      </c>
      <c r="H4" s="87">
        <f>-SUMIFS(FINANCIACION[$ CAPITAL],
FINANCIACION[Fecha],"&lt;="&amp;EOMONTH(H$1,0),
FINANCIACION[PRESTAMO],$A4)</f>
        <v>0</v>
      </c>
      <c r="I4" s="87">
        <f>-SUMIFS(FINANCIACION[$ CAPITAL],
FINANCIACION[Fecha],"&lt;="&amp;EOMONTH(I$1,0),
FINANCIACION[PRESTAMO],$A4)</f>
        <v>0</v>
      </c>
      <c r="J4" s="87">
        <f>-SUMIFS(FINANCIACION[$ CAPITAL],
FINANCIACION[Fecha],"&lt;="&amp;EOMONTH(J$1,0),
FINANCIACION[PRESTAMO],$A4)</f>
        <v>0</v>
      </c>
      <c r="K4" s="87">
        <f>-SUMIFS(FINANCIACION[$ CAPITAL],
FINANCIACION[Fecha],"&lt;="&amp;EOMONTH(K$1,0),
FINANCIACION[PRESTAMO],$A4)</f>
        <v>0</v>
      </c>
      <c r="L4" s="87">
        <f>-SUMIFS(FINANCIACION[$ CAPITAL],
FINANCIACION[Fecha],"&lt;="&amp;EOMONTH(L$1,0),
FINANCIACION[PRESTAMO],$A4)</f>
        <v>0</v>
      </c>
      <c r="M4" s="87">
        <f>-SUMIFS(FINANCIACION[$ CAPITAL],
FINANCIACION[Fecha],"&lt;="&amp;EOMONTH(M$1,0),
FINANCIACION[PRESTAMO],$A4)</f>
        <v>0</v>
      </c>
      <c r="N4" s="87">
        <f>-SUMIFS(FINANCIACION[$ CAPITAL],
FINANCIACION[Fecha],"&lt;="&amp;EOMONTH(N$1,0),
FINANCIACION[PRESTAMO],$A4)</f>
        <v>0</v>
      </c>
      <c r="O4" s="87">
        <f>-SUMIFS(FINANCIACION[$ CAPITAL],
FINANCIACION[Fecha],"&lt;="&amp;EOMONTH(O$1,0),
FINANCIACION[PRESTAMO],$A4)</f>
        <v>0</v>
      </c>
      <c r="P4" s="87">
        <f>-SUMIFS(FINANCIACION[$ CAPITAL],
FINANCIACION[Fecha],"&lt;="&amp;EOMONTH(P$1,0),
FINANCIACION[PRESTAMO],$A4)</f>
        <v>0</v>
      </c>
      <c r="Q4" s="87">
        <f>-SUMIFS(FINANCIACION[$ CAPITAL],
FINANCIACION[Fecha],"&lt;="&amp;EOMONTH(Q$1,0),
FINANCIACION[PRESTAMO],$A4)</f>
        <v>0</v>
      </c>
      <c r="R4" s="87">
        <f>-SUMIFS(FINANCIACION[$ CAPITAL],
FINANCIACION[Fecha],"&lt;="&amp;EOMONTH(R$1,0),
FINANCIACION[PRESTAMO],$A4)</f>
        <v>0</v>
      </c>
      <c r="S4" s="87">
        <f>-SUMIFS(FINANCIACION[$ CAPITAL],
FINANCIACION[Fecha],"&lt;="&amp;EOMONTH(S$1,0),
FINANCIACION[PRESTAMO],$A4)</f>
        <v>0</v>
      </c>
      <c r="T4" s="87">
        <f>-SUMIFS(FINANCIACION[$ CAPITAL],
FINANCIACION[Fecha],"&lt;="&amp;EOMONTH(T$1,0),
FINANCIACION[PRESTAMO],$A4)</f>
        <v>0</v>
      </c>
      <c r="U4" s="87">
        <f>-SUMIFS(FINANCIACION[$ CAPITAL],
FINANCIACION[Fecha],"&lt;="&amp;EOMONTH(U$1,0),
FINANCIACION[PRESTAMO],$A4)</f>
        <v>0</v>
      </c>
      <c r="V4" s="87">
        <f>-SUMIFS(FINANCIACION[$ CAPITAL],
FINANCIACION[Fecha],"&lt;="&amp;EOMONTH(V$1,0),
FINANCIACION[PRESTAMO],$A4)</f>
        <v>0</v>
      </c>
      <c r="W4" s="87">
        <f>-SUMIFS(FINANCIACION[$ CAPITAL],
FINANCIACION[Fecha],"&lt;="&amp;EOMONTH(W$1,0),
FINANCIACION[PRESTAMO],$A4)</f>
        <v>0</v>
      </c>
      <c r="X4" s="87">
        <f>-SUMIFS(FINANCIACION[$ CAPITAL],
FINANCIACION[Fecha],"&lt;="&amp;EOMONTH(X$1,0),
FINANCIACION[PRESTAMO],$A4)</f>
        <v>0</v>
      </c>
      <c r="Y4" s="87">
        <f>-SUMIFS(FINANCIACION[$ CAPITAL],
FINANCIACION[Fecha],"&lt;="&amp;EOMONTH(Y$1,0),
FINANCIACION[PRESTAMO],$A4)</f>
        <v>0</v>
      </c>
    </row>
    <row r="5" spans="1:25" ht="21.6" customHeight="1" x14ac:dyDescent="0.25">
      <c r="A5" s="74" t="s">
        <v>442</v>
      </c>
      <c r="B5" s="87">
        <f>-SUMIFS(FINANCIACION[$ CAPITAL],
FINANCIACION[Fecha],"&lt;="&amp;EOMONTH(B$1,0),
FINANCIACION[PRESTAMO],$A5)</f>
        <v>0</v>
      </c>
      <c r="C5" s="87">
        <f>-SUMIFS(FINANCIACION[$ CAPITAL],
FINANCIACION[Fecha],"&lt;="&amp;EOMONTH(C$1,0),
FINANCIACION[PRESTAMO],$A5)</f>
        <v>0</v>
      </c>
      <c r="D5" s="87">
        <f>-SUMIFS(FINANCIACION[$ CAPITAL],
FINANCIACION[Fecha],"&lt;="&amp;EOMONTH(D$1,0),
FINANCIACION[PRESTAMO],$A5)</f>
        <v>75000000</v>
      </c>
      <c r="E5" s="87">
        <f>-SUMIFS(FINANCIACION[$ CAPITAL],
FINANCIACION[Fecha],"&lt;="&amp;EOMONTH(E$1,0),
FINANCIACION[PRESTAMO],$A5)</f>
        <v>75000000</v>
      </c>
      <c r="F5" s="87">
        <f>-SUMIFS(FINANCIACION[$ CAPITAL],
FINANCIACION[Fecha],"&lt;="&amp;EOMONTH(F$1,0),
FINANCIACION[PRESTAMO],$A5)</f>
        <v>75000000</v>
      </c>
      <c r="G5" s="87">
        <f>-SUMIFS(FINANCIACION[$ CAPITAL],
FINANCIACION[Fecha],"&lt;="&amp;EOMONTH(G$1,0),
FINANCIACION[PRESTAMO],$A5)</f>
        <v>75000000</v>
      </c>
      <c r="H5" s="87">
        <f>-SUMIFS(FINANCIACION[$ CAPITAL],
FINANCIACION[Fecha],"&lt;="&amp;EOMONTH(H$1,0),
FINANCIACION[PRESTAMO],$A5)</f>
        <v>75000000</v>
      </c>
      <c r="I5" s="87">
        <f>-SUMIFS(FINANCIACION[$ CAPITAL],
FINANCIACION[Fecha],"&lt;="&amp;EOMONTH(I$1,0),
FINANCIACION[PRESTAMO],$A5)</f>
        <v>75000000</v>
      </c>
      <c r="J5" s="87">
        <f>-SUMIFS(FINANCIACION[$ CAPITAL],
FINANCIACION[Fecha],"&lt;="&amp;EOMONTH(J$1,0),
FINANCIACION[PRESTAMO],$A5)</f>
        <v>75000000</v>
      </c>
      <c r="K5" s="87">
        <f>-SUMIFS(FINANCIACION[$ CAPITAL],
FINANCIACION[Fecha],"&lt;="&amp;EOMONTH(K$1,0),
FINANCIACION[PRESTAMO],$A5)</f>
        <v>75000000</v>
      </c>
      <c r="L5" s="87">
        <f>-SUMIFS(FINANCIACION[$ CAPITAL],
FINANCIACION[Fecha],"&lt;="&amp;EOMONTH(L$1,0),
FINANCIACION[PRESTAMO],$A5)</f>
        <v>75000000</v>
      </c>
      <c r="M5" s="87">
        <f>-SUMIFS(FINANCIACION[$ CAPITAL],
FINANCIACION[Fecha],"&lt;="&amp;EOMONTH(M$1,0),
FINANCIACION[PRESTAMO],$A5)</f>
        <v>75000000</v>
      </c>
      <c r="N5" s="87">
        <f>-SUMIFS(FINANCIACION[$ CAPITAL],
FINANCIACION[Fecha],"&lt;="&amp;EOMONTH(N$1,0),
FINANCIACION[PRESTAMO],$A5)</f>
        <v>75000000</v>
      </c>
      <c r="O5" s="87">
        <f>-SUMIFS(FINANCIACION[$ CAPITAL],
FINANCIACION[Fecha],"&lt;="&amp;EOMONTH(O$1,0),
FINANCIACION[PRESTAMO],$A5)</f>
        <v>75000000</v>
      </c>
      <c r="P5" s="87">
        <f>-SUMIFS(FINANCIACION[$ CAPITAL],
FINANCIACION[Fecha],"&lt;="&amp;EOMONTH(P$1,0),
FINANCIACION[PRESTAMO],$A5)</f>
        <v>75000000</v>
      </c>
      <c r="Q5" s="87">
        <f>-SUMIFS(FINANCIACION[$ CAPITAL],
FINANCIACION[Fecha],"&lt;="&amp;EOMONTH(Q$1,0),
FINANCIACION[PRESTAMO],$A5)</f>
        <v>75000000</v>
      </c>
      <c r="R5" s="87">
        <f>-SUMIFS(FINANCIACION[$ CAPITAL],
FINANCIACION[Fecha],"&lt;="&amp;EOMONTH(R$1,0),
FINANCIACION[PRESTAMO],$A5)</f>
        <v>75000000</v>
      </c>
      <c r="S5" s="87">
        <f>-SUMIFS(FINANCIACION[$ CAPITAL],
FINANCIACION[Fecha],"&lt;="&amp;EOMONTH(S$1,0),
FINANCIACION[PRESTAMO],$A5)</f>
        <v>75000000</v>
      </c>
      <c r="T5" s="87">
        <f>-SUMIFS(FINANCIACION[$ CAPITAL],
FINANCIACION[Fecha],"&lt;="&amp;EOMONTH(T$1,0),
FINANCIACION[PRESTAMO],$A5)</f>
        <v>75000000</v>
      </c>
      <c r="U5" s="87">
        <f>-SUMIFS(FINANCIACION[$ CAPITAL],
FINANCIACION[Fecha],"&lt;="&amp;EOMONTH(U$1,0),
FINANCIACION[PRESTAMO],$A5)</f>
        <v>75000000</v>
      </c>
      <c r="V5" s="87">
        <f>-SUMIFS(FINANCIACION[$ CAPITAL],
FINANCIACION[Fecha],"&lt;="&amp;EOMONTH(V$1,0),
FINANCIACION[PRESTAMO],$A5)</f>
        <v>75000000</v>
      </c>
      <c r="W5" s="87">
        <f>-SUMIFS(FINANCIACION[$ CAPITAL],
FINANCIACION[Fecha],"&lt;="&amp;EOMONTH(W$1,0),
FINANCIACION[PRESTAMO],$A5)</f>
        <v>75000000</v>
      </c>
      <c r="X5" s="87">
        <f>-SUMIFS(FINANCIACION[$ CAPITAL],
FINANCIACION[Fecha],"&lt;="&amp;EOMONTH(X$1,0),
FINANCIACION[PRESTAMO],$A5)</f>
        <v>75000000</v>
      </c>
      <c r="Y5" s="87">
        <f>-SUMIFS(FINANCIACION[$ CAPITAL],
FINANCIACION[Fecha],"&lt;="&amp;EOMONTH(Y$1,0),
FINANCIACION[PRESTAMO],$A5)</f>
        <v>75000000</v>
      </c>
    </row>
    <row r="6" spans="1:25" ht="21.6" customHeight="1" x14ac:dyDescent="0.25">
      <c r="A6" s="74" t="s">
        <v>785</v>
      </c>
      <c r="B6" s="87">
        <f>-SUMIFS(FINANCIACION[$ CAPITAL],
FINANCIACION[Fecha],"&lt;="&amp;EOMONTH(B$1,0),
FINANCIACION[PRESTAMO],$A6)</f>
        <v>0</v>
      </c>
      <c r="C6" s="87">
        <f>-SUMIFS(FINANCIACION[$ CAPITAL],
FINANCIACION[Fecha],"&lt;="&amp;EOMONTH(C$1,0),
FINANCIACION[PRESTAMO],$A6)</f>
        <v>0</v>
      </c>
      <c r="D6" s="87">
        <f>-SUMIFS(FINANCIACION[$ CAPITAL],
FINANCIACION[Fecha],"&lt;="&amp;EOMONTH(D$1,0),
FINANCIACION[PRESTAMO],$A6)</f>
        <v>0</v>
      </c>
      <c r="E6" s="87">
        <f>-SUMIFS(FINANCIACION[$ CAPITAL],
FINANCIACION[Fecha],"&lt;="&amp;EOMONTH(E$1,0),
FINANCIACION[PRESTAMO],$A6)</f>
        <v>0</v>
      </c>
      <c r="F6" s="87">
        <f>-SUMIFS(FINANCIACION[$ CAPITAL],
FINANCIACION[Fecha],"&lt;="&amp;EOMONTH(F$1,0),
FINANCIACION[PRESTAMO],$A6)</f>
        <v>0</v>
      </c>
      <c r="G6" s="87">
        <f>-SUMIFS(FINANCIACION[$ CAPITAL],
FINANCIACION[Fecha],"&lt;="&amp;EOMONTH(G$1,0),
FINANCIACION[PRESTAMO],$A6)</f>
        <v>0</v>
      </c>
      <c r="H6" s="87">
        <f>-SUMIFS(FINANCIACION[$ CAPITAL],
FINANCIACION[Fecha],"&lt;="&amp;EOMONTH(H$1,0),
FINANCIACION[PRESTAMO],$A6)</f>
        <v>0</v>
      </c>
      <c r="I6" s="87">
        <f>-SUMIFS(FINANCIACION[$ CAPITAL],
FINANCIACION[Fecha],"&lt;="&amp;EOMONTH(I$1,0),
FINANCIACION[PRESTAMO],$A6)</f>
        <v>0</v>
      </c>
      <c r="J6" s="87">
        <f>-SUMIFS(FINANCIACION[$ CAPITAL],
FINANCIACION[Fecha],"&lt;="&amp;EOMONTH(J$1,0),
FINANCIACION[PRESTAMO],$A6)</f>
        <v>0</v>
      </c>
      <c r="K6" s="87">
        <f>-SUMIFS(FINANCIACION[$ CAPITAL],
FINANCIACION[Fecha],"&lt;="&amp;EOMONTH(K$1,0),
FINANCIACION[PRESTAMO],$A6)</f>
        <v>0</v>
      </c>
      <c r="L6" s="87">
        <f>-SUMIFS(FINANCIACION[$ CAPITAL],
FINANCIACION[Fecha],"&lt;="&amp;EOMONTH(L$1,0),
FINANCIACION[PRESTAMO],$A6)</f>
        <v>0</v>
      </c>
      <c r="M6" s="87">
        <f>-SUMIFS(FINANCIACION[$ CAPITAL],
FINANCIACION[Fecha],"&lt;="&amp;EOMONTH(M$1,0),
FINANCIACION[PRESTAMO],$A6)</f>
        <v>0</v>
      </c>
      <c r="N6" s="87">
        <f>-SUMIFS(FINANCIACION[$ CAPITAL],
FINANCIACION[Fecha],"&lt;="&amp;EOMONTH(N$1,0),
FINANCIACION[PRESTAMO],$A6)</f>
        <v>0</v>
      </c>
      <c r="O6" s="87">
        <f>-SUMIFS(FINANCIACION[$ CAPITAL],
FINANCIACION[Fecha],"&lt;="&amp;EOMONTH(O$1,0),
FINANCIACION[PRESTAMO],$A6)</f>
        <v>0</v>
      </c>
      <c r="P6" s="87">
        <f>-SUMIFS(FINANCIACION[$ CAPITAL],
FINANCIACION[Fecha],"&lt;="&amp;EOMONTH(P$1,0),
FINANCIACION[PRESTAMO],$A6)</f>
        <v>0</v>
      </c>
      <c r="Q6" s="87">
        <f>-SUMIFS(FINANCIACION[$ CAPITAL],
FINANCIACION[Fecha],"&lt;="&amp;EOMONTH(Q$1,0),
FINANCIACION[PRESTAMO],$A6)</f>
        <v>0</v>
      </c>
      <c r="R6" s="87">
        <f>-SUMIFS(FINANCIACION[$ CAPITAL],
FINANCIACION[Fecha],"&lt;="&amp;EOMONTH(R$1,0),
FINANCIACION[PRESTAMO],$A6)</f>
        <v>0</v>
      </c>
      <c r="S6" s="87">
        <f>-SUMIFS(FINANCIACION[$ CAPITAL],
FINANCIACION[Fecha],"&lt;="&amp;EOMONTH(S$1,0),
FINANCIACION[PRESTAMO],$A6)</f>
        <v>0</v>
      </c>
      <c r="T6" s="87">
        <f>-SUMIFS(FINANCIACION[$ CAPITAL],
FINANCIACION[Fecha],"&lt;="&amp;EOMONTH(T$1,0),
FINANCIACION[PRESTAMO],$A6)</f>
        <v>0</v>
      </c>
      <c r="U6" s="87">
        <f>-SUMIFS(FINANCIACION[$ CAPITAL],
FINANCIACION[Fecha],"&lt;="&amp;EOMONTH(U$1,0),
FINANCIACION[PRESTAMO],$A6)</f>
        <v>40000000</v>
      </c>
      <c r="V6" s="87">
        <f>-SUMIFS(FINANCIACION[$ CAPITAL],
FINANCIACION[Fecha],"&lt;="&amp;EOMONTH(V$1,0),
FINANCIACION[PRESTAMO],$A6)</f>
        <v>40000000</v>
      </c>
      <c r="W6" s="87">
        <f>-SUMIFS(FINANCIACION[$ CAPITAL],
FINANCIACION[Fecha],"&lt;="&amp;EOMONTH(W$1,0),
FINANCIACION[PRESTAMO],$A6)</f>
        <v>40000000</v>
      </c>
      <c r="X6" s="87">
        <f>-SUMIFS(FINANCIACION[$ CAPITAL],
FINANCIACION[Fecha],"&lt;="&amp;EOMONTH(X$1,0),
FINANCIACION[PRESTAMO],$A6)</f>
        <v>40000000</v>
      </c>
      <c r="Y6" s="87">
        <f>-SUMIFS(FINANCIACION[$ CAPITAL],
FINANCIACION[Fecha],"&lt;="&amp;EOMONTH(Y$1,0),
FINANCIACION[PRESTAMO],$A6)</f>
        <v>40000000</v>
      </c>
    </row>
    <row r="7" spans="1:25" ht="21.6" customHeight="1" x14ac:dyDescent="0.25">
      <c r="A7" s="74" t="s">
        <v>443</v>
      </c>
      <c r="B7" s="87">
        <f>-SUMIFS(FINANCIACION[$ CAPITAL],
FINANCIACION[Fecha],"&lt;="&amp;EOMONTH(B$1,0),
FINANCIACION[PRESTAMO],$A7)</f>
        <v>94935167</v>
      </c>
      <c r="C7" s="87">
        <f>-SUMIFS(FINANCIACION[$ CAPITAL],
FINANCIACION[Fecha],"&lt;="&amp;EOMONTH(C$1,0),
FINANCIACION[PRESTAMO],$A7)</f>
        <v>94935167</v>
      </c>
      <c r="D7" s="87">
        <f>-SUMIFS(FINANCIACION[$ CAPITAL],
FINANCIACION[Fecha],"&lt;="&amp;EOMONTH(D$1,0),
FINANCIACION[PRESTAMO],$A7)</f>
        <v>94935167</v>
      </c>
      <c r="E7" s="87">
        <f>-SUMIFS(FINANCIACION[$ CAPITAL],
FINANCIACION[Fecha],"&lt;="&amp;EOMONTH(E$1,0),
FINANCIACION[PRESTAMO],$A7)</f>
        <v>94935167</v>
      </c>
      <c r="F7" s="87">
        <f>-SUMIFS(FINANCIACION[$ CAPITAL],
FINANCIACION[Fecha],"&lt;="&amp;EOMONTH(F$1,0),
FINANCIACION[PRESTAMO],$A7)</f>
        <v>94935167</v>
      </c>
      <c r="G7" s="87">
        <f>-SUMIFS(FINANCIACION[$ CAPITAL],
FINANCIACION[Fecha],"&lt;="&amp;EOMONTH(G$1,0),
FINANCIACION[PRESTAMO],$A7)</f>
        <v>94935167</v>
      </c>
      <c r="H7" s="87">
        <f>-SUMIFS(FINANCIACION[$ CAPITAL],
FINANCIACION[Fecha],"&lt;="&amp;EOMONTH(H$1,0),
FINANCIACION[PRESTAMO],$A7)</f>
        <v>94935167</v>
      </c>
      <c r="I7" s="87">
        <f>-SUMIFS(FINANCIACION[$ CAPITAL],
FINANCIACION[Fecha],"&lt;="&amp;EOMONTH(I$1,0),
FINANCIACION[PRESTAMO],$A7)</f>
        <v>94935167</v>
      </c>
      <c r="J7" s="87">
        <f>-SUMIFS(FINANCIACION[$ CAPITAL],
FINANCIACION[Fecha],"&lt;="&amp;EOMONTH(J$1,0),
FINANCIACION[PRESTAMO],$A7)</f>
        <v>94935167</v>
      </c>
      <c r="K7" s="87">
        <f>-SUMIFS(FINANCIACION[$ CAPITAL],
FINANCIACION[Fecha],"&lt;="&amp;EOMONTH(K$1,0),
FINANCIACION[PRESTAMO],$A7)</f>
        <v>94935167</v>
      </c>
      <c r="L7" s="87">
        <f>-SUMIFS(FINANCIACION[$ CAPITAL],
FINANCIACION[Fecha],"&lt;="&amp;EOMONTH(L$1,0),
FINANCIACION[PRESTAMO],$A7)</f>
        <v>91018167</v>
      </c>
      <c r="M7" s="87">
        <f>-SUMIFS(FINANCIACION[$ CAPITAL],
FINANCIACION[Fecha],"&lt;="&amp;EOMONTH(M$1,0),
FINANCIACION[PRESTAMO],$A7)</f>
        <v>89362448.670000002</v>
      </c>
      <c r="N7" s="87">
        <f>-SUMIFS(FINANCIACION[$ CAPITAL],
FINANCIACION[Fecha],"&lt;="&amp;EOMONTH(N$1,0),
FINANCIACION[PRESTAMO],$A7)</f>
        <v>87690173.1567</v>
      </c>
      <c r="O7" s="87">
        <f>-SUMIFS(FINANCIACION[$ CAPITAL],
FINANCIACION[Fecha],"&lt;="&amp;EOMONTH(O$1,0),
FINANCIACION[PRESTAMO],$A7)</f>
        <v>86017897.643399999</v>
      </c>
      <c r="P7" s="87">
        <f>-SUMIFS(FINANCIACION[$ CAPITAL],
FINANCIACION[Fecha],"&lt;="&amp;EOMONTH(P$1,0),
FINANCIACION[PRESTAMO],$A7)</f>
        <v>84312176.619834006</v>
      </c>
      <c r="Q7" s="87">
        <f>-SUMIFS(FINANCIACION[$ CAPITAL],
FINANCIACION[Fecha],"&lt;="&amp;EOMONTH(Q$1,0),
FINANCIACION[PRESTAMO],$A7)</f>
        <v>82589398.386032343</v>
      </c>
      <c r="R7" s="87">
        <f>-SUMIFS(FINANCIACION[$ CAPITAL],
FINANCIACION[Fecha],"&lt;="&amp;EOMONTH(R$1,0),
FINANCIACION[PRESTAMO],$A7)</f>
        <v>82589398.386032343</v>
      </c>
      <c r="S7" s="87">
        <f>-SUMIFS(FINANCIACION[$ CAPITAL],
FINANCIACION[Fecha],"&lt;="&amp;EOMONTH(S$1,0),
FINANCIACION[PRESTAMO],$A7)</f>
        <v>80737892.369892672</v>
      </c>
      <c r="T7" s="87">
        <f>-SUMIFS(FINANCIACION[$ CAPITAL],
FINANCIACION[Fecha],"&lt;="&amp;EOMONTH(T$1,0),
FINANCIACION[PRESTAMO],$A7)</f>
        <v>78877893.293591604</v>
      </c>
      <c r="U7" s="87">
        <f>-SUMIFS(FINANCIACION[$ CAPITAL],
FINANCIACION[Fecha],"&lt;="&amp;EOMONTH(U$1,0),
FINANCIACION[PRESTAMO],$A7)</f>
        <v>76999294.226527512</v>
      </c>
      <c r="V7" s="87">
        <f>-SUMIFS(FINANCIACION[$ CAPITAL],
FINANCIACION[Fecha],"&lt;="&amp;EOMONTH(V$1,0),
FINANCIACION[PRESTAMO],$A7)</f>
        <v>75091909.168792784</v>
      </c>
      <c r="W7" s="87">
        <f>-SUMIFS(FINANCIACION[$ CAPITAL],
FINANCIACION[Fecha],"&lt;="&amp;EOMONTH(W$1,0),
FINANCIACION[PRESTAMO],$A7)</f>
        <v>73165450.260480717</v>
      </c>
      <c r="X7" s="87">
        <f>-SUMIFS(FINANCIACION[$ CAPITAL],
FINANCIACION[Fecha],"&lt;="&amp;EOMONTH(X$1,0),
FINANCIACION[PRESTAMO],$A7)</f>
        <v>71219726.763085529</v>
      </c>
      <c r="Y7" s="87">
        <f>-SUMIFS(FINANCIACION[$ CAPITAL],
FINANCIACION[Fecha],"&lt;="&amp;EOMONTH(Y$1,0),
FINANCIACION[PRESTAMO],$A7)</f>
        <v>69254546.030716389</v>
      </c>
    </row>
    <row r="8" spans="1:25" ht="21.6" customHeight="1" x14ac:dyDescent="0.25">
      <c r="A8" s="74" t="s">
        <v>444</v>
      </c>
      <c r="B8" s="87">
        <f>-SUMIFS(FINANCIACION[$ CAPITAL],
FINANCIACION[Fecha],"&lt;="&amp;EOMONTH(B$1,0),
FINANCIACION[PRESTAMO],$A8)</f>
        <v>0</v>
      </c>
      <c r="C8" s="87">
        <f>-SUMIFS(FINANCIACION[$ CAPITAL],
FINANCIACION[Fecha],"&lt;="&amp;EOMONTH(C$1,0),
FINANCIACION[PRESTAMO],$A8)</f>
        <v>0</v>
      </c>
      <c r="D8" s="87">
        <f>-SUMIFS(FINANCIACION[$ CAPITAL],
FINANCIACION[Fecha],"&lt;="&amp;EOMONTH(D$1,0),
FINANCIACION[PRESTAMO],$A8)</f>
        <v>0</v>
      </c>
      <c r="E8" s="87">
        <f>-SUMIFS(FINANCIACION[$ CAPITAL],
FINANCIACION[Fecha],"&lt;="&amp;EOMONTH(E$1,0),
FINANCIACION[PRESTAMO],$A8)</f>
        <v>0</v>
      </c>
      <c r="F8" s="87">
        <f>-SUMIFS(FINANCIACION[$ CAPITAL],
FINANCIACION[Fecha],"&lt;="&amp;EOMONTH(F$1,0),
FINANCIACION[PRESTAMO],$A8)</f>
        <v>0</v>
      </c>
      <c r="G8" s="87">
        <f>-SUMIFS(FINANCIACION[$ CAPITAL],
FINANCIACION[Fecha],"&lt;="&amp;EOMONTH(G$1,0),
FINANCIACION[PRESTAMO],$A8)</f>
        <v>0</v>
      </c>
      <c r="H8" s="87">
        <f>-SUMIFS(FINANCIACION[$ CAPITAL],
FINANCIACION[Fecha],"&lt;="&amp;EOMONTH(H$1,0),
FINANCIACION[PRESTAMO],$A8)</f>
        <v>0</v>
      </c>
      <c r="I8" s="87">
        <f>-SUMIFS(FINANCIACION[$ CAPITAL],
FINANCIACION[Fecha],"&lt;="&amp;EOMONTH(I$1,0),
FINANCIACION[PRESTAMO],$A8)</f>
        <v>0</v>
      </c>
      <c r="J8" s="87">
        <f>-SUMIFS(FINANCIACION[$ CAPITAL],
FINANCIACION[Fecha],"&lt;="&amp;EOMONTH(J$1,0),
FINANCIACION[PRESTAMO],$A8)</f>
        <v>0</v>
      </c>
      <c r="K8" s="87">
        <f>-SUMIFS(FINANCIACION[$ CAPITAL],
FINANCIACION[Fecha],"&lt;="&amp;EOMONTH(K$1,0),
FINANCIACION[PRESTAMO],$A8)</f>
        <v>0</v>
      </c>
      <c r="L8" s="87">
        <f>-SUMIFS(FINANCIACION[$ CAPITAL],
FINANCIACION[Fecha],"&lt;="&amp;EOMONTH(L$1,0),
FINANCIACION[PRESTAMO],$A8)</f>
        <v>0</v>
      </c>
      <c r="M8" s="87">
        <f>-SUMIFS(FINANCIACION[$ CAPITAL],
FINANCIACION[Fecha],"&lt;="&amp;EOMONTH(M$1,0),
FINANCIACION[PRESTAMO],$A8)</f>
        <v>20000000</v>
      </c>
      <c r="N8" s="87">
        <f>-SUMIFS(FINANCIACION[$ CAPITAL],
FINANCIACION[Fecha],"&lt;="&amp;EOMONTH(N$1,0),
FINANCIACION[PRESTAMO],$A8)</f>
        <v>3000000</v>
      </c>
      <c r="O8" s="87">
        <f>-SUMIFS(FINANCIACION[$ CAPITAL],
FINANCIACION[Fecha],"&lt;="&amp;EOMONTH(O$1,0),
FINANCIACION[PRESTAMO],$A8)</f>
        <v>0</v>
      </c>
      <c r="P8" s="87">
        <f>-SUMIFS(FINANCIACION[$ CAPITAL],
FINANCIACION[Fecha],"&lt;="&amp;EOMONTH(P$1,0),
FINANCIACION[PRESTAMO],$A8)</f>
        <v>0</v>
      </c>
      <c r="Q8" s="87">
        <f>-SUMIFS(FINANCIACION[$ CAPITAL],
FINANCIACION[Fecha],"&lt;="&amp;EOMONTH(Q$1,0),
FINANCIACION[PRESTAMO],$A8)</f>
        <v>22000000</v>
      </c>
      <c r="R8" s="87">
        <f>-SUMIFS(FINANCIACION[$ CAPITAL],
FINANCIACION[Fecha],"&lt;="&amp;EOMONTH(R$1,0),
FINANCIACION[PRESTAMO],$A8)</f>
        <v>22000000</v>
      </c>
      <c r="S8" s="87">
        <f>-SUMIFS(FINANCIACION[$ CAPITAL],
FINANCIACION[Fecha],"&lt;="&amp;EOMONTH(S$1,0),
FINANCIACION[PRESTAMO],$A8)</f>
        <v>22000000</v>
      </c>
      <c r="T8" s="87">
        <f>-SUMIFS(FINANCIACION[$ CAPITAL],
FINANCIACION[Fecha],"&lt;="&amp;EOMONTH(T$1,0),
FINANCIACION[PRESTAMO],$A8)</f>
        <v>22000000</v>
      </c>
      <c r="U8" s="87">
        <f>-SUMIFS(FINANCIACION[$ CAPITAL],
FINANCIACION[Fecha],"&lt;="&amp;EOMONTH(U$1,0),
FINANCIACION[PRESTAMO],$A8)</f>
        <v>0</v>
      </c>
      <c r="V8" s="87">
        <f>-SUMIFS(FINANCIACION[$ CAPITAL],
FINANCIACION[Fecha],"&lt;="&amp;EOMONTH(V$1,0),
FINANCIACION[PRESTAMO],$A8)</f>
        <v>0</v>
      </c>
      <c r="W8" s="87">
        <f>-SUMIFS(FINANCIACION[$ CAPITAL],
FINANCIACION[Fecha],"&lt;="&amp;EOMONTH(W$1,0),
FINANCIACION[PRESTAMO],$A8)</f>
        <v>0</v>
      </c>
      <c r="X8" s="87">
        <f>-SUMIFS(FINANCIACION[$ CAPITAL],
FINANCIACION[Fecha],"&lt;="&amp;EOMONTH(X$1,0),
FINANCIACION[PRESTAMO],$A8)</f>
        <v>0</v>
      </c>
      <c r="Y8" s="87">
        <f>-SUMIFS(FINANCIACION[$ CAPITAL],
FINANCIACION[Fecha],"&lt;="&amp;EOMONTH(Y$1,0),
FINANCIACION[PRESTAMO],$A8)</f>
        <v>30000000</v>
      </c>
    </row>
    <row r="9" spans="1:25" ht="21.6" customHeight="1" x14ac:dyDescent="0.25">
      <c r="A9" s="74" t="s">
        <v>544</v>
      </c>
      <c r="B9" s="87">
        <f>-SUMIFS(FINANCIACION[$ CAPITAL],
FINANCIACION[Fecha],"&lt;="&amp;EOMONTH(B$1,0),
FINANCIACION[PRESTAMO],$A9)</f>
        <v>0</v>
      </c>
      <c r="C9" s="87">
        <f>-SUMIFS(FINANCIACION[$ CAPITAL],
FINANCIACION[Fecha],"&lt;="&amp;EOMONTH(C$1,0),
FINANCIACION[PRESTAMO],$A9)</f>
        <v>0</v>
      </c>
      <c r="D9" s="87">
        <f>-SUMIFS(FINANCIACION[$ CAPITAL],
FINANCIACION[Fecha],"&lt;="&amp;EOMONTH(D$1,0),
FINANCIACION[PRESTAMO],$A9)</f>
        <v>0</v>
      </c>
      <c r="E9" s="87">
        <f>-SUMIFS(FINANCIACION[$ CAPITAL],
FINANCIACION[Fecha],"&lt;="&amp;EOMONTH(E$1,0),
FINANCIACION[PRESTAMO],$A9)</f>
        <v>0</v>
      </c>
      <c r="F9" s="87">
        <f>-SUMIFS(FINANCIACION[$ CAPITAL],
FINANCIACION[Fecha],"&lt;="&amp;EOMONTH(F$1,0),
FINANCIACION[PRESTAMO],$A9)</f>
        <v>0</v>
      </c>
      <c r="G9" s="87">
        <f>-SUMIFS(FINANCIACION[$ CAPITAL],
FINANCIACION[Fecha],"&lt;="&amp;EOMONTH(G$1,0),
FINANCIACION[PRESTAMO],$A9)</f>
        <v>0</v>
      </c>
      <c r="H9" s="87">
        <f>-SUMIFS(FINANCIACION[$ CAPITAL],
FINANCIACION[Fecha],"&lt;="&amp;EOMONTH(H$1,0),
FINANCIACION[PRESTAMO],$A9)</f>
        <v>0</v>
      </c>
      <c r="I9" s="87">
        <f>-SUMIFS(FINANCIACION[$ CAPITAL],
FINANCIACION[Fecha],"&lt;="&amp;EOMONTH(I$1,0),
FINANCIACION[PRESTAMO],$A9)</f>
        <v>0</v>
      </c>
      <c r="J9" s="87">
        <f>-SUMIFS(FINANCIACION[$ CAPITAL],
FINANCIACION[Fecha],"&lt;="&amp;EOMONTH(J$1,0),
FINANCIACION[PRESTAMO],$A9)</f>
        <v>0</v>
      </c>
      <c r="K9" s="87">
        <f>-SUMIFS(FINANCIACION[$ CAPITAL],
FINANCIACION[Fecha],"&lt;="&amp;EOMONTH(K$1,0),
FINANCIACION[PRESTAMO],$A9)</f>
        <v>0</v>
      </c>
      <c r="L9" s="87">
        <f>-SUMIFS(FINANCIACION[$ CAPITAL],
FINANCIACION[Fecha],"&lt;="&amp;EOMONTH(L$1,0),
FINANCIACION[PRESTAMO],$A9)</f>
        <v>0</v>
      </c>
      <c r="M9" s="87">
        <f>-SUMIFS(FINANCIACION[$ CAPITAL],
FINANCIACION[Fecha],"&lt;="&amp;EOMONTH(M$1,0),
FINANCIACION[PRESTAMO],$A9)</f>
        <v>0</v>
      </c>
      <c r="N9" s="87">
        <f>-SUMIFS(FINANCIACION[$ CAPITAL],
FINANCIACION[Fecha],"&lt;="&amp;EOMONTH(N$1,0),
FINANCIACION[PRESTAMO],$A9)</f>
        <v>0</v>
      </c>
      <c r="O9" s="87">
        <f>-SUMIFS(FINANCIACION[$ CAPITAL],
FINANCIACION[Fecha],"&lt;="&amp;EOMONTH(O$1,0),
FINANCIACION[PRESTAMO],$A9)</f>
        <v>0</v>
      </c>
      <c r="P9" s="87">
        <f>-SUMIFS(FINANCIACION[$ CAPITAL],
FINANCIACION[Fecha],"&lt;="&amp;EOMONTH(P$1,0),
FINANCIACION[PRESTAMO],$A9)</f>
        <v>0</v>
      </c>
      <c r="Q9" s="87">
        <f>-SUMIFS(FINANCIACION[$ CAPITAL],
FINANCIACION[Fecha],"&lt;="&amp;EOMONTH(Q$1,0),
FINANCIACION[PRESTAMO],$A9)</f>
        <v>0</v>
      </c>
      <c r="R9" s="87">
        <f>-SUMIFS(FINANCIACION[$ CAPITAL],
FINANCIACION[Fecha],"&lt;="&amp;EOMONTH(R$1,0),
FINANCIACION[PRESTAMO],$A9)</f>
        <v>0</v>
      </c>
      <c r="S9" s="87">
        <f>-SUMIFS(FINANCIACION[$ CAPITAL],
FINANCIACION[Fecha],"&lt;="&amp;EOMONTH(S$1,0),
FINANCIACION[PRESTAMO],$A9)</f>
        <v>0</v>
      </c>
      <c r="T9" s="87">
        <f>-SUMIFS(FINANCIACION[$ CAPITAL],
FINANCIACION[Fecha],"&lt;="&amp;EOMONTH(T$1,0),
FINANCIACION[PRESTAMO],$A9)</f>
        <v>0</v>
      </c>
      <c r="U9" s="87">
        <f>-SUMIFS(FINANCIACION[$ CAPITAL],
FINANCIACION[Fecha],"&lt;="&amp;EOMONTH(U$1,0),
FINANCIACION[PRESTAMO],$A9)</f>
        <v>0</v>
      </c>
      <c r="V9" s="87">
        <f>-SUMIFS(FINANCIACION[$ CAPITAL],
FINANCIACION[Fecha],"&lt;="&amp;EOMONTH(V$1,0),
FINANCIACION[PRESTAMO],$A9)</f>
        <v>0</v>
      </c>
      <c r="W9" s="87">
        <f>-SUMIFS(FINANCIACION[$ CAPITAL],
FINANCIACION[Fecha],"&lt;="&amp;EOMONTH(W$1,0),
FINANCIACION[PRESTAMO],$A9)</f>
        <v>0</v>
      </c>
      <c r="X9" s="87">
        <f>-SUMIFS(FINANCIACION[$ CAPITAL],
FINANCIACION[Fecha],"&lt;="&amp;EOMONTH(X$1,0),
FINANCIACION[PRESTAMO],$A9)</f>
        <v>4500000</v>
      </c>
      <c r="Y9" s="87">
        <f>-SUMIFS(FINANCIACION[$ CAPITAL],
FINANCIACION[Fecha],"&lt;="&amp;EOMONTH(Y$1,0),
FINANCIACION[PRESTAMO],$A9)</f>
        <v>4500000</v>
      </c>
    </row>
    <row r="10" spans="1:25" ht="21.6" customHeight="1" x14ac:dyDescent="0.25">
      <c r="A10" s="74" t="s">
        <v>445</v>
      </c>
      <c r="B10" s="87">
        <f>-SUMIFS(FINANCIACION[$ CAPITAL],
FINANCIACION[Fecha],"&lt;="&amp;EOMONTH(B$1,0),
FINANCIACION[PRESTAMO],$A10)</f>
        <v>7000000</v>
      </c>
      <c r="C10" s="87">
        <f>-SUMIFS(FINANCIACION[$ CAPITAL],
FINANCIACION[Fecha],"&lt;="&amp;EOMONTH(C$1,0),
FINANCIACION[PRESTAMO],$A10)</f>
        <v>7000000</v>
      </c>
      <c r="D10" s="87">
        <f>-SUMIFS(FINANCIACION[$ CAPITAL],
FINANCIACION[Fecha],"&lt;="&amp;EOMONTH(D$1,0),
FINANCIACION[PRESTAMO],$A10)</f>
        <v>7000000</v>
      </c>
      <c r="E10" s="87">
        <f>-SUMIFS(FINANCIACION[$ CAPITAL],
FINANCIACION[Fecha],"&lt;="&amp;EOMONTH(E$1,0),
FINANCIACION[PRESTAMO],$A10)</f>
        <v>6000000</v>
      </c>
      <c r="F10" s="87">
        <f>-SUMIFS(FINANCIACION[$ CAPITAL],
FINANCIACION[Fecha],"&lt;="&amp;EOMONTH(F$1,0),
FINANCIACION[PRESTAMO],$A10)</f>
        <v>6000000</v>
      </c>
      <c r="G10" s="87">
        <f>-SUMIFS(FINANCIACION[$ CAPITAL],
FINANCIACION[Fecha],"&lt;="&amp;EOMONTH(G$1,0),
FINANCIACION[PRESTAMO],$A10)</f>
        <v>6000000</v>
      </c>
      <c r="H10" s="87">
        <f>-SUMIFS(FINANCIACION[$ CAPITAL],
FINANCIACION[Fecha],"&lt;="&amp;EOMONTH(H$1,0),
FINANCIACION[PRESTAMO],$A10)</f>
        <v>0</v>
      </c>
      <c r="I10" s="87">
        <f>-SUMIFS(FINANCIACION[$ CAPITAL],
FINANCIACION[Fecha],"&lt;="&amp;EOMONTH(I$1,0),
FINANCIACION[PRESTAMO],$A10)</f>
        <v>0</v>
      </c>
      <c r="J10" s="87">
        <f>-SUMIFS(FINANCIACION[$ CAPITAL],
FINANCIACION[Fecha],"&lt;="&amp;EOMONTH(J$1,0),
FINANCIACION[PRESTAMO],$A10)</f>
        <v>0</v>
      </c>
      <c r="K10" s="87">
        <f>-SUMIFS(FINANCIACION[$ CAPITAL],
FINANCIACION[Fecha],"&lt;="&amp;EOMONTH(K$1,0),
FINANCIACION[PRESTAMO],$A10)</f>
        <v>0</v>
      </c>
      <c r="L10" s="87">
        <f>-SUMIFS(FINANCIACION[$ CAPITAL],
FINANCIACION[Fecha],"&lt;="&amp;EOMONTH(L$1,0),
FINANCIACION[PRESTAMO],$A10)</f>
        <v>0</v>
      </c>
      <c r="M10" s="87">
        <f>-SUMIFS(FINANCIACION[$ CAPITAL],
FINANCIACION[Fecha],"&lt;="&amp;EOMONTH(M$1,0),
FINANCIACION[PRESTAMO],$A10)</f>
        <v>0</v>
      </c>
      <c r="N10" s="87">
        <f>-SUMIFS(FINANCIACION[$ CAPITAL],
FINANCIACION[Fecha],"&lt;="&amp;EOMONTH(N$1,0),
FINANCIACION[PRESTAMO],$A10)</f>
        <v>0</v>
      </c>
      <c r="O10" s="87">
        <f>-SUMIFS(FINANCIACION[$ CAPITAL],
FINANCIACION[Fecha],"&lt;="&amp;EOMONTH(O$1,0),
FINANCIACION[PRESTAMO],$A10)</f>
        <v>0</v>
      </c>
      <c r="P10" s="87">
        <f>-SUMIFS(FINANCIACION[$ CAPITAL],
FINANCIACION[Fecha],"&lt;="&amp;EOMONTH(P$1,0),
FINANCIACION[PRESTAMO],$A10)</f>
        <v>0</v>
      </c>
      <c r="Q10" s="87">
        <f>-SUMIFS(FINANCIACION[$ CAPITAL],
FINANCIACION[Fecha],"&lt;="&amp;EOMONTH(Q$1,0),
FINANCIACION[PRESTAMO],$A10)</f>
        <v>0</v>
      </c>
      <c r="R10" s="87">
        <f>-SUMIFS(FINANCIACION[$ CAPITAL],
FINANCIACION[Fecha],"&lt;="&amp;EOMONTH(R$1,0),
FINANCIACION[PRESTAMO],$A10)</f>
        <v>0</v>
      </c>
      <c r="S10" s="87">
        <f>-SUMIFS(FINANCIACION[$ CAPITAL],
FINANCIACION[Fecha],"&lt;="&amp;EOMONTH(S$1,0),
FINANCIACION[PRESTAMO],$A10)</f>
        <v>0</v>
      </c>
      <c r="T10" s="87">
        <f>-SUMIFS(FINANCIACION[$ CAPITAL],
FINANCIACION[Fecha],"&lt;="&amp;EOMONTH(T$1,0),
FINANCIACION[PRESTAMO],$A10)</f>
        <v>0</v>
      </c>
      <c r="U10" s="87">
        <f>-SUMIFS(FINANCIACION[$ CAPITAL],
FINANCIACION[Fecha],"&lt;="&amp;EOMONTH(U$1,0),
FINANCIACION[PRESTAMO],$A10)</f>
        <v>0</v>
      </c>
      <c r="V10" s="87">
        <f>-SUMIFS(FINANCIACION[$ CAPITAL],
FINANCIACION[Fecha],"&lt;="&amp;EOMONTH(V$1,0),
FINANCIACION[PRESTAMO],$A10)</f>
        <v>0</v>
      </c>
      <c r="W10" s="87">
        <f>-SUMIFS(FINANCIACION[$ CAPITAL],
FINANCIACION[Fecha],"&lt;="&amp;EOMONTH(W$1,0),
FINANCIACION[PRESTAMO],$A10)</f>
        <v>0</v>
      </c>
      <c r="X10" s="87">
        <f>-SUMIFS(FINANCIACION[$ CAPITAL],
FINANCIACION[Fecha],"&lt;="&amp;EOMONTH(X$1,0),
FINANCIACION[PRESTAMO],$A10)</f>
        <v>0</v>
      </c>
      <c r="Y10" s="87">
        <f>-SUMIFS(FINANCIACION[$ CAPITAL],
FINANCIACION[Fecha],"&lt;="&amp;EOMONTH(Y$1,0),
FINANCIACION[PRESTAMO],$A10)</f>
        <v>0</v>
      </c>
    </row>
    <row r="11" spans="1:25" ht="21.6" customHeight="1" x14ac:dyDescent="0.25">
      <c r="A11" s="74" t="s">
        <v>446</v>
      </c>
      <c r="B11" s="87">
        <f>-SUMIFS(FINANCIACION[$ CAPITAL],
FINANCIACION[Fecha],"&lt;="&amp;EOMONTH(B$1,0),
FINANCIACION[PRESTAMO],$A11)</f>
        <v>84000000</v>
      </c>
      <c r="C11" s="87">
        <f>-SUMIFS(FINANCIACION[$ CAPITAL],
FINANCIACION[Fecha],"&lt;="&amp;EOMONTH(C$1,0),
FINANCIACION[PRESTAMO],$A11)</f>
        <v>84000000</v>
      </c>
      <c r="D11" s="87">
        <f>-SUMIFS(FINANCIACION[$ CAPITAL],
FINANCIACION[Fecha],"&lt;="&amp;EOMONTH(D$1,0),
FINANCIACION[PRESTAMO],$A11)</f>
        <v>84000000</v>
      </c>
      <c r="E11" s="87">
        <f>-SUMIFS(FINANCIACION[$ CAPITAL],
FINANCIACION[Fecha],"&lt;="&amp;EOMONTH(E$1,0),
FINANCIACION[PRESTAMO],$A11)</f>
        <v>84000000</v>
      </c>
      <c r="F11" s="87">
        <f>-SUMIFS(FINANCIACION[$ CAPITAL],
FINANCIACION[Fecha],"&lt;="&amp;EOMONTH(F$1,0),
FINANCIACION[PRESTAMO],$A11)</f>
        <v>84000000</v>
      </c>
      <c r="G11" s="87">
        <f>-SUMIFS(FINANCIACION[$ CAPITAL],
FINANCIACION[Fecha],"&lt;="&amp;EOMONTH(G$1,0),
FINANCIACION[PRESTAMO],$A11)</f>
        <v>84000000</v>
      </c>
      <c r="H11" s="87">
        <f>-SUMIFS(FINANCIACION[$ CAPITAL],
FINANCIACION[Fecha],"&lt;="&amp;EOMONTH(H$1,0),
FINANCIACION[PRESTAMO],$A11)</f>
        <v>15000000</v>
      </c>
      <c r="I11" s="87">
        <f>-SUMIFS(FINANCIACION[$ CAPITAL],
FINANCIACION[Fecha],"&lt;="&amp;EOMONTH(I$1,0),
FINANCIACION[PRESTAMO],$A11)</f>
        <v>15000000</v>
      </c>
      <c r="J11" s="87">
        <f>-SUMIFS(FINANCIACION[$ CAPITAL],
FINANCIACION[Fecha],"&lt;="&amp;EOMONTH(J$1,0),
FINANCIACION[PRESTAMO],$A11)</f>
        <v>15000000</v>
      </c>
      <c r="K11" s="87">
        <f>-SUMIFS(FINANCIACION[$ CAPITAL],
FINANCIACION[Fecha],"&lt;="&amp;EOMONTH(K$1,0),
FINANCIACION[PRESTAMO],$A11)</f>
        <v>14150000</v>
      </c>
      <c r="L11" s="87">
        <f>-SUMIFS(FINANCIACION[$ CAPITAL],
FINANCIACION[Fecha],"&lt;="&amp;EOMONTH(L$1,0),
FINANCIACION[PRESTAMO],$A11)</f>
        <v>13291500</v>
      </c>
      <c r="M11" s="87">
        <f>-SUMIFS(FINANCIACION[$ CAPITAL],
FINANCIACION[Fecha],"&lt;="&amp;EOMONTH(M$1,0),
FINANCIACION[PRESTAMO],$A11)</f>
        <v>12424415</v>
      </c>
      <c r="N11" s="87">
        <f>-SUMIFS(FINANCIACION[$ CAPITAL],
FINANCIACION[Fecha],"&lt;="&amp;EOMONTH(N$1,0),
FINANCIACION[PRESTAMO],$A11)</f>
        <v>11548659.15</v>
      </c>
      <c r="O11" s="87">
        <f>-SUMIFS(FINANCIACION[$ CAPITAL],
FINANCIACION[Fecha],"&lt;="&amp;EOMONTH(O$1,0),
FINANCIACION[PRESTAMO],$A11)</f>
        <v>60672903.299999997</v>
      </c>
      <c r="P11" s="87">
        <f>-SUMIFS(FINANCIACION[$ CAPITAL],
FINANCIACION[Fecha],"&lt;="&amp;EOMONTH(P$1,0),
FINANCIACION[PRESTAMO],$A11)</f>
        <v>60080000</v>
      </c>
      <c r="Q11" s="87">
        <f>-SUMIFS(FINANCIACION[$ CAPITAL],
FINANCIACION[Fecha],"&lt;="&amp;EOMONTH(Q$1,0),
FINANCIACION[PRESTAMO],$A11)</f>
        <v>59380800</v>
      </c>
      <c r="R11" s="87">
        <f>-SUMIFS(FINANCIACION[$ CAPITAL],
FINANCIACION[Fecha],"&lt;="&amp;EOMONTH(R$1,0),
FINANCIACION[PRESTAMO],$A11)</f>
        <v>58674608</v>
      </c>
      <c r="S11" s="87">
        <f>-SUMIFS(FINANCIACION[$ CAPITAL],
FINANCIACION[Fecha],"&lt;="&amp;EOMONTH(S$1,0),
FINANCIACION[PRESTAMO],$A11)</f>
        <v>57961354.079999998</v>
      </c>
      <c r="T11" s="87">
        <f>-SUMIFS(FINANCIACION[$ CAPITAL],
FINANCIACION[Fecha],"&lt;="&amp;EOMONTH(T$1,0),
FINANCIACION[PRESTAMO],$A11)</f>
        <v>57240967.620799996</v>
      </c>
      <c r="U11" s="87">
        <f>-SUMIFS(FINANCIACION[$ CAPITAL],
FINANCIACION[Fecha],"&lt;="&amp;EOMONTH(U$1,0),
FINANCIACION[PRESTAMO],$A11)</f>
        <v>56513377.297007993</v>
      </c>
      <c r="V11" s="87">
        <f>-SUMIFS(FINANCIACION[$ CAPITAL],
FINANCIACION[Fecha],"&lt;="&amp;EOMONTH(V$1,0),
FINANCIACION[PRESTAMO],$A11)</f>
        <v>55778511.069978073</v>
      </c>
      <c r="W11" s="87">
        <f>-SUMIFS(FINANCIACION[$ CAPITAL],
FINANCIACION[Fecha],"&lt;="&amp;EOMONTH(W$1,0),
FINANCIACION[PRESTAMO],$A11)</f>
        <v>55036296.180677854</v>
      </c>
      <c r="X11" s="87">
        <f>-SUMIFS(FINANCIACION[$ CAPITAL],
FINANCIACION[Fecha],"&lt;="&amp;EOMONTH(X$1,0),
FINANCIACION[PRESTAMO],$A11)</f>
        <v>54286659.180677854</v>
      </c>
      <c r="Y11" s="87">
        <f>-SUMIFS(FINANCIACION[$ CAPITAL],
FINANCIACION[Fecha],"&lt;="&amp;EOMONTH(Y$1,0),
FINANCIACION[PRESTAMO],$A11)</f>
        <v>53529525.772102699</v>
      </c>
    </row>
    <row r="12" spans="1:25" ht="21.6" customHeight="1" x14ac:dyDescent="0.25">
      <c r="A12" s="74" t="s">
        <v>447</v>
      </c>
      <c r="B12" s="87">
        <f>-SUMIFS(FINANCIACION[$ CAPITAL],
FINANCIACION[Fecha],"&lt;="&amp;EOMONTH(B$1,0),
FINANCIACION[PRESTAMO],$A12)</f>
        <v>66939154</v>
      </c>
      <c r="C12" s="87">
        <f>-SUMIFS(FINANCIACION[$ CAPITAL],
FINANCIACION[Fecha],"&lt;="&amp;EOMONTH(C$1,0),
FINANCIACION[PRESTAMO],$A12)</f>
        <v>67199060</v>
      </c>
      <c r="D12" s="87">
        <f>-SUMIFS(FINANCIACION[$ CAPITAL],
FINANCIACION[Fecha],"&lt;="&amp;EOMONTH(D$1,0),
FINANCIACION[PRESTAMO],$A12)</f>
        <v>67199060</v>
      </c>
      <c r="E12" s="87">
        <f>-SUMIFS(FINANCIACION[$ CAPITAL],
FINANCIACION[Fecha],"&lt;="&amp;EOMONTH(E$1,0),
FINANCIACION[PRESTAMO],$A12)</f>
        <v>67199060</v>
      </c>
      <c r="F12" s="87">
        <f>-SUMIFS(FINANCIACION[$ CAPITAL],
FINANCIACION[Fecha],"&lt;="&amp;EOMONTH(F$1,0),
FINANCIACION[PRESTAMO],$A12)</f>
        <v>67199060</v>
      </c>
      <c r="G12" s="87">
        <f>-SUMIFS(FINANCIACION[$ CAPITAL],
FINANCIACION[Fecha],"&lt;="&amp;EOMONTH(G$1,0),
FINANCIACION[PRESTAMO],$A12)</f>
        <v>66939060</v>
      </c>
      <c r="H12" s="87">
        <f>-SUMIFS(FINANCIACION[$ CAPITAL],
FINANCIACION[Fecha],"&lt;="&amp;EOMONTH(H$1,0),
FINANCIACION[PRESTAMO],$A12)</f>
        <v>66579060</v>
      </c>
      <c r="I12" s="87">
        <f>-SUMIFS(FINANCIACION[$ CAPITAL],
FINANCIACION[Fecha],"&lt;="&amp;EOMONTH(I$1,0),
FINANCIACION[PRESTAMO],$A12)</f>
        <v>66579060</v>
      </c>
      <c r="J12" s="87">
        <f>-SUMIFS(FINANCIACION[$ CAPITAL],
FINANCIACION[Fecha],"&lt;="&amp;EOMONTH(J$1,0),
FINANCIACION[PRESTAMO],$A12)</f>
        <v>66244860</v>
      </c>
      <c r="K12" s="87">
        <f>-SUMIFS(FINANCIACION[$ CAPITAL],
FINANCIACION[Fecha],"&lt;="&amp;EOMONTH(K$1,0),
FINANCIACION[PRESTAMO],$A12)</f>
        <v>65707310</v>
      </c>
      <c r="L12" s="87">
        <f>-SUMIFS(FINANCIACION[$ CAPITAL],
FINANCIACION[Fecha],"&lt;="&amp;EOMONTH(L$1,0),
FINANCIACION[PRESTAMO],$A12)</f>
        <v>65164383.100000001</v>
      </c>
      <c r="M12" s="87">
        <f>-SUMIFS(FINANCIACION[$ CAPITAL],
FINANCIACION[Fecha],"&lt;="&amp;EOMONTH(M$1,0),
FINANCIACION[PRESTAMO],$A12)</f>
        <v>66965431.858707003</v>
      </c>
      <c r="N12" s="87">
        <f>-SUMIFS(FINANCIACION[$ CAPITAL],
FINANCIACION[Fecha],"&lt;="&amp;EOMONTH(N$1,0),
FINANCIACION[PRESTAMO],$A12)</f>
        <v>66411592.128007002</v>
      </c>
      <c r="O12" s="87">
        <f>-SUMIFS(FINANCIACION[$ CAPITAL],
FINANCIACION[Fecha],"&lt;="&amp;EOMONTH(O$1,0),
FINANCIACION[PRESTAMO],$A12)</f>
        <v>74731214</v>
      </c>
      <c r="P12" s="87">
        <f>-SUMIFS(FINANCIACION[$ CAPITAL],
FINANCIACION[Fecha],"&lt;="&amp;EOMONTH(P$1,0),
FINANCIACION[PRESTAMO],$A12)</f>
        <v>74178526.140000001</v>
      </c>
      <c r="Q12" s="87">
        <f>-SUMIFS(FINANCIACION[$ CAPITAL],
FINANCIACION[Fecha],"&lt;="&amp;EOMONTH(Q$1,0),
FINANCIACION[PRESTAMO],$A12)</f>
        <v>74178526.140000001</v>
      </c>
      <c r="R12" s="87">
        <f>-SUMIFS(FINANCIACION[$ CAPITAL],
FINANCIACION[Fecha],"&lt;="&amp;EOMONTH(R$1,0),
FINANCIACION[PRESTAMO],$A12)</f>
        <v>73720311.4014</v>
      </c>
      <c r="S12" s="87">
        <f>-SUMIFS(FINANCIACION[$ CAPITAL],
FINANCIACION[Fecha],"&lt;="&amp;EOMONTH(S$1,0),
FINANCIACION[PRESTAMO],$A12)</f>
        <v>76257514.515414</v>
      </c>
      <c r="T12" s="87">
        <f>-SUMIFS(FINANCIACION[$ CAPITAL],
FINANCIACION[Fecha],"&lt;="&amp;EOMONTH(T$1,0),
FINANCIACION[PRESTAMO],$A12)</f>
        <v>72790089.660568133</v>
      </c>
      <c r="U12" s="87">
        <f>-SUMIFS(FINANCIACION[$ CAPITAL],
FINANCIACION[Fecha],"&lt;="&amp;EOMONTH(U$1,0),
FINANCIACION[PRESTAMO],$A12)</f>
        <v>72317990.557173818</v>
      </c>
      <c r="V12" s="87">
        <f>-SUMIFS(FINANCIACION[$ CAPITAL],
FINANCIACION[Fecha],"&lt;="&amp;EOMONTH(V$1,0),
FINANCIACION[PRESTAMO],$A12)</f>
        <v>71841170.462745562</v>
      </c>
      <c r="W12" s="87">
        <f>-SUMIFS(FINANCIACION[$ CAPITAL],
FINANCIACION[Fecha],"&lt;="&amp;EOMONTH(W$1,0),
FINANCIACION[PRESTAMO],$A12)</f>
        <v>71359582.167373016</v>
      </c>
      <c r="X12" s="87">
        <f>-SUMIFS(FINANCIACION[$ CAPITAL],
FINANCIACION[Fecha],"&lt;="&amp;EOMONTH(X$1,0),
FINANCIACION[PRESTAMO],$A12)</f>
        <v>70968073.707373023</v>
      </c>
      <c r="Y12" s="87">
        <f>-SUMIFS(FINANCIACION[$ CAPITAL],
FINANCIACION[Fecha],"&lt;="&amp;EOMONTH(Y$1,0),
FINANCIACION[PRESTAMO],$A12)</f>
        <v>70476805.487263486</v>
      </c>
    </row>
    <row r="13" spans="1:25" ht="21.6" customHeight="1" x14ac:dyDescent="0.25">
      <c r="A13" s="74" t="s">
        <v>448</v>
      </c>
      <c r="B13" s="87">
        <f>-SUMIFS(FINANCIACION[$ CAPITAL],
FINANCIACION[Fecha],"&lt;="&amp;EOMONTH(B$1,0),
FINANCIACION[PRESTAMO],$A13)</f>
        <v>20000000</v>
      </c>
      <c r="C13" s="87">
        <f>-SUMIFS(FINANCIACION[$ CAPITAL],
FINANCIACION[Fecha],"&lt;="&amp;EOMONTH(C$1,0),
FINANCIACION[PRESTAMO],$A13)</f>
        <v>20000000</v>
      </c>
      <c r="D13" s="87">
        <f>-SUMIFS(FINANCIACION[$ CAPITAL],
FINANCIACION[Fecha],"&lt;="&amp;EOMONTH(D$1,0),
FINANCIACION[PRESTAMO],$A13)</f>
        <v>20000000</v>
      </c>
      <c r="E13" s="87">
        <f>-SUMIFS(FINANCIACION[$ CAPITAL],
FINANCIACION[Fecha],"&lt;="&amp;EOMONTH(E$1,0),
FINANCIACION[PRESTAMO],$A13)</f>
        <v>20000000</v>
      </c>
      <c r="F13" s="87">
        <f>-SUMIFS(FINANCIACION[$ CAPITAL],
FINANCIACION[Fecha],"&lt;="&amp;EOMONTH(F$1,0),
FINANCIACION[PRESTAMO],$A13)</f>
        <v>20000000</v>
      </c>
      <c r="G13" s="87">
        <f>-SUMIFS(FINANCIACION[$ CAPITAL],
FINANCIACION[Fecha],"&lt;="&amp;EOMONTH(G$1,0),
FINANCIACION[PRESTAMO],$A13)</f>
        <v>20000000</v>
      </c>
      <c r="H13" s="87">
        <f>-SUMIFS(FINANCIACION[$ CAPITAL],
FINANCIACION[Fecha],"&lt;="&amp;EOMONTH(H$1,0),
FINANCIACION[PRESTAMO],$A13)</f>
        <v>0</v>
      </c>
      <c r="I13" s="87">
        <f>-SUMIFS(FINANCIACION[$ CAPITAL],
FINANCIACION[Fecha],"&lt;="&amp;EOMONTH(I$1,0),
FINANCIACION[PRESTAMO],$A13)</f>
        <v>0</v>
      </c>
      <c r="J13" s="87">
        <f>-SUMIFS(FINANCIACION[$ CAPITAL],
FINANCIACION[Fecha],"&lt;="&amp;EOMONTH(J$1,0),
FINANCIACION[PRESTAMO],$A13)</f>
        <v>0</v>
      </c>
      <c r="K13" s="87">
        <f>-SUMIFS(FINANCIACION[$ CAPITAL],
FINANCIACION[Fecha],"&lt;="&amp;EOMONTH(K$1,0),
FINANCIACION[PRESTAMO],$A13)</f>
        <v>0</v>
      </c>
      <c r="L13" s="87">
        <f>-SUMIFS(FINANCIACION[$ CAPITAL],
FINANCIACION[Fecha],"&lt;="&amp;EOMONTH(L$1,0),
FINANCIACION[PRESTAMO],$A13)</f>
        <v>0</v>
      </c>
      <c r="M13" s="87">
        <f>-SUMIFS(FINANCIACION[$ CAPITAL],
FINANCIACION[Fecha],"&lt;="&amp;EOMONTH(M$1,0),
FINANCIACION[PRESTAMO],$A13)</f>
        <v>0</v>
      </c>
      <c r="N13" s="87">
        <f>-SUMIFS(FINANCIACION[$ CAPITAL],
FINANCIACION[Fecha],"&lt;="&amp;EOMONTH(N$1,0),
FINANCIACION[PRESTAMO],$A13)</f>
        <v>0</v>
      </c>
      <c r="O13" s="87">
        <f>-SUMIFS(FINANCIACION[$ CAPITAL],
FINANCIACION[Fecha],"&lt;="&amp;EOMONTH(O$1,0),
FINANCIACION[PRESTAMO],$A13)</f>
        <v>0</v>
      </c>
      <c r="P13" s="87">
        <f>-SUMIFS(FINANCIACION[$ CAPITAL],
FINANCIACION[Fecha],"&lt;="&amp;EOMONTH(P$1,0),
FINANCIACION[PRESTAMO],$A13)</f>
        <v>0</v>
      </c>
      <c r="Q13" s="87">
        <f>-SUMIFS(FINANCIACION[$ CAPITAL],
FINANCIACION[Fecha],"&lt;="&amp;EOMONTH(Q$1,0),
FINANCIACION[PRESTAMO],$A13)</f>
        <v>0</v>
      </c>
      <c r="R13" s="87">
        <f>-SUMIFS(FINANCIACION[$ CAPITAL],
FINANCIACION[Fecha],"&lt;="&amp;EOMONTH(R$1,0),
FINANCIACION[PRESTAMO],$A13)</f>
        <v>0</v>
      </c>
      <c r="S13" s="87">
        <f>-SUMIFS(FINANCIACION[$ CAPITAL],
FINANCIACION[Fecha],"&lt;="&amp;EOMONTH(S$1,0),
FINANCIACION[PRESTAMO],$A13)</f>
        <v>0</v>
      </c>
      <c r="T13" s="87">
        <f>-SUMIFS(FINANCIACION[$ CAPITAL],
FINANCIACION[Fecha],"&lt;="&amp;EOMONTH(T$1,0),
FINANCIACION[PRESTAMO],$A13)</f>
        <v>0</v>
      </c>
      <c r="U13" s="87">
        <f>-SUMIFS(FINANCIACION[$ CAPITAL],
FINANCIACION[Fecha],"&lt;="&amp;EOMONTH(U$1,0),
FINANCIACION[PRESTAMO],$A13)</f>
        <v>0</v>
      </c>
      <c r="V13" s="87">
        <f>-SUMIFS(FINANCIACION[$ CAPITAL],
FINANCIACION[Fecha],"&lt;="&amp;EOMONTH(V$1,0),
FINANCIACION[PRESTAMO],$A13)</f>
        <v>0</v>
      </c>
      <c r="W13" s="87">
        <f>-SUMIFS(FINANCIACION[$ CAPITAL],
FINANCIACION[Fecha],"&lt;="&amp;EOMONTH(W$1,0),
FINANCIACION[PRESTAMO],$A13)</f>
        <v>0</v>
      </c>
      <c r="X13" s="87">
        <f>-SUMIFS(FINANCIACION[$ CAPITAL],
FINANCIACION[Fecha],"&lt;="&amp;EOMONTH(X$1,0),
FINANCIACION[PRESTAMO],$A13)</f>
        <v>0</v>
      </c>
      <c r="Y13" s="87">
        <f>-SUMIFS(FINANCIACION[$ CAPITAL],
FINANCIACION[Fecha],"&lt;="&amp;EOMONTH(Y$1,0),
FINANCIACION[PRESTAMO],$A13)</f>
        <v>0</v>
      </c>
    </row>
    <row r="14" spans="1:25" ht="21.6" customHeight="1" x14ac:dyDescent="0.25">
      <c r="A14" s="74" t="s">
        <v>660</v>
      </c>
      <c r="B14" s="87">
        <f>-SUMIFS(FINANCIACION[$ CAPITAL],
FINANCIACION[Fecha],"&lt;="&amp;EOMONTH(B$1,0),
FINANCIACION[PRESTAMO],$A14)</f>
        <v>0</v>
      </c>
      <c r="C14" s="87">
        <f>-SUMIFS(FINANCIACION[$ CAPITAL],
FINANCIACION[Fecha],"&lt;="&amp;EOMONTH(C$1,0),
FINANCIACION[PRESTAMO],$A14)</f>
        <v>0</v>
      </c>
      <c r="D14" s="87">
        <f>-SUMIFS(FINANCIACION[$ CAPITAL],
FINANCIACION[Fecha],"&lt;="&amp;EOMONTH(D$1,0),
FINANCIACION[PRESTAMO],$A14)</f>
        <v>0</v>
      </c>
      <c r="E14" s="87">
        <f>-SUMIFS(FINANCIACION[$ CAPITAL],
FINANCIACION[Fecha],"&lt;="&amp;EOMONTH(E$1,0),
FINANCIACION[PRESTAMO],$A14)</f>
        <v>0</v>
      </c>
      <c r="F14" s="87">
        <f>-SUMIFS(FINANCIACION[$ CAPITAL],
FINANCIACION[Fecha],"&lt;="&amp;EOMONTH(F$1,0),
FINANCIACION[PRESTAMO],$A14)</f>
        <v>0</v>
      </c>
      <c r="G14" s="87">
        <f>-SUMIFS(FINANCIACION[$ CAPITAL],
FINANCIACION[Fecha],"&lt;="&amp;EOMONTH(G$1,0),
FINANCIACION[PRESTAMO],$A14)</f>
        <v>0</v>
      </c>
      <c r="H14" s="87">
        <f>-SUMIFS(FINANCIACION[$ CAPITAL],
FINANCIACION[Fecha],"&lt;="&amp;EOMONTH(H$1,0),
FINANCIACION[PRESTAMO],$A14)</f>
        <v>0</v>
      </c>
      <c r="I14" s="87">
        <f>-SUMIFS(FINANCIACION[$ CAPITAL],
FINANCIACION[Fecha],"&lt;="&amp;EOMONTH(I$1,0),
FINANCIACION[PRESTAMO],$A14)</f>
        <v>0</v>
      </c>
      <c r="J14" s="87">
        <f>-SUMIFS(FINANCIACION[$ CAPITAL],
FINANCIACION[Fecha],"&lt;="&amp;EOMONTH(J$1,0),
FINANCIACION[PRESTAMO],$A14)</f>
        <v>0</v>
      </c>
      <c r="K14" s="87">
        <f>-SUMIFS(FINANCIACION[$ CAPITAL],
FINANCIACION[Fecha],"&lt;="&amp;EOMONTH(K$1,0),
FINANCIACION[PRESTAMO],$A14)</f>
        <v>0</v>
      </c>
      <c r="L14" s="87">
        <f>-SUMIFS(FINANCIACION[$ CAPITAL],
FINANCIACION[Fecha],"&lt;="&amp;EOMONTH(L$1,0),
FINANCIACION[PRESTAMO],$A14)</f>
        <v>0</v>
      </c>
      <c r="M14" s="87">
        <f>-SUMIFS(FINANCIACION[$ CAPITAL],
FINANCIACION[Fecha],"&lt;="&amp;EOMONTH(M$1,0),
FINANCIACION[PRESTAMO],$A14)</f>
        <v>0</v>
      </c>
      <c r="N14" s="87">
        <f>-SUMIFS(FINANCIACION[$ CAPITAL],
FINANCIACION[Fecha],"&lt;="&amp;EOMONTH(N$1,0),
FINANCIACION[PRESTAMO],$A14)</f>
        <v>0</v>
      </c>
      <c r="O14" s="87">
        <f>-SUMIFS(FINANCIACION[$ CAPITAL],
FINANCIACION[Fecha],"&lt;="&amp;EOMONTH(O$1,0),
FINANCIACION[PRESTAMO],$A14)</f>
        <v>0</v>
      </c>
      <c r="P14" s="87">
        <f>-SUMIFS(FINANCIACION[$ CAPITAL],
FINANCIACION[Fecha],"&lt;="&amp;EOMONTH(P$1,0),
FINANCIACION[PRESTAMO],$A14)</f>
        <v>0</v>
      </c>
      <c r="Q14" s="87">
        <f>-SUMIFS(FINANCIACION[$ CAPITAL],
FINANCIACION[Fecha],"&lt;="&amp;EOMONTH(Q$1,0),
FINANCIACION[PRESTAMO],$A14)</f>
        <v>6000000</v>
      </c>
      <c r="R14" s="87">
        <f>-SUMIFS(FINANCIACION[$ CAPITAL],
FINANCIACION[Fecha],"&lt;="&amp;EOMONTH(R$1,0),
FINANCIACION[PRESTAMO],$A14)</f>
        <v>0</v>
      </c>
      <c r="S14" s="87">
        <f>-SUMIFS(FINANCIACION[$ CAPITAL],
FINANCIACION[Fecha],"&lt;="&amp;EOMONTH(S$1,0),
FINANCIACION[PRESTAMO],$A14)</f>
        <v>0</v>
      </c>
      <c r="T14" s="87">
        <f>-SUMIFS(FINANCIACION[$ CAPITAL],
FINANCIACION[Fecha],"&lt;="&amp;EOMONTH(T$1,0),
FINANCIACION[PRESTAMO],$A14)</f>
        <v>0</v>
      </c>
      <c r="U14" s="87">
        <f>-SUMIFS(FINANCIACION[$ CAPITAL],
FINANCIACION[Fecha],"&lt;="&amp;EOMONTH(U$1,0),
FINANCIACION[PRESTAMO],$A14)</f>
        <v>0</v>
      </c>
      <c r="V14" s="87">
        <f>-SUMIFS(FINANCIACION[$ CAPITAL],
FINANCIACION[Fecha],"&lt;="&amp;EOMONTH(V$1,0),
FINANCIACION[PRESTAMO],$A14)</f>
        <v>0</v>
      </c>
      <c r="W14" s="87">
        <f>-SUMIFS(FINANCIACION[$ CAPITAL],
FINANCIACION[Fecha],"&lt;="&amp;EOMONTH(W$1,0),
FINANCIACION[PRESTAMO],$A14)</f>
        <v>0</v>
      </c>
      <c r="X14" s="87">
        <f>-SUMIFS(FINANCIACION[$ CAPITAL],
FINANCIACION[Fecha],"&lt;="&amp;EOMONTH(X$1,0),
FINANCIACION[PRESTAMO],$A14)</f>
        <v>0</v>
      </c>
      <c r="Y14" s="87">
        <f>-SUMIFS(FINANCIACION[$ CAPITAL],
FINANCIACION[Fecha],"&lt;="&amp;EOMONTH(Y$1,0),
FINANCIACION[PRESTAMO],$A14)</f>
        <v>0</v>
      </c>
    </row>
    <row r="15" spans="1:25" ht="21.6" customHeight="1" x14ac:dyDescent="0.25">
      <c r="A15" s="74" t="s">
        <v>449</v>
      </c>
      <c r="B15" s="87">
        <f>-SUMIFS(FINANCIACION[$ CAPITAL],
FINANCIACION[Fecha],"&lt;="&amp;EOMONTH(B$1,0),
FINANCIACION[PRESTAMO],$A15)</f>
        <v>47000000</v>
      </c>
      <c r="C15" s="87">
        <f>-SUMIFS(FINANCIACION[$ CAPITAL],
FINANCIACION[Fecha],"&lt;="&amp;EOMONTH(C$1,0),
FINANCIACION[PRESTAMO],$A15)</f>
        <v>67000000</v>
      </c>
      <c r="D15" s="87">
        <f>-SUMIFS(FINANCIACION[$ CAPITAL],
FINANCIACION[Fecha],"&lt;="&amp;EOMONTH(D$1,0),
FINANCIACION[PRESTAMO],$A15)</f>
        <v>110000000</v>
      </c>
      <c r="E15" s="87">
        <f>-SUMIFS(FINANCIACION[$ CAPITAL],
FINANCIACION[Fecha],"&lt;="&amp;EOMONTH(E$1,0),
FINANCIACION[PRESTAMO],$A15)</f>
        <v>110000000</v>
      </c>
      <c r="F15" s="87">
        <f>-SUMIFS(FINANCIACION[$ CAPITAL],
FINANCIACION[Fecha],"&lt;="&amp;EOMONTH(F$1,0),
FINANCIACION[PRESTAMO],$A15)</f>
        <v>110000000</v>
      </c>
      <c r="G15" s="87">
        <f>-SUMIFS(FINANCIACION[$ CAPITAL],
FINANCIACION[Fecha],"&lt;="&amp;EOMONTH(G$1,0),
FINANCIACION[PRESTAMO],$A15)</f>
        <v>110000000</v>
      </c>
      <c r="H15" s="87">
        <f>-SUMIFS(FINANCIACION[$ CAPITAL],
FINANCIACION[Fecha],"&lt;="&amp;EOMONTH(H$1,0),
FINANCIACION[PRESTAMO],$A15)</f>
        <v>110000000</v>
      </c>
      <c r="I15" s="87">
        <f>-SUMIFS(FINANCIACION[$ CAPITAL],
FINANCIACION[Fecha],"&lt;="&amp;EOMONTH(I$1,0),
FINANCIACION[PRESTAMO],$A15)</f>
        <v>110000000</v>
      </c>
      <c r="J15" s="87">
        <f>-SUMIFS(FINANCIACION[$ CAPITAL],
FINANCIACION[Fecha],"&lt;="&amp;EOMONTH(J$1,0),
FINANCIACION[PRESTAMO],$A15)</f>
        <v>110000000</v>
      </c>
      <c r="K15" s="87">
        <f>-SUMIFS(FINANCIACION[$ CAPITAL],
FINANCIACION[Fecha],"&lt;="&amp;EOMONTH(K$1,0),
FINANCIACION[PRESTAMO],$A15)</f>
        <v>110000000</v>
      </c>
      <c r="L15" s="87">
        <f>-SUMIFS(FINANCIACION[$ CAPITAL],
FINANCIACION[Fecha],"&lt;="&amp;EOMONTH(L$1,0),
FINANCIACION[PRESTAMO],$A15)</f>
        <v>110000000</v>
      </c>
      <c r="M15" s="87">
        <f>-SUMIFS(FINANCIACION[$ CAPITAL],
FINANCIACION[Fecha],"&lt;="&amp;EOMONTH(M$1,0),
FINANCIACION[PRESTAMO],$A15)</f>
        <v>110000000</v>
      </c>
      <c r="N15" s="87">
        <f>-SUMIFS(FINANCIACION[$ CAPITAL],
FINANCIACION[Fecha],"&lt;="&amp;EOMONTH(N$1,0),
FINANCIACION[PRESTAMO],$A15)</f>
        <v>110000000</v>
      </c>
      <c r="O15" s="87">
        <f>-SUMIFS(FINANCIACION[$ CAPITAL],
FINANCIACION[Fecha],"&lt;="&amp;EOMONTH(O$1,0),
FINANCIACION[PRESTAMO],$A15)</f>
        <v>60000000</v>
      </c>
      <c r="P15" s="87">
        <f>-SUMIFS(FINANCIACION[$ CAPITAL],
FINANCIACION[Fecha],"&lt;="&amp;EOMONTH(P$1,0),
FINANCIACION[PRESTAMO],$A15)</f>
        <v>60000000</v>
      </c>
      <c r="Q15" s="87">
        <f>-SUMIFS(FINANCIACION[$ CAPITAL],
FINANCIACION[Fecha],"&lt;="&amp;EOMONTH(Q$1,0),
FINANCIACION[PRESTAMO],$A15)</f>
        <v>20000000</v>
      </c>
      <c r="R15" s="87">
        <f>-SUMIFS(FINANCIACION[$ CAPITAL],
FINANCIACION[Fecha],"&lt;="&amp;EOMONTH(R$1,0),
FINANCIACION[PRESTAMO],$A15)</f>
        <v>0</v>
      </c>
      <c r="S15" s="87">
        <f>-SUMIFS(FINANCIACION[$ CAPITAL],
FINANCIACION[Fecha],"&lt;="&amp;EOMONTH(S$1,0),
FINANCIACION[PRESTAMO],$A15)</f>
        <v>0</v>
      </c>
      <c r="T15" s="87">
        <f>-SUMIFS(FINANCIACION[$ CAPITAL],
FINANCIACION[Fecha],"&lt;="&amp;EOMONTH(T$1,0),
FINANCIACION[PRESTAMO],$A15)</f>
        <v>0</v>
      </c>
      <c r="U15" s="87">
        <f>-SUMIFS(FINANCIACION[$ CAPITAL],
FINANCIACION[Fecha],"&lt;="&amp;EOMONTH(U$1,0),
FINANCIACION[PRESTAMO],$A15)</f>
        <v>0</v>
      </c>
      <c r="V15" s="87">
        <f>-SUMIFS(FINANCIACION[$ CAPITAL],
FINANCIACION[Fecha],"&lt;="&amp;EOMONTH(V$1,0),
FINANCIACION[PRESTAMO],$A15)</f>
        <v>0</v>
      </c>
      <c r="W15" s="87">
        <f>-SUMIFS(FINANCIACION[$ CAPITAL],
FINANCIACION[Fecha],"&lt;="&amp;EOMONTH(W$1,0),
FINANCIACION[PRESTAMO],$A15)</f>
        <v>0</v>
      </c>
      <c r="X15" s="87">
        <f>-SUMIFS(FINANCIACION[$ CAPITAL],
FINANCIACION[Fecha],"&lt;="&amp;EOMONTH(X$1,0),
FINANCIACION[PRESTAMO],$A15)</f>
        <v>0</v>
      </c>
      <c r="Y15" s="87">
        <f>-SUMIFS(FINANCIACION[$ CAPITAL],
FINANCIACION[Fecha],"&lt;="&amp;EOMONTH(Y$1,0),
FINANCIACION[PRESTAMO],$A15)</f>
        <v>0</v>
      </c>
    </row>
    <row r="16" spans="1:25" ht="21.6" customHeight="1" x14ac:dyDescent="0.25">
      <c r="A16" s="74" t="s">
        <v>450</v>
      </c>
      <c r="B16" s="87">
        <f>-SUMIFS(FINANCIACION[$ CAPITAL],
FINANCIACION[Fecha],"&lt;="&amp;EOMONTH(B$1,0),
FINANCIACION[PRESTAMO],$A16)</f>
        <v>0</v>
      </c>
      <c r="C16" s="87">
        <f>-SUMIFS(FINANCIACION[$ CAPITAL],
FINANCIACION[Fecha],"&lt;="&amp;EOMONTH(C$1,0),
FINANCIACION[PRESTAMO],$A16)</f>
        <v>0</v>
      </c>
      <c r="D16" s="87">
        <f>-SUMIFS(FINANCIACION[$ CAPITAL],
FINANCIACION[Fecha],"&lt;="&amp;EOMONTH(D$1,0),
FINANCIACION[PRESTAMO],$A16)</f>
        <v>0</v>
      </c>
      <c r="E16" s="87">
        <f>-SUMIFS(FINANCIACION[$ CAPITAL],
FINANCIACION[Fecha],"&lt;="&amp;EOMONTH(E$1,0),
FINANCIACION[PRESTAMO],$A16)</f>
        <v>0</v>
      </c>
      <c r="F16" s="87">
        <f>-SUMIFS(FINANCIACION[$ CAPITAL],
FINANCIACION[Fecha],"&lt;="&amp;EOMONTH(F$1,0),
FINANCIACION[PRESTAMO],$A16)</f>
        <v>0</v>
      </c>
      <c r="G16" s="87">
        <f>-SUMIFS(FINANCIACION[$ CAPITAL],
FINANCIACION[Fecha],"&lt;="&amp;EOMONTH(G$1,0),
FINANCIACION[PRESTAMO],$A16)</f>
        <v>0</v>
      </c>
      <c r="H16" s="87">
        <f>-SUMIFS(FINANCIACION[$ CAPITAL],
FINANCIACION[Fecha],"&lt;="&amp;EOMONTH(H$1,0),
FINANCIACION[PRESTAMO],$A16)</f>
        <v>0</v>
      </c>
      <c r="I16" s="87">
        <f>-SUMIFS(FINANCIACION[$ CAPITAL],
FINANCIACION[Fecha],"&lt;="&amp;EOMONTH(I$1,0),
FINANCIACION[PRESTAMO],$A16)</f>
        <v>8000000</v>
      </c>
      <c r="J16" s="87">
        <f>-SUMIFS(FINANCIACION[$ CAPITAL],
FINANCIACION[Fecha],"&lt;="&amp;EOMONTH(J$1,0),
FINANCIACION[PRESTAMO],$A16)</f>
        <v>8000000</v>
      </c>
      <c r="K16" s="87">
        <f>-SUMIFS(FINANCIACION[$ CAPITAL],
FINANCIACION[Fecha],"&lt;="&amp;EOMONTH(K$1,0),
FINANCIACION[PRESTAMO],$A16)</f>
        <v>8000000</v>
      </c>
      <c r="L16" s="87">
        <f>-SUMIFS(FINANCIACION[$ CAPITAL],
FINANCIACION[Fecha],"&lt;="&amp;EOMONTH(L$1,0),
FINANCIACION[PRESTAMO],$A16)</f>
        <v>8000000</v>
      </c>
      <c r="M16" s="87">
        <f>-SUMIFS(FINANCIACION[$ CAPITAL],
FINANCIACION[Fecha],"&lt;="&amp;EOMONTH(M$1,0),
FINANCIACION[PRESTAMO],$A16)</f>
        <v>8000000</v>
      </c>
      <c r="N16" s="87">
        <f>-SUMIFS(FINANCIACION[$ CAPITAL],
FINANCIACION[Fecha],"&lt;="&amp;EOMONTH(N$1,0),
FINANCIACION[PRESTAMO],$A16)</f>
        <v>8000000</v>
      </c>
      <c r="O16" s="87">
        <f>-SUMIFS(FINANCIACION[$ CAPITAL],
FINANCIACION[Fecha],"&lt;="&amp;EOMONTH(O$1,0),
FINANCIACION[PRESTAMO],$A16)</f>
        <v>8000000</v>
      </c>
      <c r="P16" s="87">
        <f>-SUMIFS(FINANCIACION[$ CAPITAL],
FINANCIACION[Fecha],"&lt;="&amp;EOMONTH(P$1,0),
FINANCIACION[PRESTAMO],$A16)</f>
        <v>8000000</v>
      </c>
      <c r="Q16" s="87">
        <f>-SUMIFS(FINANCIACION[$ CAPITAL],
FINANCIACION[Fecha],"&lt;="&amp;EOMONTH(Q$1,0),
FINANCIACION[PRESTAMO],$A16)</f>
        <v>8000000</v>
      </c>
      <c r="R16" s="87">
        <f>-SUMIFS(FINANCIACION[$ CAPITAL],
FINANCIACION[Fecha],"&lt;="&amp;EOMONTH(R$1,0),
FINANCIACION[PRESTAMO],$A16)</f>
        <v>8000000</v>
      </c>
      <c r="S16" s="87">
        <f>-SUMIFS(FINANCIACION[$ CAPITAL],
FINANCIACION[Fecha],"&lt;="&amp;EOMONTH(S$1,0),
FINANCIACION[PRESTAMO],$A16)</f>
        <v>8000000</v>
      </c>
      <c r="T16" s="87">
        <f>-SUMIFS(FINANCIACION[$ CAPITAL],
FINANCIACION[Fecha],"&lt;="&amp;EOMONTH(T$1,0),
FINANCIACION[PRESTAMO],$A16)</f>
        <v>8000000</v>
      </c>
      <c r="U16" s="87">
        <f>-SUMIFS(FINANCIACION[$ CAPITAL],
FINANCIACION[Fecha],"&lt;="&amp;EOMONTH(U$1,0),
FINANCIACION[PRESTAMO],$A16)</f>
        <v>8000000</v>
      </c>
      <c r="V16" s="87">
        <f>-SUMIFS(FINANCIACION[$ CAPITAL],
FINANCIACION[Fecha],"&lt;="&amp;EOMONTH(V$1,0),
FINANCIACION[PRESTAMO],$A16)</f>
        <v>8000000</v>
      </c>
      <c r="W16" s="87">
        <f>-SUMIFS(FINANCIACION[$ CAPITAL],
FINANCIACION[Fecha],"&lt;="&amp;EOMONTH(W$1,0),
FINANCIACION[PRESTAMO],$A16)</f>
        <v>8000000</v>
      </c>
      <c r="X16" s="87">
        <f>-SUMIFS(FINANCIACION[$ CAPITAL],
FINANCIACION[Fecha],"&lt;="&amp;EOMONTH(X$1,0),
FINANCIACION[PRESTAMO],$A16)</f>
        <v>8000000</v>
      </c>
      <c r="Y16" s="87">
        <f>-SUMIFS(FINANCIACION[$ CAPITAL],
FINANCIACION[Fecha],"&lt;="&amp;EOMONTH(Y$1,0),
FINANCIACION[PRESTAMO],$A16)</f>
        <v>8000000</v>
      </c>
    </row>
    <row r="17" spans="1:25" ht="21.6" customHeight="1" x14ac:dyDescent="0.25">
      <c r="A17" s="74" t="s">
        <v>659</v>
      </c>
      <c r="B17" s="87">
        <f>-SUMIFS(FINANCIACION[$ CAPITAL],
FINANCIACION[Fecha],"&lt;="&amp;EOMONTH(B$1,0),
FINANCIACION[PRESTAMO],$A17)</f>
        <v>0</v>
      </c>
      <c r="C17" s="87">
        <f>-SUMIFS(FINANCIACION[$ CAPITAL],
FINANCIACION[Fecha],"&lt;="&amp;EOMONTH(C$1,0),
FINANCIACION[PRESTAMO],$A17)</f>
        <v>0</v>
      </c>
      <c r="D17" s="87">
        <f>-SUMIFS(FINANCIACION[$ CAPITAL],
FINANCIACION[Fecha],"&lt;="&amp;EOMONTH(D$1,0),
FINANCIACION[PRESTAMO],$A17)</f>
        <v>0</v>
      </c>
      <c r="E17" s="87">
        <f>-SUMIFS(FINANCIACION[$ CAPITAL],
FINANCIACION[Fecha],"&lt;="&amp;EOMONTH(E$1,0),
FINANCIACION[PRESTAMO],$A17)</f>
        <v>0</v>
      </c>
      <c r="F17" s="87">
        <f>-SUMIFS(FINANCIACION[$ CAPITAL],
FINANCIACION[Fecha],"&lt;="&amp;EOMONTH(F$1,0),
FINANCIACION[PRESTAMO],$A17)</f>
        <v>0</v>
      </c>
      <c r="G17" s="87">
        <f>-SUMIFS(FINANCIACION[$ CAPITAL],
FINANCIACION[Fecha],"&lt;="&amp;EOMONTH(G$1,0),
FINANCIACION[PRESTAMO],$A17)</f>
        <v>0</v>
      </c>
      <c r="H17" s="87">
        <f>-SUMIFS(FINANCIACION[$ CAPITAL],
FINANCIACION[Fecha],"&lt;="&amp;EOMONTH(H$1,0),
FINANCIACION[PRESTAMO],$A17)</f>
        <v>0</v>
      </c>
      <c r="I17" s="87">
        <f>-SUMIFS(FINANCIACION[$ CAPITAL],
FINANCIACION[Fecha],"&lt;="&amp;EOMONTH(I$1,0),
FINANCIACION[PRESTAMO],$A17)</f>
        <v>0</v>
      </c>
      <c r="J17" s="87">
        <f>-SUMIFS(FINANCIACION[$ CAPITAL],
FINANCIACION[Fecha],"&lt;="&amp;EOMONTH(J$1,0),
FINANCIACION[PRESTAMO],$A17)</f>
        <v>0</v>
      </c>
      <c r="K17" s="87">
        <f>-SUMIFS(FINANCIACION[$ CAPITAL],
FINANCIACION[Fecha],"&lt;="&amp;EOMONTH(K$1,0),
FINANCIACION[PRESTAMO],$A17)</f>
        <v>0</v>
      </c>
      <c r="L17" s="87">
        <f>-SUMIFS(FINANCIACION[$ CAPITAL],
FINANCIACION[Fecha],"&lt;="&amp;EOMONTH(L$1,0),
FINANCIACION[PRESTAMO],$A17)</f>
        <v>0</v>
      </c>
      <c r="M17" s="87">
        <f>-SUMIFS(FINANCIACION[$ CAPITAL],
FINANCIACION[Fecha],"&lt;="&amp;EOMONTH(M$1,0),
FINANCIACION[PRESTAMO],$A17)</f>
        <v>0</v>
      </c>
      <c r="N17" s="87">
        <f>-SUMIFS(FINANCIACION[$ CAPITAL],
FINANCIACION[Fecha],"&lt;="&amp;EOMONTH(N$1,0),
FINANCIACION[PRESTAMO],$A17)</f>
        <v>0</v>
      </c>
      <c r="O17" s="87">
        <f>-SUMIFS(FINANCIACION[$ CAPITAL],
FINANCIACION[Fecha],"&lt;="&amp;EOMONTH(O$1,0),
FINANCIACION[PRESTAMO],$A17)</f>
        <v>0</v>
      </c>
      <c r="P17" s="87">
        <f>-SUMIFS(FINANCIACION[$ CAPITAL],
FINANCIACION[Fecha],"&lt;="&amp;EOMONTH(P$1,0),
FINANCIACION[PRESTAMO],$A17)</f>
        <v>0</v>
      </c>
      <c r="Q17" s="87">
        <f>-SUMIFS(FINANCIACION[$ CAPITAL],
FINANCIACION[Fecha],"&lt;="&amp;EOMONTH(Q$1,0),
FINANCIACION[PRESTAMO],$A17)</f>
        <v>12000000</v>
      </c>
      <c r="R17" s="87">
        <f>-SUMIFS(FINANCIACION[$ CAPITAL],
FINANCIACION[Fecha],"&lt;="&amp;EOMONTH(R$1,0),
FINANCIACION[PRESTAMO],$A17)</f>
        <v>12000000</v>
      </c>
      <c r="S17" s="87">
        <f>-SUMIFS(FINANCIACION[$ CAPITAL],
FINANCIACION[Fecha],"&lt;="&amp;EOMONTH(S$1,0),
FINANCIACION[PRESTAMO],$A17)</f>
        <v>12000000</v>
      </c>
      <c r="T17" s="87">
        <f>-SUMIFS(FINANCIACION[$ CAPITAL],
FINANCIACION[Fecha],"&lt;="&amp;EOMONTH(T$1,0),
FINANCIACION[PRESTAMO],$A17)</f>
        <v>12000000</v>
      </c>
      <c r="U17" s="87">
        <f>-SUMIFS(FINANCIACION[$ CAPITAL],
FINANCIACION[Fecha],"&lt;="&amp;EOMONTH(U$1,0),
FINANCIACION[PRESTAMO],$A17)</f>
        <v>12000000</v>
      </c>
      <c r="V17" s="87">
        <f>-SUMIFS(FINANCIACION[$ CAPITAL],
FINANCIACION[Fecha],"&lt;="&amp;EOMONTH(V$1,0),
FINANCIACION[PRESTAMO],$A17)</f>
        <v>12000000</v>
      </c>
      <c r="W17" s="87">
        <f>-SUMIFS(FINANCIACION[$ CAPITAL],
FINANCIACION[Fecha],"&lt;="&amp;EOMONTH(W$1,0),
FINANCIACION[PRESTAMO],$A17)</f>
        <v>12000000</v>
      </c>
      <c r="X17" s="87">
        <f>-SUMIFS(FINANCIACION[$ CAPITAL],
FINANCIACION[Fecha],"&lt;="&amp;EOMONTH(X$1,0),
FINANCIACION[PRESTAMO],$A17)</f>
        <v>12000000</v>
      </c>
      <c r="Y17" s="87">
        <f>-SUMIFS(FINANCIACION[$ CAPITAL],
FINANCIACION[Fecha],"&lt;="&amp;EOMONTH(Y$1,0),
FINANCIACION[PRESTAMO],$A17)</f>
        <v>12000000</v>
      </c>
    </row>
    <row r="18" spans="1:25" ht="21.6" customHeight="1" x14ac:dyDescent="0.25">
      <c r="A18" s="74" t="s">
        <v>451</v>
      </c>
      <c r="B18" s="87">
        <f>-SUMIFS(FINANCIACION[$ CAPITAL],
FINANCIACION[Fecha],"&lt;="&amp;EOMONTH(B$1,0),
FINANCIACION[PRESTAMO],$A18)</f>
        <v>100000000</v>
      </c>
      <c r="C18" s="87">
        <f>-SUMIFS(FINANCIACION[$ CAPITAL],
FINANCIACION[Fecha],"&lt;="&amp;EOMONTH(C$1,0),
FINANCIACION[PRESTAMO],$A18)</f>
        <v>100000000</v>
      </c>
      <c r="D18" s="87">
        <f>-SUMIFS(FINANCIACION[$ CAPITAL],
FINANCIACION[Fecha],"&lt;="&amp;EOMONTH(D$1,0),
FINANCIACION[PRESTAMO],$A18)</f>
        <v>60000000</v>
      </c>
      <c r="E18" s="87">
        <f>-SUMIFS(FINANCIACION[$ CAPITAL],
FINANCIACION[Fecha],"&lt;="&amp;EOMONTH(E$1,0),
FINANCIACION[PRESTAMO],$A18)</f>
        <v>60000000</v>
      </c>
      <c r="F18" s="87">
        <f>-SUMIFS(FINANCIACION[$ CAPITAL],
FINANCIACION[Fecha],"&lt;="&amp;EOMONTH(F$1,0),
FINANCIACION[PRESTAMO],$A18)</f>
        <v>60000000</v>
      </c>
      <c r="G18" s="87">
        <f>-SUMIFS(FINANCIACION[$ CAPITAL],
FINANCIACION[Fecha],"&lt;="&amp;EOMONTH(G$1,0),
FINANCIACION[PRESTAMO],$A18)</f>
        <v>60000000</v>
      </c>
      <c r="H18" s="87">
        <f>-SUMIFS(FINANCIACION[$ CAPITAL],
FINANCIACION[Fecha],"&lt;="&amp;EOMONTH(H$1,0),
FINANCIACION[PRESTAMO],$A18)</f>
        <v>0</v>
      </c>
      <c r="I18" s="87">
        <f>-SUMIFS(FINANCIACION[$ CAPITAL],
FINANCIACION[Fecha],"&lt;="&amp;EOMONTH(I$1,0),
FINANCIACION[PRESTAMO],$A18)</f>
        <v>0</v>
      </c>
      <c r="J18" s="87">
        <f>-SUMIFS(FINANCIACION[$ CAPITAL],
FINANCIACION[Fecha],"&lt;="&amp;EOMONTH(J$1,0),
FINANCIACION[PRESTAMO],$A18)</f>
        <v>0</v>
      </c>
      <c r="K18" s="87">
        <f>-SUMIFS(FINANCIACION[$ CAPITAL],
FINANCIACION[Fecha],"&lt;="&amp;EOMONTH(K$1,0),
FINANCIACION[PRESTAMO],$A18)</f>
        <v>0</v>
      </c>
      <c r="L18" s="87">
        <f>-SUMIFS(FINANCIACION[$ CAPITAL],
FINANCIACION[Fecha],"&lt;="&amp;EOMONTH(L$1,0),
FINANCIACION[PRESTAMO],$A18)</f>
        <v>0</v>
      </c>
      <c r="M18" s="87">
        <f>-SUMIFS(FINANCIACION[$ CAPITAL],
FINANCIACION[Fecha],"&lt;="&amp;EOMONTH(M$1,0),
FINANCIACION[PRESTAMO],$A18)</f>
        <v>0</v>
      </c>
      <c r="N18" s="87">
        <f>-SUMIFS(FINANCIACION[$ CAPITAL],
FINANCIACION[Fecha],"&lt;="&amp;EOMONTH(N$1,0),
FINANCIACION[PRESTAMO],$A18)</f>
        <v>0</v>
      </c>
      <c r="O18" s="87">
        <f>-SUMIFS(FINANCIACION[$ CAPITAL],
FINANCIACION[Fecha],"&lt;="&amp;EOMONTH(O$1,0),
FINANCIACION[PRESTAMO],$A18)</f>
        <v>0</v>
      </c>
      <c r="P18" s="87">
        <f>-SUMIFS(FINANCIACION[$ CAPITAL],
FINANCIACION[Fecha],"&lt;="&amp;EOMONTH(P$1,0),
FINANCIACION[PRESTAMO],$A18)</f>
        <v>0</v>
      </c>
      <c r="Q18" s="87">
        <f>-SUMIFS(FINANCIACION[$ CAPITAL],
FINANCIACION[Fecha],"&lt;="&amp;EOMONTH(Q$1,0),
FINANCIACION[PRESTAMO],$A18)</f>
        <v>0</v>
      </c>
      <c r="R18" s="87">
        <f>-SUMIFS(FINANCIACION[$ CAPITAL],
FINANCIACION[Fecha],"&lt;="&amp;EOMONTH(R$1,0),
FINANCIACION[PRESTAMO],$A18)</f>
        <v>0</v>
      </c>
      <c r="S18" s="87">
        <f>-SUMIFS(FINANCIACION[$ CAPITAL],
FINANCIACION[Fecha],"&lt;="&amp;EOMONTH(S$1,0),
FINANCIACION[PRESTAMO],$A18)</f>
        <v>0</v>
      </c>
      <c r="T18" s="87">
        <f>-SUMIFS(FINANCIACION[$ CAPITAL],
FINANCIACION[Fecha],"&lt;="&amp;EOMONTH(T$1,0),
FINANCIACION[PRESTAMO],$A18)</f>
        <v>0</v>
      </c>
      <c r="U18" s="87">
        <f>-SUMIFS(FINANCIACION[$ CAPITAL],
FINANCIACION[Fecha],"&lt;="&amp;EOMONTH(U$1,0),
FINANCIACION[PRESTAMO],$A18)</f>
        <v>0</v>
      </c>
      <c r="V18" s="87">
        <f>-SUMIFS(FINANCIACION[$ CAPITAL],
FINANCIACION[Fecha],"&lt;="&amp;EOMONTH(V$1,0),
FINANCIACION[PRESTAMO],$A18)</f>
        <v>0</v>
      </c>
      <c r="W18" s="87">
        <f>-SUMIFS(FINANCIACION[$ CAPITAL],
FINANCIACION[Fecha],"&lt;="&amp;EOMONTH(W$1,0),
FINANCIACION[PRESTAMO],$A18)</f>
        <v>0</v>
      </c>
      <c r="X18" s="87">
        <f>-SUMIFS(FINANCIACION[$ CAPITAL],
FINANCIACION[Fecha],"&lt;="&amp;EOMONTH(X$1,0),
FINANCIACION[PRESTAMO],$A18)</f>
        <v>0</v>
      </c>
      <c r="Y18" s="87">
        <f>-SUMIFS(FINANCIACION[$ CAPITAL],
FINANCIACION[Fecha],"&lt;="&amp;EOMONTH(Y$1,0),
FINANCIACION[PRESTAMO],$A18)</f>
        <v>0</v>
      </c>
    </row>
    <row r="19" spans="1:25" ht="21.6" customHeight="1" x14ac:dyDescent="0.25">
      <c r="A19" s="74" t="s">
        <v>452</v>
      </c>
      <c r="B19" s="87">
        <f>-SUMIFS(FINANCIACION[$ CAPITAL],
FINANCIACION[Fecha],"&lt;="&amp;EOMONTH(B$1,0),
FINANCIACION[PRESTAMO],$A19)</f>
        <v>18750000</v>
      </c>
      <c r="C19" s="87">
        <f>-SUMIFS(FINANCIACION[$ CAPITAL],
FINANCIACION[Fecha],"&lt;="&amp;EOMONTH(C$1,0),
FINANCIACION[PRESTAMO],$A19)</f>
        <v>17500000</v>
      </c>
      <c r="D19" s="87">
        <f>-SUMIFS(FINANCIACION[$ CAPITAL],
FINANCIACION[Fecha],"&lt;="&amp;EOMONTH(D$1,0),
FINANCIACION[PRESTAMO],$A19)</f>
        <v>16250000</v>
      </c>
      <c r="E19" s="87">
        <f>-SUMIFS(FINANCIACION[$ CAPITAL],
FINANCIACION[Fecha],"&lt;="&amp;EOMONTH(E$1,0),
FINANCIACION[PRESTAMO],$A19)</f>
        <v>16250000</v>
      </c>
      <c r="F19" s="87">
        <f>-SUMIFS(FINANCIACION[$ CAPITAL],
FINANCIACION[Fecha],"&lt;="&amp;EOMONTH(F$1,0),
FINANCIACION[PRESTAMO],$A19)</f>
        <v>16250000</v>
      </c>
      <c r="G19" s="87">
        <f>-SUMIFS(FINANCIACION[$ CAPITAL],
FINANCIACION[Fecha],"&lt;="&amp;EOMONTH(G$1,0),
FINANCIACION[PRESTAMO],$A19)</f>
        <v>16250000</v>
      </c>
      <c r="H19" s="87">
        <f>-SUMIFS(FINANCIACION[$ CAPITAL],
FINANCIACION[Fecha],"&lt;="&amp;EOMONTH(H$1,0),
FINANCIACION[PRESTAMO],$A19)</f>
        <v>16250000</v>
      </c>
      <c r="I19" s="87">
        <f>-SUMIFS(FINANCIACION[$ CAPITAL],
FINANCIACION[Fecha],"&lt;="&amp;EOMONTH(I$1,0),
FINANCIACION[PRESTAMO],$A19)</f>
        <v>16250000</v>
      </c>
      <c r="J19" s="87">
        <f>-SUMIFS(FINANCIACION[$ CAPITAL],
FINANCIACION[Fecha],"&lt;="&amp;EOMONTH(J$1,0),
FINANCIACION[PRESTAMO],$A19)</f>
        <v>54330833</v>
      </c>
      <c r="K19" s="87">
        <f>-SUMIFS(FINANCIACION[$ CAPITAL],
FINANCIACION[Fecha],"&lt;="&amp;EOMONTH(K$1,0),
FINANCIACION[PRESTAMO],$A19)</f>
        <v>54330833</v>
      </c>
      <c r="L19" s="87">
        <f>-SUMIFS(FINANCIACION[$ CAPITAL],
FINANCIACION[Fecha],"&lt;="&amp;EOMONTH(L$1,0),
FINANCIACION[PRESTAMO],$A19)</f>
        <v>54330833</v>
      </c>
      <c r="M19" s="87">
        <f>-SUMIFS(FINANCIACION[$ CAPITAL],
FINANCIACION[Fecha],"&lt;="&amp;EOMONTH(M$1,0),
FINANCIACION[PRESTAMO],$A19)</f>
        <v>54330833</v>
      </c>
      <c r="N19" s="87">
        <f>-SUMIFS(FINANCIACION[$ CAPITAL],
FINANCIACION[Fecha],"&lt;="&amp;EOMONTH(N$1,0),
FINANCIACION[PRESTAMO],$A19)</f>
        <v>54330833</v>
      </c>
      <c r="O19" s="87">
        <f>-SUMIFS(FINANCIACION[$ CAPITAL],
FINANCIACION[Fecha],"&lt;="&amp;EOMONTH(O$1,0),
FINANCIACION[PRESTAMO],$A19)</f>
        <v>54330833</v>
      </c>
      <c r="P19" s="87">
        <f>-SUMIFS(FINANCIACION[$ CAPITAL],
FINANCIACION[Fecha],"&lt;="&amp;EOMONTH(P$1,0),
FINANCIACION[PRESTAMO],$A19)</f>
        <v>52862433</v>
      </c>
      <c r="Q19" s="87">
        <f>-SUMIFS(FINANCIACION[$ CAPITAL],
FINANCIACION[Fecha],"&lt;="&amp;EOMONTH(Q$1,0),
FINANCIACION[PRESTAMO],$A19)</f>
        <v>51394000</v>
      </c>
      <c r="R19" s="87">
        <f>-SUMIFS(FINANCIACION[$ CAPITAL],
FINANCIACION[Fecha],"&lt;="&amp;EOMONTH(R$1,0),
FINANCIACION[PRESTAMO],$A19)</f>
        <v>49925600</v>
      </c>
      <c r="S19" s="87">
        <f>-SUMIFS(FINANCIACION[$ CAPITAL],
FINANCIACION[Fecha],"&lt;="&amp;EOMONTH(S$1,0),
FINANCIACION[PRESTAMO],$A19)</f>
        <v>48457200</v>
      </c>
      <c r="T19" s="87">
        <f>-SUMIFS(FINANCIACION[$ CAPITAL],
FINANCIACION[Fecha],"&lt;="&amp;EOMONTH(T$1,0),
FINANCIACION[PRESTAMO],$A19)</f>
        <v>48457200</v>
      </c>
      <c r="U19" s="87">
        <f>-SUMIFS(FINANCIACION[$ CAPITAL],
FINANCIACION[Fecha],"&lt;="&amp;EOMONTH(U$1,0),
FINANCIACION[PRESTAMO],$A19)</f>
        <v>45520400</v>
      </c>
      <c r="V19" s="87">
        <f>-SUMIFS(FINANCIACION[$ CAPITAL],
FINANCIACION[Fecha],"&lt;="&amp;EOMONTH(V$1,0),
FINANCIACION[PRESTAMO],$A19)</f>
        <v>44052000</v>
      </c>
      <c r="W19" s="87">
        <f>-SUMIFS(FINANCIACION[$ CAPITAL],
FINANCIACION[Fecha],"&lt;="&amp;EOMONTH(W$1,0),
FINANCIACION[PRESTAMO],$A19)</f>
        <v>44052000</v>
      </c>
      <c r="X19" s="87">
        <f>-SUMIFS(FINANCIACION[$ CAPITAL],
FINANCIACION[Fecha],"&lt;="&amp;EOMONTH(X$1,0),
FINANCIACION[PRESTAMO],$A19)</f>
        <v>41115200</v>
      </c>
      <c r="Y19" s="87">
        <f>-SUMIFS(FINANCIACION[$ CAPITAL],
FINANCIACION[Fecha],"&lt;="&amp;EOMONTH(Y$1,0),
FINANCIACION[PRESTAMO],$A19)</f>
        <v>41115200</v>
      </c>
    </row>
    <row r="20" spans="1:25" ht="21.6" customHeight="1" x14ac:dyDescent="0.25">
      <c r="A20" s="74" t="s">
        <v>453</v>
      </c>
      <c r="B20" s="87">
        <f>-SUMIFS(FINANCIACION[$ CAPITAL],
FINANCIACION[Fecha],"&lt;="&amp;EOMONTH(B$1,0),
FINANCIACION[PRESTAMO],$A20)</f>
        <v>44805558</v>
      </c>
      <c r="C20" s="87">
        <f>-SUMIFS(FINANCIACION[$ CAPITAL],
FINANCIACION[Fecha],"&lt;="&amp;EOMONTH(C$1,0),
FINANCIACION[PRESTAMO],$A20)</f>
        <v>41333336</v>
      </c>
      <c r="D20" s="87">
        <f>-SUMIFS(FINANCIACION[$ CAPITAL],
FINANCIACION[Fecha],"&lt;="&amp;EOMONTH(D$1,0),
FINANCIACION[PRESTAMO],$A20)</f>
        <v>37861114</v>
      </c>
      <c r="E20" s="87">
        <f>-SUMIFS(FINANCIACION[$ CAPITAL],
FINANCIACION[Fecha],"&lt;="&amp;EOMONTH(E$1,0),
FINANCIACION[PRESTAMO],$A20)</f>
        <v>37861114</v>
      </c>
      <c r="F20" s="87">
        <f>-SUMIFS(FINANCIACION[$ CAPITAL],
FINANCIACION[Fecha],"&lt;="&amp;EOMONTH(F$1,0),
FINANCIACION[PRESTAMO],$A20)</f>
        <v>37861114</v>
      </c>
      <c r="G20" s="87">
        <f>-SUMIFS(FINANCIACION[$ CAPITAL],
FINANCIACION[Fecha],"&lt;="&amp;EOMONTH(G$1,0),
FINANCIACION[PRESTAMO],$A20)</f>
        <v>38080833</v>
      </c>
      <c r="H20" s="87">
        <f>-SUMIFS(FINANCIACION[$ CAPITAL],
FINANCIACION[Fecha],"&lt;="&amp;EOMONTH(H$1,0),
FINANCIACION[PRESTAMO],$A20)</f>
        <v>38080833</v>
      </c>
      <c r="I20" s="87">
        <f>-SUMIFS(FINANCIACION[$ CAPITAL],
FINANCIACION[Fecha],"&lt;="&amp;EOMONTH(I$1,0),
FINANCIACION[PRESTAMO],$A20)</f>
        <v>38080833</v>
      </c>
      <c r="J20" s="87">
        <f>-SUMIFS(FINANCIACION[$ CAPITAL],
FINANCIACION[Fecha],"&lt;="&amp;EOMONTH(J$1,0),
FINANCIACION[PRESTAMO],$A20)</f>
        <v>3302052</v>
      </c>
      <c r="K20" s="87">
        <f>-SUMIFS(FINANCIACION[$ CAPITAL],
FINANCIACION[Fecha],"&lt;="&amp;EOMONTH(K$1,0),
FINANCIACION[PRESTAMO],$A20)</f>
        <v>3302052</v>
      </c>
      <c r="L20" s="87">
        <f>-SUMIFS(FINANCIACION[$ CAPITAL],
FINANCIACION[Fecha],"&lt;="&amp;EOMONTH(L$1,0),
FINANCIACION[PRESTAMO],$A20)</f>
        <v>3071640</v>
      </c>
      <c r="M20" s="87">
        <f>-SUMIFS(FINANCIACION[$ CAPITAL],
FINANCIACION[Fecha],"&lt;="&amp;EOMONTH(M$1,0),
FINANCIACION[PRESTAMO],$A20)</f>
        <v>3071640</v>
      </c>
      <c r="N20" s="87">
        <f>-SUMIFS(FINANCIACION[$ CAPITAL],
FINANCIACION[Fecha],"&lt;="&amp;EOMONTH(N$1,0),
FINANCIACION[PRESTAMO],$A20)</f>
        <v>3071640</v>
      </c>
      <c r="O20" s="87">
        <f>-SUMIFS(FINANCIACION[$ CAPITAL],
FINANCIACION[Fecha],"&lt;="&amp;EOMONTH(O$1,0),
FINANCIACION[PRESTAMO],$A20)</f>
        <v>2841267</v>
      </c>
      <c r="P20" s="87">
        <f>-SUMIFS(FINANCIACION[$ CAPITAL],
FINANCIACION[Fecha],"&lt;="&amp;EOMONTH(P$1,0),
FINANCIACION[PRESTAMO],$A20)</f>
        <v>2841267</v>
      </c>
      <c r="Q20" s="87">
        <f>-SUMIFS(FINANCIACION[$ CAPITAL],
FINANCIACION[Fecha],"&lt;="&amp;EOMONTH(Q$1,0),
FINANCIACION[PRESTAMO],$A20)</f>
        <v>2687685</v>
      </c>
      <c r="R20" s="87">
        <f>-SUMIFS(FINANCIACION[$ CAPITAL],
FINANCIACION[Fecha],"&lt;="&amp;EOMONTH(R$1,0),
FINANCIACION[PRESTAMO],$A20)</f>
        <v>2610894</v>
      </c>
      <c r="S20" s="87">
        <f>-SUMIFS(FINANCIACION[$ CAPITAL],
FINANCIACION[Fecha],"&lt;="&amp;EOMONTH(S$1,0),
FINANCIACION[PRESTAMO],$A20)</f>
        <v>2534103</v>
      </c>
      <c r="T20" s="87">
        <f>-SUMIFS(FINANCIACION[$ CAPITAL],
FINANCIACION[Fecha],"&lt;="&amp;EOMONTH(T$1,0),
FINANCIACION[PRESTAMO],$A20)</f>
        <v>2534103</v>
      </c>
      <c r="U20" s="87">
        <f>-SUMIFS(FINANCIACION[$ CAPITAL],
FINANCIACION[Fecha],"&lt;="&amp;EOMONTH(U$1,0),
FINANCIACION[PRESTAMO],$A20)</f>
        <v>2380521</v>
      </c>
      <c r="V20" s="87">
        <f>-SUMIFS(FINANCIACION[$ CAPITAL],
FINANCIACION[Fecha],"&lt;="&amp;EOMONTH(V$1,0),
FINANCIACION[PRESTAMO],$A20)</f>
        <v>2303730</v>
      </c>
      <c r="W20" s="87">
        <f>-SUMIFS(FINANCIACION[$ CAPITAL],
FINANCIACION[Fecha],"&lt;="&amp;EOMONTH(W$1,0),
FINANCIACION[PRESTAMO],$A20)</f>
        <v>2303730</v>
      </c>
      <c r="X20" s="87">
        <f>-SUMIFS(FINANCIACION[$ CAPITAL],
FINANCIACION[Fecha],"&lt;="&amp;EOMONTH(X$1,0),
FINANCIACION[PRESTAMO],$A20)</f>
        <v>2150148</v>
      </c>
      <c r="Y20" s="87">
        <f>-SUMIFS(FINANCIACION[$ CAPITAL],
FINANCIACION[Fecha],"&lt;="&amp;EOMONTH(Y$1,0),
FINANCIACION[PRESTAMO],$A20)</f>
        <v>2150148</v>
      </c>
    </row>
    <row r="21" spans="1:25" ht="21.6" customHeight="1" x14ac:dyDescent="0.25">
      <c r="A21" s="74" t="s">
        <v>454</v>
      </c>
      <c r="B21" s="87">
        <f>-SUMIFS(FINANCIACION[$ CAPITAL],
FINANCIACION[Fecha],"&lt;="&amp;EOMONTH(B$1,0),
FINANCIACION[PRESTAMO],$A21)</f>
        <v>51510212.68599999</v>
      </c>
      <c r="C21" s="87">
        <f>-SUMIFS(FINANCIACION[$ CAPITAL],
FINANCIACION[Fecha],"&lt;="&amp;EOMONTH(C$1,0),
FINANCIACION[PRESTAMO],$A21)</f>
        <v>75735212.68599999</v>
      </c>
      <c r="D21" s="87">
        <f>-SUMIFS(FINANCIACION[$ CAPITAL],
FINANCIACION[Fecha],"&lt;="&amp;EOMONTH(D$1,0),
FINANCIACION[PRESTAMO],$A21)</f>
        <v>75735212.68599999</v>
      </c>
      <c r="E21" s="87">
        <f>-SUMIFS(FINANCIACION[$ CAPITAL],
FINANCIACION[Fecha],"&lt;="&amp;EOMONTH(E$1,0),
FINANCIACION[PRESTAMO],$A21)</f>
        <v>75735212.68599999</v>
      </c>
      <c r="F21" s="87">
        <f>-SUMIFS(FINANCIACION[$ CAPITAL],
FINANCIACION[Fecha],"&lt;="&amp;EOMONTH(F$1,0),
FINANCIACION[PRESTAMO],$A21)</f>
        <v>75735212.68599999</v>
      </c>
      <c r="G21" s="87">
        <f>-SUMIFS(FINANCIACION[$ CAPITAL],
FINANCIACION[Fecha],"&lt;="&amp;EOMONTH(G$1,0),
FINANCIACION[PRESTAMO],$A21)</f>
        <v>75735212.68599999</v>
      </c>
      <c r="H21" s="87">
        <f>-SUMIFS(FINANCIACION[$ CAPITAL],
FINANCIACION[Fecha],"&lt;="&amp;EOMONTH(H$1,0),
FINANCIACION[PRESTAMO],$A21)</f>
        <v>75735212.68599999</v>
      </c>
      <c r="I21" s="87">
        <f>-SUMIFS(FINANCIACION[$ CAPITAL],
FINANCIACION[Fecha],"&lt;="&amp;EOMONTH(I$1,0),
FINANCIACION[PRESTAMO],$A21)</f>
        <v>29897425.485999987</v>
      </c>
      <c r="J21" s="87">
        <f>-SUMIFS(FINANCIACION[$ CAPITAL],
FINANCIACION[Fecha],"&lt;="&amp;EOMONTH(J$1,0),
FINANCIACION[PRESTAMO],$A21)</f>
        <v>51330339.999999985</v>
      </c>
      <c r="K21" s="87">
        <f>-SUMIFS(FINANCIACION[$ CAPITAL],
FINANCIACION[Fecha],"&lt;="&amp;EOMONTH(K$1,0),
FINANCIACION[PRESTAMO],$A21)</f>
        <v>10481630.999999978</v>
      </c>
      <c r="L21" s="87">
        <f>-SUMIFS(FINANCIACION[$ CAPITAL],
FINANCIACION[Fecha],"&lt;="&amp;EOMONTH(L$1,0),
FINANCIACION[PRESTAMO],$A21)</f>
        <v>-3.7252902984619141E-8</v>
      </c>
      <c r="M21" s="87">
        <f>-SUMIFS(FINANCIACION[$ CAPITAL],
FINANCIACION[Fecha],"&lt;="&amp;EOMONTH(M$1,0),
FINANCIACION[PRESTAMO],$A21)</f>
        <v>-3.7252902984619141E-8</v>
      </c>
      <c r="N21" s="87">
        <f>-SUMIFS(FINANCIACION[$ CAPITAL],
FINANCIACION[Fecha],"&lt;="&amp;EOMONTH(N$1,0),
FINANCIACION[PRESTAMO],$A21)</f>
        <v>-3.7252902984619141E-8</v>
      </c>
      <c r="O21" s="87">
        <f>-SUMIFS(FINANCIACION[$ CAPITAL],
FINANCIACION[Fecha],"&lt;="&amp;EOMONTH(O$1,0),
FINANCIACION[PRESTAMO],$A21)</f>
        <v>-3.7252902984619141E-8</v>
      </c>
      <c r="P21" s="87">
        <f>-SUMIFS(FINANCIACION[$ CAPITAL],
FINANCIACION[Fecha],"&lt;="&amp;EOMONTH(P$1,0),
FINANCIACION[PRESTAMO],$A21)</f>
        <v>-3.7252902984619141E-8</v>
      </c>
      <c r="Q21" s="87">
        <f>-SUMIFS(FINANCIACION[$ CAPITAL],
FINANCIACION[Fecha],"&lt;="&amp;EOMONTH(Q$1,0),
FINANCIACION[PRESTAMO],$A21)</f>
        <v>-3.7252902984619141E-8</v>
      </c>
      <c r="R21" s="87">
        <f>-SUMIFS(FINANCIACION[$ CAPITAL],
FINANCIACION[Fecha],"&lt;="&amp;EOMONTH(R$1,0),
FINANCIACION[PRESTAMO],$A21)</f>
        <v>-3.7252902984619141E-8</v>
      </c>
      <c r="S21" s="87">
        <f>-SUMIFS(FINANCIACION[$ CAPITAL],
FINANCIACION[Fecha],"&lt;="&amp;EOMONTH(S$1,0),
FINANCIACION[PRESTAMO],$A21)</f>
        <v>-3.7252902984619141E-8</v>
      </c>
      <c r="T21" s="87">
        <f>-SUMIFS(FINANCIACION[$ CAPITAL],
FINANCIACION[Fecha],"&lt;="&amp;EOMONTH(T$1,0),
FINANCIACION[PRESTAMO],$A21)</f>
        <v>-3.7252902984619141E-8</v>
      </c>
      <c r="U21" s="87">
        <f>-SUMIFS(FINANCIACION[$ CAPITAL],
FINANCIACION[Fecha],"&lt;="&amp;EOMONTH(U$1,0),
FINANCIACION[PRESTAMO],$A21)</f>
        <v>-3.7252902984619141E-8</v>
      </c>
      <c r="V21" s="87">
        <f>-SUMIFS(FINANCIACION[$ CAPITAL],
FINANCIACION[Fecha],"&lt;="&amp;EOMONTH(V$1,0),
FINANCIACION[PRESTAMO],$A21)</f>
        <v>-3.7252902984619141E-8</v>
      </c>
      <c r="W21" s="87">
        <f>-SUMIFS(FINANCIACION[$ CAPITAL],
FINANCIACION[Fecha],"&lt;="&amp;EOMONTH(W$1,0),
FINANCIACION[PRESTAMO],$A21)</f>
        <v>-3.7252902984619141E-8</v>
      </c>
      <c r="X21" s="87">
        <f>-SUMIFS(FINANCIACION[$ CAPITAL],
FINANCIACION[Fecha],"&lt;="&amp;EOMONTH(X$1,0),
FINANCIACION[PRESTAMO],$A21)</f>
        <v>-3.7252902984619141E-8</v>
      </c>
      <c r="Y21" s="87">
        <f>-SUMIFS(FINANCIACION[$ CAPITAL],
FINANCIACION[Fecha],"&lt;="&amp;EOMONTH(Y$1,0),
FINANCIACION[PRESTAMO],$A21)</f>
        <v>-3.7252902984619141E-8</v>
      </c>
    </row>
    <row r="22" spans="1:25" ht="21.6" customHeight="1" x14ac:dyDescent="0.25">
      <c r="A22" s="74" t="s">
        <v>471</v>
      </c>
      <c r="B22" s="87">
        <f>-SUMIFS(FINANCIACION[$ CAPITAL],
FINANCIACION[Fecha],"&lt;="&amp;EOMONTH(B$1,0),
FINANCIACION[PRESTAMO],$A22)</f>
        <v>52186406</v>
      </c>
      <c r="C22" s="87">
        <f>-SUMIFS(FINANCIACION[$ CAPITAL],
FINANCIACION[Fecha],"&lt;="&amp;EOMONTH(C$1,0),
FINANCIACION[PRESTAMO],$A22)</f>
        <v>52186406</v>
      </c>
      <c r="D22" s="87">
        <f>-SUMIFS(FINANCIACION[$ CAPITAL],
FINANCIACION[Fecha],"&lt;="&amp;EOMONTH(D$1,0),
FINANCIACION[PRESTAMO],$A22)</f>
        <v>52186406</v>
      </c>
      <c r="E22" s="87">
        <f>-SUMIFS(FINANCIACION[$ CAPITAL],
FINANCIACION[Fecha],"&lt;="&amp;EOMONTH(E$1,0),
FINANCIACION[PRESTAMO],$A22)</f>
        <v>52186406</v>
      </c>
      <c r="F22" s="87">
        <f>-SUMIFS(FINANCIACION[$ CAPITAL],
FINANCIACION[Fecha],"&lt;="&amp;EOMONTH(F$1,0),
FINANCIACION[PRESTAMO],$A22)</f>
        <v>52186406</v>
      </c>
      <c r="G22" s="87">
        <f>-SUMIFS(FINANCIACION[$ CAPITAL],
FINANCIACION[Fecha],"&lt;="&amp;EOMONTH(G$1,0),
FINANCIACION[PRESTAMO],$A22)</f>
        <v>52186406</v>
      </c>
      <c r="H22" s="87">
        <f>-SUMIFS(FINANCIACION[$ CAPITAL],
FINANCIACION[Fecha],"&lt;="&amp;EOMONTH(H$1,0),
FINANCIACION[PRESTAMO],$A22)</f>
        <v>52186406</v>
      </c>
      <c r="I22" s="87">
        <f>-SUMIFS(FINANCIACION[$ CAPITAL],
FINANCIACION[Fecha],"&lt;="&amp;EOMONTH(I$1,0),
FINANCIACION[PRESTAMO],$A22)</f>
        <v>52186406</v>
      </c>
      <c r="J22" s="87">
        <f>-SUMIFS(FINANCIACION[$ CAPITAL],
FINANCIACION[Fecha],"&lt;="&amp;EOMONTH(J$1,0),
FINANCIACION[PRESTAMO],$A22)</f>
        <v>52186406</v>
      </c>
      <c r="K22" s="87">
        <f>-SUMIFS(FINANCIACION[$ CAPITAL],
FINANCIACION[Fecha],"&lt;="&amp;EOMONTH(K$1,0),
FINANCIACION[PRESTAMO],$A22)</f>
        <v>52186406</v>
      </c>
      <c r="L22" s="87">
        <f>-SUMIFS(FINANCIACION[$ CAPITAL],
FINANCIACION[Fecha],"&lt;="&amp;EOMONTH(L$1,0),
FINANCIACION[PRESTAMO],$A22)</f>
        <v>52186406</v>
      </c>
      <c r="M22" s="87">
        <f>-SUMIFS(FINANCIACION[$ CAPITAL],
FINANCIACION[Fecha],"&lt;="&amp;EOMONTH(M$1,0),
FINANCIACION[PRESTAMO],$A22)</f>
        <v>52186406</v>
      </c>
      <c r="N22" s="87">
        <f>-SUMIFS(FINANCIACION[$ CAPITAL],
FINANCIACION[Fecha],"&lt;="&amp;EOMONTH(N$1,0),
FINANCIACION[PRESTAMO],$A22)</f>
        <v>52186406</v>
      </c>
      <c r="O22" s="87">
        <f>-SUMIFS(FINANCIACION[$ CAPITAL],
FINANCIACION[Fecha],"&lt;="&amp;EOMONTH(O$1,0),
FINANCIACION[PRESTAMO],$A22)</f>
        <v>52186406</v>
      </c>
      <c r="P22" s="87">
        <f>-SUMIFS(FINANCIACION[$ CAPITAL],
FINANCIACION[Fecha],"&lt;="&amp;EOMONTH(P$1,0),
FINANCIACION[PRESTAMO],$A22)</f>
        <v>0</v>
      </c>
      <c r="Q22" s="87">
        <f>-SUMIFS(FINANCIACION[$ CAPITAL],
FINANCIACION[Fecha],"&lt;="&amp;EOMONTH(Q$1,0),
FINANCIACION[PRESTAMO],$A22)</f>
        <v>0</v>
      </c>
      <c r="R22" s="87">
        <f>-SUMIFS(FINANCIACION[$ CAPITAL],
FINANCIACION[Fecha],"&lt;="&amp;EOMONTH(R$1,0),
FINANCIACION[PRESTAMO],$A22)</f>
        <v>0</v>
      </c>
      <c r="S22" s="87">
        <f>-SUMIFS(FINANCIACION[$ CAPITAL],
FINANCIACION[Fecha],"&lt;="&amp;EOMONTH(S$1,0),
FINANCIACION[PRESTAMO],$A22)</f>
        <v>0</v>
      </c>
      <c r="T22" s="87">
        <f>-SUMIFS(FINANCIACION[$ CAPITAL],
FINANCIACION[Fecha],"&lt;="&amp;EOMONTH(T$1,0),
FINANCIACION[PRESTAMO],$A22)</f>
        <v>0</v>
      </c>
      <c r="U22" s="87">
        <f>-SUMIFS(FINANCIACION[$ CAPITAL],
FINANCIACION[Fecha],"&lt;="&amp;EOMONTH(U$1,0),
FINANCIACION[PRESTAMO],$A22)</f>
        <v>0</v>
      </c>
      <c r="V22" s="87">
        <f>-SUMIFS(FINANCIACION[$ CAPITAL],
FINANCIACION[Fecha],"&lt;="&amp;EOMONTH(V$1,0),
FINANCIACION[PRESTAMO],$A22)</f>
        <v>0</v>
      </c>
      <c r="W22" s="87">
        <f>-SUMIFS(FINANCIACION[$ CAPITAL],
FINANCIACION[Fecha],"&lt;="&amp;EOMONTH(W$1,0),
FINANCIACION[PRESTAMO],$A22)</f>
        <v>0</v>
      </c>
      <c r="X22" s="87">
        <f>-SUMIFS(FINANCIACION[$ CAPITAL],
FINANCIACION[Fecha],"&lt;="&amp;EOMONTH(X$1,0),
FINANCIACION[PRESTAMO],$A22)</f>
        <v>0</v>
      </c>
      <c r="Y22" s="87">
        <f>-SUMIFS(FINANCIACION[$ CAPITAL],
FINANCIACION[Fecha],"&lt;="&amp;EOMONTH(Y$1,0),
FINANCIACION[PRESTAMO],$A22)</f>
        <v>0</v>
      </c>
    </row>
    <row r="23" spans="1:25" ht="21.6" customHeight="1" x14ac:dyDescent="0.25">
      <c r="A23" s="74" t="s">
        <v>472</v>
      </c>
      <c r="B23" s="87">
        <f>-SUMIFS(FINANCIACION[$ CAPITAL],
FINANCIACION[Fecha],"&lt;="&amp;EOMONTH(B$1,0),
FINANCIACION[PRESTAMO],$A23)</f>
        <v>2194369.23</v>
      </c>
      <c r="C23" s="87">
        <f>-SUMIFS(FINANCIACION[$ CAPITAL],
FINANCIACION[Fecha],"&lt;="&amp;EOMONTH(C$1,0),
FINANCIACION[PRESTAMO],$A23)</f>
        <v>2194369.23</v>
      </c>
      <c r="D23" s="87">
        <f>-SUMIFS(FINANCIACION[$ CAPITAL],
FINANCIACION[Fecha],"&lt;="&amp;EOMONTH(D$1,0),
FINANCIACION[PRESTAMO],$A23)</f>
        <v>2194369.23</v>
      </c>
      <c r="E23" s="87">
        <f>-SUMIFS(FINANCIACION[$ CAPITAL],
FINANCIACION[Fecha],"&lt;="&amp;EOMONTH(E$1,0),
FINANCIACION[PRESTAMO],$A23)</f>
        <v>2194369.23</v>
      </c>
      <c r="F23" s="87">
        <f>-SUMIFS(FINANCIACION[$ CAPITAL],
FINANCIACION[Fecha],"&lt;="&amp;EOMONTH(F$1,0),
FINANCIACION[PRESTAMO],$A23)</f>
        <v>2194369.23</v>
      </c>
      <c r="G23" s="87">
        <f>-SUMIFS(FINANCIACION[$ CAPITAL],
FINANCIACION[Fecha],"&lt;="&amp;EOMONTH(G$1,0),
FINANCIACION[PRESTAMO],$A23)</f>
        <v>2194369.23</v>
      </c>
      <c r="H23" s="87">
        <f>-SUMIFS(FINANCIACION[$ CAPITAL],
FINANCIACION[Fecha],"&lt;="&amp;EOMONTH(H$1,0),
FINANCIACION[PRESTAMO],$A23)</f>
        <v>2194369.23</v>
      </c>
      <c r="I23" s="87">
        <f>-SUMIFS(FINANCIACION[$ CAPITAL],
FINANCIACION[Fecha],"&lt;="&amp;EOMONTH(I$1,0),
FINANCIACION[PRESTAMO],$A23)</f>
        <v>2194369.23</v>
      </c>
      <c r="J23" s="87">
        <f>-SUMIFS(FINANCIACION[$ CAPITAL],
FINANCIACION[Fecha],"&lt;="&amp;EOMONTH(J$1,0),
FINANCIACION[PRESTAMO],$A23)</f>
        <v>2194369.23</v>
      </c>
      <c r="K23" s="87">
        <f>-SUMIFS(FINANCIACION[$ CAPITAL],
FINANCIACION[Fecha],"&lt;="&amp;EOMONTH(K$1,0),
FINANCIACION[PRESTAMO],$A23)</f>
        <v>2194369.23</v>
      </c>
      <c r="L23" s="87">
        <f>-SUMIFS(FINANCIACION[$ CAPITAL],
FINANCIACION[Fecha],"&lt;="&amp;EOMONTH(L$1,0),
FINANCIACION[PRESTAMO],$A23)</f>
        <v>2194369.23</v>
      </c>
      <c r="M23" s="87">
        <f>-SUMIFS(FINANCIACION[$ CAPITAL],
FINANCIACION[Fecha],"&lt;="&amp;EOMONTH(M$1,0),
FINANCIACION[PRESTAMO],$A23)</f>
        <v>0</v>
      </c>
      <c r="N23" s="87">
        <f>-SUMIFS(FINANCIACION[$ CAPITAL],
FINANCIACION[Fecha],"&lt;="&amp;EOMONTH(N$1,0),
FINANCIACION[PRESTAMO],$A23)</f>
        <v>0</v>
      </c>
      <c r="O23" s="87">
        <f>-SUMIFS(FINANCIACION[$ CAPITAL],
FINANCIACION[Fecha],"&lt;="&amp;EOMONTH(O$1,0),
FINANCIACION[PRESTAMO],$A23)</f>
        <v>0</v>
      </c>
      <c r="P23" s="87">
        <f>-SUMIFS(FINANCIACION[$ CAPITAL],
FINANCIACION[Fecha],"&lt;="&amp;EOMONTH(P$1,0),
FINANCIACION[PRESTAMO],$A23)</f>
        <v>0</v>
      </c>
      <c r="Q23" s="87">
        <f>-SUMIFS(FINANCIACION[$ CAPITAL],
FINANCIACION[Fecha],"&lt;="&amp;EOMONTH(Q$1,0),
FINANCIACION[PRESTAMO],$A23)</f>
        <v>0</v>
      </c>
      <c r="R23" s="87">
        <f>-SUMIFS(FINANCIACION[$ CAPITAL],
FINANCIACION[Fecha],"&lt;="&amp;EOMONTH(R$1,0),
FINANCIACION[PRESTAMO],$A23)</f>
        <v>0</v>
      </c>
      <c r="S23" s="87">
        <f>-SUMIFS(FINANCIACION[$ CAPITAL],
FINANCIACION[Fecha],"&lt;="&amp;EOMONTH(S$1,0),
FINANCIACION[PRESTAMO],$A23)</f>
        <v>0</v>
      </c>
      <c r="T23" s="87">
        <f>-SUMIFS(FINANCIACION[$ CAPITAL],
FINANCIACION[Fecha],"&lt;="&amp;EOMONTH(T$1,0),
FINANCIACION[PRESTAMO],$A23)</f>
        <v>0</v>
      </c>
      <c r="U23" s="87">
        <f>-SUMIFS(FINANCIACION[$ CAPITAL],
FINANCIACION[Fecha],"&lt;="&amp;EOMONTH(U$1,0),
FINANCIACION[PRESTAMO],$A23)</f>
        <v>0</v>
      </c>
      <c r="V23" s="87">
        <f>-SUMIFS(FINANCIACION[$ CAPITAL],
FINANCIACION[Fecha],"&lt;="&amp;EOMONTH(V$1,0),
FINANCIACION[PRESTAMO],$A23)</f>
        <v>0</v>
      </c>
      <c r="W23" s="87">
        <f>-SUMIFS(FINANCIACION[$ CAPITAL],
FINANCIACION[Fecha],"&lt;="&amp;EOMONTH(W$1,0),
FINANCIACION[PRESTAMO],$A23)</f>
        <v>0</v>
      </c>
      <c r="X23" s="87">
        <f>-SUMIFS(FINANCIACION[$ CAPITAL],
FINANCIACION[Fecha],"&lt;="&amp;EOMONTH(X$1,0),
FINANCIACION[PRESTAMO],$A23)</f>
        <v>0</v>
      </c>
      <c r="Y23" s="87">
        <f>-SUMIFS(FINANCIACION[$ CAPITAL],
FINANCIACION[Fecha],"&lt;="&amp;EOMONTH(Y$1,0),
FINANCIACION[PRESTAMO],$A23)</f>
        <v>0</v>
      </c>
    </row>
    <row r="24" spans="1:25" ht="21.6" customHeight="1" x14ac:dyDescent="0.25">
      <c r="A24" s="74" t="s">
        <v>473</v>
      </c>
      <c r="B24" s="87">
        <f>-SUMIFS(FINANCIACION[$ CAPITAL],
FINANCIACION[Fecha],"&lt;="&amp;EOMONTH(B$1,0),
FINANCIACION[PRESTAMO],$A24)</f>
        <v>0</v>
      </c>
      <c r="C24" s="87">
        <f>-SUMIFS(FINANCIACION[$ CAPITAL],
FINANCIACION[Fecha],"&lt;="&amp;EOMONTH(C$1,0),
FINANCIACION[PRESTAMO],$A24)</f>
        <v>27025125</v>
      </c>
      <c r="D24" s="87">
        <f>-SUMIFS(FINANCIACION[$ CAPITAL],
FINANCIACION[Fecha],"&lt;="&amp;EOMONTH(D$1,0),
FINANCIACION[PRESTAMO],$A24)</f>
        <v>27025125</v>
      </c>
      <c r="E24" s="87">
        <f>-SUMIFS(FINANCIACION[$ CAPITAL],
FINANCIACION[Fecha],"&lt;="&amp;EOMONTH(E$1,0),
FINANCIACION[PRESTAMO],$A24)</f>
        <v>27025125</v>
      </c>
      <c r="F24" s="87">
        <f>-SUMIFS(FINANCIACION[$ CAPITAL],
FINANCIACION[Fecha],"&lt;="&amp;EOMONTH(F$1,0),
FINANCIACION[PRESTAMO],$A24)</f>
        <v>27025125</v>
      </c>
      <c r="G24" s="87">
        <f>-SUMIFS(FINANCIACION[$ CAPITAL],
FINANCIACION[Fecha],"&lt;="&amp;EOMONTH(G$1,0),
FINANCIACION[PRESTAMO],$A24)</f>
        <v>27025125</v>
      </c>
      <c r="H24" s="87">
        <f>-SUMIFS(FINANCIACION[$ CAPITAL],
FINANCIACION[Fecha],"&lt;="&amp;EOMONTH(H$1,0),
FINANCIACION[PRESTAMO],$A24)</f>
        <v>27025125</v>
      </c>
      <c r="I24" s="87">
        <f>-SUMIFS(FINANCIACION[$ CAPITAL],
FINANCIACION[Fecha],"&lt;="&amp;EOMONTH(I$1,0),
FINANCIACION[PRESTAMO],$A24)</f>
        <v>27025125</v>
      </c>
      <c r="J24" s="87">
        <f>-SUMIFS(FINANCIACION[$ CAPITAL],
FINANCIACION[Fecha],"&lt;="&amp;EOMONTH(J$1,0),
FINANCIACION[PRESTAMO],$A24)</f>
        <v>27025125</v>
      </c>
      <c r="K24" s="87">
        <f>-SUMIFS(FINANCIACION[$ CAPITAL],
FINANCIACION[Fecha],"&lt;="&amp;EOMONTH(K$1,0),
FINANCIACION[PRESTAMO],$A24)</f>
        <v>27025125</v>
      </c>
      <c r="L24" s="87">
        <f>-SUMIFS(FINANCIACION[$ CAPITAL],
FINANCIACION[Fecha],"&lt;="&amp;EOMONTH(L$1,0),
FINANCIACION[PRESTAMO],$A24)</f>
        <v>27025125</v>
      </c>
      <c r="M24" s="87">
        <f>-SUMIFS(FINANCIACION[$ CAPITAL],
FINANCIACION[Fecha],"&lt;="&amp;EOMONTH(M$1,0),
FINANCIACION[PRESTAMO],$A24)</f>
        <v>0</v>
      </c>
      <c r="N24" s="87">
        <f>-SUMIFS(FINANCIACION[$ CAPITAL],
FINANCIACION[Fecha],"&lt;="&amp;EOMONTH(N$1,0),
FINANCIACION[PRESTAMO],$A24)</f>
        <v>0</v>
      </c>
      <c r="O24" s="87">
        <f>-SUMIFS(FINANCIACION[$ CAPITAL],
FINANCIACION[Fecha],"&lt;="&amp;EOMONTH(O$1,0),
FINANCIACION[PRESTAMO],$A24)</f>
        <v>0</v>
      </c>
      <c r="P24" s="87">
        <f>-SUMIFS(FINANCIACION[$ CAPITAL],
FINANCIACION[Fecha],"&lt;="&amp;EOMONTH(P$1,0),
FINANCIACION[PRESTAMO],$A24)</f>
        <v>0</v>
      </c>
      <c r="Q24" s="87">
        <f>-SUMIFS(FINANCIACION[$ CAPITAL],
FINANCIACION[Fecha],"&lt;="&amp;EOMONTH(Q$1,0),
FINANCIACION[PRESTAMO],$A24)</f>
        <v>0</v>
      </c>
      <c r="R24" s="87">
        <f>-SUMIFS(FINANCIACION[$ CAPITAL],
FINANCIACION[Fecha],"&lt;="&amp;EOMONTH(R$1,0),
FINANCIACION[PRESTAMO],$A24)</f>
        <v>0</v>
      </c>
      <c r="S24" s="87">
        <f>-SUMIFS(FINANCIACION[$ CAPITAL],
FINANCIACION[Fecha],"&lt;="&amp;EOMONTH(S$1,0),
FINANCIACION[PRESTAMO],$A24)</f>
        <v>0</v>
      </c>
      <c r="T24" s="87">
        <f>-SUMIFS(FINANCIACION[$ CAPITAL],
FINANCIACION[Fecha],"&lt;="&amp;EOMONTH(T$1,0),
FINANCIACION[PRESTAMO],$A24)</f>
        <v>0</v>
      </c>
      <c r="U24" s="87">
        <f>-SUMIFS(FINANCIACION[$ CAPITAL],
FINANCIACION[Fecha],"&lt;="&amp;EOMONTH(U$1,0),
FINANCIACION[PRESTAMO],$A24)</f>
        <v>0</v>
      </c>
      <c r="V24" s="87">
        <f>-SUMIFS(FINANCIACION[$ CAPITAL],
FINANCIACION[Fecha],"&lt;="&amp;EOMONTH(V$1,0),
FINANCIACION[PRESTAMO],$A24)</f>
        <v>0</v>
      </c>
      <c r="W24" s="87">
        <f>-SUMIFS(FINANCIACION[$ CAPITAL],
FINANCIACION[Fecha],"&lt;="&amp;EOMONTH(W$1,0),
FINANCIACION[PRESTAMO],$A24)</f>
        <v>0</v>
      </c>
      <c r="X24" s="87">
        <f>-SUMIFS(FINANCIACION[$ CAPITAL],
FINANCIACION[Fecha],"&lt;="&amp;EOMONTH(X$1,0),
FINANCIACION[PRESTAMO],$A24)</f>
        <v>0</v>
      </c>
      <c r="Y24" s="87">
        <f>-SUMIFS(FINANCIACION[$ CAPITAL],
FINANCIACION[Fecha],"&lt;="&amp;EOMONTH(Y$1,0),
FINANCIACION[PRESTAMO],$A24)</f>
        <v>0</v>
      </c>
    </row>
    <row r="25" spans="1:25" ht="21.6" customHeight="1" x14ac:dyDescent="0.25">
      <c r="A25" s="74" t="s">
        <v>474</v>
      </c>
      <c r="B25" s="87">
        <f>-SUMIFS(FINANCIACION[$ CAPITAL],
FINANCIACION[Fecha],"&lt;="&amp;EOMONTH(B$1,0),
FINANCIACION[PRESTAMO],$A25)</f>
        <v>0</v>
      </c>
      <c r="C25" s="87">
        <f>-SUMIFS(FINANCIACION[$ CAPITAL],
FINANCIACION[Fecha],"&lt;="&amp;EOMONTH(C$1,0),
FINANCIACION[PRESTAMO],$A25)</f>
        <v>0</v>
      </c>
      <c r="D25" s="87">
        <f>-SUMIFS(FINANCIACION[$ CAPITAL],
FINANCIACION[Fecha],"&lt;="&amp;EOMONTH(D$1,0),
FINANCIACION[PRESTAMO],$A25)</f>
        <v>0</v>
      </c>
      <c r="E25" s="87">
        <f>-SUMIFS(FINANCIACION[$ CAPITAL],
FINANCIACION[Fecha],"&lt;="&amp;EOMONTH(E$1,0),
FINANCIACION[PRESTAMO],$A25)</f>
        <v>0</v>
      </c>
      <c r="F25" s="87">
        <f>-SUMIFS(FINANCIACION[$ CAPITAL],
FINANCIACION[Fecha],"&lt;="&amp;EOMONTH(F$1,0),
FINANCIACION[PRESTAMO],$A25)</f>
        <v>0</v>
      </c>
      <c r="G25" s="87">
        <f>-SUMIFS(FINANCIACION[$ CAPITAL],
FINANCIACION[Fecha],"&lt;="&amp;EOMONTH(G$1,0),
FINANCIACION[PRESTAMO],$A25)</f>
        <v>0</v>
      </c>
      <c r="H25" s="87">
        <f>-SUMIFS(FINANCIACION[$ CAPITAL],
FINANCIACION[Fecha],"&lt;="&amp;EOMONTH(H$1,0),
FINANCIACION[PRESTAMO],$A25)</f>
        <v>0</v>
      </c>
      <c r="I25" s="87">
        <f>-SUMIFS(FINANCIACION[$ CAPITAL],
FINANCIACION[Fecha],"&lt;="&amp;EOMONTH(I$1,0),
FINANCIACION[PRESTAMO],$A25)</f>
        <v>0</v>
      </c>
      <c r="J25" s="87">
        <f>-SUMIFS(FINANCIACION[$ CAPITAL],
FINANCIACION[Fecha],"&lt;="&amp;EOMONTH(J$1,0),
FINANCIACION[PRESTAMO],$A25)</f>
        <v>0</v>
      </c>
      <c r="K25" s="87">
        <f>-SUMIFS(FINANCIACION[$ CAPITAL],
FINANCIACION[Fecha],"&lt;="&amp;EOMONTH(K$1,0),
FINANCIACION[PRESTAMO],$A25)</f>
        <v>41521255</v>
      </c>
      <c r="L25" s="87">
        <f>-SUMIFS(FINANCIACION[$ CAPITAL],
FINANCIACION[Fecha],"&lt;="&amp;EOMONTH(L$1,0),
FINANCIACION[PRESTAMO],$A25)</f>
        <v>41521255</v>
      </c>
      <c r="M25" s="87">
        <f>-SUMIFS(FINANCIACION[$ CAPITAL],
FINANCIACION[Fecha],"&lt;="&amp;EOMONTH(M$1,0),
FINANCIACION[PRESTAMO],$A25)</f>
        <v>41521255</v>
      </c>
      <c r="N25" s="87">
        <f>-SUMIFS(FINANCIACION[$ CAPITAL],
FINANCIACION[Fecha],"&lt;="&amp;EOMONTH(N$1,0),
FINANCIACION[PRESTAMO],$A25)</f>
        <v>41521255</v>
      </c>
      <c r="O25" s="87">
        <f>-SUMIFS(FINANCIACION[$ CAPITAL],
FINANCIACION[Fecha],"&lt;="&amp;EOMONTH(O$1,0),
FINANCIACION[PRESTAMO],$A25)</f>
        <v>41521255</v>
      </c>
      <c r="P25" s="87">
        <f>-SUMIFS(FINANCIACION[$ CAPITAL],
FINANCIACION[Fecha],"&lt;="&amp;EOMONTH(P$1,0),
FINANCIACION[PRESTAMO],$A25)</f>
        <v>40297660</v>
      </c>
      <c r="Q25" s="87">
        <f>-SUMIFS(FINANCIACION[$ CAPITAL],
FINANCIACION[Fecha],"&lt;="&amp;EOMONTH(Q$1,0),
FINANCIACION[PRESTAMO],$A25)</f>
        <v>42552085</v>
      </c>
      <c r="R25" s="87">
        <f>-SUMIFS(FINANCIACION[$ CAPITAL],
FINANCIACION[Fecha],"&lt;="&amp;EOMONTH(R$1,0),
FINANCIACION[PRESTAMO],$A25)</f>
        <v>41556085</v>
      </c>
      <c r="S25" s="87">
        <f>-SUMIFS(FINANCIACION[$ CAPITAL],
FINANCIACION[Fecha],"&lt;="&amp;EOMONTH(S$1,0),
FINANCIACION[PRESTAMO],$A25)</f>
        <v>19752085</v>
      </c>
      <c r="T25" s="87">
        <f>-SUMIFS(FINANCIACION[$ CAPITAL],
FINANCIACION[Fecha],"&lt;="&amp;EOMONTH(T$1,0),
FINANCIACION[PRESTAMO],$A25)</f>
        <v>20282200</v>
      </c>
      <c r="U25" s="87">
        <f>-SUMIFS(FINANCIACION[$ CAPITAL],
FINANCIACION[Fecha],"&lt;="&amp;EOMONTH(U$1,0),
FINANCIACION[PRESTAMO],$A25)</f>
        <v>20282200</v>
      </c>
      <c r="V25" s="87">
        <f>-SUMIFS(FINANCIACION[$ CAPITAL],
FINANCIACION[Fecha],"&lt;="&amp;EOMONTH(V$1,0),
FINANCIACION[PRESTAMO],$A25)</f>
        <v>0</v>
      </c>
      <c r="W25" s="87">
        <f>-SUMIFS(FINANCIACION[$ CAPITAL],
FINANCIACION[Fecha],"&lt;="&amp;EOMONTH(W$1,0),
FINANCIACION[PRESTAMO],$A25)</f>
        <v>0</v>
      </c>
      <c r="X25" s="87">
        <f>-SUMIFS(FINANCIACION[$ CAPITAL],
FINANCIACION[Fecha],"&lt;="&amp;EOMONTH(X$1,0),
FINANCIACION[PRESTAMO],$A25)</f>
        <v>0</v>
      </c>
      <c r="Y25" s="87">
        <f>-SUMIFS(FINANCIACION[$ CAPITAL],
FINANCIACION[Fecha],"&lt;="&amp;EOMONTH(Y$1,0),
FINANCIACION[PRESTAMO],$A25)</f>
        <v>0</v>
      </c>
    </row>
    <row r="26" spans="1:25" ht="21.6" customHeight="1" x14ac:dyDescent="0.25">
      <c r="A26" s="74" t="s">
        <v>455</v>
      </c>
      <c r="B26" s="87">
        <f>-SUMIFS(FINANCIACION[$ CAPITAL],
FINANCIACION[Fecha],"&lt;="&amp;EOMONTH(B$1,0),
FINANCIACION[PRESTAMO],$A26)</f>
        <v>0</v>
      </c>
      <c r="C26" s="87">
        <f>-SUMIFS(FINANCIACION[$ CAPITAL],
FINANCIACION[Fecha],"&lt;="&amp;EOMONTH(C$1,0),
FINANCIACION[PRESTAMO],$A26)</f>
        <v>0</v>
      </c>
      <c r="D26" s="87">
        <f>-SUMIFS(FINANCIACION[$ CAPITAL],
FINANCIACION[Fecha],"&lt;="&amp;EOMONTH(D$1,0),
FINANCIACION[PRESTAMO],$A26)</f>
        <v>0</v>
      </c>
      <c r="E26" s="87">
        <f>-SUMIFS(FINANCIACION[$ CAPITAL],
FINANCIACION[Fecha],"&lt;="&amp;EOMONTH(E$1,0),
FINANCIACION[PRESTAMO],$A26)</f>
        <v>0</v>
      </c>
      <c r="F26" s="87">
        <f>-SUMIFS(FINANCIACION[$ CAPITAL],
FINANCIACION[Fecha],"&lt;="&amp;EOMONTH(F$1,0),
FINANCIACION[PRESTAMO],$A26)</f>
        <v>0</v>
      </c>
      <c r="G26" s="87">
        <f>-SUMIFS(FINANCIACION[$ CAPITAL],
FINANCIACION[Fecha],"&lt;="&amp;EOMONTH(G$1,0),
FINANCIACION[PRESTAMO],$A26)</f>
        <v>0</v>
      </c>
      <c r="H26" s="87">
        <f>-SUMIFS(FINANCIACION[$ CAPITAL],
FINANCIACION[Fecha],"&lt;="&amp;EOMONTH(H$1,0),
FINANCIACION[PRESTAMO],$A26)</f>
        <v>0</v>
      </c>
      <c r="I26" s="87">
        <f>-SUMIFS(FINANCIACION[$ CAPITAL],
FINANCIACION[Fecha],"&lt;="&amp;EOMONTH(I$1,0),
FINANCIACION[PRESTAMO],$A26)</f>
        <v>0</v>
      </c>
      <c r="J26" s="87">
        <f>-SUMIFS(FINANCIACION[$ CAPITAL],
FINANCIACION[Fecha],"&lt;="&amp;EOMONTH(J$1,0),
FINANCIACION[PRESTAMO],$A26)</f>
        <v>0</v>
      </c>
      <c r="K26" s="87">
        <f>-SUMIFS(FINANCIACION[$ CAPITAL],
FINANCIACION[Fecha],"&lt;="&amp;EOMONTH(K$1,0),
FINANCIACION[PRESTAMO],$A26)</f>
        <v>0</v>
      </c>
      <c r="L26" s="87">
        <f>-SUMIFS(FINANCIACION[$ CAPITAL],
FINANCIACION[Fecha],"&lt;="&amp;EOMONTH(L$1,0),
FINANCIACION[PRESTAMO],$A26)</f>
        <v>0</v>
      </c>
      <c r="M26" s="87">
        <f>-SUMIFS(FINANCIACION[$ CAPITAL],
FINANCIACION[Fecha],"&lt;="&amp;EOMONTH(M$1,0),
FINANCIACION[PRESTAMO],$A26)</f>
        <v>90130880</v>
      </c>
      <c r="N26" s="87">
        <f>-SUMIFS(FINANCIACION[$ CAPITAL],
FINANCIACION[Fecha],"&lt;="&amp;EOMONTH(N$1,0),
FINANCIACION[PRESTAMO],$A26)</f>
        <v>90130880</v>
      </c>
      <c r="O26" s="87">
        <f>-SUMIFS(FINANCIACION[$ CAPITAL],
FINANCIACION[Fecha],"&lt;="&amp;EOMONTH(O$1,0),
FINANCIACION[PRESTAMO],$A26)</f>
        <v>92706048</v>
      </c>
      <c r="P26" s="87">
        <f>-SUMIFS(FINANCIACION[$ CAPITAL],
FINANCIACION[Fecha],"&lt;="&amp;EOMONTH(P$1,0),
FINANCIACION[PRESTAMO],$A26)</f>
        <v>92706048</v>
      </c>
      <c r="Q26" s="87">
        <f>-SUMIFS(FINANCIACION[$ CAPITAL],
FINANCIACION[Fecha],"&lt;="&amp;EOMONTH(Q$1,0),
FINANCIACION[PRESTAMO],$A26)</f>
        <v>97856384</v>
      </c>
      <c r="R26" s="87">
        <f>-SUMIFS(FINANCIACION[$ CAPITAL],
FINANCIACION[Fecha],"&lt;="&amp;EOMONTH(R$1,0),
FINANCIACION[PRESTAMO],$A26)</f>
        <v>97856384</v>
      </c>
      <c r="S26" s="87">
        <f>-SUMIFS(FINANCIACION[$ CAPITAL],
FINANCIACION[Fecha],"&lt;="&amp;EOMONTH(S$1,0),
FINANCIACION[PRESTAMO],$A26)</f>
        <v>97856384</v>
      </c>
      <c r="T26" s="87">
        <f>-SUMIFS(FINANCIACION[$ CAPITAL],
FINANCIACION[Fecha],"&lt;="&amp;EOMONTH(T$1,0),
FINANCIACION[PRESTAMO],$A26)</f>
        <v>100431552</v>
      </c>
      <c r="U26" s="87">
        <f>-SUMIFS(FINANCIACION[$ CAPITAL],
FINANCIACION[Fecha],"&lt;="&amp;EOMONTH(U$1,0),
FINANCIACION[PRESTAMO],$A26)</f>
        <v>100431552</v>
      </c>
      <c r="V26" s="87">
        <f>-SUMIFS(FINANCIACION[$ CAPITAL],
FINANCIACION[Fecha],"&lt;="&amp;EOMONTH(V$1,0),
FINANCIACION[PRESTAMO],$A26)</f>
        <v>96453395.5</v>
      </c>
      <c r="W26" s="87">
        <f>-SUMIFS(FINANCIACION[$ CAPITAL],
FINANCIACION[Fecha],"&lt;="&amp;EOMONTH(W$1,0),
FINANCIACION[PRESTAMO],$A26)</f>
        <v>65636342.670000009</v>
      </c>
      <c r="X26" s="87">
        <f>-SUMIFS(FINANCIACION[$ CAPITAL],
FINANCIACION[Fecha],"&lt;="&amp;EOMONTH(X$1,0),
FINANCIACION[PRESTAMO],$A26)</f>
        <v>67273414.350000009</v>
      </c>
      <c r="Y26" s="87">
        <f>-SUMIFS(FINANCIACION[$ CAPITAL],
FINANCIACION[Fecha],"&lt;="&amp;EOMONTH(Y$1,0),
FINANCIACION[PRESTAMO],$A26)</f>
        <v>0</v>
      </c>
    </row>
    <row r="27" spans="1:25" ht="21.6" customHeight="1" x14ac:dyDescent="0.25">
      <c r="A27" s="74" t="s">
        <v>589</v>
      </c>
      <c r="B27" s="87">
        <f>-SUMIFS(FINANCIACION[$ CAPITAL],
FINANCIACION[Fecha],"&lt;="&amp;EOMONTH(B$1,0),
FINANCIACION[PRESTAMO],$A27)</f>
        <v>0</v>
      </c>
      <c r="C27" s="87">
        <f>-SUMIFS(FINANCIACION[$ CAPITAL],
FINANCIACION[Fecha],"&lt;="&amp;EOMONTH(C$1,0),
FINANCIACION[PRESTAMO],$A27)</f>
        <v>0</v>
      </c>
      <c r="D27" s="87">
        <f>-SUMIFS(FINANCIACION[$ CAPITAL],
FINANCIACION[Fecha],"&lt;="&amp;EOMONTH(D$1,0),
FINANCIACION[PRESTAMO],$A27)</f>
        <v>0</v>
      </c>
      <c r="E27" s="87">
        <f>-SUMIFS(FINANCIACION[$ CAPITAL],
FINANCIACION[Fecha],"&lt;="&amp;EOMONTH(E$1,0),
FINANCIACION[PRESTAMO],$A27)</f>
        <v>0</v>
      </c>
      <c r="F27" s="87">
        <f>-SUMIFS(FINANCIACION[$ CAPITAL],
FINANCIACION[Fecha],"&lt;="&amp;EOMONTH(F$1,0),
FINANCIACION[PRESTAMO],$A27)</f>
        <v>0</v>
      </c>
      <c r="G27" s="87">
        <f>-SUMIFS(FINANCIACION[$ CAPITAL],
FINANCIACION[Fecha],"&lt;="&amp;EOMONTH(G$1,0),
FINANCIACION[PRESTAMO],$A27)</f>
        <v>0</v>
      </c>
      <c r="H27" s="87">
        <f>-SUMIFS(FINANCIACION[$ CAPITAL],
FINANCIACION[Fecha],"&lt;="&amp;EOMONTH(H$1,0),
FINANCIACION[PRESTAMO],$A27)</f>
        <v>0</v>
      </c>
      <c r="I27" s="87">
        <f>-SUMIFS(FINANCIACION[$ CAPITAL],
FINANCIACION[Fecha],"&lt;="&amp;EOMONTH(I$1,0),
FINANCIACION[PRESTAMO],$A27)</f>
        <v>0</v>
      </c>
      <c r="J27" s="87">
        <f>-SUMIFS(FINANCIACION[$ CAPITAL],
FINANCIACION[Fecha],"&lt;="&amp;EOMONTH(J$1,0),
FINANCIACION[PRESTAMO],$A27)</f>
        <v>0</v>
      </c>
      <c r="K27" s="87">
        <f>-SUMIFS(FINANCIACION[$ CAPITAL],
FINANCIACION[Fecha],"&lt;="&amp;EOMONTH(K$1,0),
FINANCIACION[PRESTAMO],$A27)</f>
        <v>0</v>
      </c>
      <c r="L27" s="87">
        <f>-SUMIFS(FINANCIACION[$ CAPITAL],
FINANCIACION[Fecha],"&lt;="&amp;EOMONTH(L$1,0),
FINANCIACION[PRESTAMO],$A27)</f>
        <v>0</v>
      </c>
      <c r="M27" s="87">
        <f>-SUMIFS(FINANCIACION[$ CAPITAL],
FINANCIACION[Fecha],"&lt;="&amp;EOMONTH(M$1,0),
FINANCIACION[PRESTAMO],$A27)</f>
        <v>0</v>
      </c>
      <c r="N27" s="87">
        <f>-SUMIFS(FINANCIACION[$ CAPITAL],
FINANCIACION[Fecha],"&lt;="&amp;EOMONTH(N$1,0),
FINANCIACION[PRESTAMO],$A27)</f>
        <v>0</v>
      </c>
      <c r="O27" s="87">
        <f>-SUMIFS(FINANCIACION[$ CAPITAL],
FINANCIACION[Fecha],"&lt;="&amp;EOMONTH(O$1,0),
FINANCIACION[PRESTAMO],$A27)</f>
        <v>0</v>
      </c>
      <c r="P27" s="87">
        <f>-SUMIFS(FINANCIACION[$ CAPITAL],
FINANCIACION[Fecha],"&lt;="&amp;EOMONTH(P$1,0),
FINANCIACION[PRESTAMO],$A27)</f>
        <v>55440541</v>
      </c>
      <c r="Q27" s="87">
        <f>-SUMIFS(FINANCIACION[$ CAPITAL],
FINANCIACION[Fecha],"&lt;="&amp;EOMONTH(Q$1,0),
FINANCIACION[PRESTAMO],$A27)</f>
        <v>56938934</v>
      </c>
      <c r="R27" s="87">
        <f>-SUMIFS(FINANCIACION[$ CAPITAL],
FINANCIACION[Fecha],"&lt;="&amp;EOMONTH(R$1,0),
FINANCIACION[PRESTAMO],$A27)</f>
        <v>56938934</v>
      </c>
      <c r="S27" s="87">
        <f>-SUMIFS(FINANCIACION[$ CAPITAL],
FINANCIACION[Fecha],"&lt;="&amp;EOMONTH(S$1,0),
FINANCIACION[PRESTAMO],$A27)</f>
        <v>56938934</v>
      </c>
      <c r="T27" s="87">
        <f>-SUMIFS(FINANCIACION[$ CAPITAL],
FINANCIACION[Fecha],"&lt;="&amp;EOMONTH(T$1,0),
FINANCIACION[PRESTAMO],$A27)</f>
        <v>58437327</v>
      </c>
      <c r="U27" s="87">
        <f>-SUMIFS(FINANCIACION[$ CAPITAL],
FINANCIACION[Fecha],"&lt;="&amp;EOMONTH(U$1,0),
FINANCIACION[PRESTAMO],$A27)</f>
        <v>58437327</v>
      </c>
      <c r="V27" s="87">
        <f>-SUMIFS(FINANCIACION[$ CAPITAL],
FINANCIACION[Fecha],"&lt;="&amp;EOMONTH(V$1,0),
FINANCIACION[PRESTAMO],$A27)</f>
        <v>57688130.5</v>
      </c>
      <c r="W27" s="87">
        <f>-SUMIFS(FINANCIACION[$ CAPITAL],
FINANCIACION[Fecha],"&lt;="&amp;EOMONTH(W$1,0),
FINANCIACION[PRESTAMO],$A27)</f>
        <v>57673146.57</v>
      </c>
      <c r="X27" s="87">
        <f>-SUMIFS(FINANCIACION[$ CAPITAL],
FINANCIACION[Fecha],"&lt;="&amp;EOMONTH(X$1,0),
FINANCIACION[PRESTAMO],$A27)</f>
        <v>59111603.850000001</v>
      </c>
      <c r="Y27" s="87">
        <f>-SUMIFS(FINANCIACION[$ CAPITAL],
FINANCIACION[Fecha],"&lt;="&amp;EOMONTH(Y$1,0),
FINANCIACION[PRESTAMO],$A27)</f>
        <v>61434113</v>
      </c>
    </row>
    <row r="28" spans="1:25" ht="21.6" customHeight="1" x14ac:dyDescent="0.25">
      <c r="A28" s="74" t="s">
        <v>740</v>
      </c>
      <c r="B28" s="87">
        <f>-SUMIFS(FINANCIACION[$ CAPITAL],
FINANCIACION[Fecha],"&lt;="&amp;EOMONTH(B$1,0),
FINANCIACION[PRESTAMO],$A28)</f>
        <v>0</v>
      </c>
      <c r="C28" s="87">
        <f>-SUMIFS(FINANCIACION[$ CAPITAL],
FINANCIACION[Fecha],"&lt;="&amp;EOMONTH(C$1,0),
FINANCIACION[PRESTAMO],$A28)</f>
        <v>0</v>
      </c>
      <c r="D28" s="87">
        <f>-SUMIFS(FINANCIACION[$ CAPITAL],
FINANCIACION[Fecha],"&lt;="&amp;EOMONTH(D$1,0),
FINANCIACION[PRESTAMO],$A28)</f>
        <v>0</v>
      </c>
      <c r="E28" s="87">
        <f>-SUMIFS(FINANCIACION[$ CAPITAL],
FINANCIACION[Fecha],"&lt;="&amp;EOMONTH(E$1,0),
FINANCIACION[PRESTAMO],$A28)</f>
        <v>0</v>
      </c>
      <c r="F28" s="87">
        <f>-SUMIFS(FINANCIACION[$ CAPITAL],
FINANCIACION[Fecha],"&lt;="&amp;EOMONTH(F$1,0),
FINANCIACION[PRESTAMO],$A28)</f>
        <v>0</v>
      </c>
      <c r="G28" s="87">
        <f>-SUMIFS(FINANCIACION[$ CAPITAL],
FINANCIACION[Fecha],"&lt;="&amp;EOMONTH(G$1,0),
FINANCIACION[PRESTAMO],$A28)</f>
        <v>0</v>
      </c>
      <c r="H28" s="87">
        <f>-SUMIFS(FINANCIACION[$ CAPITAL],
FINANCIACION[Fecha],"&lt;="&amp;EOMONTH(H$1,0),
FINANCIACION[PRESTAMO],$A28)</f>
        <v>0</v>
      </c>
      <c r="I28" s="87">
        <f>-SUMIFS(FINANCIACION[$ CAPITAL],
FINANCIACION[Fecha],"&lt;="&amp;EOMONTH(I$1,0),
FINANCIACION[PRESTAMO],$A28)</f>
        <v>0</v>
      </c>
      <c r="J28" s="87">
        <f>-SUMIFS(FINANCIACION[$ CAPITAL],
FINANCIACION[Fecha],"&lt;="&amp;EOMONTH(J$1,0),
FINANCIACION[PRESTAMO],$A28)</f>
        <v>0</v>
      </c>
      <c r="K28" s="87">
        <f>-SUMIFS(FINANCIACION[$ CAPITAL],
FINANCIACION[Fecha],"&lt;="&amp;EOMONTH(K$1,0),
FINANCIACION[PRESTAMO],$A28)</f>
        <v>0</v>
      </c>
      <c r="L28" s="87">
        <f>-SUMIFS(FINANCIACION[$ CAPITAL],
FINANCIACION[Fecha],"&lt;="&amp;EOMONTH(L$1,0),
FINANCIACION[PRESTAMO],$A28)</f>
        <v>0</v>
      </c>
      <c r="M28" s="87">
        <f>-SUMIFS(FINANCIACION[$ CAPITAL],
FINANCIACION[Fecha],"&lt;="&amp;EOMONTH(M$1,0),
FINANCIACION[PRESTAMO],$A28)</f>
        <v>0</v>
      </c>
      <c r="N28" s="87">
        <f>-SUMIFS(FINANCIACION[$ CAPITAL],
FINANCIACION[Fecha],"&lt;="&amp;EOMONTH(N$1,0),
FINANCIACION[PRESTAMO],$A28)</f>
        <v>0</v>
      </c>
      <c r="O28" s="87">
        <f>-SUMIFS(FINANCIACION[$ CAPITAL],
FINANCIACION[Fecha],"&lt;="&amp;EOMONTH(O$1,0),
FINANCIACION[PRESTAMO],$A28)</f>
        <v>0</v>
      </c>
      <c r="P28" s="87">
        <f>-SUMIFS(FINANCIACION[$ CAPITAL],
FINANCIACION[Fecha],"&lt;="&amp;EOMONTH(P$1,0),
FINANCIACION[PRESTAMO],$A28)</f>
        <v>0</v>
      </c>
      <c r="Q28" s="87">
        <f>-SUMIFS(FINANCIACION[$ CAPITAL],
FINANCIACION[Fecha],"&lt;="&amp;EOMONTH(Q$1,0),
FINANCIACION[PRESTAMO],$A28)</f>
        <v>0</v>
      </c>
      <c r="R28" s="87">
        <f>-SUMIFS(FINANCIACION[$ CAPITAL],
FINANCIACION[Fecha],"&lt;="&amp;EOMONTH(R$1,0),
FINANCIACION[PRESTAMO],$A28)</f>
        <v>0</v>
      </c>
      <c r="S28" s="87">
        <f>-SUMIFS(FINANCIACION[$ CAPITAL],
FINANCIACION[Fecha],"&lt;="&amp;EOMONTH(S$1,0),
FINANCIACION[PRESTAMO],$A28)</f>
        <v>22522714</v>
      </c>
      <c r="T28" s="87">
        <f>-SUMIFS(FINANCIACION[$ CAPITAL],
FINANCIACION[Fecha],"&lt;="&amp;EOMONTH(T$1,0),
FINANCIACION[PRESTAMO],$A28)</f>
        <v>23115417</v>
      </c>
      <c r="U28" s="87">
        <f>-SUMIFS(FINANCIACION[$ CAPITAL],
FINANCIACION[Fecha],"&lt;="&amp;EOMONTH(U$1,0),
FINANCIACION[PRESTAMO],$A28)</f>
        <v>23115417</v>
      </c>
      <c r="V28" s="87">
        <f>-SUMIFS(FINANCIACION[$ CAPITAL],
FINANCIACION[Fecha],"&lt;="&amp;EOMONTH(V$1,0),
FINANCIACION[PRESTAMO],$A28)</f>
        <v>22819065.5</v>
      </c>
      <c r="W28" s="87">
        <f>-SUMIFS(FINANCIACION[$ CAPITAL],
FINANCIACION[Fecha],"&lt;="&amp;EOMONTH(W$1,0),
FINANCIACION[PRESTAMO],$A28)</f>
        <v>22813138.469999999</v>
      </c>
      <c r="X28" s="87">
        <f>-SUMIFS(FINANCIACION[$ CAPITAL],
FINANCIACION[Fecha],"&lt;="&amp;EOMONTH(X$1,0),
FINANCIACION[PRESTAMO],$A28)</f>
        <v>23382133.349999998</v>
      </c>
      <c r="Y28" s="87">
        <f>-SUMIFS(FINANCIACION[$ CAPITAL],
FINANCIACION[Fecha],"&lt;="&amp;EOMONTH(Y$1,0),
FINANCIACION[PRESTAMO],$A28)</f>
        <v>24300823</v>
      </c>
    </row>
    <row r="29" spans="1:25" ht="21.6" customHeight="1" x14ac:dyDescent="0.25">
      <c r="A29" s="74" t="s">
        <v>881</v>
      </c>
      <c r="B29" s="87">
        <f>-SUMIFS(FINANCIACION[$ CAPITAL],
FINANCIACION[Fecha],"&lt;="&amp;EOMONTH(B$1,0),
FINANCIACION[PRESTAMO],$A29)</f>
        <v>0</v>
      </c>
      <c r="C29" s="87">
        <f>-SUMIFS(FINANCIACION[$ CAPITAL],
FINANCIACION[Fecha],"&lt;="&amp;EOMONTH(C$1,0),
FINANCIACION[PRESTAMO],$A29)</f>
        <v>0</v>
      </c>
      <c r="D29" s="87">
        <f>-SUMIFS(FINANCIACION[$ CAPITAL],
FINANCIACION[Fecha],"&lt;="&amp;EOMONTH(D$1,0),
FINANCIACION[PRESTAMO],$A29)</f>
        <v>0</v>
      </c>
      <c r="E29" s="87">
        <f>-SUMIFS(FINANCIACION[$ CAPITAL],
FINANCIACION[Fecha],"&lt;="&amp;EOMONTH(E$1,0),
FINANCIACION[PRESTAMO],$A29)</f>
        <v>0</v>
      </c>
      <c r="F29" s="87">
        <f>-SUMIFS(FINANCIACION[$ CAPITAL],
FINANCIACION[Fecha],"&lt;="&amp;EOMONTH(F$1,0),
FINANCIACION[PRESTAMO],$A29)</f>
        <v>0</v>
      </c>
      <c r="G29" s="87">
        <f>-SUMIFS(FINANCIACION[$ CAPITAL],
FINANCIACION[Fecha],"&lt;="&amp;EOMONTH(G$1,0),
FINANCIACION[PRESTAMO],$A29)</f>
        <v>0</v>
      </c>
      <c r="H29" s="87">
        <f>-SUMIFS(FINANCIACION[$ CAPITAL],
FINANCIACION[Fecha],"&lt;="&amp;EOMONTH(H$1,0),
FINANCIACION[PRESTAMO],$A29)</f>
        <v>0</v>
      </c>
      <c r="I29" s="87">
        <f>-SUMIFS(FINANCIACION[$ CAPITAL],
FINANCIACION[Fecha],"&lt;="&amp;EOMONTH(I$1,0),
FINANCIACION[PRESTAMO],$A29)</f>
        <v>0</v>
      </c>
      <c r="J29" s="87">
        <f>-SUMIFS(FINANCIACION[$ CAPITAL],
FINANCIACION[Fecha],"&lt;="&amp;EOMONTH(J$1,0),
FINANCIACION[PRESTAMO],$A29)</f>
        <v>0</v>
      </c>
      <c r="K29" s="87">
        <f>-SUMIFS(FINANCIACION[$ CAPITAL],
FINANCIACION[Fecha],"&lt;="&amp;EOMONTH(K$1,0),
FINANCIACION[PRESTAMO],$A29)</f>
        <v>0</v>
      </c>
      <c r="L29" s="87">
        <f>-SUMIFS(FINANCIACION[$ CAPITAL],
FINANCIACION[Fecha],"&lt;="&amp;EOMONTH(L$1,0),
FINANCIACION[PRESTAMO],$A29)</f>
        <v>0</v>
      </c>
      <c r="M29" s="87">
        <f>-SUMIFS(FINANCIACION[$ CAPITAL],
FINANCIACION[Fecha],"&lt;="&amp;EOMONTH(M$1,0),
FINANCIACION[PRESTAMO],$A29)</f>
        <v>0</v>
      </c>
      <c r="N29" s="87">
        <f>-SUMIFS(FINANCIACION[$ CAPITAL],
FINANCIACION[Fecha],"&lt;="&amp;EOMONTH(N$1,0),
FINANCIACION[PRESTAMO],$A29)</f>
        <v>0</v>
      </c>
      <c r="O29" s="87">
        <f>-SUMIFS(FINANCIACION[$ CAPITAL],
FINANCIACION[Fecha],"&lt;="&amp;EOMONTH(O$1,0),
FINANCIACION[PRESTAMO],$A29)</f>
        <v>0</v>
      </c>
      <c r="P29" s="87">
        <f>-SUMIFS(FINANCIACION[$ CAPITAL],
FINANCIACION[Fecha],"&lt;="&amp;EOMONTH(P$1,0),
FINANCIACION[PRESTAMO],$A29)</f>
        <v>0</v>
      </c>
      <c r="Q29" s="87">
        <f>-SUMIFS(FINANCIACION[$ CAPITAL],
FINANCIACION[Fecha],"&lt;="&amp;EOMONTH(Q$1,0),
FINANCIACION[PRESTAMO],$A29)</f>
        <v>0</v>
      </c>
      <c r="R29" s="87">
        <f>-SUMIFS(FINANCIACION[$ CAPITAL],
FINANCIACION[Fecha],"&lt;="&amp;EOMONTH(R$1,0),
FINANCIACION[PRESTAMO],$A29)</f>
        <v>0</v>
      </c>
      <c r="S29" s="87">
        <f>-SUMIFS(FINANCIACION[$ CAPITAL],
FINANCIACION[Fecha],"&lt;="&amp;EOMONTH(S$1,0),
FINANCIACION[PRESTAMO],$A29)</f>
        <v>0</v>
      </c>
      <c r="T29" s="87">
        <f>-SUMIFS(FINANCIACION[$ CAPITAL],
FINANCIACION[Fecha],"&lt;="&amp;EOMONTH(T$1,0),
FINANCIACION[PRESTAMO],$A29)</f>
        <v>0</v>
      </c>
      <c r="U29" s="87">
        <f>-SUMIFS(FINANCIACION[$ CAPITAL],
FINANCIACION[Fecha],"&lt;="&amp;EOMONTH(U$1,0),
FINANCIACION[PRESTAMO],$A29)</f>
        <v>0</v>
      </c>
      <c r="V29" s="87">
        <f>-SUMIFS(FINANCIACION[$ CAPITAL],
FINANCIACION[Fecha],"&lt;="&amp;EOMONTH(V$1,0),
FINANCIACION[PRESTAMO],$A29)</f>
        <v>0</v>
      </c>
      <c r="W29" s="87">
        <f>-SUMIFS(FINANCIACION[$ CAPITAL],
FINANCIACION[Fecha],"&lt;="&amp;EOMONTH(W$1,0),
FINANCIACION[PRESTAMO],$A29)</f>
        <v>52683918.810000002</v>
      </c>
      <c r="X29" s="87">
        <f>-SUMIFS(FINANCIACION[$ CAPITAL],
FINANCIACION[Fecha],"&lt;="&amp;EOMONTH(X$1,0),
FINANCIACION[PRESTAMO],$A29)</f>
        <v>53997937.050000004</v>
      </c>
      <c r="Y29" s="87">
        <f>-SUMIFS(FINANCIACION[$ CAPITAL],
FINANCIACION[Fecha],"&lt;="&amp;EOMONTH(Y$1,0),
FINANCIACION[PRESTAMO],$A29)</f>
        <v>56119529</v>
      </c>
    </row>
    <row r="30" spans="1:25" ht="21.6" customHeight="1" x14ac:dyDescent="0.25">
      <c r="A30" s="74" t="s">
        <v>456</v>
      </c>
      <c r="B30" s="87">
        <f>-SUMIFS(FINANCIACION[$ CAPITAL],
FINANCIACION[Fecha],"&lt;="&amp;EOMONTH(B$1,0),
FINANCIACION[PRESTAMO],$A30)</f>
        <v>143750000</v>
      </c>
      <c r="C30" s="87">
        <f>-SUMIFS(FINANCIACION[$ CAPITAL],
FINANCIACION[Fecha],"&lt;="&amp;EOMONTH(C$1,0),
FINANCIACION[PRESTAMO],$A30)</f>
        <v>137500000</v>
      </c>
      <c r="D30" s="87">
        <f>-SUMIFS(FINANCIACION[$ CAPITAL],
FINANCIACION[Fecha],"&lt;="&amp;EOMONTH(D$1,0),
FINANCIACION[PRESTAMO],$A30)</f>
        <v>131250000</v>
      </c>
      <c r="E30" s="87">
        <f>-SUMIFS(FINANCIACION[$ CAPITAL],
FINANCIACION[Fecha],"&lt;="&amp;EOMONTH(E$1,0),
FINANCIACION[PRESTAMO],$A30)</f>
        <v>131250000</v>
      </c>
      <c r="F30" s="87">
        <f>-SUMIFS(FINANCIACION[$ CAPITAL],
FINANCIACION[Fecha],"&lt;="&amp;EOMONTH(F$1,0),
FINANCIACION[PRESTAMO],$A30)</f>
        <v>131250000</v>
      </c>
      <c r="G30" s="87">
        <f>-SUMIFS(FINANCIACION[$ CAPITAL],
FINANCIACION[Fecha],"&lt;="&amp;EOMONTH(G$1,0),
FINANCIACION[PRESTAMO],$A30)</f>
        <v>131250000</v>
      </c>
      <c r="H30" s="87">
        <f>-SUMIFS(FINANCIACION[$ CAPITAL],
FINANCIACION[Fecha],"&lt;="&amp;EOMONTH(H$1,0),
FINANCIACION[PRESTAMO],$A30)</f>
        <v>125000000</v>
      </c>
      <c r="I30" s="87">
        <f>-SUMIFS(FINANCIACION[$ CAPITAL],
FINANCIACION[Fecha],"&lt;="&amp;EOMONTH(I$1,0),
FINANCIACION[PRESTAMO],$A30)</f>
        <v>117299126</v>
      </c>
      <c r="J30" s="87">
        <f>-SUMIFS(FINANCIACION[$ CAPITAL],
FINANCIACION[Fecha],"&lt;="&amp;EOMONTH(J$1,0),
FINANCIACION[PRESTAMO],$A30)</f>
        <v>110973126</v>
      </c>
      <c r="K30" s="87">
        <f>-SUMIFS(FINANCIACION[$ CAPITAL],
FINANCIACION[Fecha],"&lt;="&amp;EOMONTH(K$1,0),
FINANCIACION[PRESTAMO],$A30)</f>
        <v>104647126</v>
      </c>
      <c r="L30" s="87">
        <f>-SUMIFS(FINANCIACION[$ CAPITAL],
FINANCIACION[Fecha],"&lt;="&amp;EOMONTH(L$1,0),
FINANCIACION[PRESTAMO],$A30)</f>
        <v>98321126</v>
      </c>
      <c r="M30" s="87">
        <f>-SUMIFS(FINANCIACION[$ CAPITAL],
FINANCIACION[Fecha],"&lt;="&amp;EOMONTH(M$1,0),
FINANCIACION[PRESTAMO],$A30)</f>
        <v>91995126</v>
      </c>
      <c r="N30" s="87">
        <f>-SUMIFS(FINANCIACION[$ CAPITAL],
FINANCIACION[Fecha],"&lt;="&amp;EOMONTH(N$1,0),
FINANCIACION[PRESTAMO],$A30)</f>
        <v>85669126</v>
      </c>
      <c r="O30" s="87">
        <f>-SUMIFS(FINANCIACION[$ CAPITAL],
FINANCIACION[Fecha],"&lt;="&amp;EOMONTH(O$1,0),
FINANCIACION[PRESTAMO],$A30)</f>
        <v>79343126</v>
      </c>
      <c r="P30" s="87">
        <f>-SUMIFS(FINANCIACION[$ CAPITAL],
FINANCIACION[Fecha],"&lt;="&amp;EOMONTH(P$1,0),
FINANCIACION[PRESTAMO],$A30)</f>
        <v>73017126</v>
      </c>
      <c r="Q30" s="87">
        <f>-SUMIFS(FINANCIACION[$ CAPITAL],
FINANCIACION[Fecha],"&lt;="&amp;EOMONTH(Q$1,0),
FINANCIACION[PRESTAMO],$A30)</f>
        <v>66691126</v>
      </c>
      <c r="R30" s="87">
        <f>-SUMIFS(FINANCIACION[$ CAPITAL],
FINANCIACION[Fecha],"&lt;="&amp;EOMONTH(R$1,0),
FINANCIACION[PRESTAMO],$A30)</f>
        <v>54039126</v>
      </c>
      <c r="S30" s="87">
        <f>-SUMIFS(FINANCIACION[$ CAPITAL],
FINANCIACION[Fecha],"&lt;="&amp;EOMONTH(S$1,0),
FINANCIACION[PRESTAMO],$A30)</f>
        <v>54039126</v>
      </c>
      <c r="T30" s="87">
        <f>-SUMIFS(FINANCIACION[$ CAPITAL],
FINANCIACION[Fecha],"&lt;="&amp;EOMONTH(T$1,0),
FINANCIACION[PRESTAMO],$A30)</f>
        <v>47713126</v>
      </c>
      <c r="U30" s="87">
        <f>-SUMIFS(FINANCIACION[$ CAPITAL],
FINANCIACION[Fecha],"&lt;="&amp;EOMONTH(U$1,0),
FINANCIACION[PRESTAMO],$A30)</f>
        <v>41387126</v>
      </c>
      <c r="V30" s="87">
        <f>-SUMIFS(FINANCIACION[$ CAPITAL],
FINANCIACION[Fecha],"&lt;="&amp;EOMONTH(V$1,0),
FINANCIACION[PRESTAMO],$A30)</f>
        <v>35061126</v>
      </c>
      <c r="W30" s="87">
        <f>-SUMIFS(FINANCIACION[$ CAPITAL],
FINANCIACION[Fecha],"&lt;="&amp;EOMONTH(W$1,0),
FINANCIACION[PRESTAMO],$A30)</f>
        <v>28693821.449999999</v>
      </c>
      <c r="X30" s="87">
        <f>-SUMIFS(FINANCIACION[$ CAPITAL],
FINANCIACION[Fecha],"&lt;="&amp;EOMONTH(X$1,0),
FINANCIACION[PRESTAMO],$A30)</f>
        <v>22409126</v>
      </c>
      <c r="Y30" s="87">
        <f>-SUMIFS(FINANCIACION[$ CAPITAL],
FINANCIACION[Fecha],"&lt;="&amp;EOMONTH(Y$1,0),
FINANCIACION[PRESTAMO],$A30)</f>
        <v>16083126</v>
      </c>
    </row>
    <row r="31" spans="1:25" ht="21.6" customHeight="1" x14ac:dyDescent="0.25">
      <c r="A31" s="74" t="s">
        <v>457</v>
      </c>
      <c r="B31" s="87">
        <f>-SUMIFS(FINANCIACION[$ CAPITAL],
FINANCIACION[Fecha],"&lt;="&amp;EOMONTH(B$1,0),
FINANCIACION[PRESTAMO],$A31)</f>
        <v>0</v>
      </c>
      <c r="C31" s="87">
        <f>-SUMIFS(FINANCIACION[$ CAPITAL],
FINANCIACION[Fecha],"&lt;="&amp;EOMONTH(C$1,0),
FINANCIACION[PRESTAMO],$A31)</f>
        <v>0</v>
      </c>
      <c r="D31" s="87">
        <f>-SUMIFS(FINANCIACION[$ CAPITAL],
FINANCIACION[Fecha],"&lt;="&amp;EOMONTH(D$1,0),
FINANCIACION[PRESTAMO],$A31)</f>
        <v>0</v>
      </c>
      <c r="E31" s="87">
        <f>-SUMIFS(FINANCIACION[$ CAPITAL],
FINANCIACION[Fecha],"&lt;="&amp;EOMONTH(E$1,0),
FINANCIACION[PRESTAMO],$A31)</f>
        <v>0</v>
      </c>
      <c r="F31" s="87">
        <f>-SUMIFS(FINANCIACION[$ CAPITAL],
FINANCIACION[Fecha],"&lt;="&amp;EOMONTH(F$1,0),
FINANCIACION[PRESTAMO],$A31)</f>
        <v>0</v>
      </c>
      <c r="G31" s="87">
        <f>-SUMIFS(FINANCIACION[$ CAPITAL],
FINANCIACION[Fecha],"&lt;="&amp;EOMONTH(G$1,0),
FINANCIACION[PRESTAMO],$A31)</f>
        <v>0</v>
      </c>
      <c r="H31" s="87">
        <f>-SUMIFS(FINANCIACION[$ CAPITAL],
FINANCIACION[Fecha],"&lt;="&amp;EOMONTH(H$1,0),
FINANCIACION[PRESTAMO],$A31)</f>
        <v>0</v>
      </c>
      <c r="I31" s="87">
        <f>-SUMIFS(FINANCIACION[$ CAPITAL],
FINANCIACION[Fecha],"&lt;="&amp;EOMONTH(I$1,0),
FINANCIACION[PRESTAMO],$A31)</f>
        <v>0</v>
      </c>
      <c r="J31" s="87">
        <f>-SUMIFS(FINANCIACION[$ CAPITAL],
FINANCIACION[Fecha],"&lt;="&amp;EOMONTH(J$1,0),
FINANCIACION[PRESTAMO],$A31)</f>
        <v>0</v>
      </c>
      <c r="K31" s="87">
        <f>-SUMIFS(FINANCIACION[$ CAPITAL],
FINANCIACION[Fecha],"&lt;="&amp;EOMONTH(K$1,0),
FINANCIACION[PRESTAMO],$A31)</f>
        <v>0</v>
      </c>
      <c r="L31" s="87">
        <f>-SUMIFS(FINANCIACION[$ CAPITAL],
FINANCIACION[Fecha],"&lt;="&amp;EOMONTH(L$1,0),
FINANCIACION[PRESTAMO],$A31)</f>
        <v>1606463.46</v>
      </c>
      <c r="M31" s="87">
        <f>-SUMIFS(FINANCIACION[$ CAPITAL],
FINANCIACION[Fecha],"&lt;="&amp;EOMONTH(M$1,0),
FINANCIACION[PRESTAMO],$A31)</f>
        <v>0</v>
      </c>
      <c r="N31" s="87">
        <f>-SUMIFS(FINANCIACION[$ CAPITAL],
FINANCIACION[Fecha],"&lt;="&amp;EOMONTH(N$1,0),
FINANCIACION[PRESTAMO],$A31)</f>
        <v>0</v>
      </c>
      <c r="O31" s="87">
        <f>-SUMIFS(FINANCIACION[$ CAPITAL],
FINANCIACION[Fecha],"&lt;="&amp;EOMONTH(O$1,0),
FINANCIACION[PRESTAMO],$A31)</f>
        <v>0</v>
      </c>
      <c r="P31" s="87">
        <f>-SUMIFS(FINANCIACION[$ CAPITAL],
FINANCIACION[Fecha],"&lt;="&amp;EOMONTH(P$1,0),
FINANCIACION[PRESTAMO],$A31)</f>
        <v>0</v>
      </c>
      <c r="Q31" s="87">
        <f>-SUMIFS(FINANCIACION[$ CAPITAL],
FINANCIACION[Fecha],"&lt;="&amp;EOMONTH(Q$1,0),
FINANCIACION[PRESTAMO],$A31)</f>
        <v>0</v>
      </c>
      <c r="R31" s="87">
        <f>-SUMIFS(FINANCIACION[$ CAPITAL],
FINANCIACION[Fecha],"&lt;="&amp;EOMONTH(R$1,0),
FINANCIACION[PRESTAMO],$A31)</f>
        <v>0</v>
      </c>
      <c r="S31" s="87">
        <f>-SUMIFS(FINANCIACION[$ CAPITAL],
FINANCIACION[Fecha],"&lt;="&amp;EOMONTH(S$1,0),
FINANCIACION[PRESTAMO],$A31)</f>
        <v>0</v>
      </c>
      <c r="T31" s="87">
        <f>-SUMIFS(FINANCIACION[$ CAPITAL],
FINANCIACION[Fecha],"&lt;="&amp;EOMONTH(T$1,0),
FINANCIACION[PRESTAMO],$A31)</f>
        <v>0</v>
      </c>
      <c r="U31" s="87">
        <f>-SUMIFS(FINANCIACION[$ CAPITAL],
FINANCIACION[Fecha],"&lt;="&amp;EOMONTH(U$1,0),
FINANCIACION[PRESTAMO],$A31)</f>
        <v>0</v>
      </c>
      <c r="V31" s="87">
        <f>-SUMIFS(FINANCIACION[$ CAPITAL],
FINANCIACION[Fecha],"&lt;="&amp;EOMONTH(V$1,0),
FINANCIACION[PRESTAMO],$A31)</f>
        <v>0</v>
      </c>
      <c r="W31" s="87">
        <f>-SUMIFS(FINANCIACION[$ CAPITAL],
FINANCIACION[Fecha],"&lt;="&amp;EOMONTH(W$1,0),
FINANCIACION[PRESTAMO],$A31)</f>
        <v>0</v>
      </c>
      <c r="X31" s="87">
        <f>-SUMIFS(FINANCIACION[$ CAPITAL],
FINANCIACION[Fecha],"&lt;="&amp;EOMONTH(X$1,0),
FINANCIACION[PRESTAMO],$A31)</f>
        <v>0</v>
      </c>
      <c r="Y31" s="87">
        <f>-SUMIFS(FINANCIACION[$ CAPITAL],
FINANCIACION[Fecha],"&lt;="&amp;EOMONTH(Y$1,0),
FINANCIACION[PRESTAMO],$A31)</f>
        <v>0</v>
      </c>
    </row>
    <row r="32" spans="1:25" ht="21.6" customHeight="1" x14ac:dyDescent="0.25">
      <c r="A32" s="74" t="s">
        <v>458</v>
      </c>
      <c r="B32" s="87">
        <f>-SUMIFS(FINANCIACION[$ CAPITAL],
FINANCIACION[Fecha],"&lt;="&amp;EOMONTH(B$1,0),
FINANCIACION[PRESTAMO],$A32)</f>
        <v>0</v>
      </c>
      <c r="C32" s="87">
        <f>-SUMIFS(FINANCIACION[$ CAPITAL],
FINANCIACION[Fecha],"&lt;="&amp;EOMONTH(C$1,0),
FINANCIACION[PRESTAMO],$A32)</f>
        <v>0</v>
      </c>
      <c r="D32" s="87">
        <f>-SUMIFS(FINANCIACION[$ CAPITAL],
FINANCIACION[Fecha],"&lt;="&amp;EOMONTH(D$1,0),
FINANCIACION[PRESTAMO],$A32)</f>
        <v>0</v>
      </c>
      <c r="E32" s="87">
        <f>-SUMIFS(FINANCIACION[$ CAPITAL],
FINANCIACION[Fecha],"&lt;="&amp;EOMONTH(E$1,0),
FINANCIACION[PRESTAMO],$A32)</f>
        <v>0</v>
      </c>
      <c r="F32" s="87">
        <f>-SUMIFS(FINANCIACION[$ CAPITAL],
FINANCIACION[Fecha],"&lt;="&amp;EOMONTH(F$1,0),
FINANCIACION[PRESTAMO],$A32)</f>
        <v>0</v>
      </c>
      <c r="G32" s="87">
        <f>-SUMIFS(FINANCIACION[$ CAPITAL],
FINANCIACION[Fecha],"&lt;="&amp;EOMONTH(G$1,0),
FINANCIACION[PRESTAMO],$A32)</f>
        <v>0</v>
      </c>
      <c r="H32" s="87">
        <f>-SUMIFS(FINANCIACION[$ CAPITAL],
FINANCIACION[Fecha],"&lt;="&amp;EOMONTH(H$1,0),
FINANCIACION[PRESTAMO],$A32)</f>
        <v>0</v>
      </c>
      <c r="I32" s="87">
        <f>-SUMIFS(FINANCIACION[$ CAPITAL],
FINANCIACION[Fecha],"&lt;="&amp;EOMONTH(I$1,0),
FINANCIACION[PRESTAMO],$A32)</f>
        <v>0</v>
      </c>
      <c r="J32" s="87">
        <f>-SUMIFS(FINANCIACION[$ CAPITAL],
FINANCIACION[Fecha],"&lt;="&amp;EOMONTH(J$1,0),
FINANCIACION[PRESTAMO],$A32)</f>
        <v>0</v>
      </c>
      <c r="K32" s="87">
        <f>-SUMIFS(FINANCIACION[$ CAPITAL],
FINANCIACION[Fecha],"&lt;="&amp;EOMONTH(K$1,0),
FINANCIACION[PRESTAMO],$A32)</f>
        <v>0</v>
      </c>
      <c r="L32" s="87">
        <f>-SUMIFS(FINANCIACION[$ CAPITAL],
FINANCIACION[Fecha],"&lt;="&amp;EOMONTH(L$1,0),
FINANCIACION[PRESTAMO],$A32)</f>
        <v>1513629.61</v>
      </c>
      <c r="M32" s="87">
        <f>-SUMIFS(FINANCIACION[$ CAPITAL],
FINANCIACION[Fecha],"&lt;="&amp;EOMONTH(M$1,0),
FINANCIACION[PRESTAMO],$A32)</f>
        <v>0</v>
      </c>
      <c r="N32" s="87">
        <f>-SUMIFS(FINANCIACION[$ CAPITAL],
FINANCIACION[Fecha],"&lt;="&amp;EOMONTH(N$1,0),
FINANCIACION[PRESTAMO],$A32)</f>
        <v>0</v>
      </c>
      <c r="O32" s="87">
        <f>-SUMIFS(FINANCIACION[$ CAPITAL],
FINANCIACION[Fecha],"&lt;="&amp;EOMONTH(O$1,0),
FINANCIACION[PRESTAMO],$A32)</f>
        <v>0</v>
      </c>
      <c r="P32" s="87">
        <f>-SUMIFS(FINANCIACION[$ CAPITAL],
FINANCIACION[Fecha],"&lt;="&amp;EOMONTH(P$1,0),
FINANCIACION[PRESTAMO],$A32)</f>
        <v>0</v>
      </c>
      <c r="Q32" s="87">
        <f>-SUMIFS(FINANCIACION[$ CAPITAL],
FINANCIACION[Fecha],"&lt;="&amp;EOMONTH(Q$1,0),
FINANCIACION[PRESTAMO],$A32)</f>
        <v>0</v>
      </c>
      <c r="R32" s="87">
        <f>-SUMIFS(FINANCIACION[$ CAPITAL],
FINANCIACION[Fecha],"&lt;="&amp;EOMONTH(R$1,0),
FINANCIACION[PRESTAMO],$A32)</f>
        <v>0</v>
      </c>
      <c r="S32" s="87">
        <f>-SUMIFS(FINANCIACION[$ CAPITAL],
FINANCIACION[Fecha],"&lt;="&amp;EOMONTH(S$1,0),
FINANCIACION[PRESTAMO],$A32)</f>
        <v>0</v>
      </c>
      <c r="T32" s="87">
        <f>-SUMIFS(FINANCIACION[$ CAPITAL],
FINANCIACION[Fecha],"&lt;="&amp;EOMONTH(T$1,0),
FINANCIACION[PRESTAMO],$A32)</f>
        <v>0</v>
      </c>
      <c r="U32" s="87">
        <f>-SUMIFS(FINANCIACION[$ CAPITAL],
FINANCIACION[Fecha],"&lt;="&amp;EOMONTH(U$1,0),
FINANCIACION[PRESTAMO],$A32)</f>
        <v>0</v>
      </c>
      <c r="V32" s="87">
        <f>-SUMIFS(FINANCIACION[$ CAPITAL],
FINANCIACION[Fecha],"&lt;="&amp;EOMONTH(V$1,0),
FINANCIACION[PRESTAMO],$A32)</f>
        <v>0</v>
      </c>
      <c r="W32" s="87">
        <f>-SUMIFS(FINANCIACION[$ CAPITAL],
FINANCIACION[Fecha],"&lt;="&amp;EOMONTH(W$1,0),
FINANCIACION[PRESTAMO],$A32)</f>
        <v>0</v>
      </c>
      <c r="X32" s="87">
        <f>-SUMIFS(FINANCIACION[$ CAPITAL],
FINANCIACION[Fecha],"&lt;="&amp;EOMONTH(X$1,0),
FINANCIACION[PRESTAMO],$A32)</f>
        <v>0</v>
      </c>
      <c r="Y32" s="87">
        <f>-SUMIFS(FINANCIACION[$ CAPITAL],
FINANCIACION[Fecha],"&lt;="&amp;EOMONTH(Y$1,0),
FINANCIACION[PRESTAMO],$A32)</f>
        <v>0</v>
      </c>
    </row>
    <row r="33" spans="1:25" ht="21.6" customHeight="1" x14ac:dyDescent="0.25">
      <c r="A33" s="74" t="s">
        <v>459</v>
      </c>
      <c r="B33" s="87">
        <f>-SUMIFS(FINANCIACION[$ CAPITAL],
FINANCIACION[Fecha],"&lt;="&amp;EOMONTH(B$1,0),
FINANCIACION[PRESTAMO],$A33)</f>
        <v>387657315.14314044</v>
      </c>
      <c r="C33" s="87">
        <f>-SUMIFS(FINANCIACION[$ CAPITAL],
FINANCIACION[Fecha],"&lt;="&amp;EOMONTH(C$1,0),
FINANCIACION[PRESTAMO],$A33)</f>
        <v>386165567.14314044</v>
      </c>
      <c r="D33" s="87">
        <f>-SUMIFS(FINANCIACION[$ CAPITAL],
FINANCIACION[Fecha],"&lt;="&amp;EOMONTH(D$1,0),
FINANCIACION[PRESTAMO],$A33)</f>
        <v>384651930.99999994</v>
      </c>
      <c r="E33" s="87">
        <f>-SUMIFS(FINANCIACION[$ CAPITAL],
FINANCIACION[Fecha],"&lt;="&amp;EOMONTH(E$1,0),
FINANCIACION[PRESTAMO],$A33)</f>
        <v>384651930.99999994</v>
      </c>
      <c r="F33" s="87">
        <f>-SUMIFS(FINANCIACION[$ CAPITAL],
FINANCIACION[Fecha],"&lt;="&amp;EOMONTH(F$1,0),
FINANCIACION[PRESTAMO],$A33)</f>
        <v>384651930.99999994</v>
      </c>
      <c r="G33" s="87">
        <f>-SUMIFS(FINANCIACION[$ CAPITAL],
FINANCIACION[Fecha],"&lt;="&amp;EOMONTH(G$1,0),
FINANCIACION[PRESTAMO],$A33)</f>
        <v>384651930.99999994</v>
      </c>
      <c r="H33" s="87">
        <f>-SUMIFS(FINANCIACION[$ CAPITAL],
FINANCIACION[Fecha],"&lt;="&amp;EOMONTH(H$1,0),
FINANCIACION[PRESTAMO],$A33)</f>
        <v>380443064</v>
      </c>
      <c r="I33" s="87">
        <f>-SUMIFS(FINANCIACION[$ CAPITAL],
FINANCIACION[Fecha],"&lt;="&amp;EOMONTH(I$1,0),
FINANCIACION[PRESTAMO],$A33)</f>
        <v>380443064</v>
      </c>
      <c r="J33" s="87">
        <f>-SUMIFS(FINANCIACION[$ CAPITAL],
FINANCIACION[Fecha],"&lt;="&amp;EOMONTH(J$1,0),
FINANCIACION[PRESTAMO],$A33)</f>
        <v>417011267</v>
      </c>
      <c r="K33" s="87">
        <f>-SUMIFS(FINANCIACION[$ CAPITAL],
FINANCIACION[Fecha],"&lt;="&amp;EOMONTH(K$1,0),
FINANCIACION[PRESTAMO],$A33)</f>
        <v>402490067</v>
      </c>
      <c r="L33" s="87">
        <f>-SUMIFS(FINANCIACION[$ CAPITAL],
FINANCIACION[Fecha],"&lt;="&amp;EOMONTH(L$1,0),
FINANCIACION[PRESTAMO],$A33)</f>
        <v>396995870</v>
      </c>
      <c r="M33" s="87">
        <f>-SUMIFS(FINANCIACION[$ CAPITAL],
FINANCIACION[Fecha],"&lt;="&amp;EOMONTH(M$1,0),
FINANCIACION[PRESTAMO],$A33)</f>
        <v>349958312</v>
      </c>
      <c r="N33" s="87">
        <f>-SUMIFS(FINANCIACION[$ CAPITAL],
FINANCIACION[Fecha],"&lt;="&amp;EOMONTH(N$1,0),
FINANCIACION[PRESTAMO],$A33)</f>
        <v>349958312</v>
      </c>
      <c r="O33" s="87">
        <f>-SUMIFS(FINANCIACION[$ CAPITAL],
FINANCIACION[Fecha],"&lt;="&amp;EOMONTH(O$1,0),
FINANCIACION[PRESTAMO],$A33)</f>
        <v>355279704</v>
      </c>
      <c r="P33" s="87">
        <f>-SUMIFS(FINANCIACION[$ CAPITAL],
FINANCIACION[Fecha],"&lt;="&amp;EOMONTH(P$1,0),
FINANCIACION[PRESTAMO],$A33)</f>
        <v>351122469</v>
      </c>
      <c r="Q33" s="87">
        <f>-SUMIFS(FINANCIACION[$ CAPITAL],
FINANCIACION[Fecha],"&lt;="&amp;EOMONTH(Q$1,0),
FINANCIACION[PRESTAMO],$A33)</f>
        <v>354844809</v>
      </c>
      <c r="R33" s="87">
        <f>-SUMIFS(FINANCIACION[$ CAPITAL],
FINANCIACION[Fecha],"&lt;="&amp;EOMONTH(R$1,0),
FINANCIACION[PRESTAMO],$A33)</f>
        <v>356058032</v>
      </c>
      <c r="S33" s="87">
        <f>-SUMIFS(FINANCIACION[$ CAPITAL],
FINANCIACION[Fecha],"&lt;="&amp;EOMONTH(S$1,0),
FINANCIACION[PRESTAMO],$A33)</f>
        <v>344444698</v>
      </c>
      <c r="T33" s="87">
        <f>-SUMIFS(FINANCIACION[$ CAPITAL],
FINANCIACION[Fecha],"&lt;="&amp;EOMONTH(T$1,0),
FINANCIACION[PRESTAMO],$A33)</f>
        <v>344444698</v>
      </c>
      <c r="U33" s="87">
        <f>-SUMIFS(FINANCIACION[$ CAPITAL],
FINANCIACION[Fecha],"&lt;="&amp;EOMONTH(U$1,0),
FINANCIACION[PRESTAMO],$A33)</f>
        <v>338735212</v>
      </c>
      <c r="V33" s="87">
        <f>-SUMIFS(FINANCIACION[$ CAPITAL],
FINANCIACION[Fecha],"&lt;="&amp;EOMONTH(V$1,0),
FINANCIACION[PRESTAMO],$A33)</f>
        <v>333497178</v>
      </c>
      <c r="W33" s="87">
        <f>-SUMIFS(FINANCIACION[$ CAPITAL],
FINANCIACION[Fecha],"&lt;="&amp;EOMONTH(W$1,0),
FINANCIACION[PRESTAMO],$A33)</f>
        <v>328259144</v>
      </c>
      <c r="X33" s="87">
        <f>-SUMIFS(FINANCIACION[$ CAPITAL],
FINANCIACION[Fecha],"&lt;="&amp;EOMONTH(X$1,0),
FINANCIACION[PRESTAMO],$A33)</f>
        <v>323115759</v>
      </c>
      <c r="Y33" s="87">
        <f>-SUMIFS(FINANCIACION[$ CAPITAL],
FINANCIACION[Fecha],"&lt;="&amp;EOMONTH(Y$1,0),
FINANCIACION[PRESTAMO],$A33)</f>
        <v>337123027</v>
      </c>
    </row>
    <row r="34" spans="1:25" ht="21.6" customHeight="1" x14ac:dyDescent="0.25">
      <c r="A34" s="74" t="s">
        <v>723</v>
      </c>
      <c r="B34" s="87">
        <f>-SUMIFS(FINANCIACION[$ CAPITAL],
FINANCIACION[Fecha],"&lt;="&amp;EOMONTH(B$1,0),
FINANCIACION[PRESTAMO],$A34)</f>
        <v>-3459629.2882570303</v>
      </c>
      <c r="C34" s="87">
        <f>-SUMIFS(FINANCIACION[$ CAPITAL],
FINANCIACION[Fecha],"&lt;="&amp;EOMONTH(C$1,0),
FINANCIACION[PRESTAMO],$A34)</f>
        <v>-261463.04999999236</v>
      </c>
      <c r="D34" s="87">
        <f>-SUMIFS(FINANCIACION[$ CAPITAL],
FINANCIACION[Fecha],"&lt;="&amp;EOMONTH(D$1,0),
FINANCIACION[PRESTAMO],$A34)</f>
        <v>-8761463.0499999933</v>
      </c>
      <c r="E34" s="87">
        <f>-SUMIFS(FINANCIACION[$ CAPITAL],
FINANCIACION[Fecha],"&lt;="&amp;EOMONTH(E$1,0),
FINANCIACION[PRESTAMO],$A34)</f>
        <v>-7525514.0499999933</v>
      </c>
      <c r="F34" s="87">
        <f>-SUMIFS(FINANCIACION[$ CAPITAL],
FINANCIACION[Fecha],"&lt;="&amp;EOMONTH(F$1,0),
FINANCIACION[PRESTAMO],$A34)</f>
        <v>44947351.950000003</v>
      </c>
      <c r="G34" s="87">
        <f>-SUMIFS(FINANCIACION[$ CAPITAL],
FINANCIACION[Fecha],"&lt;="&amp;EOMONTH(G$1,0),
FINANCIACION[PRESTAMO],$A34)</f>
        <v>78383579.760000005</v>
      </c>
      <c r="H34" s="87">
        <f>-SUMIFS(FINANCIACION[$ CAPITAL],
FINANCIACION[Fecha],"&lt;="&amp;EOMONTH(H$1,0),
FINANCIACION[PRESTAMO],$A34)</f>
        <v>91544696.790000021</v>
      </c>
      <c r="I34" s="87">
        <f>-SUMIFS(FINANCIACION[$ CAPITAL],
FINANCIACION[Fecha],"&lt;="&amp;EOMONTH(I$1,0),
FINANCIACION[PRESTAMO],$A34)</f>
        <v>94501512.170000017</v>
      </c>
      <c r="J34" s="87">
        <f>-SUMIFS(FINANCIACION[$ CAPITAL],
FINANCIACION[Fecha],"&lt;="&amp;EOMONTH(J$1,0),
FINANCIACION[PRESTAMO],$A34)</f>
        <v>84819162.470000014</v>
      </c>
      <c r="K34" s="87">
        <f>-SUMIFS(FINANCIACION[$ CAPITAL],
FINANCIACION[Fecha],"&lt;="&amp;EOMONTH(K$1,0),
FINANCIACION[PRESTAMO],$A34)</f>
        <v>70069042.850000024</v>
      </c>
      <c r="L34" s="87">
        <f>-SUMIFS(FINANCIACION[$ CAPITAL],
FINANCIACION[Fecha],"&lt;="&amp;EOMONTH(L$1,0),
FINANCIACION[PRESTAMO],$A34)</f>
        <v>85486465.350000039</v>
      </c>
      <c r="M34" s="87">
        <f>-SUMIFS(FINANCIACION[$ CAPITAL],
FINANCIACION[Fecha],"&lt;="&amp;EOMONTH(M$1,0),
FINANCIACION[PRESTAMO],$A34)</f>
        <v>63507571.150000036</v>
      </c>
      <c r="N34" s="87">
        <f>-SUMIFS(FINANCIACION[$ CAPITAL],
FINANCIACION[Fecha],"&lt;="&amp;EOMONTH(N$1,0),
FINANCIACION[PRESTAMO],$A34)</f>
        <v>58432943.620000035</v>
      </c>
      <c r="O34" s="87">
        <f>-SUMIFS(FINANCIACION[$ CAPITAL],
FINANCIACION[Fecha],"&lt;="&amp;EOMONTH(O$1,0),
FINANCIACION[PRESTAMO],$A34)</f>
        <v>72197464.860000014</v>
      </c>
      <c r="P34" s="87">
        <f>-SUMIFS(FINANCIACION[$ CAPITAL],
FINANCIACION[Fecha],"&lt;="&amp;EOMONTH(P$1,0),
FINANCIACION[PRESTAMO],$A34)</f>
        <v>70787902.990000024</v>
      </c>
      <c r="Q34" s="87">
        <f>-SUMIFS(FINANCIACION[$ CAPITAL],
FINANCIACION[Fecha],"&lt;="&amp;EOMONTH(Q$1,0),
FINANCIACION[PRESTAMO],$A34)</f>
        <v>71741402.340000033</v>
      </c>
      <c r="R34" s="87">
        <f>-SUMIFS(FINANCIACION[$ CAPITAL],
FINANCIACION[Fecha],"&lt;="&amp;EOMONTH(R$1,0),
FINANCIACION[PRESTAMO],$A34)</f>
        <v>43888850.962125674</v>
      </c>
      <c r="S34" s="87">
        <f>-SUMIFS(FINANCIACION[$ CAPITAL],
FINANCIACION[Fecha],"&lt;="&amp;EOMONTH(S$1,0),
FINANCIACION[PRESTAMO],$A34)</f>
        <v>28396816.509999998</v>
      </c>
      <c r="T34" s="87">
        <f>-SUMIFS(FINANCIACION[$ CAPITAL],
FINANCIACION[Fecha],"&lt;="&amp;EOMONTH(T$1,0),
FINANCIACION[PRESTAMO],$A34)</f>
        <v>27093375.809999991</v>
      </c>
      <c r="U34" s="87">
        <f>-SUMIFS(FINANCIACION[$ CAPITAL],
FINANCIACION[Fecha],"&lt;="&amp;EOMONTH(U$1,0),
FINANCIACION[PRESTAMO],$A34)</f>
        <v>25606060.169999991</v>
      </c>
      <c r="V34" s="87">
        <f>-SUMIFS(FINANCIACION[$ CAPITAL],
FINANCIACION[Fecha],"&lt;="&amp;EOMONTH(V$1,0),
FINANCIACION[PRESTAMO],$A34)</f>
        <v>24137884.089999989</v>
      </c>
      <c r="W34" s="87">
        <f>-SUMIFS(FINANCIACION[$ CAPITAL],
FINANCIACION[Fecha],"&lt;="&amp;EOMONTH(W$1,0),
FINANCIACION[PRESTAMO],$A34)</f>
        <v>22682493.509999987</v>
      </c>
      <c r="X34" s="87">
        <f>-SUMIFS(FINANCIACION[$ CAPITAL],
FINANCIACION[Fecha],"&lt;="&amp;EOMONTH(X$1,0),
FINANCIACION[PRESTAMO],$A34)</f>
        <v>21258869.339999985</v>
      </c>
      <c r="Y34" s="87">
        <f>-SUMIFS(FINANCIACION[$ CAPITAL],
FINANCIACION[Fecha],"&lt;="&amp;EOMONTH(Y$1,0),
FINANCIACION[PRESTAMO],$A34)</f>
        <v>19839681.689999986</v>
      </c>
    </row>
    <row r="35" spans="1:25" ht="21.6" customHeight="1" x14ac:dyDescent="0.25">
      <c r="A35" s="74" t="s">
        <v>722</v>
      </c>
      <c r="B35" s="87">
        <f>-SUMIFS(FINANCIACION[$ CAPITAL],
FINANCIACION[Fecha],"&lt;="&amp;EOMONTH(B$1,0),
FINANCIACION[PRESTAMO],$A35)</f>
        <v>0</v>
      </c>
      <c r="C35" s="87">
        <f>-SUMIFS(FINANCIACION[$ CAPITAL],
FINANCIACION[Fecha],"&lt;="&amp;EOMONTH(C$1,0),
FINANCIACION[PRESTAMO],$A35)</f>
        <v>0</v>
      </c>
      <c r="D35" s="87">
        <f>-SUMIFS(FINANCIACION[$ CAPITAL],
FINANCIACION[Fecha],"&lt;="&amp;EOMONTH(D$1,0),
FINANCIACION[PRESTAMO],$A35)</f>
        <v>0</v>
      </c>
      <c r="E35" s="87">
        <f>-SUMIFS(FINANCIACION[$ CAPITAL],
FINANCIACION[Fecha],"&lt;="&amp;EOMONTH(E$1,0),
FINANCIACION[PRESTAMO],$A35)</f>
        <v>0</v>
      </c>
      <c r="F35" s="87">
        <f>-SUMIFS(FINANCIACION[$ CAPITAL],
FINANCIACION[Fecha],"&lt;="&amp;EOMONTH(F$1,0),
FINANCIACION[PRESTAMO],$A35)</f>
        <v>0</v>
      </c>
      <c r="G35" s="87">
        <f>-SUMIFS(FINANCIACION[$ CAPITAL],
FINANCIACION[Fecha],"&lt;="&amp;EOMONTH(G$1,0),
FINANCIACION[PRESTAMO],$A35)</f>
        <v>0</v>
      </c>
      <c r="H35" s="87">
        <f>-SUMIFS(FINANCIACION[$ CAPITAL],
FINANCIACION[Fecha],"&lt;="&amp;EOMONTH(H$1,0),
FINANCIACION[PRESTAMO],$A35)</f>
        <v>0</v>
      </c>
      <c r="I35" s="87">
        <f>-SUMIFS(FINANCIACION[$ CAPITAL],
FINANCIACION[Fecha],"&lt;="&amp;EOMONTH(I$1,0),
FINANCIACION[PRESTAMO],$A35)</f>
        <v>0</v>
      </c>
      <c r="J35" s="87">
        <f>-SUMIFS(FINANCIACION[$ CAPITAL],
FINANCIACION[Fecha],"&lt;="&amp;EOMONTH(J$1,0),
FINANCIACION[PRESTAMO],$A35)</f>
        <v>0</v>
      </c>
      <c r="K35" s="87">
        <f>-SUMIFS(FINANCIACION[$ CAPITAL],
FINANCIACION[Fecha],"&lt;="&amp;EOMONTH(K$1,0),
FINANCIACION[PRESTAMO],$A35)</f>
        <v>0</v>
      </c>
      <c r="L35" s="87">
        <f>-SUMIFS(FINANCIACION[$ CAPITAL],
FINANCIACION[Fecha],"&lt;="&amp;EOMONTH(L$1,0),
FINANCIACION[PRESTAMO],$A35)</f>
        <v>0</v>
      </c>
      <c r="M35" s="87">
        <f>-SUMIFS(FINANCIACION[$ CAPITAL],
FINANCIACION[Fecha],"&lt;="&amp;EOMONTH(M$1,0),
FINANCIACION[PRESTAMO],$A35)</f>
        <v>0</v>
      </c>
      <c r="N35" s="87">
        <f>-SUMIFS(FINANCIACION[$ CAPITAL],
FINANCIACION[Fecha],"&lt;="&amp;EOMONTH(N$1,0),
FINANCIACION[PRESTAMO],$A35)</f>
        <v>0</v>
      </c>
      <c r="O35" s="87">
        <f>-SUMIFS(FINANCIACION[$ CAPITAL],
FINANCIACION[Fecha],"&lt;="&amp;EOMONTH(O$1,0),
FINANCIACION[PRESTAMO],$A35)</f>
        <v>0</v>
      </c>
      <c r="P35" s="87">
        <f>-SUMIFS(FINANCIACION[$ CAPITAL],
FINANCIACION[Fecha],"&lt;="&amp;EOMONTH(P$1,0),
FINANCIACION[PRESTAMO],$A35)</f>
        <v>0</v>
      </c>
      <c r="Q35" s="87">
        <f>-SUMIFS(FINANCIACION[$ CAPITAL],
FINANCIACION[Fecha],"&lt;="&amp;EOMONTH(Q$1,0),
FINANCIACION[PRESTAMO],$A35)</f>
        <v>0</v>
      </c>
      <c r="R35" s="87">
        <f>-SUMIFS(FINANCIACION[$ CAPITAL],
FINANCIACION[Fecha],"&lt;="&amp;EOMONTH(R$1,0),
FINANCIACION[PRESTAMO],$A35)</f>
        <v>26031901.309999999</v>
      </c>
      <c r="S35" s="87">
        <f>-SUMIFS(FINANCIACION[$ CAPITAL],
FINANCIACION[Fecha],"&lt;="&amp;EOMONTH(S$1,0),
FINANCIACION[PRESTAMO],$A35)</f>
        <v>24790595.739999998</v>
      </c>
      <c r="T35" s="87">
        <f>-SUMIFS(FINANCIACION[$ CAPITAL],
FINANCIACION[Fecha],"&lt;="&amp;EOMONTH(T$1,0),
FINANCIACION[PRESTAMO],$A35)</f>
        <v>23719778.41</v>
      </c>
      <c r="U35" s="87">
        <f>-SUMIFS(FINANCIACION[$ CAPITAL],
FINANCIACION[Fecha],"&lt;="&amp;EOMONTH(U$1,0),
FINANCIACION[PRESTAMO],$A35)</f>
        <v>22486676.970000003</v>
      </c>
      <c r="V35" s="87">
        <f>-SUMIFS(FINANCIACION[$ CAPITAL],
FINANCIACION[Fecha],"&lt;="&amp;EOMONTH(V$1,0),
FINANCIACION[PRESTAMO],$A35)</f>
        <v>21267871.290000003</v>
      </c>
      <c r="W35" s="87">
        <f>-SUMIFS(FINANCIACION[$ CAPITAL],
FINANCIACION[Fecha],"&lt;="&amp;EOMONTH(W$1,0),
FINANCIACION[PRESTAMO],$A35)</f>
        <v>20060494.380000003</v>
      </c>
      <c r="X35" s="87">
        <f>-SUMIFS(FINANCIACION[$ CAPITAL],
FINANCIACION[Fecha],"&lt;="&amp;EOMONTH(X$1,0),
FINANCIACION[PRESTAMO],$A35)</f>
        <v>18880535.100000001</v>
      </c>
      <c r="Y35" s="87">
        <f>-SUMIFS(FINANCIACION[$ CAPITAL],
FINANCIACION[Fecha],"&lt;="&amp;EOMONTH(Y$1,0),
FINANCIACION[PRESTAMO],$A35)</f>
        <v>17706924.239999998</v>
      </c>
    </row>
    <row r="36" spans="1:25" ht="21.6" customHeight="1" x14ac:dyDescent="0.25">
      <c r="A36" s="74" t="s">
        <v>724</v>
      </c>
      <c r="B36" s="87">
        <f>-SUMIFS(FINANCIACION[$ CAPITAL],
FINANCIACION[Fecha],"&lt;="&amp;EOMONTH(B$1,0),
FINANCIACION[PRESTAMO],$A36)</f>
        <v>0</v>
      </c>
      <c r="C36" s="87">
        <f>-SUMIFS(FINANCIACION[$ CAPITAL],
FINANCIACION[Fecha],"&lt;="&amp;EOMONTH(C$1,0),
FINANCIACION[PRESTAMO],$A36)</f>
        <v>0</v>
      </c>
      <c r="D36" s="87">
        <f>-SUMIFS(FINANCIACION[$ CAPITAL],
FINANCIACION[Fecha],"&lt;="&amp;EOMONTH(D$1,0),
FINANCIACION[PRESTAMO],$A36)</f>
        <v>0</v>
      </c>
      <c r="E36" s="87">
        <f>-SUMIFS(FINANCIACION[$ CAPITAL],
FINANCIACION[Fecha],"&lt;="&amp;EOMONTH(E$1,0),
FINANCIACION[PRESTAMO],$A36)</f>
        <v>0</v>
      </c>
      <c r="F36" s="87">
        <f>-SUMIFS(FINANCIACION[$ CAPITAL],
FINANCIACION[Fecha],"&lt;="&amp;EOMONTH(F$1,0),
FINANCIACION[PRESTAMO],$A36)</f>
        <v>0</v>
      </c>
      <c r="G36" s="87">
        <f>-SUMIFS(FINANCIACION[$ CAPITAL],
FINANCIACION[Fecha],"&lt;="&amp;EOMONTH(G$1,0),
FINANCIACION[PRESTAMO],$A36)</f>
        <v>65391637.960000001</v>
      </c>
      <c r="H36" s="87">
        <f>-SUMIFS(FINANCIACION[$ CAPITAL],
FINANCIACION[Fecha],"&lt;="&amp;EOMONTH(H$1,0),
FINANCIACION[PRESTAMO],$A36)</f>
        <v>65935612.93</v>
      </c>
      <c r="I36" s="87">
        <f>-SUMIFS(FINANCIACION[$ CAPITAL],
FINANCIACION[Fecha],"&lt;="&amp;EOMONTH(I$1,0),
FINANCIACION[PRESTAMO],$A36)</f>
        <v>66447584.149999999</v>
      </c>
      <c r="J36" s="87">
        <f>-SUMIFS(FINANCIACION[$ CAPITAL],
FINANCIACION[Fecha],"&lt;="&amp;EOMONTH(J$1,0),
FINANCIACION[PRESTAMO],$A36)</f>
        <v>66920878.219999999</v>
      </c>
      <c r="K36" s="87">
        <f>-SUMIFS(FINANCIACION[$ CAPITAL],
FINANCIACION[Fecha],"&lt;="&amp;EOMONTH(K$1,0),
FINANCIACION[PRESTAMO],$A36)</f>
        <v>67450349.700000003</v>
      </c>
      <c r="L36" s="87">
        <f>-SUMIFS(FINANCIACION[$ CAPITAL],
FINANCIACION[Fecha],"&lt;="&amp;EOMONTH(L$1,0),
FINANCIACION[PRESTAMO],$A36)</f>
        <v>65352731.340000004</v>
      </c>
      <c r="M36" s="87">
        <f>-SUMIFS(FINANCIACION[$ CAPITAL],
FINANCIACION[Fecha],"&lt;="&amp;EOMONTH(M$1,0),
FINANCIACION[PRESTAMO],$A36)</f>
        <v>65865540.649999999</v>
      </c>
      <c r="N36" s="87">
        <f>-SUMIFS(FINANCIACION[$ CAPITAL],
FINANCIACION[Fecha],"&lt;="&amp;EOMONTH(N$1,0),
FINANCIACION[PRESTAMO],$A36)</f>
        <v>65865540.649999999</v>
      </c>
      <c r="O36" s="87">
        <f>-SUMIFS(FINANCIACION[$ CAPITAL],
FINANCIACION[Fecha],"&lt;="&amp;EOMONTH(O$1,0),
FINANCIACION[PRESTAMO],$A36)</f>
        <v>60995747.579999998</v>
      </c>
      <c r="P36" s="87">
        <f>-SUMIFS(FINANCIACION[$ CAPITAL],
FINANCIACION[Fecha],"&lt;="&amp;EOMONTH(P$1,0),
FINANCIACION[PRESTAMO],$A36)</f>
        <v>58902640.799999997</v>
      </c>
      <c r="Q36" s="87">
        <f>-SUMIFS(FINANCIACION[$ CAPITAL],
FINANCIACION[Fecha],"&lt;="&amp;EOMONTH(Q$1,0),
FINANCIACION[PRESTAMO],$A36)</f>
        <v>56682393.969999999</v>
      </c>
      <c r="R36" s="87">
        <f>-SUMIFS(FINANCIACION[$ CAPITAL],
FINANCIACION[Fecha],"&lt;="&amp;EOMONTH(R$1,0),
FINANCIACION[PRESTAMO],$A36)</f>
        <v>54818487.120000005</v>
      </c>
      <c r="S36" s="87">
        <f>-SUMIFS(FINANCIACION[$ CAPITAL],
FINANCIACION[Fecha],"&lt;="&amp;EOMONTH(S$1,0),
FINANCIACION[PRESTAMO],$A36)</f>
        <v>52299048.060000002</v>
      </c>
      <c r="T36" s="87">
        <f>-SUMIFS(FINANCIACION[$ CAPITAL],
FINANCIACION[Fecha],"&lt;="&amp;EOMONTH(T$1,0),
FINANCIACION[PRESTAMO],$A36)</f>
        <v>50136013.609999999</v>
      </c>
      <c r="U36" s="87">
        <f>-SUMIFS(FINANCIACION[$ CAPITAL],
FINANCIACION[Fecha],"&lt;="&amp;EOMONTH(U$1,0),
FINANCIACION[PRESTAMO],$A36)</f>
        <v>47631389.68</v>
      </c>
      <c r="V36" s="87">
        <f>-SUMIFS(FINANCIACION[$ CAPITAL],
FINANCIACION[Fecha],"&lt;="&amp;EOMONTH(V$1,0),
FINANCIACION[PRESTAMO],$A36)</f>
        <v>45157527.289999999</v>
      </c>
      <c r="W36" s="87">
        <f>-SUMIFS(FINANCIACION[$ CAPITAL],
FINANCIACION[Fecha],"&lt;="&amp;EOMONTH(W$1,0),
FINANCIACION[PRESTAMO],$A36)</f>
        <v>42697257.329999998</v>
      </c>
      <c r="X36" s="87">
        <f>-SUMIFS(FINANCIACION[$ CAPITAL],
FINANCIACION[Fecha],"&lt;="&amp;EOMONTH(X$1,0),
FINANCIACION[PRESTAMO],$A36)</f>
        <v>40306835</v>
      </c>
      <c r="Y36" s="87">
        <f>-SUMIFS(FINANCIACION[$ CAPITAL],
FINANCIACION[Fecha],"&lt;="&amp;EOMONTH(Y$1,0),
FINANCIACION[PRESTAMO],$A36)</f>
        <v>37926967.32</v>
      </c>
    </row>
    <row r="37" spans="1:25" ht="21.6" customHeight="1" x14ac:dyDescent="0.25">
      <c r="A37" s="74" t="s">
        <v>725</v>
      </c>
      <c r="B37" s="87">
        <f>-SUMIFS(FINANCIACION[$ CAPITAL],
FINANCIACION[Fecha],"&lt;="&amp;EOMONTH(B$1,0),
FINANCIACION[PRESTAMO],$A37)</f>
        <v>0</v>
      </c>
      <c r="C37" s="87">
        <f>-SUMIFS(FINANCIACION[$ CAPITAL],
FINANCIACION[Fecha],"&lt;="&amp;EOMONTH(C$1,0),
FINANCIACION[PRESTAMO],$A37)</f>
        <v>0</v>
      </c>
      <c r="D37" s="87">
        <f>-SUMIFS(FINANCIACION[$ CAPITAL],
FINANCIACION[Fecha],"&lt;="&amp;EOMONTH(D$1,0),
FINANCIACION[PRESTAMO],$A37)</f>
        <v>0</v>
      </c>
      <c r="E37" s="87">
        <f>-SUMIFS(FINANCIACION[$ CAPITAL],
FINANCIACION[Fecha],"&lt;="&amp;EOMONTH(E$1,0),
FINANCIACION[PRESTAMO],$A37)</f>
        <v>0</v>
      </c>
      <c r="F37" s="87">
        <f>-SUMIFS(FINANCIACION[$ CAPITAL],
FINANCIACION[Fecha],"&lt;="&amp;EOMONTH(F$1,0),
FINANCIACION[PRESTAMO],$A37)</f>
        <v>0</v>
      </c>
      <c r="G37" s="87">
        <f>-SUMIFS(FINANCIACION[$ CAPITAL],
FINANCIACION[Fecha],"&lt;="&amp;EOMONTH(G$1,0),
FINANCIACION[PRESTAMO],$A37)</f>
        <v>95169090.980000004</v>
      </c>
      <c r="H37" s="87">
        <f>-SUMIFS(FINANCIACION[$ CAPITAL],
FINANCIACION[Fecha],"&lt;="&amp;EOMONTH(H$1,0),
FINANCIACION[PRESTAMO],$A37)</f>
        <v>96034923.430000007</v>
      </c>
      <c r="I37" s="87">
        <f>-SUMIFS(FINANCIACION[$ CAPITAL],
FINANCIACION[Fecha],"&lt;="&amp;EOMONTH(I$1,0),
FINANCIACION[PRESTAMO],$A37)</f>
        <v>96853803.769999996</v>
      </c>
      <c r="J37" s="87">
        <f>-SUMIFS(FINANCIACION[$ CAPITAL],
FINANCIACION[Fecha],"&lt;="&amp;EOMONTH(J$1,0),
FINANCIACION[PRESTAMO],$A37)</f>
        <v>97615931.560000002</v>
      </c>
      <c r="K37" s="87">
        <f>-SUMIFS(FINANCIACION[$ CAPITAL],
FINANCIACION[Fecha],"&lt;="&amp;EOMONTH(K$1,0),
FINANCIACION[PRESTAMO],$A37)</f>
        <v>98472513</v>
      </c>
      <c r="L37" s="87">
        <f>-SUMIFS(FINANCIACION[$ CAPITAL],
FINANCIACION[Fecha],"&lt;="&amp;EOMONTH(L$1,0),
FINANCIACION[PRESTAMO],$A37)</f>
        <v>95116654.469999999</v>
      </c>
      <c r="M37" s="87">
        <f>-SUMIFS(FINANCIACION[$ CAPITAL],
FINANCIACION[Fecha],"&lt;="&amp;EOMONTH(M$1,0),
FINANCIACION[PRESTAMO],$A37)</f>
        <v>94944546.189999998</v>
      </c>
      <c r="N37" s="87">
        <f>-SUMIFS(FINANCIACION[$ CAPITAL],
FINANCIACION[Fecha],"&lt;="&amp;EOMONTH(N$1,0),
FINANCIACION[PRESTAMO],$A37)</f>
        <v>94944546.189999998</v>
      </c>
      <c r="O37" s="87">
        <f>-SUMIFS(FINANCIACION[$ CAPITAL],
FINANCIACION[Fecha],"&lt;="&amp;EOMONTH(O$1,0),
FINANCIACION[PRESTAMO],$A37)</f>
        <v>88476889.230000004</v>
      </c>
      <c r="P37" s="87">
        <f>-SUMIFS(FINANCIACION[$ CAPITAL],
FINANCIACION[Fecha],"&lt;="&amp;EOMONTH(P$1,0),
FINANCIACION[PRESTAMO],$A37)</f>
        <v>84262864.439999998</v>
      </c>
      <c r="Q37" s="87">
        <f>-SUMIFS(FINANCIACION[$ CAPITAL],
FINANCIACION[Fecha],"&lt;="&amp;EOMONTH(Q$1,0),
FINANCIACION[PRESTAMO],$A37)</f>
        <v>82222974.680000007</v>
      </c>
      <c r="R37" s="87">
        <f>-SUMIFS(FINANCIACION[$ CAPITAL],
FINANCIACION[Fecha],"&lt;="&amp;EOMONTH(R$1,0),
FINANCIACION[PRESTAMO],$A37)</f>
        <v>79567204.679999992</v>
      </c>
      <c r="S37" s="87">
        <f>-SUMIFS(FINANCIACION[$ CAPITAL],
FINANCIACION[Fecha],"&lt;="&amp;EOMONTH(S$1,0),
FINANCIACION[PRESTAMO],$A37)</f>
        <v>75853658.510000005</v>
      </c>
      <c r="T37" s="87">
        <f>-SUMIFS(FINANCIACION[$ CAPITAL],
FINANCIACION[Fecha],"&lt;="&amp;EOMONTH(T$1,0),
FINANCIACION[PRESTAMO],$A37)</f>
        <v>72716430.010000005</v>
      </c>
      <c r="U37" s="87">
        <f>-SUMIFS(FINANCIACION[$ CAPITAL],
FINANCIACION[Fecha],"&lt;="&amp;EOMONTH(U$1,0),
FINANCIACION[PRESTAMO],$A37)</f>
        <v>69028183.840000004</v>
      </c>
      <c r="V37" s="87">
        <f>-SUMIFS(FINANCIACION[$ CAPITAL],
FINANCIACION[Fecha],"&lt;="&amp;EOMONTH(V$1,0),
FINANCIACION[PRESTAMO],$A37)</f>
        <v>65388773.829999998</v>
      </c>
      <c r="W37" s="87">
        <f>-SUMIFS(FINANCIACION[$ CAPITAL],
FINANCIACION[Fecha],"&lt;="&amp;EOMONTH(W$1,0),
FINANCIACION[PRESTAMO],$A37)</f>
        <v>61771693.030000001</v>
      </c>
      <c r="X37" s="87">
        <f>-SUMIFS(FINANCIACION[$ CAPITAL],
FINANCIACION[Fecha],"&lt;="&amp;EOMONTH(X$1,0),
FINANCIACION[PRESTAMO],$A37)</f>
        <v>58266664.57</v>
      </c>
      <c r="Y37" s="87">
        <f>-SUMIFS(FINANCIACION[$ CAPITAL],
FINANCIACION[Fecha],"&lt;="&amp;EOMONTH(Y$1,0),
FINANCIACION[PRESTAMO],$A37)</f>
        <v>54781379.420000002</v>
      </c>
    </row>
    <row r="38" spans="1:25" ht="21.6" customHeight="1" x14ac:dyDescent="0.25">
      <c r="A38" s="74" t="s">
        <v>726</v>
      </c>
      <c r="B38" s="87">
        <f>-SUMIFS(FINANCIACION[$ CAPITAL],
FINANCIACION[Fecha],"&lt;="&amp;EOMONTH(B$1,0),
FINANCIACION[PRESTAMO],$A38)</f>
        <v>0</v>
      </c>
      <c r="C38" s="87">
        <f>-SUMIFS(FINANCIACION[$ CAPITAL],
FINANCIACION[Fecha],"&lt;="&amp;EOMONTH(C$1,0),
FINANCIACION[PRESTAMO],$A38)</f>
        <v>0</v>
      </c>
      <c r="D38" s="87">
        <f>-SUMIFS(FINANCIACION[$ CAPITAL],
FINANCIACION[Fecha],"&lt;="&amp;EOMONTH(D$1,0),
FINANCIACION[PRESTAMO],$A38)</f>
        <v>0</v>
      </c>
      <c r="E38" s="87">
        <f>-SUMIFS(FINANCIACION[$ CAPITAL],
FINANCIACION[Fecha],"&lt;="&amp;EOMONTH(E$1,0),
FINANCIACION[PRESTAMO],$A38)</f>
        <v>0</v>
      </c>
      <c r="F38" s="87">
        <f>-SUMIFS(FINANCIACION[$ CAPITAL],
FINANCIACION[Fecha],"&lt;="&amp;EOMONTH(F$1,0),
FINANCIACION[PRESTAMO],$A38)</f>
        <v>0</v>
      </c>
      <c r="G38" s="87">
        <f>-SUMIFS(FINANCIACION[$ CAPITAL],
FINANCIACION[Fecha],"&lt;="&amp;EOMONTH(G$1,0),
FINANCIACION[PRESTAMO],$A38)</f>
        <v>0</v>
      </c>
      <c r="H38" s="87">
        <f>-SUMIFS(FINANCIACION[$ CAPITAL],
FINANCIACION[Fecha],"&lt;="&amp;EOMONTH(H$1,0),
FINANCIACION[PRESTAMO],$A38)</f>
        <v>0</v>
      </c>
      <c r="I38" s="87">
        <f>-SUMIFS(FINANCIACION[$ CAPITAL],
FINANCIACION[Fecha],"&lt;="&amp;EOMONTH(I$1,0),
FINANCIACION[PRESTAMO],$A38)</f>
        <v>25905743.73</v>
      </c>
      <c r="J38" s="87">
        <f>-SUMIFS(FINANCIACION[$ CAPITAL],
FINANCIACION[Fecha],"&lt;="&amp;EOMONTH(J$1,0),
FINANCIACION[PRESTAMO],$A38)</f>
        <v>26095709.91</v>
      </c>
      <c r="K38" s="87">
        <f>-SUMIFS(FINANCIACION[$ CAPITAL],
FINANCIACION[Fecha],"&lt;="&amp;EOMONTH(K$1,0),
FINANCIACION[PRESTAMO],$A38)</f>
        <v>26299744.600000001</v>
      </c>
      <c r="L38" s="87">
        <f>-SUMIFS(FINANCIACION[$ CAPITAL],
FINANCIACION[Fecha],"&lt;="&amp;EOMONTH(L$1,0),
FINANCIACION[PRESTAMO],$A38)</f>
        <v>25884693.530000001</v>
      </c>
      <c r="M38" s="87">
        <f>-SUMIFS(FINANCIACION[$ CAPITAL],
FINANCIACION[Fecha],"&lt;="&amp;EOMONTH(M$1,0),
FINANCIACION[PRESTAMO],$A38)</f>
        <v>25582703.219999999</v>
      </c>
      <c r="N38" s="87">
        <f>-SUMIFS(FINANCIACION[$ CAPITAL],
FINANCIACION[Fecha],"&lt;="&amp;EOMONTH(N$1,0),
FINANCIACION[PRESTAMO],$A38)</f>
        <v>25582703.219999999</v>
      </c>
      <c r="O38" s="87">
        <f>-SUMIFS(FINANCIACION[$ CAPITAL],
FINANCIACION[Fecha],"&lt;="&amp;EOMONTH(O$1,0),
FINANCIACION[PRESTAMO],$A38)</f>
        <v>24706333.149999999</v>
      </c>
      <c r="P38" s="87">
        <f>-SUMIFS(FINANCIACION[$ CAPITAL],
FINANCIACION[Fecha],"&lt;="&amp;EOMONTH(P$1,0),
FINANCIACION[PRESTAMO],$A38)</f>
        <v>23868447.079999998</v>
      </c>
      <c r="Q38" s="87">
        <f>-SUMIFS(FINANCIACION[$ CAPITAL],
FINANCIACION[Fecha],"&lt;="&amp;EOMONTH(Q$1,0),
FINANCIACION[PRESTAMO],$A38)</f>
        <v>24020998.199999999</v>
      </c>
      <c r="R38" s="87">
        <f>-SUMIFS(FINANCIACION[$ CAPITAL],
FINANCIACION[Fecha],"&lt;="&amp;EOMONTH(R$1,0),
FINANCIACION[PRESTAMO],$A38)</f>
        <v>22282101.91</v>
      </c>
      <c r="S38" s="87">
        <f>-SUMIFS(FINANCIACION[$ CAPITAL],
FINANCIACION[Fecha],"&lt;="&amp;EOMONTH(S$1,0),
FINANCIACION[PRESTAMO],$A38)</f>
        <v>21288613.34</v>
      </c>
      <c r="T38" s="87">
        <f>-SUMIFS(FINANCIACION[$ CAPITAL],
FINANCIACION[Fecha],"&lt;="&amp;EOMONTH(T$1,0),
FINANCIACION[PRESTAMO],$A38)</f>
        <v>20437835.670000002</v>
      </c>
      <c r="U38" s="87">
        <f>-SUMIFS(FINANCIACION[$ CAPITAL],
FINANCIACION[Fecha],"&lt;="&amp;EOMONTH(U$1,0),
FINANCIACION[PRESTAMO],$A38)</f>
        <v>19449106.430000003</v>
      </c>
      <c r="V38" s="87">
        <f>-SUMIFS(FINANCIACION[$ CAPITAL],
FINANCIACION[Fecha],"&lt;="&amp;EOMONTH(V$1,0),
FINANCIACION[PRESTAMO],$A38)</f>
        <v>18474834.260000005</v>
      </c>
      <c r="W38" s="87">
        <f>-SUMIFS(FINANCIACION[$ CAPITAL],
FINANCIACION[Fecha],"&lt;="&amp;EOMONTH(W$1,0),
FINANCIACION[PRESTAMO],$A38)</f>
        <v>17508544.630000006</v>
      </c>
      <c r="X38" s="87">
        <f>-SUMIFS(FINANCIACION[$ CAPITAL],
FINANCIACION[Fecha],"&lt;="&amp;EOMONTH(X$1,0),
FINANCIACION[PRESTAMO],$A38)</f>
        <v>16565250.450000007</v>
      </c>
      <c r="Y38" s="87">
        <f>-SUMIFS(FINANCIACION[$ CAPITAL],
FINANCIACION[Fecha],"&lt;="&amp;EOMONTH(Y$1,0),
FINANCIACION[PRESTAMO],$A38)</f>
        <v>15625187.190000009</v>
      </c>
    </row>
    <row r="39" spans="1:25" ht="21.6" customHeight="1" x14ac:dyDescent="0.25">
      <c r="A39" s="74" t="s">
        <v>727</v>
      </c>
      <c r="B39" s="87">
        <f>-SUMIFS(FINANCIACION[$ CAPITAL],
FINANCIACION[Fecha],"&lt;="&amp;EOMONTH(B$1,0),
FINANCIACION[PRESTAMO],$A39)</f>
        <v>0</v>
      </c>
      <c r="C39" s="87">
        <f>-SUMIFS(FINANCIACION[$ CAPITAL],
FINANCIACION[Fecha],"&lt;="&amp;EOMONTH(C$1,0),
FINANCIACION[PRESTAMO],$A39)</f>
        <v>0</v>
      </c>
      <c r="D39" s="87">
        <f>-SUMIFS(FINANCIACION[$ CAPITAL],
FINANCIACION[Fecha],"&lt;="&amp;EOMONTH(D$1,0),
FINANCIACION[PRESTAMO],$A39)</f>
        <v>0</v>
      </c>
      <c r="E39" s="87">
        <f>-SUMIFS(FINANCIACION[$ CAPITAL],
FINANCIACION[Fecha],"&lt;="&amp;EOMONTH(E$1,0),
FINANCIACION[PRESTAMO],$A39)</f>
        <v>0</v>
      </c>
      <c r="F39" s="87">
        <f>-SUMIFS(FINANCIACION[$ CAPITAL],
FINANCIACION[Fecha],"&lt;="&amp;EOMONTH(F$1,0),
FINANCIACION[PRESTAMO],$A39)</f>
        <v>0</v>
      </c>
      <c r="G39" s="87">
        <f>-SUMIFS(FINANCIACION[$ CAPITAL],
FINANCIACION[Fecha],"&lt;="&amp;EOMONTH(G$1,0),
FINANCIACION[PRESTAMO],$A39)</f>
        <v>0</v>
      </c>
      <c r="H39" s="87">
        <f>-SUMIFS(FINANCIACION[$ CAPITAL],
FINANCIACION[Fecha],"&lt;="&amp;EOMONTH(H$1,0),
FINANCIACION[PRESTAMO],$A39)</f>
        <v>0</v>
      </c>
      <c r="I39" s="87">
        <f>-SUMIFS(FINANCIACION[$ CAPITAL],
FINANCIACION[Fecha],"&lt;="&amp;EOMONTH(I$1,0),
FINANCIACION[PRESTAMO],$A39)</f>
        <v>0</v>
      </c>
      <c r="J39" s="87">
        <f>-SUMIFS(FINANCIACION[$ CAPITAL],
FINANCIACION[Fecha],"&lt;="&amp;EOMONTH(J$1,0),
FINANCIACION[PRESTAMO],$A39)</f>
        <v>27143346.609999999</v>
      </c>
      <c r="K39" s="87">
        <f>-SUMIFS(FINANCIACION[$ CAPITAL],
FINANCIACION[Fecha],"&lt;="&amp;EOMONTH(K$1,0),
FINANCIACION[PRESTAMO],$A39)</f>
        <v>27341853.66</v>
      </c>
      <c r="L39" s="87">
        <f>-SUMIFS(FINANCIACION[$ CAPITAL],
FINANCIACION[Fecha],"&lt;="&amp;EOMONTH(L$1,0),
FINANCIACION[PRESTAMO],$A39)</f>
        <v>27121357.289999999</v>
      </c>
      <c r="M39" s="87">
        <f>-SUMIFS(FINANCIACION[$ CAPITAL],
FINANCIACION[Fecha],"&lt;="&amp;EOMONTH(M$1,0),
FINANCIACION[PRESTAMO],$A39)</f>
        <v>26810607.579999998</v>
      </c>
      <c r="N39" s="87">
        <f>-SUMIFS(FINANCIACION[$ CAPITAL],
FINANCIACION[Fecha],"&lt;="&amp;EOMONTH(N$1,0),
FINANCIACION[PRESTAMO],$A39)</f>
        <v>26810607.579999998</v>
      </c>
      <c r="O39" s="87">
        <f>-SUMIFS(FINANCIACION[$ CAPITAL],
FINANCIACION[Fecha],"&lt;="&amp;EOMONTH(O$1,0),
FINANCIACION[PRESTAMO],$A39)</f>
        <v>26991160.550000001</v>
      </c>
      <c r="P39" s="87">
        <f>-SUMIFS(FINANCIACION[$ CAPITAL],
FINANCIACION[Fecha],"&lt;="&amp;EOMONTH(P$1,0),
FINANCIACION[PRESTAMO],$A39)</f>
        <v>25913149.530000001</v>
      </c>
      <c r="Q39" s="87">
        <f>-SUMIFS(FINANCIACION[$ CAPITAL],
FINANCIACION[Fecha],"&lt;="&amp;EOMONTH(Q$1,0),
FINANCIACION[PRESTAMO],$A39)</f>
        <v>26084498.899999999</v>
      </c>
      <c r="R39" s="87">
        <f>-SUMIFS(FINANCIACION[$ CAPITAL],
FINANCIACION[Fecha],"&lt;="&amp;EOMONTH(R$1,0),
FINANCIACION[PRESTAMO],$A39)</f>
        <v>24272072.600000001</v>
      </c>
      <c r="S39" s="87">
        <f>-SUMIFS(FINANCIACION[$ CAPITAL],
FINANCIACION[Fecha],"&lt;="&amp;EOMONTH(S$1,0),
FINANCIACION[PRESTAMO],$A39)</f>
        <v>23225449.379999999</v>
      </c>
      <c r="T39" s="87">
        <f>-SUMIFS(FINANCIACION[$ CAPITAL],
FINANCIACION[Fecha],"&lt;="&amp;EOMONTH(T$1,0),
FINANCIACION[PRESTAMO],$A39)</f>
        <v>22328751.640000001</v>
      </c>
      <c r="U39" s="87">
        <f>-SUMIFS(FINANCIACION[$ CAPITAL],
FINANCIACION[Fecha],"&lt;="&amp;EOMONTH(U$1,0),
FINANCIACION[PRESTAMO],$A39)</f>
        <v>21288390.120000001</v>
      </c>
      <c r="V39" s="87">
        <f>-SUMIFS(FINANCIACION[$ CAPITAL],
FINANCIACION[Fecha],"&lt;="&amp;EOMONTH(V$1,0),
FINANCIACION[PRESTAMO],$A39)</f>
        <v>20261351.320000004</v>
      </c>
      <c r="W39" s="87">
        <f>-SUMIFS(FINANCIACION[$ CAPITAL],
FINANCIACION[Fecha],"&lt;="&amp;EOMONTH(W$1,0),
FINANCIACION[PRESTAMO],$A39)</f>
        <v>19242659.020000003</v>
      </c>
      <c r="X39" s="87">
        <f>-SUMIFS(FINANCIACION[$ CAPITAL],
FINANCIACION[Fecha],"&lt;="&amp;EOMONTH(X$1,0),
FINANCIACION[PRESTAMO],$A39)</f>
        <v>18250128.500000004</v>
      </c>
      <c r="Y39" s="87">
        <f>-SUMIFS(FINANCIACION[$ CAPITAL],
FINANCIACION[Fecha],"&lt;="&amp;EOMONTH(Y$1,0),
FINANCIACION[PRESTAMO],$A39)</f>
        <v>17261167.520000003</v>
      </c>
    </row>
    <row r="40" spans="1:25" ht="21.6" customHeight="1" x14ac:dyDescent="0.25">
      <c r="A40" s="74" t="s">
        <v>980</v>
      </c>
      <c r="B40" s="87">
        <f>-SUMIFS(FINANCIACION[$ CAPITAL],
FINANCIACION[Fecha],"&lt;="&amp;EOMONTH(B$1,0),
FINANCIACION[PRESTAMO],$A40)</f>
        <v>0</v>
      </c>
      <c r="C40" s="87">
        <f>-SUMIFS(FINANCIACION[$ CAPITAL],
FINANCIACION[Fecha],"&lt;="&amp;EOMONTH(C$1,0),
FINANCIACION[PRESTAMO],$A40)</f>
        <v>0</v>
      </c>
      <c r="D40" s="87">
        <f>-SUMIFS(FINANCIACION[$ CAPITAL],
FINANCIACION[Fecha],"&lt;="&amp;EOMONTH(D$1,0),
FINANCIACION[PRESTAMO],$A40)</f>
        <v>0</v>
      </c>
      <c r="E40" s="87">
        <f>-SUMIFS(FINANCIACION[$ CAPITAL],
FINANCIACION[Fecha],"&lt;="&amp;EOMONTH(E$1,0),
FINANCIACION[PRESTAMO],$A40)</f>
        <v>0</v>
      </c>
      <c r="F40" s="87">
        <f>-SUMIFS(FINANCIACION[$ CAPITAL],
FINANCIACION[Fecha],"&lt;="&amp;EOMONTH(F$1,0),
FINANCIACION[PRESTAMO],$A40)</f>
        <v>0</v>
      </c>
      <c r="G40" s="87">
        <f>-SUMIFS(FINANCIACION[$ CAPITAL],
FINANCIACION[Fecha],"&lt;="&amp;EOMONTH(G$1,0),
FINANCIACION[PRESTAMO],$A40)</f>
        <v>0</v>
      </c>
      <c r="H40" s="87">
        <f>-SUMIFS(FINANCIACION[$ CAPITAL],
FINANCIACION[Fecha],"&lt;="&amp;EOMONTH(H$1,0),
FINANCIACION[PRESTAMO],$A40)</f>
        <v>0</v>
      </c>
      <c r="I40" s="87">
        <f>-SUMIFS(FINANCIACION[$ CAPITAL],
FINANCIACION[Fecha],"&lt;="&amp;EOMONTH(I$1,0),
FINANCIACION[PRESTAMO],$A40)</f>
        <v>0</v>
      </c>
      <c r="J40" s="87">
        <f>-SUMIFS(FINANCIACION[$ CAPITAL],
FINANCIACION[Fecha],"&lt;="&amp;EOMONTH(J$1,0),
FINANCIACION[PRESTAMO],$A40)</f>
        <v>0</v>
      </c>
      <c r="K40" s="87">
        <f>-SUMIFS(FINANCIACION[$ CAPITAL],
FINANCIACION[Fecha],"&lt;="&amp;EOMONTH(K$1,0),
FINANCIACION[PRESTAMO],$A40)</f>
        <v>0</v>
      </c>
      <c r="L40" s="87">
        <f>-SUMIFS(FINANCIACION[$ CAPITAL],
FINANCIACION[Fecha],"&lt;="&amp;EOMONTH(L$1,0),
FINANCIACION[PRESTAMO],$A40)</f>
        <v>0</v>
      </c>
      <c r="M40" s="87">
        <f>-SUMIFS(FINANCIACION[$ CAPITAL],
FINANCIACION[Fecha],"&lt;="&amp;EOMONTH(M$1,0),
FINANCIACION[PRESTAMO],$A40)</f>
        <v>0</v>
      </c>
      <c r="N40" s="87">
        <f>-SUMIFS(FINANCIACION[$ CAPITAL],
FINANCIACION[Fecha],"&lt;="&amp;EOMONTH(N$1,0),
FINANCIACION[PRESTAMO],$A40)</f>
        <v>0</v>
      </c>
      <c r="O40" s="87">
        <f>-SUMIFS(FINANCIACION[$ CAPITAL],
FINANCIACION[Fecha],"&lt;="&amp;EOMONTH(O$1,0),
FINANCIACION[PRESTAMO],$A40)</f>
        <v>0</v>
      </c>
      <c r="P40" s="87">
        <f>-SUMIFS(FINANCIACION[$ CAPITAL],
FINANCIACION[Fecha],"&lt;="&amp;EOMONTH(P$1,0),
FINANCIACION[PRESTAMO],$A40)</f>
        <v>0</v>
      </c>
      <c r="Q40" s="87">
        <f>-SUMIFS(FINANCIACION[$ CAPITAL],
FINANCIACION[Fecha],"&lt;="&amp;EOMONTH(Q$1,0),
FINANCIACION[PRESTAMO],$A40)</f>
        <v>0</v>
      </c>
      <c r="R40" s="87">
        <f>-SUMIFS(FINANCIACION[$ CAPITAL],
FINANCIACION[Fecha],"&lt;="&amp;EOMONTH(R$1,0),
FINANCIACION[PRESTAMO],$A40)</f>
        <v>0</v>
      </c>
      <c r="S40" s="87">
        <f>-SUMIFS(FINANCIACION[$ CAPITAL],
FINANCIACION[Fecha],"&lt;="&amp;EOMONTH(S$1,0),
FINANCIACION[PRESTAMO],$A40)</f>
        <v>0</v>
      </c>
      <c r="T40" s="87">
        <f>-SUMIFS(FINANCIACION[$ CAPITAL],
FINANCIACION[Fecha],"&lt;="&amp;EOMONTH(T$1,0),
FINANCIACION[PRESTAMO],$A40)</f>
        <v>0</v>
      </c>
      <c r="U40" s="87">
        <f>-SUMIFS(FINANCIACION[$ CAPITAL],
FINANCIACION[Fecha],"&lt;="&amp;EOMONTH(U$1,0),
FINANCIACION[PRESTAMO],$A40)</f>
        <v>0</v>
      </c>
      <c r="V40" s="87">
        <f>-SUMIFS(FINANCIACION[$ CAPITAL],
FINANCIACION[Fecha],"&lt;="&amp;EOMONTH(V$1,0),
FINANCIACION[PRESTAMO],$A40)</f>
        <v>0</v>
      </c>
      <c r="W40" s="87">
        <f>-SUMIFS(FINANCIACION[$ CAPITAL],
FINANCIACION[Fecha],"&lt;="&amp;EOMONTH(W$1,0),
FINANCIACION[PRESTAMO],$A40)</f>
        <v>0</v>
      </c>
      <c r="X40" s="87">
        <f>-SUMIFS(FINANCIACION[$ CAPITAL],
FINANCIACION[Fecha],"&lt;="&amp;EOMONTH(X$1,0),
FINANCIACION[PRESTAMO],$A40)</f>
        <v>80206729.879999995</v>
      </c>
      <c r="Y40" s="87">
        <f>-SUMIFS(FINANCIACION[$ CAPITAL],
FINANCIACION[Fecha],"&lt;="&amp;EOMONTH(Y$1,0),
FINANCIACION[PRESTAMO],$A40)</f>
        <v>79861078.480000004</v>
      </c>
    </row>
    <row r="41" spans="1:25" ht="21.6" customHeight="1" x14ac:dyDescent="0.25">
      <c r="A41" s="74" t="s">
        <v>764</v>
      </c>
      <c r="B41" s="87">
        <f>-SUMIFS(FINANCIACION[$ CAPITAL],
FINANCIACION[Fecha],"&lt;="&amp;EOMONTH(B$1,0),
FINANCIACION[PRESTAMO],$A41)</f>
        <v>0</v>
      </c>
      <c r="C41" s="87">
        <f>-SUMIFS(FINANCIACION[$ CAPITAL],
FINANCIACION[Fecha],"&lt;="&amp;EOMONTH(C$1,0),
FINANCIACION[PRESTAMO],$A41)</f>
        <v>0</v>
      </c>
      <c r="D41" s="87">
        <f>-SUMIFS(FINANCIACION[$ CAPITAL],
FINANCIACION[Fecha],"&lt;="&amp;EOMONTH(D$1,0),
FINANCIACION[PRESTAMO],$A41)</f>
        <v>0</v>
      </c>
      <c r="E41" s="87">
        <f>-SUMIFS(FINANCIACION[$ CAPITAL],
FINANCIACION[Fecha],"&lt;="&amp;EOMONTH(E$1,0),
FINANCIACION[PRESTAMO],$A41)</f>
        <v>0</v>
      </c>
      <c r="F41" s="87">
        <f>-SUMIFS(FINANCIACION[$ CAPITAL],
FINANCIACION[Fecha],"&lt;="&amp;EOMONTH(F$1,0),
FINANCIACION[PRESTAMO],$A41)</f>
        <v>0</v>
      </c>
      <c r="G41" s="87">
        <f>-SUMIFS(FINANCIACION[$ CAPITAL],
FINANCIACION[Fecha],"&lt;="&amp;EOMONTH(G$1,0),
FINANCIACION[PRESTAMO],$A41)</f>
        <v>0</v>
      </c>
      <c r="H41" s="87">
        <f>-SUMIFS(FINANCIACION[$ CAPITAL],
FINANCIACION[Fecha],"&lt;="&amp;EOMONTH(H$1,0),
FINANCIACION[PRESTAMO],$A41)</f>
        <v>0</v>
      </c>
      <c r="I41" s="87">
        <f>-SUMIFS(FINANCIACION[$ CAPITAL],
FINANCIACION[Fecha],"&lt;="&amp;EOMONTH(I$1,0),
FINANCIACION[PRESTAMO],$A41)</f>
        <v>0</v>
      </c>
      <c r="J41" s="87">
        <f>-SUMIFS(FINANCIACION[$ CAPITAL],
FINANCIACION[Fecha],"&lt;="&amp;EOMONTH(J$1,0),
FINANCIACION[PRESTAMO],$A41)</f>
        <v>0</v>
      </c>
      <c r="K41" s="87">
        <f>-SUMIFS(FINANCIACION[$ CAPITAL],
FINANCIACION[Fecha],"&lt;="&amp;EOMONTH(K$1,0),
FINANCIACION[PRESTAMO],$A41)</f>
        <v>0</v>
      </c>
      <c r="L41" s="87">
        <f>-SUMIFS(FINANCIACION[$ CAPITAL],
FINANCIACION[Fecha],"&lt;="&amp;EOMONTH(L$1,0),
FINANCIACION[PRESTAMO],$A41)</f>
        <v>0</v>
      </c>
      <c r="M41" s="87">
        <f>-SUMIFS(FINANCIACION[$ CAPITAL],
FINANCIACION[Fecha],"&lt;="&amp;EOMONTH(M$1,0),
FINANCIACION[PRESTAMO],$A41)</f>
        <v>0</v>
      </c>
      <c r="N41" s="87">
        <f>-SUMIFS(FINANCIACION[$ CAPITAL],
FINANCIACION[Fecha],"&lt;="&amp;EOMONTH(N$1,0),
FINANCIACION[PRESTAMO],$A41)</f>
        <v>0</v>
      </c>
      <c r="O41" s="87">
        <f>-SUMIFS(FINANCIACION[$ CAPITAL],
FINANCIACION[Fecha],"&lt;="&amp;EOMONTH(O$1,0),
FINANCIACION[PRESTAMO],$A41)</f>
        <v>0</v>
      </c>
      <c r="P41" s="87">
        <f>-SUMIFS(FINANCIACION[$ CAPITAL],
FINANCIACION[Fecha],"&lt;="&amp;EOMONTH(P$1,0),
FINANCIACION[PRESTAMO],$A41)</f>
        <v>0</v>
      </c>
      <c r="Q41" s="87">
        <f>-SUMIFS(FINANCIACION[$ CAPITAL],
FINANCIACION[Fecha],"&lt;="&amp;EOMONTH(Q$1,0),
FINANCIACION[PRESTAMO],$A41)</f>
        <v>0</v>
      </c>
      <c r="R41" s="87">
        <f>-SUMIFS(FINANCIACION[$ CAPITAL],
FINANCIACION[Fecha],"&lt;="&amp;EOMONTH(R$1,0),
FINANCIACION[PRESTAMO],$A41)</f>
        <v>39606000</v>
      </c>
      <c r="S41" s="87">
        <f>-SUMIFS(FINANCIACION[$ CAPITAL],
FINANCIACION[Fecha],"&lt;="&amp;EOMONTH(S$1,0),
FINANCIACION[PRESTAMO],$A41)</f>
        <v>39606000</v>
      </c>
      <c r="T41" s="87">
        <f>-SUMIFS(FINANCIACION[$ CAPITAL],
FINANCIACION[Fecha],"&lt;="&amp;EOMONTH(T$1,0),
FINANCIACION[PRESTAMO],$A41)</f>
        <v>20540000</v>
      </c>
      <c r="U41" s="87">
        <f>-SUMIFS(FINANCIACION[$ CAPITAL],
FINANCIACION[Fecha],"&lt;="&amp;EOMONTH(U$1,0),
FINANCIACION[PRESTAMO],$A41)</f>
        <v>0</v>
      </c>
      <c r="V41" s="87">
        <f>-SUMIFS(FINANCIACION[$ CAPITAL],
FINANCIACION[Fecha],"&lt;="&amp;EOMONTH(V$1,0),
FINANCIACION[PRESTAMO],$A41)</f>
        <v>0</v>
      </c>
      <c r="W41" s="87">
        <f>-SUMIFS(FINANCIACION[$ CAPITAL],
FINANCIACION[Fecha],"&lt;="&amp;EOMONTH(W$1,0),
FINANCIACION[PRESTAMO],$A41)</f>
        <v>0</v>
      </c>
      <c r="X41" s="87">
        <f>-SUMIFS(FINANCIACION[$ CAPITAL],
FINANCIACION[Fecha],"&lt;="&amp;EOMONTH(X$1,0),
FINANCIACION[PRESTAMO],$A41)</f>
        <v>0</v>
      </c>
      <c r="Y41" s="87">
        <f>-SUMIFS(FINANCIACION[$ CAPITAL],
FINANCIACION[Fecha],"&lt;="&amp;EOMONTH(Y$1,0),
FINANCIACION[PRESTAMO],$A41)</f>
        <v>0</v>
      </c>
    </row>
    <row r="42" spans="1:25" ht="21.6" customHeight="1" x14ac:dyDescent="0.25">
      <c r="A42" s="74" t="s">
        <v>460</v>
      </c>
      <c r="B42" s="87">
        <f>-SUMIFS(FINANCIACION[$ CAPITAL],
FINANCIACION[Fecha],"&lt;="&amp;EOMONTH(B$1,0),
FINANCIACION[PRESTAMO],$A42)</f>
        <v>45000000</v>
      </c>
      <c r="C42" s="87">
        <f>-SUMIFS(FINANCIACION[$ CAPITAL],
FINANCIACION[Fecha],"&lt;="&amp;EOMONTH(C$1,0),
FINANCIACION[PRESTAMO],$A42)</f>
        <v>45000000</v>
      </c>
      <c r="D42" s="87">
        <f>-SUMIFS(FINANCIACION[$ CAPITAL],
FINANCIACION[Fecha],"&lt;="&amp;EOMONTH(D$1,0),
FINANCIACION[PRESTAMO],$A42)</f>
        <v>45000000</v>
      </c>
      <c r="E42" s="87">
        <f>-SUMIFS(FINANCIACION[$ CAPITAL],
FINANCIACION[Fecha],"&lt;="&amp;EOMONTH(E$1,0),
FINANCIACION[PRESTAMO],$A42)</f>
        <v>45000000</v>
      </c>
      <c r="F42" s="87">
        <f>-SUMIFS(FINANCIACION[$ CAPITAL],
FINANCIACION[Fecha],"&lt;="&amp;EOMONTH(F$1,0),
FINANCIACION[PRESTAMO],$A42)</f>
        <v>45000000</v>
      </c>
      <c r="G42" s="87">
        <f>-SUMIFS(FINANCIACION[$ CAPITAL],
FINANCIACION[Fecha],"&lt;="&amp;EOMONTH(G$1,0),
FINANCIACION[PRESTAMO],$A42)</f>
        <v>45000000</v>
      </c>
      <c r="H42" s="87">
        <f>-SUMIFS(FINANCIACION[$ CAPITAL],
FINANCIACION[Fecha],"&lt;="&amp;EOMONTH(H$1,0),
FINANCIACION[PRESTAMO],$A42)</f>
        <v>45000000</v>
      </c>
      <c r="I42" s="87">
        <f>-SUMIFS(FINANCIACION[$ CAPITAL],
FINANCIACION[Fecha],"&lt;="&amp;EOMONTH(I$1,0),
FINANCIACION[PRESTAMO],$A42)</f>
        <v>45000000</v>
      </c>
      <c r="J42" s="87">
        <f>-SUMIFS(FINANCIACION[$ CAPITAL],
FINANCIACION[Fecha],"&lt;="&amp;EOMONTH(J$1,0),
FINANCIACION[PRESTAMO],$A42)</f>
        <v>45000000</v>
      </c>
      <c r="K42" s="87">
        <f>-SUMIFS(FINANCIACION[$ CAPITAL],
FINANCIACION[Fecha],"&lt;="&amp;EOMONTH(K$1,0),
FINANCIACION[PRESTAMO],$A42)</f>
        <v>45000000</v>
      </c>
      <c r="L42" s="87">
        <f>-SUMIFS(FINANCIACION[$ CAPITAL],
FINANCIACION[Fecha],"&lt;="&amp;EOMONTH(L$1,0),
FINANCIACION[PRESTAMO],$A42)</f>
        <v>45000000</v>
      </c>
      <c r="M42" s="87">
        <f>-SUMIFS(FINANCIACION[$ CAPITAL],
FINANCIACION[Fecha],"&lt;="&amp;EOMONTH(M$1,0),
FINANCIACION[PRESTAMO],$A42)</f>
        <v>13081503.789999999</v>
      </c>
      <c r="N42" s="87">
        <f>-SUMIFS(FINANCIACION[$ CAPITAL],
FINANCIACION[Fecha],"&lt;="&amp;EOMONTH(N$1,0),
FINANCIACION[PRESTAMO],$A42)</f>
        <v>12091408.789999999</v>
      </c>
      <c r="O42" s="87">
        <f>-SUMIFS(FINANCIACION[$ CAPITAL],
FINANCIACION[Fecha],"&lt;="&amp;EOMONTH(O$1,0),
FINANCIACION[PRESTAMO],$A42)</f>
        <v>11101313.789999999</v>
      </c>
      <c r="P42" s="87">
        <f>-SUMIFS(FINANCIACION[$ CAPITAL],
FINANCIACION[Fecha],"&lt;="&amp;EOMONTH(P$1,0),
FINANCIACION[PRESTAMO],$A42)</f>
        <v>10111218.789999999</v>
      </c>
      <c r="Q42" s="87">
        <f>-SUMIFS(FINANCIACION[$ CAPITAL],
FINANCIACION[Fecha],"&lt;="&amp;EOMONTH(Q$1,0),
FINANCIACION[PRESTAMO],$A42)</f>
        <v>9121123.7899999991</v>
      </c>
      <c r="R42" s="87">
        <f>-SUMIFS(FINANCIACION[$ CAPITAL],
FINANCIACION[Fecha],"&lt;="&amp;EOMONTH(R$1,0),
FINANCIACION[PRESTAMO],$A42)</f>
        <v>35000000</v>
      </c>
      <c r="S42" s="87">
        <f>-SUMIFS(FINANCIACION[$ CAPITAL],
FINANCIACION[Fecha],"&lt;="&amp;EOMONTH(S$1,0),
FINANCIACION[PRESTAMO],$A42)</f>
        <v>35000000</v>
      </c>
      <c r="T42" s="87">
        <f>-SUMIFS(FINANCIACION[$ CAPITAL],
FINANCIACION[Fecha],"&lt;="&amp;EOMONTH(T$1,0),
FINANCIACION[PRESTAMO],$A42)</f>
        <v>35000000</v>
      </c>
      <c r="U42" s="87">
        <f>-SUMIFS(FINANCIACION[$ CAPITAL],
FINANCIACION[Fecha],"&lt;="&amp;EOMONTH(U$1,0),
FINANCIACION[PRESTAMO],$A42)</f>
        <v>35000000</v>
      </c>
      <c r="V42" s="87">
        <f>-SUMIFS(FINANCIACION[$ CAPITAL],
FINANCIACION[Fecha],"&lt;="&amp;EOMONTH(V$1,0),
FINANCIACION[PRESTAMO],$A42)</f>
        <v>35000000</v>
      </c>
      <c r="W42" s="87">
        <f>-SUMIFS(FINANCIACION[$ CAPITAL],
FINANCIACION[Fecha],"&lt;="&amp;EOMONTH(W$1,0),
FINANCIACION[PRESTAMO],$A42)</f>
        <v>35000000</v>
      </c>
      <c r="X42" s="87">
        <f>-SUMIFS(FINANCIACION[$ CAPITAL],
FINANCIACION[Fecha],"&lt;="&amp;EOMONTH(X$1,0),
FINANCIACION[PRESTAMO],$A42)</f>
        <v>35000000</v>
      </c>
      <c r="Y42" s="87">
        <f>-SUMIFS(FINANCIACION[$ CAPITAL],
FINANCIACION[Fecha],"&lt;="&amp;EOMONTH(Y$1,0),
FINANCIACION[PRESTAMO],$A42)</f>
        <v>33055556</v>
      </c>
    </row>
    <row r="43" spans="1:25" ht="21.6" customHeight="1" x14ac:dyDescent="0.25">
      <c r="A43" s="74" t="s">
        <v>461</v>
      </c>
      <c r="B43" s="87">
        <f>-SUMIFS(FINANCIACION[$ CAPITAL],
FINANCIACION[Fecha],"&lt;="&amp;EOMONTH(B$1,0),
FINANCIACION[PRESTAMO],$A43)</f>
        <v>0</v>
      </c>
      <c r="C43" s="87">
        <f>-SUMIFS(FINANCIACION[$ CAPITAL],
FINANCIACION[Fecha],"&lt;="&amp;EOMONTH(C$1,0),
FINANCIACION[PRESTAMO],$A43)</f>
        <v>0</v>
      </c>
      <c r="D43" s="87">
        <f>-SUMIFS(FINANCIACION[$ CAPITAL],
FINANCIACION[Fecha],"&lt;="&amp;EOMONTH(D$1,0),
FINANCIACION[PRESTAMO],$A43)</f>
        <v>0</v>
      </c>
      <c r="E43" s="87">
        <f>-SUMIFS(FINANCIACION[$ CAPITAL],
FINANCIACION[Fecha],"&lt;="&amp;EOMONTH(E$1,0),
FINANCIACION[PRESTAMO],$A43)</f>
        <v>0</v>
      </c>
      <c r="F43" s="87">
        <f>-SUMIFS(FINANCIACION[$ CAPITAL],
FINANCIACION[Fecha],"&lt;="&amp;EOMONTH(F$1,0),
FINANCIACION[PRESTAMO],$A43)</f>
        <v>0</v>
      </c>
      <c r="G43" s="87">
        <f>-SUMIFS(FINANCIACION[$ CAPITAL],
FINANCIACION[Fecha],"&lt;="&amp;EOMONTH(G$1,0),
FINANCIACION[PRESTAMO],$A43)</f>
        <v>0</v>
      </c>
      <c r="H43" s="87">
        <f>-SUMIFS(FINANCIACION[$ CAPITAL],
FINANCIACION[Fecha],"&lt;="&amp;EOMONTH(H$1,0),
FINANCIACION[PRESTAMO],$A43)</f>
        <v>0</v>
      </c>
      <c r="I43" s="87">
        <f>-SUMIFS(FINANCIACION[$ CAPITAL],
FINANCIACION[Fecha],"&lt;="&amp;EOMONTH(I$1,0),
FINANCIACION[PRESTAMO],$A43)</f>
        <v>0</v>
      </c>
      <c r="J43" s="87">
        <f>-SUMIFS(FINANCIACION[$ CAPITAL],
FINANCIACION[Fecha],"&lt;="&amp;EOMONTH(J$1,0),
FINANCIACION[PRESTAMO],$A43)</f>
        <v>0</v>
      </c>
      <c r="K43" s="87">
        <f>-SUMIFS(FINANCIACION[$ CAPITAL],
FINANCIACION[Fecha],"&lt;="&amp;EOMONTH(K$1,0),
FINANCIACION[PRESTAMO],$A43)</f>
        <v>0</v>
      </c>
      <c r="L43" s="87">
        <f>-SUMIFS(FINANCIACION[$ CAPITAL],
FINANCIACION[Fecha],"&lt;="&amp;EOMONTH(L$1,0),
FINANCIACION[PRESTAMO],$A43)</f>
        <v>0</v>
      </c>
      <c r="M43" s="87">
        <f>-SUMIFS(FINANCIACION[$ CAPITAL],
FINANCIACION[Fecha],"&lt;="&amp;EOMONTH(M$1,0),
FINANCIACION[PRESTAMO],$A43)</f>
        <v>0</v>
      </c>
      <c r="N43" s="87">
        <f>-SUMIFS(FINANCIACION[$ CAPITAL],
FINANCIACION[Fecha],"&lt;="&amp;EOMONTH(N$1,0),
FINANCIACION[PRESTAMO],$A43)</f>
        <v>0</v>
      </c>
      <c r="O43" s="87">
        <f>-SUMIFS(FINANCIACION[$ CAPITAL],
FINANCIACION[Fecha],"&lt;="&amp;EOMONTH(O$1,0),
FINANCIACION[PRESTAMO],$A43)</f>
        <v>0</v>
      </c>
      <c r="P43" s="87">
        <f>-SUMIFS(FINANCIACION[$ CAPITAL],
FINANCIACION[Fecha],"&lt;="&amp;EOMONTH(P$1,0),
FINANCIACION[PRESTAMO],$A43)</f>
        <v>0</v>
      </c>
      <c r="Q43" s="87">
        <f>-SUMIFS(FINANCIACION[$ CAPITAL],
FINANCIACION[Fecha],"&lt;="&amp;EOMONTH(Q$1,0),
FINANCIACION[PRESTAMO],$A43)</f>
        <v>0</v>
      </c>
      <c r="R43" s="87">
        <f>-SUMIFS(FINANCIACION[$ CAPITAL],
FINANCIACION[Fecha],"&lt;="&amp;EOMONTH(R$1,0),
FINANCIACION[PRESTAMO],$A43)</f>
        <v>0</v>
      </c>
      <c r="S43" s="87">
        <f>-SUMIFS(FINANCIACION[$ CAPITAL],
FINANCIACION[Fecha],"&lt;="&amp;EOMONTH(S$1,0),
FINANCIACION[PRESTAMO],$A43)</f>
        <v>1409465</v>
      </c>
      <c r="T43" s="87">
        <f>-SUMIFS(FINANCIACION[$ CAPITAL],
FINANCIACION[Fecha],"&lt;="&amp;EOMONTH(T$1,0),
FINANCIACION[PRESTAMO],$A43)</f>
        <v>1273328</v>
      </c>
      <c r="U43" s="87">
        <f>-SUMIFS(FINANCIACION[$ CAPITAL],
FINANCIACION[Fecha],"&lt;="&amp;EOMONTH(U$1,0),
FINANCIACION[PRESTAMO],$A43)</f>
        <v>-63580</v>
      </c>
      <c r="V43" s="87">
        <f>-SUMIFS(FINANCIACION[$ CAPITAL],
FINANCIACION[Fecha],"&lt;="&amp;EOMONTH(V$1,0),
FINANCIACION[PRESTAMO],$A43)</f>
        <v>629103</v>
      </c>
      <c r="W43" s="87">
        <f>-SUMIFS(FINANCIACION[$ CAPITAL],
FINANCIACION[Fecha],"&lt;="&amp;EOMONTH(W$1,0),
FINANCIACION[PRESTAMO],$A43)</f>
        <v>0</v>
      </c>
      <c r="X43" s="87">
        <f>-SUMIFS(FINANCIACION[$ CAPITAL],
FINANCIACION[Fecha],"&lt;="&amp;EOMONTH(X$1,0),
FINANCIACION[PRESTAMO],$A43)</f>
        <v>0</v>
      </c>
      <c r="Y43" s="87">
        <f>-SUMIFS(FINANCIACION[$ CAPITAL],
FINANCIACION[Fecha],"&lt;="&amp;EOMONTH(Y$1,0),
FINANCIACION[PRESTAMO],$A43)</f>
        <v>602400</v>
      </c>
    </row>
    <row r="44" spans="1:25" ht="21.6" customHeight="1" x14ac:dyDescent="0.25">
      <c r="A44" s="74" t="s">
        <v>462</v>
      </c>
      <c r="B44" s="87">
        <f>-SUMIFS(FINANCIACION[$ CAPITAL],
FINANCIACION[Fecha],"&lt;="&amp;EOMONTH(B$1,0),
FINANCIACION[PRESTAMO],$A44)</f>
        <v>0</v>
      </c>
      <c r="C44" s="87">
        <f>-SUMIFS(FINANCIACION[$ CAPITAL],
FINANCIACION[Fecha],"&lt;="&amp;EOMONTH(C$1,0),
FINANCIACION[PRESTAMO],$A44)</f>
        <v>0</v>
      </c>
      <c r="D44" s="87">
        <f>-SUMIFS(FINANCIACION[$ CAPITAL],
FINANCIACION[Fecha],"&lt;="&amp;EOMONTH(D$1,0),
FINANCIACION[PRESTAMO],$A44)</f>
        <v>0</v>
      </c>
      <c r="E44" s="87">
        <f>-SUMIFS(FINANCIACION[$ CAPITAL],
FINANCIACION[Fecha],"&lt;="&amp;EOMONTH(E$1,0),
FINANCIACION[PRESTAMO],$A44)</f>
        <v>0</v>
      </c>
      <c r="F44" s="87">
        <f>-SUMIFS(FINANCIACION[$ CAPITAL],
FINANCIACION[Fecha],"&lt;="&amp;EOMONTH(F$1,0),
FINANCIACION[PRESTAMO],$A44)</f>
        <v>0</v>
      </c>
      <c r="G44" s="87">
        <f>-SUMIFS(FINANCIACION[$ CAPITAL],
FINANCIACION[Fecha],"&lt;="&amp;EOMONTH(G$1,0),
FINANCIACION[PRESTAMO],$A44)</f>
        <v>0</v>
      </c>
      <c r="H44" s="87">
        <f>-SUMIFS(FINANCIACION[$ CAPITAL],
FINANCIACION[Fecha],"&lt;="&amp;EOMONTH(H$1,0),
FINANCIACION[PRESTAMO],$A44)</f>
        <v>0</v>
      </c>
      <c r="I44" s="87">
        <f>-SUMIFS(FINANCIACION[$ CAPITAL],
FINANCIACION[Fecha],"&lt;="&amp;EOMONTH(I$1,0),
FINANCIACION[PRESTAMO],$A44)</f>
        <v>0</v>
      </c>
      <c r="J44" s="87">
        <f>-SUMIFS(FINANCIACION[$ CAPITAL],
FINANCIACION[Fecha],"&lt;="&amp;EOMONTH(J$1,0),
FINANCIACION[PRESTAMO],$A44)</f>
        <v>0</v>
      </c>
      <c r="K44" s="87">
        <f>-SUMIFS(FINANCIACION[$ CAPITAL],
FINANCIACION[Fecha],"&lt;="&amp;EOMONTH(K$1,0),
FINANCIACION[PRESTAMO],$A44)</f>
        <v>0</v>
      </c>
      <c r="L44" s="87">
        <f>-SUMIFS(FINANCIACION[$ CAPITAL],
FINANCIACION[Fecha],"&lt;="&amp;EOMONTH(L$1,0),
FINANCIACION[PRESTAMO],$A44)</f>
        <v>0</v>
      </c>
      <c r="M44" s="87">
        <f>-SUMIFS(FINANCIACION[$ CAPITAL],
FINANCIACION[Fecha],"&lt;="&amp;EOMONTH(M$1,0),
FINANCIACION[PRESTAMO],$A44)</f>
        <v>0</v>
      </c>
      <c r="N44" s="87">
        <f>-SUMIFS(FINANCIACION[$ CAPITAL],
FINANCIACION[Fecha],"&lt;="&amp;EOMONTH(N$1,0),
FINANCIACION[PRESTAMO],$A44)</f>
        <v>7016439</v>
      </c>
      <c r="O44" s="87">
        <f>-SUMIFS(FINANCIACION[$ CAPITAL],
FINANCIACION[Fecha],"&lt;="&amp;EOMONTH(O$1,0),
FINANCIACION[PRESTAMO],$A44)</f>
        <v>27453600</v>
      </c>
      <c r="P44" s="87">
        <f>-SUMIFS(FINANCIACION[$ CAPITAL],
FINANCIACION[Fecha],"&lt;="&amp;EOMONTH(P$1,0),
FINANCIACION[PRESTAMO],$A44)</f>
        <v>26384700</v>
      </c>
      <c r="Q44" s="87">
        <f>-SUMIFS(FINANCIACION[$ CAPITAL],
FINANCIACION[Fecha],"&lt;="&amp;EOMONTH(Q$1,0),
FINANCIACION[PRESTAMO],$A44)</f>
        <v>34302600</v>
      </c>
      <c r="R44" s="87">
        <f>-SUMIFS(FINANCIACION[$ CAPITAL],
FINANCIACION[Fecha],"&lt;="&amp;EOMONTH(R$1,0),
FINANCIACION[PRESTAMO],$A44)</f>
        <v>33366600</v>
      </c>
      <c r="S44" s="87">
        <f>-SUMIFS(FINANCIACION[$ CAPITAL],
FINANCIACION[Fecha],"&lt;="&amp;EOMONTH(S$1,0),
FINANCIACION[PRESTAMO],$A44)</f>
        <v>23753800</v>
      </c>
      <c r="T44" s="87">
        <f>-SUMIFS(FINANCIACION[$ CAPITAL],
FINANCIACION[Fecha],"&lt;="&amp;EOMONTH(T$1,0),
FINANCIACION[PRESTAMO],$A44)</f>
        <v>27693900</v>
      </c>
      <c r="U44" s="87">
        <f>-SUMIFS(FINANCIACION[$ CAPITAL],
FINANCIACION[Fecha],"&lt;="&amp;EOMONTH(U$1,0),
FINANCIACION[PRESTAMO],$A44)</f>
        <v>31683600</v>
      </c>
      <c r="V44" s="87">
        <f>-SUMIFS(FINANCIACION[$ CAPITAL],
FINANCIACION[Fecha],"&lt;="&amp;EOMONTH(V$1,0),
FINANCIACION[PRESTAMO],$A44)</f>
        <v>33806850</v>
      </c>
      <c r="W44" s="87">
        <f>-SUMIFS(FINANCIACION[$ CAPITAL],
FINANCIACION[Fecha],"&lt;="&amp;EOMONTH(W$1,0),
FINANCIACION[PRESTAMO],$A44)</f>
        <v>1421</v>
      </c>
      <c r="X44" s="87">
        <f>-SUMIFS(FINANCIACION[$ CAPITAL],
FINANCIACION[Fecha],"&lt;="&amp;EOMONTH(X$1,0),
FINANCIACION[PRESTAMO],$A44)</f>
        <v>28691985</v>
      </c>
      <c r="Y44" s="87">
        <f>-SUMIFS(FINANCIACION[$ CAPITAL],
FINANCIACION[Fecha],"&lt;="&amp;EOMONTH(Y$1,0),
FINANCIACION[PRESTAMO],$A44)</f>
        <v>20561500</v>
      </c>
    </row>
    <row r="45" spans="1:25" ht="21.6" customHeight="1" x14ac:dyDescent="0.25">
      <c r="A45" s="74" t="s">
        <v>463</v>
      </c>
      <c r="B45" s="87">
        <f>-SUMIFS(FINANCIACION[$ CAPITAL],
FINANCIACION[Fecha],"&lt;="&amp;EOMONTH(B$1,0),
FINANCIACION[PRESTAMO],$A45)</f>
        <v>0</v>
      </c>
      <c r="C45" s="87">
        <f>-SUMIFS(FINANCIACION[$ CAPITAL],
FINANCIACION[Fecha],"&lt;="&amp;EOMONTH(C$1,0),
FINANCIACION[PRESTAMO],$A45)</f>
        <v>0</v>
      </c>
      <c r="D45" s="87">
        <f>-SUMIFS(FINANCIACION[$ CAPITAL],
FINANCIACION[Fecha],"&lt;="&amp;EOMONTH(D$1,0),
FINANCIACION[PRESTAMO],$A45)</f>
        <v>0</v>
      </c>
      <c r="E45" s="87">
        <f>-SUMIFS(FINANCIACION[$ CAPITAL],
FINANCIACION[Fecha],"&lt;="&amp;EOMONTH(E$1,0),
FINANCIACION[PRESTAMO],$A45)</f>
        <v>0</v>
      </c>
      <c r="F45" s="87">
        <f>-SUMIFS(FINANCIACION[$ CAPITAL],
FINANCIACION[Fecha],"&lt;="&amp;EOMONTH(F$1,0),
FINANCIACION[PRESTAMO],$A45)</f>
        <v>0</v>
      </c>
      <c r="G45" s="87">
        <f>-SUMIFS(FINANCIACION[$ CAPITAL],
FINANCIACION[Fecha],"&lt;="&amp;EOMONTH(G$1,0),
FINANCIACION[PRESTAMO],$A45)</f>
        <v>0</v>
      </c>
      <c r="H45" s="87">
        <f>-SUMIFS(FINANCIACION[$ CAPITAL],
FINANCIACION[Fecha],"&lt;="&amp;EOMONTH(H$1,0),
FINANCIACION[PRESTAMO],$A45)</f>
        <v>0</v>
      </c>
      <c r="I45" s="87">
        <f>-SUMIFS(FINANCIACION[$ CAPITAL],
FINANCIACION[Fecha],"&lt;="&amp;EOMONTH(I$1,0),
FINANCIACION[PRESTAMO],$A45)</f>
        <v>0</v>
      </c>
      <c r="J45" s="87">
        <f>-SUMIFS(FINANCIACION[$ CAPITAL],
FINANCIACION[Fecha],"&lt;="&amp;EOMONTH(J$1,0),
FINANCIACION[PRESTAMO],$A45)</f>
        <v>0</v>
      </c>
      <c r="K45" s="87">
        <f>-SUMIFS(FINANCIACION[$ CAPITAL],
FINANCIACION[Fecha],"&lt;="&amp;EOMONTH(K$1,0),
FINANCIACION[PRESTAMO],$A45)</f>
        <v>0</v>
      </c>
      <c r="L45" s="87">
        <f>-SUMIFS(FINANCIACION[$ CAPITAL],
FINANCIACION[Fecha],"&lt;="&amp;EOMONTH(L$1,0),
FINANCIACION[PRESTAMO],$A45)</f>
        <v>0</v>
      </c>
      <c r="M45" s="87">
        <f>-SUMIFS(FINANCIACION[$ CAPITAL],
FINANCIACION[Fecha],"&lt;="&amp;EOMONTH(M$1,0),
FINANCIACION[PRESTAMO],$A45)</f>
        <v>0</v>
      </c>
      <c r="N45" s="87">
        <f>-SUMIFS(FINANCIACION[$ CAPITAL],
FINANCIACION[Fecha],"&lt;="&amp;EOMONTH(N$1,0),
FINANCIACION[PRESTAMO],$A45)</f>
        <v>0</v>
      </c>
      <c r="O45" s="87">
        <f>-SUMIFS(FINANCIACION[$ CAPITAL],
FINANCIACION[Fecha],"&lt;="&amp;EOMONTH(O$1,0),
FINANCIACION[PRESTAMO],$A45)</f>
        <v>0</v>
      </c>
      <c r="P45" s="87">
        <f>-SUMIFS(FINANCIACION[$ CAPITAL],
FINANCIACION[Fecha],"&lt;="&amp;EOMONTH(P$1,0),
FINANCIACION[PRESTAMO],$A45)</f>
        <v>0</v>
      </c>
      <c r="Q45" s="87">
        <f>-SUMIFS(FINANCIACION[$ CAPITAL],
FINANCIACION[Fecha],"&lt;="&amp;EOMONTH(Q$1,0),
FINANCIACION[PRESTAMO],$A45)</f>
        <v>0</v>
      </c>
      <c r="R45" s="87">
        <f>-SUMIFS(FINANCIACION[$ CAPITAL],
FINANCIACION[Fecha],"&lt;="&amp;EOMONTH(R$1,0),
FINANCIACION[PRESTAMO],$A45)</f>
        <v>0</v>
      </c>
      <c r="S45" s="87">
        <f>-SUMIFS(FINANCIACION[$ CAPITAL],
FINANCIACION[Fecha],"&lt;="&amp;EOMONTH(S$1,0),
FINANCIACION[PRESTAMO],$A45)</f>
        <v>5919563</v>
      </c>
      <c r="T45" s="87">
        <f>-SUMIFS(FINANCIACION[$ CAPITAL],
FINANCIACION[Fecha],"&lt;="&amp;EOMONTH(T$1,0),
FINANCIACION[PRESTAMO],$A45)</f>
        <v>3911800</v>
      </c>
      <c r="U45" s="87">
        <f>-SUMIFS(FINANCIACION[$ CAPITAL],
FINANCIACION[Fecha],"&lt;="&amp;EOMONTH(U$1,0),
FINANCIACION[PRESTAMO],$A45)</f>
        <v>417434</v>
      </c>
      <c r="V45" s="87">
        <f>-SUMIFS(FINANCIACION[$ CAPITAL],
FINANCIACION[Fecha],"&lt;="&amp;EOMONTH(V$1,0),
FINANCIACION[PRESTAMO],$A45)</f>
        <v>4108939</v>
      </c>
      <c r="W45" s="87">
        <f>-SUMIFS(FINANCIACION[$ CAPITAL],
FINANCIACION[Fecha],"&lt;="&amp;EOMONTH(W$1,0),
FINANCIACION[PRESTAMO],$A45)</f>
        <v>967140</v>
      </c>
      <c r="X45" s="87">
        <f>-SUMIFS(FINANCIACION[$ CAPITAL],
FINANCIACION[Fecha],"&lt;="&amp;EOMONTH(X$1,0),
FINANCIACION[PRESTAMO],$A45)</f>
        <v>454357</v>
      </c>
      <c r="Y45" s="87">
        <f>-SUMIFS(FINANCIACION[$ CAPITAL],
FINANCIACION[Fecha],"&lt;="&amp;EOMONTH(Y$1,0),
FINANCIACION[PRESTAMO],$A45)</f>
        <v>357536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EBF3-282C-4FF3-B861-61EB7D8578F9}">
  <sheetPr codeName="Hoja1"/>
  <dimension ref="B1:I12"/>
  <sheetViews>
    <sheetView zoomScaleNormal="100" workbookViewId="0">
      <selection activeCell="A17" sqref="A17:XFD19"/>
    </sheetView>
  </sheetViews>
  <sheetFormatPr baseColWidth="10" defaultRowHeight="15" x14ac:dyDescent="0.25"/>
  <cols>
    <col min="2" max="2" width="26.42578125" customWidth="1"/>
    <col min="3" max="3" width="16" customWidth="1"/>
    <col min="4" max="4" width="16.28515625" customWidth="1"/>
    <col min="5" max="5" width="20.140625" customWidth="1"/>
    <col min="6" max="6" width="20.28515625" customWidth="1"/>
    <col min="7" max="7" width="24.28515625" customWidth="1"/>
    <col min="9" max="9" width="16" style="128" customWidth="1"/>
  </cols>
  <sheetData>
    <row r="1" spans="2:9" x14ac:dyDescent="0.25">
      <c r="I1"/>
    </row>
    <row r="2" spans="2:9" x14ac:dyDescent="0.25">
      <c r="B2" s="128"/>
      <c r="E2" s="128"/>
      <c r="F2" s="128"/>
      <c r="I2"/>
    </row>
    <row r="3" spans="2:9" x14ac:dyDescent="0.25">
      <c r="B3" s="128"/>
      <c r="C3" s="128" t="s">
        <v>975</v>
      </c>
      <c r="D3" s="128" t="s">
        <v>976</v>
      </c>
      <c r="E3" s="128" t="s">
        <v>956</v>
      </c>
      <c r="F3" s="128" t="s">
        <v>957</v>
      </c>
      <c r="G3" s="128" t="s">
        <v>958</v>
      </c>
      <c r="I3"/>
    </row>
    <row r="4" spans="2:9" x14ac:dyDescent="0.25">
      <c r="B4" s="128" t="s">
        <v>723</v>
      </c>
      <c r="C4" s="128">
        <f>+F4-G4</f>
        <v>1419187.6499999985</v>
      </c>
      <c r="D4" s="128">
        <f>+E4-C4</f>
        <v>51812.35000000149</v>
      </c>
      <c r="E4" s="128">
        <v>1471000</v>
      </c>
      <c r="F4" s="128">
        <v>22156579.879999999</v>
      </c>
      <c r="G4" s="128">
        <v>20737392.23</v>
      </c>
      <c r="I4"/>
    </row>
    <row r="5" spans="2:9" x14ac:dyDescent="0.25">
      <c r="B5" s="128" t="s">
        <v>722</v>
      </c>
      <c r="C5" s="128">
        <f t="shared" ref="C5:C11" si="0">+F5-G5</f>
        <v>1173610.8600000031</v>
      </c>
      <c r="D5" s="128">
        <f t="shared" ref="D5:D11" si="1">+E5-C5</f>
        <v>46389.139999996871</v>
      </c>
      <c r="E5" s="128">
        <v>1220000</v>
      </c>
      <c r="F5" s="128">
        <v>19416846.440000001</v>
      </c>
      <c r="G5" s="128">
        <v>18243235.579999998</v>
      </c>
      <c r="I5"/>
    </row>
    <row r="6" spans="2:9" x14ac:dyDescent="0.25">
      <c r="B6" s="128" t="s">
        <v>724</v>
      </c>
      <c r="C6" s="128">
        <f t="shared" si="0"/>
        <v>2379867.6799999997</v>
      </c>
      <c r="D6" s="128">
        <f t="shared" si="1"/>
        <v>99132.320000000298</v>
      </c>
      <c r="E6" s="128">
        <v>2479000</v>
      </c>
      <c r="F6" s="128">
        <v>41454849.039999999</v>
      </c>
      <c r="G6" s="128">
        <v>39074981.359999999</v>
      </c>
      <c r="I6"/>
    </row>
    <row r="7" spans="2:9" x14ac:dyDescent="0.25">
      <c r="B7" s="128" t="s">
        <v>725</v>
      </c>
      <c r="C7" s="128">
        <f t="shared" si="0"/>
        <v>3485285.1499999985</v>
      </c>
      <c r="D7" s="128">
        <f t="shared" si="1"/>
        <v>158714.85000000149</v>
      </c>
      <c r="E7" s="128">
        <v>3644000</v>
      </c>
      <c r="F7" s="128">
        <v>60116789</v>
      </c>
      <c r="G7" s="128">
        <v>56631503.850000001</v>
      </c>
      <c r="I7"/>
    </row>
    <row r="8" spans="2:9" x14ac:dyDescent="0.25">
      <c r="B8" s="128" t="s">
        <v>726</v>
      </c>
      <c r="C8" s="128">
        <f t="shared" si="0"/>
        <v>940063.25999999791</v>
      </c>
      <c r="D8" s="128">
        <f t="shared" si="1"/>
        <v>39936.740000002086</v>
      </c>
      <c r="E8" s="128">
        <v>980000</v>
      </c>
      <c r="F8" s="128">
        <v>17032095.469999999</v>
      </c>
      <c r="G8" s="128">
        <v>16092032.210000001</v>
      </c>
      <c r="I8"/>
    </row>
    <row r="9" spans="2:9" x14ac:dyDescent="0.25">
      <c r="B9" s="128" t="s">
        <v>727</v>
      </c>
      <c r="C9" s="128">
        <f t="shared" si="0"/>
        <v>988960.98000000045</v>
      </c>
      <c r="D9" s="128">
        <f t="shared" si="1"/>
        <v>44039.019999999553</v>
      </c>
      <c r="E9" s="128">
        <v>1033000</v>
      </c>
      <c r="F9" s="128">
        <v>18767330.760000002</v>
      </c>
      <c r="G9" s="128">
        <v>17778369.780000001</v>
      </c>
      <c r="I9"/>
    </row>
    <row r="10" spans="2:9" x14ac:dyDescent="0.25">
      <c r="B10" s="128" t="s">
        <v>980</v>
      </c>
      <c r="C10" s="128">
        <f t="shared" si="0"/>
        <v>345651.39999999106</v>
      </c>
      <c r="D10" s="128">
        <f t="shared" si="1"/>
        <v>172348.60000000894</v>
      </c>
      <c r="E10" s="128">
        <v>518000</v>
      </c>
      <c r="F10" s="128">
        <v>80206729.879999995</v>
      </c>
      <c r="G10" s="128">
        <v>79861078.480000004</v>
      </c>
      <c r="I10"/>
    </row>
    <row r="11" spans="2:9" x14ac:dyDescent="0.25">
      <c r="B11" t="s">
        <v>459</v>
      </c>
      <c r="C11" s="128">
        <f t="shared" si="0"/>
        <v>4796627</v>
      </c>
      <c r="D11" s="128">
        <f t="shared" si="1"/>
        <v>1182312</v>
      </c>
      <c r="E11">
        <v>5978939</v>
      </c>
      <c r="F11" s="128">
        <v>381528693</v>
      </c>
      <c r="G11" s="128">
        <v>376732066</v>
      </c>
      <c r="I11"/>
    </row>
    <row r="12" spans="2:9" x14ac:dyDescent="0.25">
      <c r="E12" s="128"/>
    </row>
  </sheetData>
  <pageMargins left="0.7" right="0.7" top="0.75" bottom="0.75" header="0.3" footer="0.3"/>
  <pageSetup paperSize="9" scale="57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Retenciones</vt:lpstr>
      <vt:lpstr>Fecha de hoy</vt:lpstr>
      <vt:lpstr>Terceros</vt:lpstr>
      <vt:lpstr>F.Proveedores</vt:lpstr>
      <vt:lpstr>F.Gastos</vt:lpstr>
      <vt:lpstr>Reporte</vt:lpstr>
      <vt:lpstr>Financiación</vt:lpstr>
      <vt:lpstr>Financiadores</vt:lpstr>
      <vt:lpstr>Hoja2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administracion</cp:lastModifiedBy>
  <cp:lastPrinted>2022-01-07T00:04:56Z</cp:lastPrinted>
  <dcterms:created xsi:type="dcterms:W3CDTF">2019-09-20T14:37:58Z</dcterms:created>
  <dcterms:modified xsi:type="dcterms:W3CDTF">2022-04-06T22:49:11Z</dcterms:modified>
</cp:coreProperties>
</file>