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i unidad\INFO\PERSONAL\"/>
    </mc:Choice>
  </mc:AlternateContent>
  <xr:revisionPtr revIDLastSave="0" documentId="13_ncr:1_{6D4AB287-0F85-46F4-968D-D2B40B0AD30D}" xr6:coauthVersionLast="47" xr6:coauthVersionMax="47" xr10:uidLastSave="{00000000-0000-0000-0000-000000000000}"/>
  <bookViews>
    <workbookView xWindow="11424" yWindow="0" windowWidth="11712" windowHeight="12336" firstSheet="13" activeTab="16" xr2:uid="{6AB722B6-8B72-482D-BB8C-03BCF126B6C0}"/>
  </bookViews>
  <sheets>
    <sheet name="Octubre" sheetId="1" r:id="rId1"/>
    <sheet name="Noviembre" sheetId="2" r:id="rId2"/>
    <sheet name="Diciembre" sheetId="3" r:id="rId3"/>
    <sheet name="Enero2023" sheetId="4" r:id="rId4"/>
    <sheet name="Febre2023" sheetId="5" r:id="rId5"/>
    <sheet name="marz2023" sheetId="6" r:id="rId6"/>
    <sheet name="Abril23" sheetId="7" r:id="rId7"/>
    <sheet name="Mayo23" sheetId="8" r:id="rId8"/>
    <sheet name="Junio23" sheetId="9" r:id="rId9"/>
    <sheet name="Julio23" sheetId="10" r:id="rId10"/>
    <sheet name="Agos23" sheetId="11" r:id="rId11"/>
    <sheet name="Sep23" sheetId="12" r:id="rId12"/>
    <sheet name="OCT23" sheetId="13" r:id="rId13"/>
    <sheet name="Nov23" sheetId="14" r:id="rId14"/>
    <sheet name="DIC23" sheetId="15" r:id="rId15"/>
    <sheet name="ENE24" sheetId="16" r:id="rId16"/>
    <sheet name="FEB2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7" l="1"/>
  <c r="F14" i="16" l="1"/>
  <c r="F52" i="16" s="1"/>
  <c r="C26" i="16"/>
  <c r="C52" i="16" s="1"/>
  <c r="E55" i="16" l="1"/>
  <c r="C3" i="17" s="1"/>
  <c r="C38" i="17" s="1"/>
  <c r="E41" i="17" s="1"/>
  <c r="F12" i="15"/>
  <c r="C8" i="15" l="1"/>
  <c r="C18" i="15"/>
  <c r="C7" i="15"/>
  <c r="F38" i="15"/>
  <c r="C4" i="15"/>
  <c r="C38" i="15" s="1"/>
  <c r="C10" i="14"/>
  <c r="C5" i="14"/>
  <c r="C6" i="14"/>
  <c r="F16" i="14"/>
  <c r="F37" i="14" s="1"/>
  <c r="C4" i="13"/>
  <c r="E41" i="15" l="1"/>
  <c r="F29" i="13"/>
  <c r="C4" i="14"/>
  <c r="C40" i="14" s="1"/>
  <c r="C6" i="13" l="1"/>
  <c r="C7" i="13"/>
  <c r="C4" i="12"/>
  <c r="C7" i="12" l="1"/>
  <c r="C5" i="13"/>
  <c r="C32" i="13"/>
  <c r="E31" i="13" s="1"/>
  <c r="F33" i="12"/>
  <c r="F19" i="12"/>
  <c r="F12" i="12"/>
  <c r="F39" i="12" l="1"/>
  <c r="C5" i="12"/>
  <c r="C6" i="12"/>
  <c r="F33" i="11"/>
  <c r="C39" i="12" l="1"/>
  <c r="E41" i="12"/>
  <c r="C32" i="11"/>
  <c r="C29" i="11"/>
  <c r="C7" i="11"/>
  <c r="C6" i="11"/>
  <c r="C4" i="11"/>
  <c r="C33" i="11" l="1"/>
  <c r="E35" i="11" s="1"/>
  <c r="F22" i="10"/>
  <c r="F27" i="10" s="1"/>
  <c r="C4" i="10"/>
  <c r="C6" i="10"/>
  <c r="C11" i="10"/>
  <c r="C9" i="10"/>
  <c r="C4" i="9"/>
  <c r="C26" i="10" l="1"/>
  <c r="D30" i="10"/>
  <c r="C5" i="9"/>
  <c r="C8" i="9" l="1"/>
  <c r="C7" i="9"/>
  <c r="C29" i="9" s="1"/>
  <c r="F4" i="9"/>
  <c r="F28" i="9" s="1"/>
  <c r="C6" i="8"/>
  <c r="C30" i="8" s="1"/>
  <c r="F21" i="8"/>
  <c r="F6" i="8"/>
  <c r="F30" i="8" s="1"/>
  <c r="C26" i="7"/>
  <c r="D30" i="9" l="1"/>
  <c r="D32" i="8"/>
  <c r="F26" i="7"/>
  <c r="E28" i="7" s="1"/>
  <c r="E4" i="6" l="1"/>
  <c r="E33" i="6" s="1"/>
  <c r="B6" i="6"/>
  <c r="B33" i="6" s="1"/>
  <c r="B3" i="5"/>
  <c r="E12" i="5"/>
  <c r="B11" i="5"/>
  <c r="E4" i="5"/>
  <c r="D35" i="6" l="1"/>
  <c r="E34" i="5"/>
  <c r="B34" i="5"/>
  <c r="B19" i="4"/>
  <c r="D37" i="5" l="1"/>
  <c r="E9" i="4"/>
  <c r="E18" i="4" s="1"/>
  <c r="D20" i="4" s="1"/>
  <c r="E15" i="3" l="1"/>
  <c r="B14" i="3"/>
  <c r="E15" i="2"/>
  <c r="B15" i="2"/>
  <c r="D17" i="2" s="1"/>
  <c r="E22" i="1"/>
  <c r="B26" i="1"/>
  <c r="D27" i="1" s="1"/>
  <c r="D16" i="3" l="1"/>
  <c r="E40" i="14" l="1"/>
</calcChain>
</file>

<file path=xl/sharedStrings.xml><?xml version="1.0" encoding="utf-8"?>
<sst xmlns="http://schemas.openxmlformats.org/spreadsheetml/2006/main" count="784" uniqueCount="438">
  <si>
    <t>CRUZE DE CUENTAS</t>
  </si>
  <si>
    <t>DEBEN</t>
  </si>
  <si>
    <t>NOVIEMBRE</t>
  </si>
  <si>
    <t>Hyr BCS</t>
  </si>
  <si>
    <t>Arreglo UPS EFECTIVO</t>
  </si>
  <si>
    <t>Santiago alarmar EFECTIVO</t>
  </si>
  <si>
    <t>Base EFECTIVO</t>
  </si>
  <si>
    <t>Mensajeria</t>
  </si>
  <si>
    <t>Nomina 15- 30  y seguridad social BAN AHO</t>
  </si>
  <si>
    <t>DEBEMOS</t>
  </si>
  <si>
    <t>OCTUBRE</t>
  </si>
  <si>
    <t>Nomina jorge y girlesa</t>
  </si>
  <si>
    <t>Tigo movil</t>
  </si>
  <si>
    <t>Tigo fijo</t>
  </si>
  <si>
    <t>Arriendo Sandiego</t>
  </si>
  <si>
    <t>Arriendo molinos</t>
  </si>
  <si>
    <t>Pagos</t>
  </si>
  <si>
    <t>Consignacion SD</t>
  </si>
  <si>
    <t>Consignacion SD-LC-MY-ML-SD</t>
  </si>
  <si>
    <t>Consignacion SD-PN</t>
  </si>
  <si>
    <t>Consignacion MY-SD</t>
  </si>
  <si>
    <t>Transferencia cta ahorros a cte</t>
  </si>
  <si>
    <t>consignacion LC</t>
  </si>
  <si>
    <t>Seguros sura</t>
  </si>
  <si>
    <t>pago logimex</t>
  </si>
  <si>
    <t>sistecredito</t>
  </si>
  <si>
    <t>rappi</t>
  </si>
  <si>
    <t>Tc. 6015</t>
  </si>
  <si>
    <t>seguro cta</t>
  </si>
  <si>
    <t>nacional de pilas</t>
  </si>
  <si>
    <t>logimex</t>
  </si>
  <si>
    <t>widex- rago-kino</t>
  </si>
  <si>
    <t>intereses y creditos</t>
  </si>
  <si>
    <t>Nomina 15- 30  y seguridad social BCS</t>
  </si>
  <si>
    <t>davi</t>
  </si>
  <si>
    <t>pago impuestos casio</t>
  </si>
  <si>
    <t>Diferencia</t>
  </si>
  <si>
    <t>DICIEMBRE</t>
  </si>
  <si>
    <t>prima</t>
  </si>
  <si>
    <t>Comercial web</t>
  </si>
  <si>
    <t>anticipo logimex Q&amp;Q</t>
  </si>
  <si>
    <t>SISTECREDITO</t>
  </si>
  <si>
    <t>traslade para pagar casio ctof</t>
  </si>
  <si>
    <t>Cosignados en BCS</t>
  </si>
  <si>
    <t>CONSIGNACION GLORIA</t>
  </si>
  <si>
    <t>devolucion</t>
  </si>
  <si>
    <t>traslado de ctas</t>
  </si>
  <si>
    <t>Consignacion molinos</t>
  </si>
  <si>
    <t xml:space="preserve">creditos y interese </t>
  </si>
  <si>
    <t>AMG</t>
  </si>
  <si>
    <t>ABONO TC</t>
  </si>
  <si>
    <t>wompi</t>
  </si>
  <si>
    <t>pago a casio</t>
  </si>
  <si>
    <t>LOGIMEX DIAN SURA</t>
  </si>
  <si>
    <t>ENERO</t>
  </si>
  <si>
    <t>para pago de dolares</t>
  </si>
  <si>
    <t>Consignacion davivienda</t>
  </si>
  <si>
    <t>consignacion la central</t>
  </si>
  <si>
    <t>traslado de ctas ENE06</t>
  </si>
  <si>
    <t>DEUDA DE DICIEMBRE</t>
  </si>
  <si>
    <t>DIFERENCIA</t>
  </si>
  <si>
    <t>compra dolares</t>
  </si>
  <si>
    <t>traslado de cta ene10</t>
  </si>
  <si>
    <t>seguro sura</t>
  </si>
  <si>
    <t>TC TUYA</t>
  </si>
  <si>
    <t>transferencia</t>
  </si>
  <si>
    <t>consignacion almacen</t>
  </si>
  <si>
    <t>pago de iva</t>
  </si>
  <si>
    <t>nomina y seguridad social</t>
  </si>
  <si>
    <t>trans de social</t>
  </si>
  <si>
    <t>creditos e inte  bancolombia</t>
  </si>
  <si>
    <t>seguridad social</t>
  </si>
  <si>
    <t>Wompi hasta ene17</t>
  </si>
  <si>
    <t>SERVICIOS Y HORAS EXTRA</t>
  </si>
  <si>
    <t>ARRIENDO molinos y mayorca</t>
  </si>
  <si>
    <t>transferencia pago corresponsal</t>
  </si>
  <si>
    <t>FEBRERO</t>
  </si>
  <si>
    <t>DEUDA DE ENERO</t>
  </si>
  <si>
    <t>DEVOLUCION A AAMBULANCIAS</t>
  </si>
  <si>
    <t>pago a dizuiza</t>
  </si>
  <si>
    <t>Transporte de baterias bogota</t>
  </si>
  <si>
    <t>sald finca 13</t>
  </si>
  <si>
    <t>hyr</t>
  </si>
  <si>
    <t>consigna en davi</t>
  </si>
  <si>
    <t>consig san andres bcs</t>
  </si>
  <si>
    <t>pago google</t>
  </si>
  <si>
    <t>consignfeb8</t>
  </si>
  <si>
    <t>trasnfe bcs feb9</t>
  </si>
  <si>
    <t>consignfeb9</t>
  </si>
  <si>
    <t>consign feb10</t>
  </si>
  <si>
    <t>PAGO A CRED INTER</t>
  </si>
  <si>
    <t>TRASNFE CTA AHORROS</t>
  </si>
  <si>
    <t>CHEQUE DAVI</t>
  </si>
  <si>
    <t>consign feb11</t>
  </si>
  <si>
    <t>TC 6015</t>
  </si>
  <si>
    <t>consign feb13</t>
  </si>
  <si>
    <t>consign feb14</t>
  </si>
  <si>
    <t>SEGURO SURA EMPLEADOS</t>
  </si>
  <si>
    <t>Cesantias claudia</t>
  </si>
  <si>
    <t>COMISION GIRO INTERNA</t>
  </si>
  <si>
    <t>devolucion a suplemedicos</t>
  </si>
  <si>
    <t>admon ML</t>
  </si>
  <si>
    <t>TC8338</t>
  </si>
  <si>
    <t>Ventas efectivo institucio</t>
  </si>
  <si>
    <t xml:space="preserve">Base </t>
  </si>
  <si>
    <t>transferencia para bcs</t>
  </si>
  <si>
    <t>retiro en efectivo bcs</t>
  </si>
  <si>
    <t>ventas oficina</t>
  </si>
  <si>
    <t>DEVOLUCION ferrelectricas</t>
  </si>
  <si>
    <t>Reembolso fondo nacional de garantias</t>
  </si>
  <si>
    <t>consigna</t>
  </si>
  <si>
    <t>DEUDA DE FEBRERO</t>
  </si>
  <si>
    <t>COEXITO</t>
  </si>
  <si>
    <t>TEMPEL</t>
  </si>
  <si>
    <t>COMSISTEL</t>
  </si>
  <si>
    <t>NEW LINE</t>
  </si>
  <si>
    <t>NICOMAR</t>
  </si>
  <si>
    <t>HYR</t>
  </si>
  <si>
    <t>base</t>
  </si>
  <si>
    <t>base mar8</t>
  </si>
  <si>
    <t>ventas oficina mar8</t>
  </si>
  <si>
    <t>BASE MAR1</t>
  </si>
  <si>
    <t>entregue para consignar a jorge</t>
  </si>
  <si>
    <t>entregue170 para comprar pilasy 496 base</t>
  </si>
  <si>
    <t>MARZO</t>
  </si>
  <si>
    <t>DEVOLUCION colombiana de controles</t>
  </si>
  <si>
    <t>PAGO A CARPA</t>
  </si>
  <si>
    <t>venta sandiego</t>
  </si>
  <si>
    <t>base mar17</t>
  </si>
  <si>
    <t>interes creditos</t>
  </si>
  <si>
    <t>credito bancolo</t>
  </si>
  <si>
    <t>PROPERTY</t>
  </si>
  <si>
    <t>CONSIGNACION PUNTOS</t>
  </si>
  <si>
    <t>WIDEX</t>
  </si>
  <si>
    <t>ismart 50/50</t>
  </si>
  <si>
    <t>amg</t>
  </si>
  <si>
    <t>relojes kairos</t>
  </si>
  <si>
    <t>transfe de cta ahorros</t>
  </si>
  <si>
    <t>VENTA EN DAVI</t>
  </si>
  <si>
    <t>PAGO A CASIO CTOF</t>
  </si>
  <si>
    <t>REEMBOLSO FON/GTIAS</t>
  </si>
  <si>
    <t>MERCURIO MOLINO</t>
  </si>
  <si>
    <t>PAGO TC 8338</t>
  </si>
  <si>
    <t>PAGO TC 7003</t>
  </si>
  <si>
    <t>transfe cta cte</t>
  </si>
  <si>
    <t>VENTAS OFICINA</t>
  </si>
  <si>
    <t>ENTREGUE PARA BASE</t>
  </si>
  <si>
    <t>BASE OFICINA</t>
  </si>
  <si>
    <t>BASE</t>
  </si>
  <si>
    <t>CESANTIAS JAIME Y JORGE ANDRES</t>
  </si>
  <si>
    <r>
      <t xml:space="preserve">base500 </t>
    </r>
    <r>
      <rPr>
        <sz val="11"/>
        <color rgb="FFFF0000"/>
        <rFont val="Calibri"/>
        <family val="2"/>
        <scheme val="minor"/>
      </rPr>
      <t>tengo 9</t>
    </r>
  </si>
  <si>
    <r>
      <t>1120 bcs corres</t>
    </r>
    <r>
      <rPr>
        <sz val="11"/>
        <color rgb="FFFF0000"/>
        <rFont val="Calibri"/>
        <family val="2"/>
        <scheme val="minor"/>
      </rPr>
      <t xml:space="preserve"> </t>
    </r>
  </si>
  <si>
    <t>arr ml</t>
  </si>
  <si>
    <t>arr my</t>
  </si>
  <si>
    <t>CREDITO</t>
  </si>
  <si>
    <t>ABRIL</t>
  </si>
  <si>
    <t>google</t>
  </si>
  <si>
    <t xml:space="preserve">DEUDA </t>
  </si>
  <si>
    <t>DEUDA MARZO</t>
  </si>
  <si>
    <t>BASE de ventas oficina</t>
  </si>
  <si>
    <t>BASE entregada en SD Abril12</t>
  </si>
  <si>
    <t>interes credito</t>
  </si>
  <si>
    <t>ARRIEN Y ADMON MY</t>
  </si>
  <si>
    <t>ARRIEN ML</t>
  </si>
  <si>
    <t>pago a kino</t>
  </si>
  <si>
    <t>Devolucion hospimedicos</t>
  </si>
  <si>
    <t>comision alarmar</t>
  </si>
  <si>
    <t>renovacion camara de comercio</t>
  </si>
  <si>
    <t>venta SAN DIEGO</t>
  </si>
  <si>
    <t>Tampa cargo</t>
  </si>
  <si>
    <t>MAYO</t>
  </si>
  <si>
    <t>DEUDA ABRL</t>
  </si>
  <si>
    <t xml:space="preserve"> ventas oficina</t>
  </si>
  <si>
    <t>RENTA INVERSIONES</t>
  </si>
  <si>
    <t xml:space="preserve">CREDITO DAVIVIENDA 5101 </t>
  </si>
  <si>
    <t>RENTA INVERSIONES 30%</t>
  </si>
  <si>
    <t>TRANSFE PARA NOMINA</t>
  </si>
  <si>
    <t>SIIGO</t>
  </si>
  <si>
    <t>credito bancolombia</t>
  </si>
  <si>
    <t>IVA</t>
  </si>
  <si>
    <t>interes ME</t>
  </si>
  <si>
    <t>TC 1068</t>
  </si>
  <si>
    <t>Seguro sura empleados</t>
  </si>
  <si>
    <t>PAGO CON TC AMEX</t>
  </si>
  <si>
    <t>consignacion lc</t>
  </si>
  <si>
    <t>consignacion sd</t>
  </si>
  <si>
    <t>consignacion my</t>
  </si>
  <si>
    <t>consignacion ml</t>
  </si>
  <si>
    <t>pago a kenex</t>
  </si>
  <si>
    <t>consignacion pn</t>
  </si>
  <si>
    <t>Industria y comercio</t>
  </si>
  <si>
    <t>BASE DE SANDIEGO</t>
  </si>
  <si>
    <t>Venta la central</t>
  </si>
  <si>
    <t>pr en davivienda</t>
  </si>
  <si>
    <t>JUNIO</t>
  </si>
  <si>
    <t>DEUDA MAYO</t>
  </si>
  <si>
    <t>TC 8338</t>
  </si>
  <si>
    <t>pago a nalpi</t>
  </si>
  <si>
    <t>Pago a tronex</t>
  </si>
  <si>
    <t>Retencion en la fuente</t>
  </si>
  <si>
    <t>Ventas oficina</t>
  </si>
  <si>
    <t>Base Ventas oficina</t>
  </si>
  <si>
    <t>trasnpsortes en efectivo ja</t>
  </si>
  <si>
    <t>seguro sura girlesa</t>
  </si>
  <si>
    <t>Pago a HYR</t>
  </si>
  <si>
    <t>Susra empleados</t>
  </si>
  <si>
    <t>CREDITO BANCOLOMBIA</t>
  </si>
  <si>
    <t>INTERES ME</t>
  </si>
  <si>
    <t>ARRIENDO MOLINOS</t>
  </si>
  <si>
    <t>base sandiego</t>
  </si>
  <si>
    <t>mesajera arcila montes</t>
  </si>
  <si>
    <t>mensajeria arcila montes</t>
  </si>
  <si>
    <t>mensajeria santa</t>
  </si>
  <si>
    <t xml:space="preserve">devolucion </t>
  </si>
  <si>
    <t>pago atronex</t>
  </si>
  <si>
    <t>Ventaofic pago en davi</t>
  </si>
  <si>
    <t>ventaofic pago en BCS</t>
  </si>
  <si>
    <t>credito davivienda</t>
  </si>
  <si>
    <t>DEUDA junio</t>
  </si>
  <si>
    <t>JULIO</t>
  </si>
  <si>
    <t>Interes ME</t>
  </si>
  <si>
    <t>PRIMA</t>
  </si>
  <si>
    <t>Mensajeria SANTA 01</t>
  </si>
  <si>
    <t>Mensajeria SANTA 17</t>
  </si>
  <si>
    <t>retencion en la fuente</t>
  </si>
  <si>
    <t>SANTIAGO ALARMAR</t>
  </si>
  <si>
    <t>REMARCAS</t>
  </si>
  <si>
    <t xml:space="preserve"> VENTAS OFICINA consignacion davi nomi</t>
  </si>
  <si>
    <t xml:space="preserve"> Base Ventas oficina</t>
  </si>
  <si>
    <t>bateria oficina</t>
  </si>
  <si>
    <t>pago a nacional de pilas</t>
  </si>
  <si>
    <t>Efectivo jorge andres trajo de carpa</t>
  </si>
  <si>
    <t>pago a logimex</t>
  </si>
  <si>
    <t>PAGO DE FERRETERIA UNICA</t>
  </si>
  <si>
    <t>industria y comercio</t>
  </si>
  <si>
    <t>Ventaofic pago en bancolo</t>
  </si>
  <si>
    <t>Mensajeria SANTA 02</t>
  </si>
  <si>
    <t>SANTIAGO ALARMAR 02</t>
  </si>
  <si>
    <t>interes abogado</t>
  </si>
  <si>
    <t>Ventaofic pago en davi 12</t>
  </si>
  <si>
    <t>pago  YERMIN</t>
  </si>
  <si>
    <t>pago DW</t>
  </si>
  <si>
    <t>CONSIGNACION ML</t>
  </si>
  <si>
    <t>CONSIGNACION MY</t>
  </si>
  <si>
    <t>CONSIGNACION LC</t>
  </si>
  <si>
    <t>INCAPACIDAD SURA</t>
  </si>
  <si>
    <t>Ventaofic pago en davi 04</t>
  </si>
  <si>
    <t>Ventaofic pago en BCS 14</t>
  </si>
  <si>
    <t>Ventaofic pagoTC VISA 10</t>
  </si>
  <si>
    <t>Ventaofic pago en davi 16</t>
  </si>
  <si>
    <t>pago de envios mariana</t>
  </si>
  <si>
    <t>prestamo don luciano</t>
  </si>
  <si>
    <t>CONSIGNACION PN</t>
  </si>
  <si>
    <t>CONSIGNACION SD</t>
  </si>
  <si>
    <t>base oficina</t>
  </si>
  <si>
    <t>TRANSFERENCIA A CTA DE AHORROS</t>
  </si>
  <si>
    <t>Mensajeria SANTA 18</t>
  </si>
  <si>
    <t>pago de alarmar en bcs</t>
  </si>
  <si>
    <t>ARRIENDO SD OFICINA</t>
  </si>
  <si>
    <t>IMPUESTO PREDIAL SD</t>
  </si>
  <si>
    <t>diferencia</t>
  </si>
  <si>
    <t>baterias el roble</t>
  </si>
  <si>
    <t>base de sd</t>
  </si>
  <si>
    <t>base ventas oficina</t>
  </si>
  <si>
    <t>SEPTIEMBRE</t>
  </si>
  <si>
    <t>DEUDA AGOSTO</t>
  </si>
  <si>
    <t>SANTIAGO ALARMAR 07</t>
  </si>
  <si>
    <t>PAGO A INNOVATECH</t>
  </si>
  <si>
    <t>PAGO ATRONEX</t>
  </si>
  <si>
    <t>PAGO A KENEX</t>
  </si>
  <si>
    <t>CONSIGNACIONES DEL 11 DE SEP</t>
  </si>
  <si>
    <t>CONSIGNACIONES DEL 12 DE SEP</t>
  </si>
  <si>
    <t xml:space="preserve">PAGO DE IVA </t>
  </si>
  <si>
    <t>TRANSFERENCIA DE CTA DE AHORROS</t>
  </si>
  <si>
    <t>PAGO DE IVA</t>
  </si>
  <si>
    <t>RETIRO BCS CHEQUE</t>
  </si>
  <si>
    <t>CONSIGNACIONES DEL 13 DE SEP</t>
  </si>
  <si>
    <t>TRANSFERENCIA PARA NOMINA</t>
  </si>
  <si>
    <t>CONSIGNACION DEL 18 DE SEP</t>
  </si>
  <si>
    <t>CONSIGNACION DEL 20 DE SEP</t>
  </si>
  <si>
    <t>PAGO ACSIO CTOF</t>
  </si>
  <si>
    <t>PAGO A STATUR</t>
  </si>
  <si>
    <t>PAGO NACIONAL DE PILAS</t>
  </si>
  <si>
    <t>venta por wompi tc.visa</t>
  </si>
  <si>
    <t>PAGO RECIBIDO EN DAVI</t>
  </si>
  <si>
    <t xml:space="preserve">venta sd </t>
  </si>
  <si>
    <t>base de sandiego</t>
  </si>
  <si>
    <t>pago de alarmar a bcs</t>
  </si>
  <si>
    <t>LOGIMEX</t>
  </si>
  <si>
    <t>IMPUESTOS DIA TNR</t>
  </si>
  <si>
    <t>IMPUESTOS DIAN YNR</t>
  </si>
  <si>
    <t>PAGO LUCIANO</t>
  </si>
  <si>
    <t>DEUDA SEPTIEMBRE</t>
  </si>
  <si>
    <t>DANIEL ALIEXPRES</t>
  </si>
  <si>
    <t>JORGE ANDRES CASILLERO</t>
  </si>
  <si>
    <t>pago de credito total bancolombia</t>
  </si>
  <si>
    <t xml:space="preserve"> Base  oficina SD</t>
  </si>
  <si>
    <t>base oficna OF</t>
  </si>
  <si>
    <t>PAGO A DILOY</t>
  </si>
  <si>
    <t>CONSIGNACION MY - ML OCT03</t>
  </si>
  <si>
    <t>CONSIGNACION LC OCT04</t>
  </si>
  <si>
    <t>CONSIGNACION LC - ML OCT05</t>
  </si>
  <si>
    <t>CONSIGNACION MY OCT06</t>
  </si>
  <si>
    <t>venta de sandiego</t>
  </si>
  <si>
    <t>PAGO A LOIX</t>
  </si>
  <si>
    <t>PAGO A WIDEX</t>
  </si>
  <si>
    <t>PAGO A TRONEX</t>
  </si>
  <si>
    <t>credito bancolombia SEP</t>
  </si>
  <si>
    <t>PAGO A SOLUENERGIA</t>
  </si>
  <si>
    <t xml:space="preserve">SANTIAGO ALARMAR </t>
  </si>
  <si>
    <t>devolucion gustavo mesa</t>
  </si>
  <si>
    <t>transferencia de cta de ahorros a cta cte oct 6</t>
  </si>
  <si>
    <t>transferencia de cta de ahorros a cta cte oct 12</t>
  </si>
  <si>
    <t>anticipo ilux</t>
  </si>
  <si>
    <t>consignacion OCT12</t>
  </si>
  <si>
    <t>venta wompi tc</t>
  </si>
  <si>
    <t>PAGO  A RUSBELL</t>
  </si>
  <si>
    <t>PAGO A LA CENTRAL</t>
  </si>
  <si>
    <t>PAGO A JYN</t>
  </si>
  <si>
    <t xml:space="preserve"> Base  oficina SD OCT23</t>
  </si>
  <si>
    <t xml:space="preserve"> Base  oficina SD OCT24</t>
  </si>
  <si>
    <t>PAGO DE ALAMAR EN BCS</t>
  </si>
  <si>
    <t>PAGO A VYP MERCURIO</t>
  </si>
  <si>
    <t>SANTIAGO ALARMAR OCT27</t>
  </si>
  <si>
    <t xml:space="preserve"> Base  oficina SD OCT31</t>
  </si>
  <si>
    <t>NVIEMBRE</t>
  </si>
  <si>
    <t>DEUDA OCTUBRE</t>
  </si>
  <si>
    <t xml:space="preserve"> Base  oficina SD Nov01</t>
  </si>
  <si>
    <t>devolucion manuel</t>
  </si>
  <si>
    <t>devolucion alexander</t>
  </si>
  <si>
    <t>pago de alarmar en BCS NOV10</t>
  </si>
  <si>
    <t>NOMINA JORGE ANDRES OCT30</t>
  </si>
  <si>
    <t>PAGO A PROVECOL</t>
  </si>
  <si>
    <t>PAGO A DW</t>
  </si>
  <si>
    <t>PAGO A KINO COMPANY</t>
  </si>
  <si>
    <t>CONSIGNCCION ML nov8</t>
  </si>
  <si>
    <t>visa wompi</t>
  </si>
  <si>
    <t>pago a tronex</t>
  </si>
  <si>
    <t>venta institu entrada en davivi</t>
  </si>
  <si>
    <t>conSIGNCCION LC nov9</t>
  </si>
  <si>
    <t>pago a contrucciones y bienes</t>
  </si>
  <si>
    <t>pago retencion en la fuente</t>
  </si>
  <si>
    <t>IMPUESTOS DIAN TNR</t>
  </si>
  <si>
    <t>RETIRO DE CTA CTE BANCOLOM PARA NOM</t>
  </si>
  <si>
    <t>SANTIAGO ALARMAR 17</t>
  </si>
  <si>
    <t>devolucion vitelsa</t>
  </si>
  <si>
    <t>pago de seguridad social</t>
  </si>
  <si>
    <t>pago a disuiza</t>
  </si>
  <si>
    <t>PAGO A YERMIN</t>
  </si>
  <si>
    <t>PAGO A WILFER</t>
  </si>
  <si>
    <t>pago a comercial web</t>
  </si>
  <si>
    <t>PAGO AMG</t>
  </si>
  <si>
    <t>pago de saypa ingenieros</t>
  </si>
  <si>
    <t>servicios epm oficina</t>
  </si>
  <si>
    <t>ilux</t>
  </si>
  <si>
    <t>daniel aliexpres</t>
  </si>
  <si>
    <t>pago ismart de bcs</t>
  </si>
  <si>
    <t>pago a amg</t>
  </si>
  <si>
    <t>impuestos kenex</t>
  </si>
  <si>
    <t>conSIGNCCION LC nov28</t>
  </si>
  <si>
    <t>conSIGNCCION ML nov28</t>
  </si>
  <si>
    <t>conSIGNCCION PN nov28</t>
  </si>
  <si>
    <t>conSIGNCCION SD nov28</t>
  </si>
  <si>
    <t>conSIGNCCION MY nov28</t>
  </si>
  <si>
    <t>PRESTAMO LUCIANO LOPERA</t>
  </si>
  <si>
    <t>SANTIAGO ALARMAR 01</t>
  </si>
  <si>
    <t>devolucion VHF</t>
  </si>
  <si>
    <t>pago de alarmar BCS dic07</t>
  </si>
  <si>
    <t>base sandiego dic 18</t>
  </si>
  <si>
    <t>base sandiego dic 13</t>
  </si>
  <si>
    <t>devolucion gim biomedica</t>
  </si>
  <si>
    <t>PAGO COMISION JAIME PARA FOND</t>
  </si>
  <si>
    <t>PAGO DE SURA INCA SILVIA</t>
  </si>
  <si>
    <t>pago recibido en davi</t>
  </si>
  <si>
    <t>PAG A CARPA</t>
  </si>
  <si>
    <t xml:space="preserve">PAGO TC 8338 </t>
  </si>
  <si>
    <t>Mensajeria SANTA 28</t>
  </si>
  <si>
    <t>base efectivo oficina 27</t>
  </si>
  <si>
    <t>PAGO APROVECOL</t>
  </si>
  <si>
    <t>ANTICIPO A DISUIZA</t>
  </si>
  <si>
    <t>TC AMEX</t>
  </si>
  <si>
    <t>PAGO IMPERIO DIGITAL</t>
  </si>
  <si>
    <t>BASE 03</t>
  </si>
  <si>
    <t>base 04</t>
  </si>
  <si>
    <t>CONSIGNACION EFECTIVO PUNTOS</t>
  </si>
  <si>
    <t>TRANSFE GIRLE DE LA LC</t>
  </si>
  <si>
    <t>DEUDA noviembre</t>
  </si>
  <si>
    <t>DEUDA DICIEMBRE</t>
  </si>
  <si>
    <t>CONSIGNACION SILVIA</t>
  </si>
  <si>
    <t>admon la central</t>
  </si>
  <si>
    <t>cmision giro financiado kenex</t>
  </si>
  <si>
    <t>VENTA DE MOLINOS</t>
  </si>
  <si>
    <t>COMISION APERTURA DE CREDITO ME</t>
  </si>
  <si>
    <t>CANCELACION DE CREDITO ME</t>
  </si>
  <si>
    <t>tarjetas wompi del mes</t>
  </si>
  <si>
    <t>WIDEX 8944 8945</t>
  </si>
  <si>
    <t>reversion fondo de garantias</t>
  </si>
  <si>
    <t>ventas institu pagadas en davivi</t>
  </si>
  <si>
    <t>VENTA DE SANDIEGO</t>
  </si>
  <si>
    <t>pago duncan 5042201</t>
  </si>
  <si>
    <t>pago nacional de pilas  32766 32866 32205</t>
  </si>
  <si>
    <t>SEGURIDAD SOCIAL FINCA</t>
  </si>
  <si>
    <t>TRASLADO X CESANTIAS</t>
  </si>
  <si>
    <t>Pago IVA enero 15</t>
  </si>
  <si>
    <t>PAGO SEGURIDAD SOCIAL</t>
  </si>
  <si>
    <t>FV-3-10862</t>
  </si>
  <si>
    <t>FV-3-10929</t>
  </si>
  <si>
    <t>FV-3-10935</t>
  </si>
  <si>
    <t>FV-3-11063</t>
  </si>
  <si>
    <t> PAGO INTERBANC ENDRESS HAUSER</t>
  </si>
  <si>
    <t> PAGO A PROVE Logimex LOGISTI</t>
  </si>
  <si>
    <t> MORA TARJETA VISA PESOS TC 8338</t>
  </si>
  <si>
    <t> PAGO PSE IMPUESTO DIAN</t>
  </si>
  <si>
    <t> PAGO CUOTA CREDITO BANCOL</t>
  </si>
  <si>
    <t> CONSIGNACION CORRESPONSAL CB lc</t>
  </si>
  <si>
    <t>LC</t>
  </si>
  <si>
    <t xml:space="preserve"> PAGA FACIL LOS MOLINOS</t>
  </si>
  <si>
    <t>PN</t>
  </si>
  <si>
    <t> COMISION GARAN</t>
  </si>
  <si>
    <t> PAGO A PROV 11 TECHNOLOGIES SA</t>
  </si>
  <si>
    <t>DEUDA ENERO</t>
  </si>
  <si>
    <t>ABONO TC VISA 8338</t>
  </si>
  <si>
    <t>CARPA - CASILLERO</t>
  </si>
  <si>
    <t>DILOY COLOMBIA</t>
  </si>
  <si>
    <t>DISTRIBUIDORA VAMOS</t>
  </si>
  <si>
    <t>DISUIZA</t>
  </si>
  <si>
    <t>LA CENTRAL admistración X@</t>
  </si>
  <si>
    <t>Q&amp;Q COLBATTERIES SAS</t>
  </si>
  <si>
    <t>SANTA BARBARA DISTRONIK</t>
  </si>
  <si>
    <t>SAYER - YERMIN</t>
  </si>
  <si>
    <t>SURA X@</t>
  </si>
  <si>
    <t>ABAJO SANTA MENSAJERIA</t>
  </si>
  <si>
    <t> PAGO CUOTA CREDITO BANCOL CESANTIAS</t>
  </si>
  <si>
    <t>PAGO CRÉDITO 9360</t>
  </si>
  <si>
    <t>PE SURAMERICANA</t>
  </si>
  <si>
    <t>tarjetas VISA Y AMEX wompi del mes</t>
  </si>
  <si>
    <t>SANTIAGO ALARMAR FEB 28</t>
  </si>
  <si>
    <t>SANTIAGO ALARMAR FEB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</si>
</sst>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color rgb="FF3D3D3D"/>
      <name val="Verdana"/>
      <family val="2"/>
    </font>
    <font>
      <sz val="8"/>
      <color rgb="FF000000"/>
      <name val="Verdana"/>
      <family val="2"/>
    </font>
    <font>
      <b/>
      <sz val="8"/>
      <color rgb="FF3D3D3D"/>
      <name val="Verdana"/>
      <family val="2"/>
    </font>
    <font>
      <b/>
      <sz val="8"/>
      <color rgb="FF000000"/>
      <name val="Verdana"/>
      <family val="2"/>
    </font>
    <font>
      <sz val="8"/>
      <color rgb="FFED1B2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164" fontId="1" fillId="0" borderId="0" xfId="1" applyNumberFormat="1" applyFont="1"/>
    <xf numFmtId="164" fontId="4" fillId="0" borderId="0" xfId="1" applyNumberFormat="1" applyFont="1" applyAlignment="1">
      <alignment horizontal="right" vertical="center"/>
    </xf>
    <xf numFmtId="164" fontId="1" fillId="0" borderId="0" xfId="1" applyNumberFormat="1" applyFont="1" applyAlignme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/>
    <xf numFmtId="0" fontId="2" fillId="2" borderId="0" xfId="0" applyFont="1" applyFill="1" applyAlignment="1">
      <alignment horizontal="left"/>
    </xf>
    <xf numFmtId="0" fontId="0" fillId="3" borderId="0" xfId="0" applyFill="1"/>
    <xf numFmtId="17" fontId="0" fillId="0" borderId="0" xfId="0" applyNumberFormat="1"/>
    <xf numFmtId="164" fontId="3" fillId="0" borderId="0" xfId="1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2" fillId="3" borderId="0" xfId="0" applyNumberFormat="1" applyFont="1" applyFill="1"/>
    <xf numFmtId="164" fontId="2" fillId="0" borderId="0" xfId="1" quotePrefix="1" applyNumberFormat="1" applyFont="1" applyAlignment="1">
      <alignment horizontal="center"/>
    </xf>
    <xf numFmtId="164" fontId="2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/>
    <xf numFmtId="0" fontId="7" fillId="0" borderId="0" xfId="0" applyFont="1"/>
    <xf numFmtId="164" fontId="7" fillId="0" borderId="0" xfId="0" applyNumberFormat="1" applyFont="1"/>
    <xf numFmtId="164" fontId="5" fillId="0" borderId="0" xfId="1" applyNumberFormat="1" applyFont="1"/>
    <xf numFmtId="164" fontId="7" fillId="3" borderId="0" xfId="0" applyNumberFormat="1" applyFont="1" applyFill="1"/>
    <xf numFmtId="17" fontId="0" fillId="5" borderId="0" xfId="0" applyNumberFormat="1" applyFill="1"/>
    <xf numFmtId="164" fontId="2" fillId="5" borderId="0" xfId="1" quotePrefix="1" applyNumberFormat="1" applyFont="1" applyFill="1" applyAlignment="1">
      <alignment horizontal="center"/>
    </xf>
    <xf numFmtId="0" fontId="2" fillId="5" borderId="0" xfId="0" applyFont="1" applyFill="1"/>
    <xf numFmtId="0" fontId="5" fillId="4" borderId="0" xfId="0" applyFont="1" applyFill="1"/>
    <xf numFmtId="164" fontId="5" fillId="4" borderId="0" xfId="1" applyNumberFormat="1" applyFont="1" applyFill="1"/>
    <xf numFmtId="0" fontId="4" fillId="0" borderId="0" xfId="0" applyFont="1"/>
    <xf numFmtId="164" fontId="2" fillId="0" borderId="0" xfId="1" quotePrefix="1" applyNumberFormat="1" applyFont="1" applyFill="1" applyAlignment="1">
      <alignment horizontal="center"/>
    </xf>
    <xf numFmtId="164" fontId="3" fillId="0" borderId="0" xfId="1" quotePrefix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4" fillId="0" borderId="0" xfId="1" applyNumberFormat="1" applyFont="1"/>
    <xf numFmtId="164" fontId="8" fillId="0" borderId="0" xfId="0" applyNumberFormat="1" applyFont="1"/>
    <xf numFmtId="17" fontId="0" fillId="4" borderId="0" xfId="0" applyNumberFormat="1" applyFill="1"/>
    <xf numFmtId="164" fontId="2" fillId="4" borderId="0" xfId="1" quotePrefix="1" applyNumberFormat="1" applyFont="1" applyFill="1" applyAlignment="1">
      <alignment horizontal="center"/>
    </xf>
    <xf numFmtId="0" fontId="0" fillId="6" borderId="0" xfId="0" applyFill="1"/>
    <xf numFmtId="17" fontId="0" fillId="6" borderId="0" xfId="0" applyNumberFormat="1" applyFill="1"/>
    <xf numFmtId="164" fontId="1" fillId="6" borderId="0" xfId="1" applyNumberFormat="1" applyFont="1" applyFill="1" applyAlignment="1">
      <alignment horizontal="center"/>
    </xf>
    <xf numFmtId="17" fontId="2" fillId="4" borderId="0" xfId="0" applyNumberFormat="1" applyFont="1" applyFill="1"/>
    <xf numFmtId="0" fontId="0" fillId="2" borderId="0" xfId="0" applyFill="1"/>
    <xf numFmtId="164" fontId="1" fillId="2" borderId="0" xfId="1" applyNumberFormat="1" applyFont="1" applyFill="1" applyAlignment="1">
      <alignment horizontal="center"/>
    </xf>
    <xf numFmtId="0" fontId="5" fillId="7" borderId="0" xfId="0" applyFont="1" applyFill="1"/>
    <xf numFmtId="164" fontId="5" fillId="7" borderId="0" xfId="1" applyNumberFormat="1" applyFont="1" applyFill="1" applyAlignment="1">
      <alignment horizontal="center"/>
    </xf>
    <xf numFmtId="164" fontId="5" fillId="6" borderId="0" xfId="1" applyNumberFormat="1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1" fillId="6" borderId="0" xfId="1" applyNumberFormat="1" applyFont="1" applyFill="1" applyBorder="1" applyAlignment="1">
      <alignment horizontal="center"/>
    </xf>
    <xf numFmtId="164" fontId="5" fillId="6" borderId="0" xfId="1" applyNumberFormat="1" applyFont="1" applyFill="1" applyBorder="1" applyAlignment="1">
      <alignment horizontal="center"/>
    </xf>
    <xf numFmtId="17" fontId="0" fillId="2" borderId="0" xfId="0" applyNumberFormat="1" applyFill="1"/>
    <xf numFmtId="164" fontId="2" fillId="2" borderId="0" xfId="1" quotePrefix="1" applyNumberFormat="1" applyFont="1" applyFill="1" applyBorder="1" applyAlignment="1">
      <alignment horizontal="center"/>
    </xf>
    <xf numFmtId="164" fontId="9" fillId="0" borderId="0" xfId="0" applyNumberFormat="1" applyFont="1"/>
    <xf numFmtId="164" fontId="11" fillId="0" borderId="0" xfId="0" applyNumberFormat="1" applyFont="1"/>
    <xf numFmtId="0" fontId="10" fillId="0" borderId="0" xfId="0" applyFont="1" applyAlignment="1">
      <alignment horizontal="right"/>
    </xf>
    <xf numFmtId="164" fontId="7" fillId="6" borderId="0" xfId="1" applyNumberFormat="1" applyFont="1" applyFill="1" applyAlignment="1">
      <alignment horizontal="center"/>
    </xf>
    <xf numFmtId="164" fontId="1" fillId="0" borderId="0" xfId="1" applyNumberFormat="1" applyFont="1" applyBorder="1"/>
    <xf numFmtId="0" fontId="5" fillId="6" borderId="0" xfId="0" applyFont="1" applyFill="1"/>
    <xf numFmtId="0" fontId="2" fillId="6" borderId="0" xfId="0" applyFont="1" applyFill="1"/>
    <xf numFmtId="164" fontId="2" fillId="6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3" borderId="1" xfId="0" applyNumberFormat="1" applyFont="1" applyFill="1" applyBorder="1"/>
    <xf numFmtId="0" fontId="0" fillId="0" borderId="1" xfId="0" applyBorder="1"/>
    <xf numFmtId="164" fontId="1" fillId="6" borderId="1" xfId="1" applyNumberFormat="1" applyFont="1" applyFill="1" applyBorder="1" applyAlignment="1">
      <alignment horizontal="center"/>
    </xf>
    <xf numFmtId="0" fontId="5" fillId="0" borderId="1" xfId="0" applyFont="1" applyBorder="1"/>
    <xf numFmtId="164" fontId="5" fillId="6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1" fillId="0" borderId="1" xfId="1" applyNumberFormat="1" applyFont="1" applyBorder="1"/>
    <xf numFmtId="164" fontId="5" fillId="0" borderId="1" xfId="0" applyNumberFormat="1" applyFont="1" applyBorder="1"/>
    <xf numFmtId="164" fontId="3" fillId="0" borderId="1" xfId="0" applyNumberFormat="1" applyFont="1" applyBorder="1"/>
    <xf numFmtId="0" fontId="2" fillId="5" borderId="1" xfId="0" applyFont="1" applyFill="1" applyBorder="1"/>
    <xf numFmtId="164" fontId="11" fillId="0" borderId="1" xfId="0" applyNumberFormat="1" applyFont="1" applyBorder="1"/>
    <xf numFmtId="17" fontId="0" fillId="2" borderId="1" xfId="0" applyNumberFormat="1" applyFill="1" applyBorder="1"/>
    <xf numFmtId="164" fontId="2" fillId="2" borderId="1" xfId="1" quotePrefix="1" applyNumberFormat="1" applyFont="1" applyFill="1" applyBorder="1" applyAlignment="1">
      <alignment horizontal="center"/>
    </xf>
    <xf numFmtId="0" fontId="0" fillId="2" borderId="1" xfId="0" applyFill="1" applyBorder="1"/>
    <xf numFmtId="164" fontId="2" fillId="2" borderId="1" xfId="1" applyNumberFormat="1" applyFont="1" applyFill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/>
    <xf numFmtId="164" fontId="0" fillId="6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164" fontId="11" fillId="3" borderId="0" xfId="0" applyNumberFormat="1" applyFont="1" applyFill="1"/>
    <xf numFmtId="0" fontId="0" fillId="5" borderId="1" xfId="0" applyFill="1" applyBorder="1"/>
    <xf numFmtId="164" fontId="1" fillId="5" borderId="1" xfId="1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8" fillId="3" borderId="1" xfId="0" applyNumberFormat="1" applyFont="1" applyFill="1" applyBorder="1"/>
    <xf numFmtId="164" fontId="2" fillId="6" borderId="1" xfId="1" applyNumberFormat="1" applyFont="1" applyFill="1" applyBorder="1" applyAlignment="1">
      <alignment horizontal="center"/>
    </xf>
    <xf numFmtId="0" fontId="0" fillId="6" borderId="2" xfId="0" applyFill="1" applyBorder="1"/>
    <xf numFmtId="164" fontId="3" fillId="2" borderId="1" xfId="1" quotePrefix="1" applyNumberFormat="1" applyFont="1" applyFill="1" applyBorder="1" applyAlignment="1">
      <alignment horizontal="center"/>
    </xf>
    <xf numFmtId="17" fontId="5" fillId="2" borderId="1" xfId="0" applyNumberFormat="1" applyFont="1" applyFill="1" applyBorder="1"/>
    <xf numFmtId="164" fontId="4" fillId="6" borderId="1" xfId="1" applyNumberFormat="1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1" applyNumberFormat="1" applyFont="1" applyFill="1" applyBorder="1" applyAlignment="1">
      <alignment horizontal="center"/>
    </xf>
    <xf numFmtId="8" fontId="14" fillId="0" borderId="1" xfId="0" applyNumberFormat="1" applyFont="1" applyBorder="1" applyAlignment="1">
      <alignment horizontal="right" vertical="top" wrapText="1"/>
    </xf>
    <xf numFmtId="0" fontId="12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8" fontId="16" fillId="6" borderId="1" xfId="0" applyNumberFormat="1" applyFont="1" applyFill="1" applyBorder="1" applyAlignment="1">
      <alignment horizontal="right" vertical="top" wrapText="1"/>
    </xf>
    <xf numFmtId="8" fontId="17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left" vertical="center" wrapText="1"/>
    </xf>
    <xf numFmtId="8" fontId="17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left" vertical="top" wrapText="1"/>
    </xf>
    <xf numFmtId="8" fontId="14" fillId="0" borderId="0" xfId="0" applyNumberFormat="1" applyFont="1" applyAlignment="1">
      <alignment horizontal="right" vertical="top" wrapText="1"/>
    </xf>
    <xf numFmtId="8" fontId="17" fillId="8" borderId="1" xfId="0" applyNumberFormat="1" applyFont="1" applyFill="1" applyBorder="1" applyAlignment="1">
      <alignment horizontal="right" vertical="top" wrapText="1"/>
    </xf>
    <xf numFmtId="8" fontId="17" fillId="8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44" fontId="0" fillId="0" borderId="1" xfId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CBD9-9036-4F7E-A6BF-1DB388F6D387}">
  <sheetPr codeName="Hoja1"/>
  <dimension ref="A2:E31"/>
  <sheetViews>
    <sheetView topLeftCell="A4" workbookViewId="0">
      <selection activeCell="B6" sqref="B6"/>
    </sheetView>
  </sheetViews>
  <sheetFormatPr baseColWidth="10" defaultRowHeight="14.4" x14ac:dyDescent="0.3"/>
  <cols>
    <col min="1" max="1" width="36.88671875" customWidth="1"/>
    <col min="2" max="2" width="17" customWidth="1"/>
    <col min="3" max="3" width="12" bestFit="1" customWidth="1"/>
    <col min="4" max="4" width="37.88671875" customWidth="1"/>
    <col min="5" max="5" width="13.5546875" customWidth="1"/>
  </cols>
  <sheetData>
    <row r="2" spans="1:5" x14ac:dyDescent="0.3">
      <c r="B2" t="s">
        <v>0</v>
      </c>
    </row>
    <row r="4" spans="1:5" x14ac:dyDescent="0.3">
      <c r="A4" s="120" t="s">
        <v>1</v>
      </c>
      <c r="B4" s="120"/>
      <c r="D4" s="120" t="s">
        <v>9</v>
      </c>
      <c r="E4" s="120"/>
    </row>
    <row r="5" spans="1:5" x14ac:dyDescent="0.3">
      <c r="A5" s="119" t="s">
        <v>10</v>
      </c>
      <c r="B5" s="119"/>
      <c r="D5" s="119" t="s">
        <v>10</v>
      </c>
      <c r="E5" s="119"/>
    </row>
    <row r="6" spans="1:5" x14ac:dyDescent="0.3">
      <c r="A6" t="s">
        <v>8</v>
      </c>
      <c r="B6" s="1">
        <v>15000000</v>
      </c>
      <c r="D6" t="s">
        <v>11</v>
      </c>
      <c r="E6" s="1">
        <v>3090000</v>
      </c>
    </row>
    <row r="7" spans="1:5" x14ac:dyDescent="0.3">
      <c r="A7" t="s">
        <v>3</v>
      </c>
      <c r="B7" s="1">
        <v>12169000</v>
      </c>
      <c r="D7" t="s">
        <v>15</v>
      </c>
      <c r="E7" s="1">
        <v>5628000</v>
      </c>
    </row>
    <row r="8" spans="1:5" x14ac:dyDescent="0.3">
      <c r="A8" t="s">
        <v>5</v>
      </c>
      <c r="B8" s="1">
        <v>800000</v>
      </c>
      <c r="D8" t="s">
        <v>14</v>
      </c>
      <c r="E8" s="1">
        <v>2897200</v>
      </c>
    </row>
    <row r="9" spans="1:5" x14ac:dyDescent="0.3">
      <c r="A9" t="s">
        <v>4</v>
      </c>
      <c r="B9" s="1">
        <v>176000</v>
      </c>
      <c r="D9" t="s">
        <v>16</v>
      </c>
      <c r="E9" s="1">
        <v>17000000</v>
      </c>
    </row>
    <row r="10" spans="1:5" x14ac:dyDescent="0.3">
      <c r="A10" t="s">
        <v>6</v>
      </c>
      <c r="B10" s="1">
        <v>300000</v>
      </c>
      <c r="E10" s="1"/>
    </row>
    <row r="11" spans="1:5" x14ac:dyDescent="0.3">
      <c r="A11" t="s">
        <v>6</v>
      </c>
      <c r="B11" s="1">
        <v>250000</v>
      </c>
      <c r="D11" t="s">
        <v>23</v>
      </c>
      <c r="E11" s="1">
        <v>468000</v>
      </c>
    </row>
    <row r="12" spans="1:5" x14ac:dyDescent="0.3">
      <c r="A12" t="s">
        <v>4</v>
      </c>
      <c r="B12" s="1">
        <v>148000</v>
      </c>
      <c r="D12" t="s">
        <v>24</v>
      </c>
      <c r="E12" s="1">
        <v>354000</v>
      </c>
    </row>
    <row r="13" spans="1:5" x14ac:dyDescent="0.3">
      <c r="A13" t="s">
        <v>7</v>
      </c>
      <c r="B13" s="1">
        <v>492000</v>
      </c>
      <c r="D13" t="s">
        <v>27</v>
      </c>
      <c r="E13" s="1">
        <v>2526000</v>
      </c>
    </row>
    <row r="14" spans="1:5" x14ac:dyDescent="0.3">
      <c r="A14" t="s">
        <v>7</v>
      </c>
      <c r="B14" s="1">
        <v>440000</v>
      </c>
      <c r="D14" t="s">
        <v>28</v>
      </c>
      <c r="E14" s="1">
        <v>86000</v>
      </c>
    </row>
    <row r="15" spans="1:5" x14ac:dyDescent="0.3">
      <c r="A15" t="s">
        <v>17</v>
      </c>
      <c r="B15" s="5">
        <v>1950000</v>
      </c>
      <c r="D15" t="s">
        <v>29</v>
      </c>
      <c r="E15" s="1">
        <v>3475600</v>
      </c>
    </row>
    <row r="16" spans="1:5" x14ac:dyDescent="0.3">
      <c r="A16" t="s">
        <v>18</v>
      </c>
      <c r="B16" s="6">
        <v>17898000</v>
      </c>
      <c r="D16" t="s">
        <v>30</v>
      </c>
      <c r="E16" s="1">
        <v>1965000</v>
      </c>
    </row>
    <row r="17" spans="1:5" x14ac:dyDescent="0.3">
      <c r="A17" t="s">
        <v>19</v>
      </c>
      <c r="B17" s="7">
        <v>3300000</v>
      </c>
      <c r="D17" t="s">
        <v>31</v>
      </c>
      <c r="E17" s="5">
        <v>19004000</v>
      </c>
    </row>
    <row r="18" spans="1:5" ht="14.25" customHeight="1" x14ac:dyDescent="0.3">
      <c r="A18" t="s">
        <v>20</v>
      </c>
      <c r="B18" s="1">
        <v>4336000</v>
      </c>
      <c r="C18" s="4"/>
      <c r="D18" t="s">
        <v>32</v>
      </c>
      <c r="E18" s="1">
        <v>3125000</v>
      </c>
    </row>
    <row r="19" spans="1:5" x14ac:dyDescent="0.3">
      <c r="A19" t="s">
        <v>21</v>
      </c>
      <c r="B19" s="1">
        <v>1300000</v>
      </c>
      <c r="D19" t="s">
        <v>12</v>
      </c>
      <c r="E19" s="1">
        <v>326000</v>
      </c>
    </row>
    <row r="20" spans="1:5" x14ac:dyDescent="0.3">
      <c r="A20" t="s">
        <v>22</v>
      </c>
      <c r="B20" s="1">
        <v>16000000</v>
      </c>
      <c r="D20" t="s">
        <v>13</v>
      </c>
      <c r="E20" s="1">
        <v>634000</v>
      </c>
    </row>
    <row r="21" spans="1:5" x14ac:dyDescent="0.3">
      <c r="A21" t="s">
        <v>25</v>
      </c>
      <c r="B21" s="1">
        <v>3806000</v>
      </c>
      <c r="E21" s="1"/>
    </row>
    <row r="22" spans="1:5" x14ac:dyDescent="0.3">
      <c r="A22" t="s">
        <v>26</v>
      </c>
      <c r="B22" s="1">
        <v>116000</v>
      </c>
      <c r="E22" s="2">
        <f>SUM(E6:E21)</f>
        <v>60578800</v>
      </c>
    </row>
    <row r="23" spans="1:5" x14ac:dyDescent="0.3">
      <c r="A23" t="s">
        <v>26</v>
      </c>
      <c r="B23" s="1">
        <v>61000</v>
      </c>
      <c r="E23" s="1"/>
    </row>
    <row r="24" spans="1:5" x14ac:dyDescent="0.3">
      <c r="A24" t="s">
        <v>26</v>
      </c>
      <c r="B24" s="1">
        <v>120000</v>
      </c>
      <c r="E24" s="1"/>
    </row>
    <row r="25" spans="1:5" x14ac:dyDescent="0.3">
      <c r="B25" s="1"/>
      <c r="E25" s="1"/>
    </row>
    <row r="26" spans="1:5" x14ac:dyDescent="0.3">
      <c r="B26" s="2">
        <f>SUM(B6:B25)</f>
        <v>78662000</v>
      </c>
      <c r="E26" s="1"/>
    </row>
    <row r="27" spans="1:5" x14ac:dyDescent="0.3">
      <c r="B27" s="1"/>
      <c r="D27" s="3">
        <f>+B26-E22</f>
        <v>18083200</v>
      </c>
      <c r="E27" s="1"/>
    </row>
    <row r="28" spans="1:5" x14ac:dyDescent="0.3">
      <c r="B28" s="1"/>
      <c r="E28" s="1"/>
    </row>
    <row r="29" spans="1:5" x14ac:dyDescent="0.3">
      <c r="B29" s="1"/>
    </row>
    <row r="30" spans="1:5" x14ac:dyDescent="0.3">
      <c r="B30" s="1"/>
    </row>
    <row r="31" spans="1:5" x14ac:dyDescent="0.3">
      <c r="B31" s="1"/>
    </row>
  </sheetData>
  <mergeCells count="4">
    <mergeCell ref="A5:B5"/>
    <mergeCell ref="A4:B4"/>
    <mergeCell ref="D5:E5"/>
    <mergeCell ref="D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0A6-FA6B-4B8F-A49C-0C193E4CDDBC}">
  <sheetPr codeName="Hoja10"/>
  <dimension ref="B1:F30"/>
  <sheetViews>
    <sheetView topLeftCell="A13" workbookViewId="0">
      <selection activeCell="F17" sqref="F17"/>
    </sheetView>
  </sheetViews>
  <sheetFormatPr baseColWidth="10" defaultRowHeight="14.4" x14ac:dyDescent="0.3"/>
  <cols>
    <col min="2" max="2" width="24.88671875" customWidth="1"/>
    <col min="3" max="3" width="26.6640625" customWidth="1"/>
    <col min="4" max="4" width="18" bestFit="1" customWidth="1"/>
    <col min="5" max="5" width="26.6640625" customWidth="1"/>
    <col min="6" max="6" width="21.88671875" customWidth="1"/>
  </cols>
  <sheetData>
    <row r="1" spans="2:6" x14ac:dyDescent="0.3">
      <c r="B1" s="120" t="s">
        <v>1</v>
      </c>
      <c r="C1" s="120"/>
      <c r="E1" s="120" t="s">
        <v>9</v>
      </c>
      <c r="F1" s="120"/>
    </row>
    <row r="2" spans="2:6" x14ac:dyDescent="0.3">
      <c r="B2" s="119" t="s">
        <v>219</v>
      </c>
      <c r="C2" s="119"/>
      <c r="E2" s="119" t="s">
        <v>219</v>
      </c>
      <c r="F2" s="119"/>
    </row>
    <row r="3" spans="2:6" ht="18" x14ac:dyDescent="0.35">
      <c r="B3" s="30" t="s">
        <v>218</v>
      </c>
      <c r="C3" s="38">
        <v>31612934.399999999</v>
      </c>
      <c r="E3" s="14" t="s">
        <v>157</v>
      </c>
      <c r="F3" s="19">
        <v>0</v>
      </c>
    </row>
    <row r="4" spans="2:6" x14ac:dyDescent="0.3">
      <c r="B4" s="39" t="s">
        <v>68</v>
      </c>
      <c r="C4" s="40">
        <f>15634000-4600000</f>
        <v>11034000</v>
      </c>
      <c r="E4" t="s">
        <v>215</v>
      </c>
      <c r="F4" s="43">
        <v>380000</v>
      </c>
    </row>
    <row r="5" spans="2:6" x14ac:dyDescent="0.3">
      <c r="B5" s="44" t="s">
        <v>221</v>
      </c>
      <c r="C5" s="40">
        <v>4736000</v>
      </c>
      <c r="E5" t="s">
        <v>215</v>
      </c>
      <c r="F5" s="43">
        <v>234000</v>
      </c>
    </row>
    <row r="6" spans="2:6" x14ac:dyDescent="0.3">
      <c r="B6" s="39" t="s">
        <v>217</v>
      </c>
      <c r="C6" s="40">
        <f>6925000*0.3</f>
        <v>2077500</v>
      </c>
      <c r="E6" t="s">
        <v>220</v>
      </c>
      <c r="F6" s="43">
        <v>377695</v>
      </c>
    </row>
    <row r="7" spans="2:6" x14ac:dyDescent="0.3">
      <c r="B7" s="41" t="s">
        <v>222</v>
      </c>
      <c r="C7" s="43">
        <v>430000</v>
      </c>
      <c r="E7" t="s">
        <v>182</v>
      </c>
      <c r="F7" s="43">
        <v>411454</v>
      </c>
    </row>
    <row r="8" spans="2:6" x14ac:dyDescent="0.3">
      <c r="B8" s="42" t="s">
        <v>223</v>
      </c>
      <c r="C8" s="43">
        <v>369000</v>
      </c>
      <c r="E8" s="47" t="s">
        <v>227</v>
      </c>
      <c r="F8" s="48">
        <v>1100000</v>
      </c>
    </row>
    <row r="9" spans="2:6" x14ac:dyDescent="0.3">
      <c r="B9" s="45" t="s">
        <v>224</v>
      </c>
      <c r="C9" s="46">
        <f>2978000*0.5</f>
        <v>1489000</v>
      </c>
      <c r="E9" t="s">
        <v>178</v>
      </c>
      <c r="F9" s="43">
        <v>2164547</v>
      </c>
    </row>
    <row r="10" spans="2:6" x14ac:dyDescent="0.3">
      <c r="B10" t="s">
        <v>225</v>
      </c>
      <c r="C10" s="43">
        <v>200000</v>
      </c>
      <c r="E10" t="s">
        <v>220</v>
      </c>
      <c r="F10" s="43">
        <v>510671</v>
      </c>
    </row>
    <row r="11" spans="2:6" x14ac:dyDescent="0.3">
      <c r="B11" s="45" t="s">
        <v>226</v>
      </c>
      <c r="C11" s="46">
        <f>1764000*0.5</f>
        <v>882000</v>
      </c>
      <c r="E11" s="8" t="s">
        <v>200</v>
      </c>
      <c r="F11" s="49">
        <v>1382800</v>
      </c>
    </row>
    <row r="12" spans="2:6" x14ac:dyDescent="0.3">
      <c r="B12" t="s">
        <v>47</v>
      </c>
      <c r="C12" s="43">
        <v>1508000</v>
      </c>
      <c r="E12" s="8" t="s">
        <v>200</v>
      </c>
      <c r="F12" s="49">
        <v>357000</v>
      </c>
    </row>
    <row r="13" spans="2:6" x14ac:dyDescent="0.3">
      <c r="B13" s="8" t="s">
        <v>228</v>
      </c>
      <c r="C13" s="49">
        <v>1382800</v>
      </c>
      <c r="E13" s="8" t="s">
        <v>231</v>
      </c>
      <c r="F13" s="49">
        <v>720000</v>
      </c>
    </row>
    <row r="14" spans="2:6" x14ac:dyDescent="0.3">
      <c r="B14" s="8" t="s">
        <v>228</v>
      </c>
      <c r="C14" s="49">
        <v>357000</v>
      </c>
      <c r="E14" t="s">
        <v>232</v>
      </c>
      <c r="F14" s="43">
        <v>116000</v>
      </c>
    </row>
    <row r="15" spans="2:6" x14ac:dyDescent="0.3">
      <c r="B15" t="s">
        <v>229</v>
      </c>
      <c r="C15" s="43">
        <v>110000</v>
      </c>
      <c r="E15" t="s">
        <v>233</v>
      </c>
      <c r="F15" s="43">
        <v>106910</v>
      </c>
    </row>
    <row r="16" spans="2:6" x14ac:dyDescent="0.3">
      <c r="B16" t="s">
        <v>230</v>
      </c>
      <c r="C16" s="43">
        <v>1482000</v>
      </c>
      <c r="E16" t="s">
        <v>215</v>
      </c>
      <c r="F16" s="43">
        <v>179000</v>
      </c>
    </row>
    <row r="17" spans="2:6" x14ac:dyDescent="0.3">
      <c r="B17" s="8" t="s">
        <v>228</v>
      </c>
      <c r="C17" s="49">
        <v>250000</v>
      </c>
      <c r="E17" t="s">
        <v>215</v>
      </c>
      <c r="F17" s="43">
        <v>1715000</v>
      </c>
    </row>
    <row r="18" spans="2:6" x14ac:dyDescent="0.3">
      <c r="B18" t="s">
        <v>225</v>
      </c>
      <c r="C18" s="43">
        <v>400000</v>
      </c>
      <c r="E18" t="s">
        <v>215</v>
      </c>
      <c r="F18" s="43">
        <v>114000</v>
      </c>
    </row>
    <row r="19" spans="2:6" x14ac:dyDescent="0.3">
      <c r="B19" s="8" t="s">
        <v>228</v>
      </c>
      <c r="C19" s="49">
        <v>969000</v>
      </c>
      <c r="E19" t="s">
        <v>215</v>
      </c>
      <c r="F19" s="43">
        <v>140000</v>
      </c>
    </row>
    <row r="20" spans="2:6" x14ac:dyDescent="0.3">
      <c r="C20" s="43"/>
      <c r="E20" t="s">
        <v>215</v>
      </c>
      <c r="F20" s="43">
        <v>152000</v>
      </c>
    </row>
    <row r="21" spans="2:6" x14ac:dyDescent="0.3">
      <c r="C21" s="43"/>
      <c r="E21" t="s">
        <v>215</v>
      </c>
      <c r="F21" s="43">
        <v>105000</v>
      </c>
    </row>
    <row r="22" spans="2:6" x14ac:dyDescent="0.3">
      <c r="E22" s="8" t="s">
        <v>234</v>
      </c>
      <c r="F22">
        <f>5705000/2</f>
        <v>2852500</v>
      </c>
    </row>
    <row r="23" spans="2:6" x14ac:dyDescent="0.3">
      <c r="E23" t="s">
        <v>178</v>
      </c>
      <c r="F23" s="5">
        <v>76791</v>
      </c>
    </row>
    <row r="24" spans="2:6" x14ac:dyDescent="0.3">
      <c r="E24" t="s">
        <v>178</v>
      </c>
      <c r="F24" s="5">
        <v>1714636</v>
      </c>
    </row>
    <row r="25" spans="2:6" x14ac:dyDescent="0.3">
      <c r="E25" s="8" t="s">
        <v>200</v>
      </c>
      <c r="F25" s="49">
        <v>969000</v>
      </c>
    </row>
    <row r="26" spans="2:6" x14ac:dyDescent="0.3">
      <c r="C26" s="21">
        <f>SUM(C3:C25)</f>
        <v>59289234.399999999</v>
      </c>
      <c r="E26" t="s">
        <v>235</v>
      </c>
      <c r="F26" s="3">
        <v>86000</v>
      </c>
    </row>
    <row r="27" spans="2:6" x14ac:dyDescent="0.3">
      <c r="F27" s="21">
        <f>SUM(F3:F26)</f>
        <v>15965004</v>
      </c>
    </row>
    <row r="30" spans="2:6" ht="18" x14ac:dyDescent="0.35">
      <c r="D30" s="38">
        <f>+C26-F27</f>
        <v>43324230.399999999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2B8A-FE97-4A10-AB55-A473E6ED90C4}">
  <sheetPr codeName="Hoja11"/>
  <dimension ref="B1:F35"/>
  <sheetViews>
    <sheetView workbookViewId="0">
      <selection activeCell="C6" sqref="C6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0" t="s">
        <v>1</v>
      </c>
      <c r="C1" s="120"/>
      <c r="E1" s="120" t="s">
        <v>9</v>
      </c>
      <c r="F1" s="120"/>
    </row>
    <row r="2" spans="2:6" x14ac:dyDescent="0.3">
      <c r="B2" s="119" t="s">
        <v>219</v>
      </c>
      <c r="C2" s="119"/>
      <c r="E2" s="119" t="s">
        <v>219</v>
      </c>
      <c r="F2" s="119"/>
    </row>
    <row r="3" spans="2:6" ht="18" x14ac:dyDescent="0.35">
      <c r="B3" s="30" t="s">
        <v>218</v>
      </c>
      <c r="C3" s="38">
        <v>43324230.399999999</v>
      </c>
      <c r="E3" s="14" t="s">
        <v>157</v>
      </c>
      <c r="F3" s="19">
        <v>0</v>
      </c>
    </row>
    <row r="4" spans="2:6" x14ac:dyDescent="0.3">
      <c r="B4" s="53" t="s">
        <v>68</v>
      </c>
      <c r="C4" s="54">
        <f>15634000</f>
        <v>15634000</v>
      </c>
      <c r="E4" t="s">
        <v>220</v>
      </c>
      <c r="F4" s="43">
        <v>380835</v>
      </c>
    </row>
    <row r="5" spans="2:6" x14ac:dyDescent="0.3">
      <c r="B5" s="53" t="s">
        <v>217</v>
      </c>
      <c r="C5" s="54">
        <v>0</v>
      </c>
      <c r="E5" t="s">
        <v>182</v>
      </c>
      <c r="F5" s="43">
        <v>411454</v>
      </c>
    </row>
    <row r="6" spans="2:6" x14ac:dyDescent="0.3">
      <c r="B6" s="53" t="s">
        <v>238</v>
      </c>
      <c r="C6" s="54">
        <f>500000*0.3</f>
        <v>150000</v>
      </c>
      <c r="E6" t="s">
        <v>178</v>
      </c>
      <c r="F6" s="43">
        <v>2138141</v>
      </c>
    </row>
    <row r="7" spans="2:6" x14ac:dyDescent="0.3">
      <c r="B7" s="45" t="s">
        <v>224</v>
      </c>
      <c r="C7" s="50">
        <f>2923000*0.5</f>
        <v>1461500</v>
      </c>
      <c r="E7" t="s">
        <v>220</v>
      </c>
      <c r="F7" s="43">
        <v>525989</v>
      </c>
    </row>
    <row r="8" spans="2:6" x14ac:dyDescent="0.3">
      <c r="B8" t="s">
        <v>237</v>
      </c>
      <c r="C8" s="51">
        <v>200000</v>
      </c>
      <c r="E8" t="s">
        <v>178</v>
      </c>
      <c r="F8" s="43">
        <v>76791</v>
      </c>
    </row>
    <row r="9" spans="2:6" x14ac:dyDescent="0.3">
      <c r="B9" s="41" t="s">
        <v>236</v>
      </c>
      <c r="C9" s="51">
        <v>444000</v>
      </c>
      <c r="E9" t="s">
        <v>178</v>
      </c>
      <c r="F9" s="43">
        <v>1695328</v>
      </c>
    </row>
    <row r="10" spans="2:6" x14ac:dyDescent="0.3">
      <c r="B10" s="8" t="s">
        <v>228</v>
      </c>
      <c r="C10" s="52">
        <v>1238400</v>
      </c>
      <c r="E10" t="s">
        <v>239</v>
      </c>
      <c r="F10" s="43">
        <v>850000</v>
      </c>
    </row>
    <row r="11" spans="2:6" x14ac:dyDescent="0.3">
      <c r="B11" s="41" t="s">
        <v>242</v>
      </c>
      <c r="C11" s="51">
        <v>1238000</v>
      </c>
      <c r="E11" s="8" t="s">
        <v>240</v>
      </c>
      <c r="F11" s="49">
        <v>4153000</v>
      </c>
    </row>
    <row r="12" spans="2:6" x14ac:dyDescent="0.3">
      <c r="B12" s="41" t="s">
        <v>243</v>
      </c>
      <c r="C12" s="51">
        <v>1036250</v>
      </c>
      <c r="E12" s="8" t="s">
        <v>241</v>
      </c>
      <c r="F12" s="49">
        <v>18542000</v>
      </c>
    </row>
    <row r="13" spans="2:6" x14ac:dyDescent="0.3">
      <c r="B13" s="41" t="s">
        <v>244</v>
      </c>
      <c r="C13" s="51">
        <v>2000000</v>
      </c>
      <c r="E13" t="s">
        <v>246</v>
      </c>
      <c r="F13" s="43">
        <v>105000</v>
      </c>
    </row>
    <row r="14" spans="2:6" x14ac:dyDescent="0.3">
      <c r="B14" s="41" t="s">
        <v>243</v>
      </c>
      <c r="C14" s="51">
        <v>727500</v>
      </c>
      <c r="E14" t="s">
        <v>247</v>
      </c>
      <c r="F14" s="43">
        <v>180000</v>
      </c>
    </row>
    <row r="15" spans="2:6" x14ac:dyDescent="0.3">
      <c r="B15" s="41" t="s">
        <v>245</v>
      </c>
      <c r="C15" s="51">
        <v>199142</v>
      </c>
      <c r="E15" t="s">
        <v>248</v>
      </c>
      <c r="F15" s="43">
        <v>180000</v>
      </c>
    </row>
    <row r="16" spans="2:6" x14ac:dyDescent="0.3">
      <c r="B16" s="41" t="s">
        <v>142</v>
      </c>
      <c r="C16" s="51">
        <v>8000000</v>
      </c>
      <c r="E16" t="s">
        <v>249</v>
      </c>
      <c r="F16" s="43">
        <v>340000</v>
      </c>
    </row>
    <row r="17" spans="2:6" ht="18" x14ac:dyDescent="0.35">
      <c r="B17" s="24" t="s">
        <v>251</v>
      </c>
      <c r="C17" s="58">
        <v>30000000</v>
      </c>
      <c r="E17" s="8" t="s">
        <v>250</v>
      </c>
      <c r="F17" s="49">
        <v>370000</v>
      </c>
    </row>
    <row r="18" spans="2:6" x14ac:dyDescent="0.3">
      <c r="B18" s="41" t="s">
        <v>243</v>
      </c>
      <c r="C18" s="51">
        <v>1530000</v>
      </c>
      <c r="E18" s="8" t="s">
        <v>200</v>
      </c>
      <c r="F18" s="49">
        <v>1238400</v>
      </c>
    </row>
    <row r="19" spans="2:6" x14ac:dyDescent="0.3">
      <c r="B19" s="41" t="s">
        <v>252</v>
      </c>
      <c r="C19" s="51">
        <v>1236000</v>
      </c>
      <c r="E19" s="8" t="s">
        <v>200</v>
      </c>
      <c r="F19" s="49">
        <v>408800</v>
      </c>
    </row>
    <row r="20" spans="2:6" x14ac:dyDescent="0.3">
      <c r="B20" s="41" t="s">
        <v>244</v>
      </c>
      <c r="C20" s="51">
        <v>3000000</v>
      </c>
      <c r="E20" t="s">
        <v>255</v>
      </c>
      <c r="F20" s="43">
        <v>3000000</v>
      </c>
    </row>
    <row r="21" spans="2:6" x14ac:dyDescent="0.3">
      <c r="B21" s="41" t="s">
        <v>244</v>
      </c>
      <c r="C21" s="51">
        <v>2000000</v>
      </c>
      <c r="E21" t="s">
        <v>257</v>
      </c>
      <c r="F21" s="43">
        <v>6946924</v>
      </c>
    </row>
    <row r="22" spans="2:6" x14ac:dyDescent="0.3">
      <c r="B22" s="41" t="s">
        <v>253</v>
      </c>
      <c r="C22" s="51">
        <v>1600000</v>
      </c>
      <c r="E22" s="8" t="s">
        <v>259</v>
      </c>
      <c r="F22" s="49">
        <v>7092894</v>
      </c>
    </row>
    <row r="23" spans="2:6" x14ac:dyDescent="0.3">
      <c r="B23" s="8" t="s">
        <v>228</v>
      </c>
      <c r="C23" s="52">
        <v>408800</v>
      </c>
      <c r="E23" s="8" t="s">
        <v>200</v>
      </c>
      <c r="F23" s="26">
        <v>682400</v>
      </c>
    </row>
    <row r="24" spans="2:6" x14ac:dyDescent="0.3">
      <c r="B24" s="41" t="s">
        <v>254</v>
      </c>
      <c r="C24" s="51">
        <v>250000</v>
      </c>
      <c r="F24" s="59"/>
    </row>
    <row r="25" spans="2:6" x14ac:dyDescent="0.3">
      <c r="B25" s="41" t="s">
        <v>256</v>
      </c>
      <c r="C25" s="51">
        <v>308000</v>
      </c>
      <c r="E25" s="8"/>
      <c r="F25" s="52"/>
    </row>
    <row r="26" spans="2:6" x14ac:dyDescent="0.3">
      <c r="B26" s="41" t="s">
        <v>258</v>
      </c>
      <c r="C26" s="3">
        <v>3335233</v>
      </c>
      <c r="F26" s="3"/>
    </row>
    <row r="27" spans="2:6" x14ac:dyDescent="0.3">
      <c r="B27" s="41" t="s">
        <v>242</v>
      </c>
      <c r="C27" s="51">
        <v>2951000</v>
      </c>
      <c r="F27" s="21"/>
    </row>
    <row r="28" spans="2:6" x14ac:dyDescent="0.3">
      <c r="B28" s="41" t="s">
        <v>243</v>
      </c>
      <c r="C28" s="51">
        <v>3098100</v>
      </c>
    </row>
    <row r="29" spans="2:6" x14ac:dyDescent="0.3">
      <c r="B29" s="60" t="s">
        <v>262</v>
      </c>
      <c r="C29" s="52">
        <f>50000+50000</f>
        <v>100000</v>
      </c>
    </row>
    <row r="30" spans="2:6" ht="18" x14ac:dyDescent="0.35">
      <c r="B30" s="60" t="s">
        <v>262</v>
      </c>
      <c r="C30" s="52">
        <v>600000</v>
      </c>
      <c r="D30" s="38"/>
    </row>
    <row r="31" spans="2:6" x14ac:dyDescent="0.3">
      <c r="B31" s="41" t="s">
        <v>261</v>
      </c>
      <c r="C31" s="51">
        <v>580000</v>
      </c>
    </row>
    <row r="32" spans="2:6" x14ac:dyDescent="0.3">
      <c r="B32" s="60" t="s">
        <v>263</v>
      </c>
      <c r="C32" s="52">
        <f>50000+250000+982400-600000</f>
        <v>682400</v>
      </c>
    </row>
    <row r="33" spans="3:6" ht="21" x14ac:dyDescent="0.4">
      <c r="C33" s="55">
        <f>SUM(C3:C32)</f>
        <v>127332555.40000001</v>
      </c>
      <c r="F33" s="55">
        <f>SUM(F3:F32)</f>
        <v>49317956</v>
      </c>
    </row>
    <row r="35" spans="3:6" ht="21" x14ac:dyDescent="0.4">
      <c r="D35" s="57" t="s">
        <v>260</v>
      </c>
      <c r="E35" s="56">
        <f>+C33-F33</f>
        <v>78014599.400000006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C8C6-2358-43CF-A046-BA05229794E2}">
  <sheetPr codeName="Hoja12"/>
  <dimension ref="B1:F41"/>
  <sheetViews>
    <sheetView workbookViewId="0">
      <selection activeCell="C6" sqref="C6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0" t="s">
        <v>1</v>
      </c>
      <c r="C1" s="120"/>
      <c r="E1" s="120" t="s">
        <v>9</v>
      </c>
      <c r="F1" s="120"/>
    </row>
    <row r="2" spans="2:6" x14ac:dyDescent="0.3">
      <c r="B2" s="119" t="s">
        <v>264</v>
      </c>
      <c r="C2" s="119"/>
      <c r="E2" s="119" t="s">
        <v>219</v>
      </c>
      <c r="F2" s="119"/>
    </row>
    <row r="3" spans="2:6" ht="21" x14ac:dyDescent="0.4">
      <c r="B3" s="30" t="s">
        <v>265</v>
      </c>
      <c r="C3" s="56">
        <v>78014599.400000006</v>
      </c>
      <c r="E3" s="14" t="s">
        <v>157</v>
      </c>
      <c r="F3" s="19">
        <v>0</v>
      </c>
    </row>
    <row r="4" spans="2:6" x14ac:dyDescent="0.3">
      <c r="B4" s="53" t="s">
        <v>68</v>
      </c>
      <c r="C4" s="54">
        <f>15634000-2600000</f>
        <v>13034000</v>
      </c>
      <c r="E4" t="s">
        <v>220</v>
      </c>
      <c r="F4" s="43">
        <v>384840</v>
      </c>
    </row>
    <row r="5" spans="2:6" x14ac:dyDescent="0.3">
      <c r="B5" s="53" t="s">
        <v>217</v>
      </c>
      <c r="C5" s="54">
        <f>5700000*0.3</f>
        <v>1710000</v>
      </c>
      <c r="E5" t="s">
        <v>182</v>
      </c>
      <c r="F5" s="43">
        <v>411454</v>
      </c>
    </row>
    <row r="6" spans="2:6" x14ac:dyDescent="0.3">
      <c r="B6" s="53" t="s">
        <v>238</v>
      </c>
      <c r="C6" s="54">
        <f>500000*0.3</f>
        <v>150000</v>
      </c>
      <c r="E6" t="s">
        <v>178</v>
      </c>
      <c r="F6" s="43">
        <v>2102656</v>
      </c>
    </row>
    <row r="7" spans="2:6" x14ac:dyDescent="0.3">
      <c r="B7" s="45" t="s">
        <v>224</v>
      </c>
      <c r="C7" s="50">
        <f>5143000/2</f>
        <v>2571500</v>
      </c>
      <c r="E7" t="s">
        <v>220</v>
      </c>
      <c r="F7" s="43">
        <v>515993</v>
      </c>
    </row>
    <row r="8" spans="2:6" x14ac:dyDescent="0.3">
      <c r="B8" t="s">
        <v>266</v>
      </c>
      <c r="C8" s="51">
        <v>400000</v>
      </c>
      <c r="E8" t="s">
        <v>178</v>
      </c>
      <c r="F8" s="43"/>
    </row>
    <row r="9" spans="2:6" x14ac:dyDescent="0.3">
      <c r="B9" s="41" t="s">
        <v>236</v>
      </c>
      <c r="C9" s="51">
        <v>508000</v>
      </c>
      <c r="E9" t="s">
        <v>178</v>
      </c>
      <c r="F9" s="43"/>
    </row>
    <row r="10" spans="2:6" x14ac:dyDescent="0.3">
      <c r="B10" s="8" t="s">
        <v>228</v>
      </c>
      <c r="C10" s="52">
        <v>482000</v>
      </c>
      <c r="E10" s="8" t="s">
        <v>267</v>
      </c>
      <c r="F10" s="49">
        <v>903000</v>
      </c>
    </row>
    <row r="11" spans="2:6" x14ac:dyDescent="0.3">
      <c r="B11" s="41" t="s">
        <v>270</v>
      </c>
      <c r="C11" s="51">
        <v>16676000</v>
      </c>
      <c r="E11" s="8" t="s">
        <v>268</v>
      </c>
      <c r="F11" s="49">
        <v>666400</v>
      </c>
    </row>
    <row r="12" spans="2:6" x14ac:dyDescent="0.3">
      <c r="B12" s="41" t="s">
        <v>271</v>
      </c>
      <c r="C12" s="51">
        <v>5000000</v>
      </c>
      <c r="E12" s="8" t="s">
        <v>269</v>
      </c>
      <c r="F12" s="49">
        <f>25597000+141000</f>
        <v>25738000</v>
      </c>
    </row>
    <row r="13" spans="2:6" x14ac:dyDescent="0.3">
      <c r="B13" s="41" t="s">
        <v>271</v>
      </c>
      <c r="C13" s="51">
        <v>2313700</v>
      </c>
      <c r="E13" s="8" t="s">
        <v>268</v>
      </c>
      <c r="F13" s="49">
        <v>1099560</v>
      </c>
    </row>
    <row r="14" spans="2:6" x14ac:dyDescent="0.3">
      <c r="B14" s="61" t="s">
        <v>272</v>
      </c>
      <c r="C14" s="62">
        <v>22800000</v>
      </c>
      <c r="E14" s="8" t="s">
        <v>274</v>
      </c>
      <c r="F14" s="49">
        <v>51899000</v>
      </c>
    </row>
    <row r="15" spans="2:6" x14ac:dyDescent="0.3">
      <c r="B15" s="41" t="s">
        <v>273</v>
      </c>
      <c r="C15" s="51">
        <v>6800000</v>
      </c>
      <c r="E15" s="8" t="s">
        <v>277</v>
      </c>
      <c r="F15" s="49">
        <v>10000000</v>
      </c>
    </row>
    <row r="16" spans="2:6" x14ac:dyDescent="0.3">
      <c r="B16" s="41" t="s">
        <v>276</v>
      </c>
      <c r="C16" s="51">
        <v>5766000</v>
      </c>
      <c r="E16" s="8" t="s">
        <v>208</v>
      </c>
      <c r="F16" s="43">
        <v>6367000</v>
      </c>
    </row>
    <row r="17" spans="2:6" x14ac:dyDescent="0.3">
      <c r="B17" t="s">
        <v>275</v>
      </c>
      <c r="C17" s="43">
        <v>7000000</v>
      </c>
      <c r="E17" s="8" t="s">
        <v>280</v>
      </c>
      <c r="F17" s="49">
        <v>2187404</v>
      </c>
    </row>
    <row r="18" spans="2:6" x14ac:dyDescent="0.3">
      <c r="B18" s="41" t="s">
        <v>278</v>
      </c>
      <c r="C18" s="51">
        <v>907200</v>
      </c>
      <c r="E18" s="8" t="s">
        <v>281</v>
      </c>
      <c r="F18" s="49">
        <v>3185943</v>
      </c>
    </row>
    <row r="19" spans="2:6" x14ac:dyDescent="0.3">
      <c r="B19" s="41" t="s">
        <v>279</v>
      </c>
      <c r="C19" s="51">
        <v>1693000</v>
      </c>
      <c r="E19" s="8" t="s">
        <v>282</v>
      </c>
      <c r="F19" s="49">
        <f>3681423+268464+4427047</f>
        <v>8376934</v>
      </c>
    </row>
    <row r="20" spans="2:6" x14ac:dyDescent="0.3">
      <c r="B20" s="41" t="s">
        <v>273</v>
      </c>
      <c r="C20" s="51">
        <v>6150000</v>
      </c>
      <c r="E20" s="8" t="s">
        <v>283</v>
      </c>
      <c r="F20" s="49">
        <v>66000</v>
      </c>
    </row>
    <row r="21" spans="2:6" x14ac:dyDescent="0.3">
      <c r="B21" s="41" t="s">
        <v>285</v>
      </c>
      <c r="C21" s="51">
        <v>371000</v>
      </c>
      <c r="E21" s="8" t="s">
        <v>284</v>
      </c>
      <c r="F21" s="49">
        <v>64000</v>
      </c>
    </row>
    <row r="22" spans="2:6" x14ac:dyDescent="0.3">
      <c r="B22" s="41" t="s">
        <v>286</v>
      </c>
      <c r="C22" s="51">
        <v>550000</v>
      </c>
      <c r="E22" s="8" t="s">
        <v>283</v>
      </c>
      <c r="F22" s="49">
        <v>75000</v>
      </c>
    </row>
    <row r="23" spans="2:6" x14ac:dyDescent="0.3">
      <c r="B23" s="41" t="s">
        <v>286</v>
      </c>
      <c r="C23" s="51">
        <v>430000</v>
      </c>
      <c r="E23" s="8" t="s">
        <v>284</v>
      </c>
      <c r="F23" s="26">
        <v>2796000</v>
      </c>
    </row>
    <row r="24" spans="2:6" x14ac:dyDescent="0.3">
      <c r="B24" s="41" t="s">
        <v>288</v>
      </c>
      <c r="C24" s="51">
        <v>2257000</v>
      </c>
      <c r="E24" s="8" t="s">
        <v>284</v>
      </c>
      <c r="F24" s="59">
        <v>1420000</v>
      </c>
    </row>
    <row r="25" spans="2:6" x14ac:dyDescent="0.3">
      <c r="B25" s="41" t="s">
        <v>289</v>
      </c>
      <c r="C25" s="51">
        <v>3121000</v>
      </c>
      <c r="E25" s="8" t="s">
        <v>284</v>
      </c>
      <c r="F25" s="52">
        <v>80000</v>
      </c>
    </row>
    <row r="26" spans="2:6" x14ac:dyDescent="0.3">
      <c r="B26" s="41" t="s">
        <v>290</v>
      </c>
      <c r="C26" s="3">
        <v>686000</v>
      </c>
      <c r="E26" s="8" t="s">
        <v>284</v>
      </c>
      <c r="F26" s="9">
        <v>600000</v>
      </c>
    </row>
    <row r="27" spans="2:6" x14ac:dyDescent="0.3">
      <c r="B27" s="8" t="s">
        <v>291</v>
      </c>
      <c r="C27" s="8">
        <v>30000000</v>
      </c>
      <c r="E27" s="8" t="s">
        <v>283</v>
      </c>
      <c r="F27" s="13">
        <v>136000</v>
      </c>
    </row>
    <row r="28" spans="2:6" x14ac:dyDescent="0.3">
      <c r="B28" s="41" t="s">
        <v>223</v>
      </c>
      <c r="C28" s="51">
        <v>396000</v>
      </c>
      <c r="E28" s="8" t="s">
        <v>283</v>
      </c>
      <c r="F28" s="8">
        <v>40000</v>
      </c>
    </row>
    <row r="29" spans="2:6" x14ac:dyDescent="0.3">
      <c r="B29" s="60"/>
      <c r="C29" s="52"/>
      <c r="E29" s="8" t="s">
        <v>283</v>
      </c>
      <c r="F29" s="8">
        <v>126000</v>
      </c>
    </row>
    <row r="30" spans="2:6" ht="18" x14ac:dyDescent="0.35">
      <c r="B30" s="60"/>
      <c r="C30" s="52"/>
      <c r="D30" s="38"/>
      <c r="E30" s="8" t="s">
        <v>107</v>
      </c>
      <c r="F30" s="8">
        <v>482000</v>
      </c>
    </row>
    <row r="31" spans="2:6" x14ac:dyDescent="0.3">
      <c r="B31" s="41"/>
      <c r="C31" s="51"/>
      <c r="E31" s="8" t="s">
        <v>287</v>
      </c>
      <c r="F31" s="8">
        <v>7785000</v>
      </c>
    </row>
    <row r="32" spans="2:6" x14ac:dyDescent="0.3">
      <c r="B32" s="60"/>
      <c r="C32" s="52"/>
      <c r="E32" s="8" t="s">
        <v>220</v>
      </c>
      <c r="F32" s="8">
        <v>299000</v>
      </c>
    </row>
    <row r="33" spans="3:6" x14ac:dyDescent="0.3">
      <c r="E33" s="8" t="s">
        <v>234</v>
      </c>
      <c r="F33" s="8">
        <f>5705000*0.6</f>
        <v>3423000</v>
      </c>
    </row>
    <row r="39" spans="3:6" ht="21" x14ac:dyDescent="0.4">
      <c r="C39" s="55">
        <f>SUM(C3:C38)</f>
        <v>209786999.40000001</v>
      </c>
      <c r="F39" s="55">
        <f>SUM(F3:F37)</f>
        <v>131230184</v>
      </c>
    </row>
    <row r="41" spans="3:6" ht="21" x14ac:dyDescent="0.4">
      <c r="D41" s="57" t="s">
        <v>260</v>
      </c>
      <c r="E41" s="56">
        <f>+C39-F39</f>
        <v>78556815.400000006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15C4-9D78-483E-A8DF-7FD139A58276}">
  <sheetPr codeName="Hoja13"/>
  <dimension ref="B1:F32"/>
  <sheetViews>
    <sheetView topLeftCell="A4" workbookViewId="0">
      <selection activeCell="D23" sqref="D23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1" t="s">
        <v>1</v>
      </c>
      <c r="C1" s="121"/>
      <c r="E1" s="121" t="s">
        <v>9</v>
      </c>
      <c r="F1" s="121"/>
    </row>
    <row r="2" spans="2:6" x14ac:dyDescent="0.3">
      <c r="B2" s="122" t="s">
        <v>10</v>
      </c>
      <c r="C2" s="122"/>
      <c r="E2" s="122" t="s">
        <v>10</v>
      </c>
      <c r="F2" s="122"/>
    </row>
    <row r="3" spans="2:6" ht="21" x14ac:dyDescent="0.4">
      <c r="B3" s="73" t="s">
        <v>292</v>
      </c>
      <c r="C3" s="74">
        <v>78556815.400000006</v>
      </c>
      <c r="E3" s="63" t="s">
        <v>157</v>
      </c>
      <c r="F3" s="64">
        <v>0</v>
      </c>
    </row>
    <row r="4" spans="2:6" x14ac:dyDescent="0.3">
      <c r="B4" s="75" t="s">
        <v>68</v>
      </c>
      <c r="C4" s="76">
        <f>15634000-1289408</f>
        <v>14344592</v>
      </c>
      <c r="E4" s="65" t="s">
        <v>220</v>
      </c>
      <c r="F4" s="66">
        <v>779151</v>
      </c>
    </row>
    <row r="5" spans="2:6" x14ac:dyDescent="0.3">
      <c r="B5" s="75" t="s">
        <v>217</v>
      </c>
      <c r="C5" s="76">
        <f>5694378*0.3</f>
        <v>1708313.4</v>
      </c>
      <c r="E5" s="65" t="s">
        <v>182</v>
      </c>
      <c r="F5" s="66">
        <v>411454</v>
      </c>
    </row>
    <row r="6" spans="2:6" x14ac:dyDescent="0.3">
      <c r="B6" s="75" t="s">
        <v>238</v>
      </c>
      <c r="C6" s="76">
        <f>500000*0.3</f>
        <v>150000</v>
      </c>
      <c r="E6" s="65" t="s">
        <v>178</v>
      </c>
      <c r="F6" s="66">
        <v>2061215</v>
      </c>
    </row>
    <row r="7" spans="2:6" x14ac:dyDescent="0.3">
      <c r="B7" s="77" t="s">
        <v>224</v>
      </c>
      <c r="C7" s="78">
        <f>3757000*0.4</f>
        <v>1502800</v>
      </c>
      <c r="E7" s="65" t="s">
        <v>220</v>
      </c>
      <c r="F7" s="66">
        <v>540897</v>
      </c>
    </row>
    <row r="8" spans="2:6" x14ac:dyDescent="0.3">
      <c r="B8" s="77" t="s">
        <v>237</v>
      </c>
      <c r="C8" s="78">
        <v>588000</v>
      </c>
      <c r="E8" s="65" t="s">
        <v>178</v>
      </c>
      <c r="F8" s="66">
        <v>1632639</v>
      </c>
    </row>
    <row r="9" spans="2:6" x14ac:dyDescent="0.3">
      <c r="B9" s="77" t="s">
        <v>236</v>
      </c>
      <c r="C9" s="78">
        <v>392000</v>
      </c>
      <c r="E9" s="67" t="s">
        <v>294</v>
      </c>
      <c r="F9" s="68">
        <v>625000</v>
      </c>
    </row>
    <row r="10" spans="2:6" x14ac:dyDescent="0.3">
      <c r="B10" s="77" t="s">
        <v>223</v>
      </c>
      <c r="C10" s="78">
        <v>478000</v>
      </c>
      <c r="E10" s="65" t="s">
        <v>295</v>
      </c>
      <c r="F10" s="81">
        <v>460800</v>
      </c>
    </row>
    <row r="11" spans="2:6" x14ac:dyDescent="0.3">
      <c r="B11" s="77" t="s">
        <v>309</v>
      </c>
      <c r="C11" s="78">
        <v>200000</v>
      </c>
      <c r="E11" s="67" t="s">
        <v>298</v>
      </c>
      <c r="F11" s="68">
        <v>1912740</v>
      </c>
    </row>
    <row r="12" spans="2:6" x14ac:dyDescent="0.3">
      <c r="B12" s="67" t="s">
        <v>296</v>
      </c>
      <c r="C12" s="68">
        <v>500000</v>
      </c>
      <c r="E12" s="65" t="s">
        <v>307</v>
      </c>
      <c r="F12" s="66">
        <v>1244962</v>
      </c>
    </row>
    <row r="13" spans="2:6" x14ac:dyDescent="0.3">
      <c r="B13" s="79" t="s">
        <v>293</v>
      </c>
      <c r="C13" s="66">
        <v>1117000</v>
      </c>
      <c r="E13" s="67" t="s">
        <v>308</v>
      </c>
      <c r="F13" s="68">
        <v>447440</v>
      </c>
    </row>
    <row r="14" spans="2:6" x14ac:dyDescent="0.3">
      <c r="B14" s="80" t="s">
        <v>297</v>
      </c>
      <c r="C14" s="68">
        <v>400000</v>
      </c>
      <c r="E14" s="67" t="s">
        <v>305</v>
      </c>
      <c r="F14" s="68">
        <v>9171041</v>
      </c>
    </row>
    <row r="15" spans="2:6" x14ac:dyDescent="0.3">
      <c r="B15" s="79" t="s">
        <v>311</v>
      </c>
      <c r="C15" s="66">
        <v>7000000</v>
      </c>
      <c r="E15" s="67" t="s">
        <v>306</v>
      </c>
      <c r="F15" s="68">
        <v>1487500</v>
      </c>
    </row>
    <row r="16" spans="2:6" x14ac:dyDescent="0.3">
      <c r="B16" s="79" t="s">
        <v>299</v>
      </c>
      <c r="C16" s="66">
        <v>2491000</v>
      </c>
      <c r="E16" s="67" t="s">
        <v>304</v>
      </c>
      <c r="F16" s="68">
        <v>6723709</v>
      </c>
    </row>
    <row r="17" spans="2:6" x14ac:dyDescent="0.3">
      <c r="B17" s="79" t="s">
        <v>300</v>
      </c>
      <c r="C17" s="66">
        <v>5000000</v>
      </c>
      <c r="E17" s="67" t="s">
        <v>313</v>
      </c>
      <c r="F17" s="68">
        <v>759400</v>
      </c>
    </row>
    <row r="18" spans="2:6" x14ac:dyDescent="0.3">
      <c r="B18" s="79" t="s">
        <v>301</v>
      </c>
      <c r="C18" s="66">
        <v>5839000</v>
      </c>
      <c r="E18" s="65" t="s">
        <v>315</v>
      </c>
      <c r="F18" s="65">
        <v>142800</v>
      </c>
    </row>
    <row r="19" spans="2:6" x14ac:dyDescent="0.3">
      <c r="B19" s="79" t="s">
        <v>302</v>
      </c>
      <c r="C19" s="66">
        <v>2276000</v>
      </c>
      <c r="E19" s="67" t="s">
        <v>316</v>
      </c>
      <c r="F19" s="68">
        <v>8003550</v>
      </c>
    </row>
    <row r="20" spans="2:6" x14ac:dyDescent="0.3">
      <c r="B20" s="79" t="s">
        <v>303</v>
      </c>
      <c r="C20" s="66">
        <v>180000</v>
      </c>
      <c r="E20" s="67" t="s">
        <v>317</v>
      </c>
      <c r="F20" s="68">
        <v>1734959</v>
      </c>
    </row>
    <row r="21" spans="2:6" x14ac:dyDescent="0.3">
      <c r="B21" s="79" t="s">
        <v>312</v>
      </c>
      <c r="C21" s="66">
        <v>2000000</v>
      </c>
      <c r="E21" s="67" t="s">
        <v>318</v>
      </c>
      <c r="F21" s="68">
        <v>1376931</v>
      </c>
    </row>
    <row r="22" spans="2:6" x14ac:dyDescent="0.3">
      <c r="B22" s="79" t="s">
        <v>314</v>
      </c>
      <c r="C22" s="66">
        <v>1000000</v>
      </c>
      <c r="E22" s="67" t="s">
        <v>322</v>
      </c>
      <c r="F22" s="69">
        <v>6367185</v>
      </c>
    </row>
    <row r="23" spans="2:6" x14ac:dyDescent="0.3">
      <c r="B23" s="67" t="s">
        <v>296</v>
      </c>
      <c r="C23" s="68">
        <v>400000</v>
      </c>
      <c r="E23" s="67" t="s">
        <v>321</v>
      </c>
      <c r="F23" s="70">
        <v>4181273</v>
      </c>
    </row>
    <row r="24" spans="2:6" x14ac:dyDescent="0.3">
      <c r="B24" s="79" t="s">
        <v>310</v>
      </c>
      <c r="C24" s="66">
        <v>160000</v>
      </c>
      <c r="E24" s="67" t="s">
        <v>281</v>
      </c>
      <c r="F24" s="68">
        <v>23300000</v>
      </c>
    </row>
    <row r="25" spans="2:6" x14ac:dyDescent="0.3">
      <c r="B25" s="67" t="s">
        <v>319</v>
      </c>
      <c r="C25" s="68">
        <v>100000</v>
      </c>
      <c r="E25" s="67" t="s">
        <v>255</v>
      </c>
      <c r="F25" s="71">
        <v>4000000</v>
      </c>
    </row>
    <row r="26" spans="2:6" x14ac:dyDescent="0.3">
      <c r="B26" s="67" t="s">
        <v>320</v>
      </c>
      <c r="C26" s="68">
        <v>400000</v>
      </c>
      <c r="E26" s="67"/>
      <c r="F26" s="72"/>
    </row>
    <row r="27" spans="2:6" x14ac:dyDescent="0.3">
      <c r="B27" s="77" t="s">
        <v>323</v>
      </c>
      <c r="C27" s="78">
        <v>200000</v>
      </c>
      <c r="E27" s="67"/>
      <c r="F27" s="67"/>
    </row>
    <row r="28" spans="2:6" x14ac:dyDescent="0.3">
      <c r="B28" s="67" t="s">
        <v>324</v>
      </c>
      <c r="C28" s="71">
        <v>150000</v>
      </c>
      <c r="E28" s="67"/>
      <c r="F28" s="67"/>
    </row>
    <row r="29" spans="2:6" ht="21" x14ac:dyDescent="0.4">
      <c r="B29" s="65"/>
      <c r="C29" s="65"/>
      <c r="F29" s="55">
        <f>SUM(F3:F28)</f>
        <v>77364646</v>
      </c>
    </row>
    <row r="30" spans="2:6" x14ac:dyDescent="0.3">
      <c r="B30" s="65"/>
      <c r="C30" s="65"/>
    </row>
    <row r="31" spans="2:6" ht="21" x14ac:dyDescent="0.4">
      <c r="B31" s="65"/>
      <c r="C31" s="65"/>
      <c r="E31" s="56">
        <f>+C32-F29</f>
        <v>49768874.800000012</v>
      </c>
    </row>
    <row r="32" spans="2:6" ht="21" x14ac:dyDescent="0.4">
      <c r="C32" s="55">
        <f>SUM(C3:C31)</f>
        <v>127133520.80000001</v>
      </c>
      <c r="D32" s="57" t="s">
        <v>260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7006-5671-467A-8C58-6082F41B9317}">
  <sheetPr codeName="Hoja14"/>
  <dimension ref="B1:F41"/>
  <sheetViews>
    <sheetView workbookViewId="0">
      <selection activeCell="E31" sqref="E31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1" t="s">
        <v>1</v>
      </c>
      <c r="C1" s="121"/>
      <c r="E1" s="121" t="s">
        <v>9</v>
      </c>
      <c r="F1" s="121"/>
    </row>
    <row r="2" spans="2:6" x14ac:dyDescent="0.3">
      <c r="B2" s="122" t="s">
        <v>2</v>
      </c>
      <c r="C2" s="122"/>
      <c r="E2" s="122" t="s">
        <v>325</v>
      </c>
      <c r="F2" s="122"/>
    </row>
    <row r="3" spans="2:6" ht="21" x14ac:dyDescent="0.4">
      <c r="B3" s="82" t="s">
        <v>326</v>
      </c>
      <c r="C3" s="83">
        <v>49768874.800000012</v>
      </c>
      <c r="E3" s="63" t="s">
        <v>157</v>
      </c>
      <c r="F3" s="64">
        <v>0</v>
      </c>
    </row>
    <row r="4" spans="2:6" x14ac:dyDescent="0.3">
      <c r="B4" s="75" t="s">
        <v>68</v>
      </c>
      <c r="C4" s="76">
        <f>15634000</f>
        <v>15634000</v>
      </c>
      <c r="E4" s="84" t="s">
        <v>220</v>
      </c>
      <c r="F4" s="85">
        <v>521764</v>
      </c>
    </row>
    <row r="5" spans="2:6" x14ac:dyDescent="0.3">
      <c r="B5" s="75" t="s">
        <v>217</v>
      </c>
      <c r="C5" s="76">
        <f>5557309*0.3</f>
        <v>1667192.7</v>
      </c>
      <c r="E5" s="84" t="s">
        <v>182</v>
      </c>
      <c r="F5" s="85">
        <v>411454</v>
      </c>
    </row>
    <row r="6" spans="2:6" x14ac:dyDescent="0.3">
      <c r="B6" s="75" t="s">
        <v>238</v>
      </c>
      <c r="C6" s="54">
        <f>500000*0.3</f>
        <v>150000</v>
      </c>
      <c r="E6" s="84" t="s">
        <v>178</v>
      </c>
      <c r="F6" s="85">
        <v>2031597</v>
      </c>
    </row>
    <row r="7" spans="2:6" x14ac:dyDescent="0.3">
      <c r="B7" s="77"/>
      <c r="C7" s="78"/>
      <c r="E7" s="84" t="s">
        <v>178</v>
      </c>
      <c r="F7" s="85">
        <v>1603000</v>
      </c>
    </row>
    <row r="8" spans="2:6" x14ac:dyDescent="0.3">
      <c r="B8" s="77" t="s">
        <v>344</v>
      </c>
      <c r="C8" s="78">
        <v>200000</v>
      </c>
      <c r="E8" s="67" t="s">
        <v>330</v>
      </c>
      <c r="F8" s="68">
        <v>5698200</v>
      </c>
    </row>
    <row r="9" spans="2:6" x14ac:dyDescent="0.3">
      <c r="B9" s="77" t="s">
        <v>236</v>
      </c>
      <c r="C9" s="78">
        <v>389000</v>
      </c>
      <c r="E9" s="67" t="s">
        <v>332</v>
      </c>
      <c r="F9" s="68">
        <v>1271795</v>
      </c>
    </row>
    <row r="10" spans="2:6" x14ac:dyDescent="0.3">
      <c r="B10" s="77" t="s">
        <v>223</v>
      </c>
      <c r="C10" s="78">
        <f>389000+28000</f>
        <v>417000</v>
      </c>
      <c r="E10" s="67" t="s">
        <v>333</v>
      </c>
      <c r="F10" s="68">
        <v>5965827</v>
      </c>
    </row>
    <row r="11" spans="2:6" x14ac:dyDescent="0.3">
      <c r="B11" s="77" t="s">
        <v>309</v>
      </c>
      <c r="C11" s="78"/>
      <c r="E11" s="67" t="s">
        <v>334</v>
      </c>
      <c r="F11" s="68">
        <v>13387598</v>
      </c>
    </row>
    <row r="12" spans="2:6" x14ac:dyDescent="0.3">
      <c r="B12" s="65" t="s">
        <v>327</v>
      </c>
      <c r="C12" s="81">
        <v>300000</v>
      </c>
      <c r="E12" s="67" t="s">
        <v>336</v>
      </c>
      <c r="F12" s="68">
        <v>3357941</v>
      </c>
    </row>
    <row r="13" spans="2:6" x14ac:dyDescent="0.3">
      <c r="B13" s="80" t="s">
        <v>328</v>
      </c>
      <c r="C13" s="68">
        <v>201000</v>
      </c>
      <c r="E13" s="67" t="s">
        <v>337</v>
      </c>
      <c r="F13" s="68">
        <v>1499000</v>
      </c>
    </row>
    <row r="14" spans="2:6" x14ac:dyDescent="0.3">
      <c r="B14" s="80" t="s">
        <v>329</v>
      </c>
      <c r="C14" s="68">
        <v>201000</v>
      </c>
      <c r="E14" s="67" t="s">
        <v>338</v>
      </c>
      <c r="F14" s="68">
        <v>1940000</v>
      </c>
    </row>
    <row r="15" spans="2:6" x14ac:dyDescent="0.3">
      <c r="B15" s="79" t="s">
        <v>364</v>
      </c>
      <c r="C15" s="66">
        <v>30000000</v>
      </c>
      <c r="E15" s="67" t="s">
        <v>340</v>
      </c>
      <c r="F15" s="68">
        <v>151702</v>
      </c>
    </row>
    <row r="16" spans="2:6" x14ac:dyDescent="0.3">
      <c r="B16" s="80" t="s">
        <v>331</v>
      </c>
      <c r="C16" s="68">
        <v>1289408</v>
      </c>
      <c r="E16" s="86" t="s">
        <v>341</v>
      </c>
      <c r="F16" s="87">
        <f>3694000*0.6</f>
        <v>2216400</v>
      </c>
    </row>
    <row r="17" spans="2:6" x14ac:dyDescent="0.3">
      <c r="B17" s="80" t="s">
        <v>342</v>
      </c>
      <c r="C17" s="68">
        <v>1036000</v>
      </c>
      <c r="E17" s="67" t="s">
        <v>343</v>
      </c>
      <c r="F17" s="67">
        <v>13000000</v>
      </c>
    </row>
    <row r="18" spans="2:6" x14ac:dyDescent="0.3">
      <c r="B18" s="80" t="s">
        <v>335</v>
      </c>
      <c r="C18" s="68">
        <v>1458000</v>
      </c>
      <c r="E18" s="67" t="s">
        <v>336</v>
      </c>
      <c r="F18" s="68">
        <v>42000</v>
      </c>
    </row>
    <row r="19" spans="2:6" x14ac:dyDescent="0.3">
      <c r="B19" s="80" t="s">
        <v>339</v>
      </c>
      <c r="C19" s="68">
        <v>6000000</v>
      </c>
      <c r="E19" s="67" t="s">
        <v>336</v>
      </c>
      <c r="F19" s="68">
        <v>25000</v>
      </c>
    </row>
    <row r="20" spans="2:6" x14ac:dyDescent="0.3">
      <c r="B20" s="80" t="s">
        <v>345</v>
      </c>
      <c r="C20" s="68">
        <v>72000</v>
      </c>
      <c r="E20" s="67" t="s">
        <v>346</v>
      </c>
      <c r="F20" s="68">
        <v>12789500</v>
      </c>
    </row>
    <row r="21" spans="2:6" x14ac:dyDescent="0.3">
      <c r="B21" s="80" t="s">
        <v>351</v>
      </c>
      <c r="C21" s="68">
        <v>1680000</v>
      </c>
      <c r="E21" s="67" t="s">
        <v>347</v>
      </c>
      <c r="F21" s="69">
        <v>8116439</v>
      </c>
    </row>
    <row r="22" spans="2:6" x14ac:dyDescent="0.3">
      <c r="B22" s="79" t="s">
        <v>118</v>
      </c>
      <c r="C22" s="81">
        <v>500000</v>
      </c>
      <c r="E22" s="67" t="s">
        <v>348</v>
      </c>
      <c r="F22" s="69">
        <v>3236781</v>
      </c>
    </row>
    <row r="23" spans="2:6" x14ac:dyDescent="0.3">
      <c r="B23" s="79" t="s">
        <v>118</v>
      </c>
      <c r="C23" s="81">
        <v>400000</v>
      </c>
      <c r="E23" s="67" t="s">
        <v>349</v>
      </c>
      <c r="F23" s="68">
        <v>1349050</v>
      </c>
    </row>
    <row r="24" spans="2:6" x14ac:dyDescent="0.3">
      <c r="B24" s="79" t="s">
        <v>118</v>
      </c>
      <c r="C24" s="81">
        <v>400000</v>
      </c>
      <c r="E24" s="67" t="s">
        <v>347</v>
      </c>
      <c r="F24" s="71">
        <v>2500000</v>
      </c>
    </row>
    <row r="25" spans="2:6" x14ac:dyDescent="0.3">
      <c r="B25" s="79" t="s">
        <v>118</v>
      </c>
      <c r="C25" s="81">
        <v>400000</v>
      </c>
      <c r="E25" s="67" t="s">
        <v>347</v>
      </c>
      <c r="F25" s="72">
        <v>600000</v>
      </c>
    </row>
    <row r="26" spans="2:6" x14ac:dyDescent="0.3">
      <c r="B26" s="80" t="s">
        <v>353</v>
      </c>
      <c r="C26" s="68">
        <v>315900</v>
      </c>
      <c r="E26" s="67" t="s">
        <v>350</v>
      </c>
      <c r="F26" s="67">
        <v>300000</v>
      </c>
    </row>
    <row r="27" spans="2:6" x14ac:dyDescent="0.3">
      <c r="B27" s="67" t="s">
        <v>354</v>
      </c>
      <c r="C27" s="68">
        <v>733000</v>
      </c>
      <c r="E27" s="67" t="s">
        <v>338</v>
      </c>
      <c r="F27" s="67">
        <v>37000</v>
      </c>
    </row>
    <row r="28" spans="2:6" x14ac:dyDescent="0.3">
      <c r="B28" s="80" t="s">
        <v>355</v>
      </c>
      <c r="C28" s="68">
        <v>445500</v>
      </c>
      <c r="E28" s="67" t="s">
        <v>338</v>
      </c>
      <c r="F28" s="67">
        <v>11811000</v>
      </c>
    </row>
    <row r="29" spans="2:6" x14ac:dyDescent="0.3">
      <c r="B29" s="80" t="s">
        <v>30</v>
      </c>
      <c r="C29" s="88">
        <v>996000</v>
      </c>
      <c r="E29" s="67" t="s">
        <v>338</v>
      </c>
      <c r="F29" s="67">
        <v>890000</v>
      </c>
    </row>
    <row r="30" spans="2:6" ht="18" x14ac:dyDescent="0.35">
      <c r="B30" s="67" t="s">
        <v>356</v>
      </c>
      <c r="C30" s="71">
        <v>6215000</v>
      </c>
      <c r="D30" s="38"/>
      <c r="E30" s="67" t="s">
        <v>338</v>
      </c>
      <c r="F30" s="67">
        <v>34000</v>
      </c>
    </row>
    <row r="31" spans="2:6" x14ac:dyDescent="0.3">
      <c r="B31" s="67" t="s">
        <v>357</v>
      </c>
      <c r="C31" s="67">
        <v>1680000</v>
      </c>
      <c r="E31" s="67" t="s">
        <v>352</v>
      </c>
      <c r="F31" s="67">
        <v>1710000</v>
      </c>
    </row>
    <row r="32" spans="2:6" x14ac:dyDescent="0.3">
      <c r="B32" s="80" t="s">
        <v>361</v>
      </c>
      <c r="C32" s="68">
        <v>965000</v>
      </c>
      <c r="E32" s="67" t="s">
        <v>358</v>
      </c>
      <c r="F32" s="67">
        <v>25180000</v>
      </c>
    </row>
    <row r="33" spans="2:6" x14ac:dyDescent="0.3">
      <c r="B33" s="80" t="s">
        <v>360</v>
      </c>
      <c r="C33" s="68">
        <v>1382000</v>
      </c>
      <c r="E33" s="65"/>
      <c r="F33" s="65"/>
    </row>
    <row r="34" spans="2:6" x14ac:dyDescent="0.3">
      <c r="B34" s="80" t="s">
        <v>359</v>
      </c>
      <c r="C34" s="68">
        <v>6000000</v>
      </c>
      <c r="E34" s="65"/>
      <c r="F34" s="65"/>
    </row>
    <row r="35" spans="2:6" x14ac:dyDescent="0.3">
      <c r="B35" s="80" t="s">
        <v>363</v>
      </c>
      <c r="C35" s="68">
        <v>1086400</v>
      </c>
      <c r="E35" s="65"/>
      <c r="F35" s="65"/>
    </row>
    <row r="36" spans="2:6" x14ac:dyDescent="0.3">
      <c r="B36" s="80" t="s">
        <v>362</v>
      </c>
      <c r="C36" s="68">
        <v>1463700</v>
      </c>
      <c r="E36" s="65"/>
      <c r="F36" s="65"/>
    </row>
    <row r="37" spans="2:6" ht="21" x14ac:dyDescent="0.4">
      <c r="B37" s="65"/>
      <c r="C37" s="65"/>
      <c r="F37" s="55">
        <f>SUM(F3:F35)</f>
        <v>121677048</v>
      </c>
    </row>
    <row r="38" spans="2:6" x14ac:dyDescent="0.3">
      <c r="B38" s="65"/>
      <c r="C38" s="65"/>
    </row>
    <row r="39" spans="2:6" x14ac:dyDescent="0.3">
      <c r="B39" s="65"/>
      <c r="C39" s="65"/>
    </row>
    <row r="40" spans="2:6" ht="21" x14ac:dyDescent="0.4">
      <c r="C40" s="55">
        <f>SUM(C3:C39)</f>
        <v>133445975.50000001</v>
      </c>
      <c r="E40" s="90">
        <f>+C40-F37</f>
        <v>11768927.500000015</v>
      </c>
    </row>
    <row r="41" spans="2:6" ht="21" x14ac:dyDescent="0.4">
      <c r="D41" s="89" t="s">
        <v>260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AF59-17D7-4D4D-A335-7C378F1E1992}">
  <sheetPr codeName="Hoja15"/>
  <dimension ref="B1:F42"/>
  <sheetViews>
    <sheetView workbookViewId="0">
      <selection activeCell="E41" sqref="E41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1" t="s">
        <v>1</v>
      </c>
      <c r="C1" s="121"/>
      <c r="E1" s="121" t="s">
        <v>9</v>
      </c>
      <c r="F1" s="121"/>
    </row>
    <row r="2" spans="2:6" x14ac:dyDescent="0.3">
      <c r="B2" s="122" t="s">
        <v>37</v>
      </c>
      <c r="C2" s="122"/>
      <c r="E2" s="122" t="s">
        <v>37</v>
      </c>
      <c r="F2" s="122"/>
    </row>
    <row r="3" spans="2:6" ht="21" x14ac:dyDescent="0.4">
      <c r="B3" s="82" t="s">
        <v>386</v>
      </c>
      <c r="C3" s="83">
        <v>11768927.500000015</v>
      </c>
      <c r="E3" s="63" t="s">
        <v>157</v>
      </c>
      <c r="F3" s="91"/>
    </row>
    <row r="4" spans="2:6" x14ac:dyDescent="0.3">
      <c r="B4" s="75" t="s">
        <v>68</v>
      </c>
      <c r="C4" s="76">
        <f>15634000</f>
        <v>15634000</v>
      </c>
      <c r="E4" s="84" t="s">
        <v>220</v>
      </c>
      <c r="F4" s="85">
        <v>503741</v>
      </c>
    </row>
    <row r="5" spans="2:6" x14ac:dyDescent="0.3">
      <c r="B5" s="95" t="s">
        <v>38</v>
      </c>
      <c r="C5" s="94">
        <v>4736000</v>
      </c>
      <c r="E5" s="84" t="s">
        <v>182</v>
      </c>
      <c r="F5" s="85">
        <v>411454</v>
      </c>
    </row>
    <row r="6" spans="2:6" x14ac:dyDescent="0.3">
      <c r="B6" s="95" t="s">
        <v>371</v>
      </c>
      <c r="C6" s="94">
        <v>1990440</v>
      </c>
      <c r="E6" s="84" t="s">
        <v>178</v>
      </c>
      <c r="F6" s="85">
        <v>1992663</v>
      </c>
    </row>
    <row r="7" spans="2:6" x14ac:dyDescent="0.3">
      <c r="B7" s="75" t="s">
        <v>217</v>
      </c>
      <c r="C7" s="76">
        <f>5557309*0.3</f>
        <v>1667192.7</v>
      </c>
      <c r="E7" s="84" t="s">
        <v>220</v>
      </c>
      <c r="F7" s="85">
        <v>183163</v>
      </c>
    </row>
    <row r="8" spans="2:6" x14ac:dyDescent="0.3">
      <c r="B8" s="75" t="s">
        <v>217</v>
      </c>
      <c r="C8" s="76">
        <f>20910810*0.3</f>
        <v>6273243</v>
      </c>
      <c r="E8" s="84" t="s">
        <v>178</v>
      </c>
      <c r="F8" s="85"/>
    </row>
    <row r="9" spans="2:6" x14ac:dyDescent="0.3">
      <c r="B9" s="75" t="s">
        <v>238</v>
      </c>
      <c r="C9" s="76">
        <v>150000</v>
      </c>
      <c r="E9" s="67" t="s">
        <v>367</v>
      </c>
      <c r="F9" s="68">
        <v>5944529</v>
      </c>
    </row>
    <row r="10" spans="2:6" x14ac:dyDescent="0.3">
      <c r="B10" s="77" t="s">
        <v>365</v>
      </c>
      <c r="C10" s="78">
        <v>200000</v>
      </c>
      <c r="E10" s="67" t="s">
        <v>373</v>
      </c>
      <c r="F10" s="68">
        <v>130000</v>
      </c>
    </row>
    <row r="11" spans="2:6" x14ac:dyDescent="0.3">
      <c r="B11" s="77" t="s">
        <v>344</v>
      </c>
      <c r="C11" s="78">
        <v>400000</v>
      </c>
      <c r="E11" s="67" t="s">
        <v>268</v>
      </c>
      <c r="F11" s="68">
        <v>452200</v>
      </c>
    </row>
    <row r="12" spans="2:6" x14ac:dyDescent="0.3">
      <c r="B12" s="77" t="s">
        <v>236</v>
      </c>
      <c r="C12" s="78">
        <v>534000</v>
      </c>
      <c r="E12" s="67" t="s">
        <v>378</v>
      </c>
      <c r="F12" s="68">
        <f>4299445/2</f>
        <v>2149722.5</v>
      </c>
    </row>
    <row r="13" spans="2:6" x14ac:dyDescent="0.3">
      <c r="B13" s="77" t="s">
        <v>223</v>
      </c>
      <c r="C13" s="78">
        <v>500000</v>
      </c>
      <c r="E13" s="67" t="s">
        <v>381</v>
      </c>
      <c r="F13" s="68">
        <v>900000</v>
      </c>
    </row>
    <row r="14" spans="2:6" x14ac:dyDescent="0.3">
      <c r="B14" s="93" t="s">
        <v>366</v>
      </c>
      <c r="C14" s="92">
        <v>82412</v>
      </c>
      <c r="E14" s="67" t="s">
        <v>379</v>
      </c>
      <c r="F14" s="68">
        <v>6400000</v>
      </c>
    </row>
    <row r="15" spans="2:6" x14ac:dyDescent="0.3">
      <c r="B15" s="67" t="s">
        <v>369</v>
      </c>
      <c r="C15" s="68">
        <v>400000</v>
      </c>
      <c r="E15" s="67" t="s">
        <v>380</v>
      </c>
      <c r="F15" s="68">
        <v>97000</v>
      </c>
    </row>
    <row r="16" spans="2:6" x14ac:dyDescent="0.3">
      <c r="B16" s="80" t="s">
        <v>368</v>
      </c>
      <c r="C16" s="68">
        <v>300000</v>
      </c>
      <c r="E16" s="67"/>
      <c r="F16" s="68"/>
    </row>
    <row r="17" spans="2:6" x14ac:dyDescent="0.3">
      <c r="B17" s="80" t="s">
        <v>370</v>
      </c>
      <c r="C17" s="68">
        <v>50000</v>
      </c>
      <c r="E17" s="80"/>
      <c r="F17" s="68"/>
    </row>
    <row r="18" spans="2:6" x14ac:dyDescent="0.3">
      <c r="B18" s="79" t="s">
        <v>224</v>
      </c>
      <c r="C18" s="66">
        <f>4878000*0.4</f>
        <v>1951200</v>
      </c>
      <c r="E18" s="80"/>
      <c r="F18" s="80"/>
    </row>
    <row r="19" spans="2:6" x14ac:dyDescent="0.3">
      <c r="B19" s="79" t="s">
        <v>372</v>
      </c>
      <c r="C19" s="81">
        <v>119485</v>
      </c>
      <c r="E19" s="67"/>
      <c r="F19" s="68"/>
    </row>
    <row r="20" spans="2:6" x14ac:dyDescent="0.3">
      <c r="B20" s="80" t="s">
        <v>126</v>
      </c>
      <c r="C20" s="68">
        <v>6189709</v>
      </c>
      <c r="E20" s="67"/>
      <c r="F20" s="68"/>
    </row>
    <row r="21" spans="2:6" x14ac:dyDescent="0.3">
      <c r="B21" s="80" t="s">
        <v>374</v>
      </c>
      <c r="C21" s="68">
        <v>136548</v>
      </c>
      <c r="E21" s="67"/>
      <c r="F21" s="68"/>
    </row>
    <row r="22" spans="2:6" x14ac:dyDescent="0.3">
      <c r="B22" s="80" t="s">
        <v>375</v>
      </c>
      <c r="C22" s="68">
        <v>12066000</v>
      </c>
      <c r="E22" s="67"/>
      <c r="F22" s="69"/>
    </row>
    <row r="23" spans="2:6" x14ac:dyDescent="0.3">
      <c r="B23" s="77" t="s">
        <v>376</v>
      </c>
      <c r="C23" s="78">
        <v>248000</v>
      </c>
      <c r="E23" s="67"/>
      <c r="F23" s="69"/>
    </row>
    <row r="24" spans="2:6" x14ac:dyDescent="0.3">
      <c r="B24" s="80" t="s">
        <v>377</v>
      </c>
      <c r="C24" s="68">
        <v>250000</v>
      </c>
      <c r="E24" s="67"/>
      <c r="F24" s="68"/>
    </row>
    <row r="25" spans="2:6" x14ac:dyDescent="0.3">
      <c r="B25" s="79"/>
      <c r="C25" s="81"/>
      <c r="E25" s="67"/>
      <c r="F25" s="71"/>
    </row>
    <row r="26" spans="2:6" x14ac:dyDescent="0.3">
      <c r="B26" s="79"/>
      <c r="C26" s="81"/>
      <c r="E26" s="67"/>
      <c r="F26" s="72"/>
    </row>
    <row r="27" spans="2:6" x14ac:dyDescent="0.3">
      <c r="B27" s="79"/>
      <c r="C27" s="81"/>
      <c r="E27" s="67"/>
      <c r="F27" s="67"/>
    </row>
    <row r="28" spans="2:6" x14ac:dyDescent="0.3">
      <c r="B28" s="79"/>
      <c r="C28" s="81"/>
      <c r="E28" s="67"/>
      <c r="F28" s="67"/>
    </row>
    <row r="29" spans="2:6" x14ac:dyDescent="0.3">
      <c r="B29" s="80"/>
      <c r="C29" s="68"/>
      <c r="E29" s="67"/>
      <c r="F29" s="67"/>
    </row>
    <row r="30" spans="2:6" ht="18" x14ac:dyDescent="0.35">
      <c r="B30" s="67"/>
      <c r="C30" s="68"/>
      <c r="D30" s="38"/>
      <c r="E30" s="67"/>
      <c r="F30" s="67"/>
    </row>
    <row r="31" spans="2:6" x14ac:dyDescent="0.3">
      <c r="B31" s="80"/>
      <c r="C31" s="68"/>
      <c r="E31" s="67"/>
      <c r="F31" s="67"/>
    </row>
    <row r="32" spans="2:6" x14ac:dyDescent="0.3">
      <c r="B32" s="80"/>
      <c r="C32" s="88"/>
      <c r="E32" s="67"/>
      <c r="F32" s="67"/>
    </row>
    <row r="33" spans="2:6" x14ac:dyDescent="0.3">
      <c r="B33" s="67"/>
      <c r="C33" s="71"/>
      <c r="E33" s="67"/>
      <c r="F33" s="67"/>
    </row>
    <row r="34" spans="2:6" x14ac:dyDescent="0.3">
      <c r="B34" s="67"/>
      <c r="C34" s="67"/>
      <c r="E34" s="65"/>
      <c r="F34" s="65"/>
    </row>
    <row r="35" spans="2:6" x14ac:dyDescent="0.3">
      <c r="B35" s="80"/>
      <c r="C35" s="68"/>
      <c r="E35" s="65"/>
      <c r="F35" s="65"/>
    </row>
    <row r="36" spans="2:6" x14ac:dyDescent="0.3">
      <c r="B36" s="80"/>
      <c r="C36" s="68"/>
      <c r="E36" s="65"/>
      <c r="F36" s="65"/>
    </row>
    <row r="37" spans="2:6" x14ac:dyDescent="0.3">
      <c r="B37" s="80"/>
      <c r="C37" s="68"/>
      <c r="E37" s="65"/>
      <c r="F37" s="65"/>
    </row>
    <row r="38" spans="2:6" ht="21" x14ac:dyDescent="0.4">
      <c r="B38" s="80"/>
      <c r="C38" s="55">
        <f>SUM(C3:C37)</f>
        <v>65647157.200000018</v>
      </c>
      <c r="F38" s="55">
        <f>SUM(F3:F36)</f>
        <v>19164472.5</v>
      </c>
    </row>
    <row r="39" spans="2:6" x14ac:dyDescent="0.3">
      <c r="B39" s="80"/>
      <c r="C39" s="68"/>
    </row>
    <row r="40" spans="2:6" x14ac:dyDescent="0.3">
      <c r="B40" s="65"/>
      <c r="C40" s="65"/>
    </row>
    <row r="41" spans="2:6" ht="21" x14ac:dyDescent="0.4">
      <c r="B41" s="65"/>
      <c r="C41" s="65"/>
      <c r="D41" s="89" t="s">
        <v>260</v>
      </c>
      <c r="E41" s="90">
        <f>+C38-F38</f>
        <v>46482684.700000018</v>
      </c>
    </row>
    <row r="42" spans="2:6" x14ac:dyDescent="0.3">
      <c r="B42" s="65"/>
      <c r="C42" s="65"/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41F2-D15F-414B-BFD6-E4EEED23D992}">
  <dimension ref="B1:J56"/>
  <sheetViews>
    <sheetView workbookViewId="0">
      <selection activeCell="F14" sqref="F14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1" t="s">
        <v>1</v>
      </c>
      <c r="C1" s="121"/>
      <c r="E1" s="121" t="s">
        <v>9</v>
      </c>
      <c r="F1" s="121"/>
    </row>
    <row r="2" spans="2:6" x14ac:dyDescent="0.3">
      <c r="B2" s="122" t="s">
        <v>54</v>
      </c>
      <c r="C2" s="122"/>
      <c r="E2" s="122" t="s">
        <v>54</v>
      </c>
      <c r="F2" s="122"/>
    </row>
    <row r="3" spans="2:6" ht="21" x14ac:dyDescent="0.4">
      <c r="B3" s="82" t="s">
        <v>387</v>
      </c>
      <c r="C3" s="90">
        <v>46482684.700000018</v>
      </c>
      <c r="E3" s="63" t="s">
        <v>157</v>
      </c>
      <c r="F3" s="91"/>
    </row>
    <row r="4" spans="2:6" x14ac:dyDescent="0.3">
      <c r="B4" s="75" t="s">
        <v>68</v>
      </c>
      <c r="C4" s="76">
        <v>18504064</v>
      </c>
      <c r="E4" s="84" t="s">
        <v>220</v>
      </c>
      <c r="F4" s="85">
        <v>503741</v>
      </c>
    </row>
    <row r="5" spans="2:6" x14ac:dyDescent="0.3">
      <c r="B5" s="75" t="s">
        <v>238</v>
      </c>
      <c r="C5" s="76">
        <v>150000</v>
      </c>
      <c r="E5" s="84" t="s">
        <v>182</v>
      </c>
      <c r="F5" s="85">
        <v>411454</v>
      </c>
    </row>
    <row r="6" spans="2:6" x14ac:dyDescent="0.3">
      <c r="B6" s="77" t="s">
        <v>365</v>
      </c>
      <c r="C6" s="78">
        <v>200000</v>
      </c>
      <c r="E6" s="84" t="s">
        <v>178</v>
      </c>
      <c r="F6" s="85">
        <v>1576209</v>
      </c>
    </row>
    <row r="7" spans="2:6" x14ac:dyDescent="0.3">
      <c r="B7" s="77" t="s">
        <v>309</v>
      </c>
      <c r="C7" s="78">
        <v>0</v>
      </c>
      <c r="E7" s="84" t="s">
        <v>178</v>
      </c>
      <c r="F7" s="85">
        <v>1960406</v>
      </c>
    </row>
    <row r="8" spans="2:6" x14ac:dyDescent="0.3">
      <c r="B8" s="77" t="s">
        <v>236</v>
      </c>
      <c r="C8" s="78">
        <v>0</v>
      </c>
      <c r="E8" s="84" t="s">
        <v>178</v>
      </c>
      <c r="F8" s="85"/>
    </row>
    <row r="9" spans="2:6" x14ac:dyDescent="0.3">
      <c r="B9" s="77" t="s">
        <v>223</v>
      </c>
      <c r="C9" s="78">
        <v>281000</v>
      </c>
      <c r="E9" s="67" t="s">
        <v>71</v>
      </c>
      <c r="F9" s="68">
        <v>13691000</v>
      </c>
    </row>
    <row r="10" spans="2:6" x14ac:dyDescent="0.3">
      <c r="B10" s="80" t="s">
        <v>382</v>
      </c>
      <c r="C10" s="88">
        <v>500000</v>
      </c>
      <c r="E10" s="67" t="s">
        <v>389</v>
      </c>
      <c r="F10" s="68">
        <v>1783819</v>
      </c>
    </row>
    <row r="11" spans="2:6" x14ac:dyDescent="0.3">
      <c r="B11" s="80" t="s">
        <v>383</v>
      </c>
      <c r="C11" s="88">
        <v>300000</v>
      </c>
      <c r="E11" s="67" t="s">
        <v>390</v>
      </c>
      <c r="F11" s="68">
        <v>4540750</v>
      </c>
    </row>
    <row r="12" spans="2:6" x14ac:dyDescent="0.3">
      <c r="B12" s="79" t="s">
        <v>384</v>
      </c>
      <c r="C12" s="92">
        <v>21950000</v>
      </c>
      <c r="E12" s="67" t="s">
        <v>392</v>
      </c>
      <c r="F12" s="68">
        <v>712647</v>
      </c>
    </row>
    <row r="13" spans="2:6" x14ac:dyDescent="0.3">
      <c r="B13" s="79" t="s">
        <v>244</v>
      </c>
      <c r="C13" s="92">
        <v>3000000</v>
      </c>
      <c r="E13" s="67" t="s">
        <v>393</v>
      </c>
      <c r="F13" s="68">
        <v>79613625</v>
      </c>
    </row>
    <row r="14" spans="2:6" x14ac:dyDescent="0.3">
      <c r="B14" s="93" t="s">
        <v>385</v>
      </c>
      <c r="C14" s="92">
        <v>500000</v>
      </c>
      <c r="E14" s="97" t="s">
        <v>394</v>
      </c>
      <c r="F14" s="98">
        <f>200000+74000+429000+41000</f>
        <v>744000</v>
      </c>
    </row>
    <row r="15" spans="2:6" x14ac:dyDescent="0.3">
      <c r="B15" s="79" t="s">
        <v>244</v>
      </c>
      <c r="C15" s="92">
        <v>4535350</v>
      </c>
      <c r="E15" s="67" t="s">
        <v>395</v>
      </c>
      <c r="F15" s="68">
        <v>9045901</v>
      </c>
    </row>
    <row r="16" spans="2:6" x14ac:dyDescent="0.3">
      <c r="B16" s="79" t="s">
        <v>252</v>
      </c>
      <c r="C16" s="92">
        <v>937000</v>
      </c>
      <c r="E16" s="67" t="s">
        <v>397</v>
      </c>
      <c r="F16" s="68">
        <v>641250</v>
      </c>
    </row>
    <row r="17" spans="2:10" x14ac:dyDescent="0.3">
      <c r="B17" s="79" t="s">
        <v>242</v>
      </c>
      <c r="C17" s="92">
        <v>2082000</v>
      </c>
      <c r="E17" s="67" t="s">
        <v>397</v>
      </c>
      <c r="F17" s="68">
        <v>211000</v>
      </c>
    </row>
    <row r="18" spans="2:10" x14ac:dyDescent="0.3">
      <c r="B18" s="79" t="s">
        <v>244</v>
      </c>
      <c r="C18" s="92">
        <v>5429000</v>
      </c>
      <c r="E18" s="67" t="s">
        <v>397</v>
      </c>
      <c r="F18" s="68">
        <v>117000</v>
      </c>
    </row>
    <row r="19" spans="2:10" x14ac:dyDescent="0.3">
      <c r="B19" s="79" t="s">
        <v>252</v>
      </c>
      <c r="C19" s="92">
        <v>3217000</v>
      </c>
      <c r="E19" s="67" t="s">
        <v>400</v>
      </c>
      <c r="F19" s="68">
        <v>10321993</v>
      </c>
    </row>
    <row r="20" spans="2:10" x14ac:dyDescent="0.3">
      <c r="B20" s="79" t="s">
        <v>242</v>
      </c>
      <c r="C20" s="92">
        <v>301200</v>
      </c>
      <c r="E20" s="100" t="s">
        <v>405</v>
      </c>
      <c r="F20" s="99">
        <v>193600</v>
      </c>
      <c r="H20" s="108"/>
      <c r="I20" s="109"/>
      <c r="J20" s="110"/>
    </row>
    <row r="21" spans="2:10" x14ac:dyDescent="0.3">
      <c r="B21" s="79" t="s">
        <v>243</v>
      </c>
      <c r="C21" s="92">
        <v>5690000</v>
      </c>
      <c r="E21" s="100" t="s">
        <v>406</v>
      </c>
      <c r="F21" s="99">
        <v>71632</v>
      </c>
      <c r="H21" s="108"/>
      <c r="I21" s="109"/>
      <c r="J21" s="110"/>
    </row>
    <row r="22" spans="2:10" x14ac:dyDescent="0.3">
      <c r="B22" s="80" t="s">
        <v>388</v>
      </c>
      <c r="C22" s="68">
        <v>2800000</v>
      </c>
      <c r="E22" s="100" t="s">
        <v>407</v>
      </c>
      <c r="F22" s="99">
        <v>414199.5</v>
      </c>
      <c r="H22" s="108"/>
      <c r="I22" s="109"/>
      <c r="J22" s="110"/>
    </row>
    <row r="23" spans="2:10" x14ac:dyDescent="0.3">
      <c r="B23" s="77" t="s">
        <v>391</v>
      </c>
      <c r="C23" s="78">
        <v>324000</v>
      </c>
      <c r="E23" s="100" t="s">
        <v>408</v>
      </c>
      <c r="F23" s="99">
        <v>39688</v>
      </c>
      <c r="H23" s="108"/>
      <c r="I23" s="109"/>
      <c r="J23" s="110"/>
    </row>
    <row r="24" spans="2:10" x14ac:dyDescent="0.3">
      <c r="B24" s="79" t="s">
        <v>244</v>
      </c>
      <c r="C24" s="96">
        <v>3945000</v>
      </c>
      <c r="E24" s="102" t="s">
        <v>409</v>
      </c>
      <c r="F24" s="103">
        <v>1415003</v>
      </c>
    </row>
    <row r="25" spans="2:10" x14ac:dyDescent="0.3">
      <c r="B25" s="79" t="s">
        <v>242</v>
      </c>
      <c r="C25" s="81">
        <v>301200</v>
      </c>
      <c r="E25" s="101" t="s">
        <v>410</v>
      </c>
      <c r="F25" s="111">
        <v>1974686</v>
      </c>
    </row>
    <row r="26" spans="2:10" x14ac:dyDescent="0.3">
      <c r="B26" s="79" t="s">
        <v>396</v>
      </c>
      <c r="C26" s="81">
        <f>177104+34450</f>
        <v>211554</v>
      </c>
      <c r="E26" s="101" t="s">
        <v>411</v>
      </c>
      <c r="F26" s="111">
        <v>782488.25</v>
      </c>
    </row>
    <row r="27" spans="2:10" x14ac:dyDescent="0.3">
      <c r="B27" s="79" t="s">
        <v>398</v>
      </c>
      <c r="C27" s="81">
        <v>450000</v>
      </c>
      <c r="E27" s="105" t="s">
        <v>412</v>
      </c>
      <c r="F27" s="106">
        <v>3555000</v>
      </c>
    </row>
    <row r="28" spans="2:10" x14ac:dyDescent="0.3">
      <c r="B28" s="79" t="s">
        <v>399</v>
      </c>
      <c r="C28" s="81">
        <v>3669750</v>
      </c>
      <c r="E28" s="101" t="s">
        <v>410</v>
      </c>
      <c r="F28" s="111">
        <v>819474</v>
      </c>
    </row>
    <row r="29" spans="2:10" x14ac:dyDescent="0.3">
      <c r="B29" s="80" t="s">
        <v>403</v>
      </c>
      <c r="C29" s="68">
        <v>30000000</v>
      </c>
      <c r="E29" s="105" t="s">
        <v>419</v>
      </c>
      <c r="F29" s="112">
        <v>2097000</v>
      </c>
    </row>
    <row r="30" spans="2:10" ht="18" x14ac:dyDescent="0.35">
      <c r="B30" s="107" t="s">
        <v>415</v>
      </c>
      <c r="C30" s="99">
        <v>945450</v>
      </c>
      <c r="D30" s="38"/>
      <c r="E30" s="105" t="s">
        <v>418</v>
      </c>
      <c r="F30" s="106">
        <v>3815756</v>
      </c>
    </row>
    <row r="31" spans="2:10" x14ac:dyDescent="0.3">
      <c r="B31" s="101" t="s">
        <v>414</v>
      </c>
      <c r="C31" s="99">
        <v>425000</v>
      </c>
      <c r="E31" s="67"/>
      <c r="F31" s="67"/>
    </row>
    <row r="32" spans="2:10" x14ac:dyDescent="0.3">
      <c r="B32" s="107" t="s">
        <v>415</v>
      </c>
      <c r="C32" s="99">
        <v>1535350</v>
      </c>
      <c r="E32" s="67"/>
      <c r="F32" s="67"/>
    </row>
    <row r="33" spans="2:6" x14ac:dyDescent="0.3">
      <c r="B33" s="107" t="s">
        <v>416</v>
      </c>
      <c r="C33" s="99">
        <v>1959100</v>
      </c>
      <c r="E33" s="67"/>
      <c r="F33" s="67"/>
    </row>
    <row r="34" spans="2:6" x14ac:dyDescent="0.3">
      <c r="B34" s="101" t="s">
        <v>413</v>
      </c>
      <c r="C34" s="104">
        <v>1960406</v>
      </c>
      <c r="E34" s="65"/>
      <c r="F34" s="65"/>
    </row>
    <row r="35" spans="2:6" x14ac:dyDescent="0.3">
      <c r="B35" s="107" t="s">
        <v>415</v>
      </c>
      <c r="C35" s="99">
        <v>1484000</v>
      </c>
      <c r="E35" s="65"/>
      <c r="F35" s="65"/>
    </row>
    <row r="36" spans="2:6" x14ac:dyDescent="0.3">
      <c r="B36" s="107" t="s">
        <v>417</v>
      </c>
      <c r="C36" s="99">
        <v>2280000</v>
      </c>
      <c r="E36" s="65"/>
      <c r="F36" s="65"/>
    </row>
    <row r="37" spans="2:6" x14ac:dyDescent="0.3">
      <c r="B37" s="107"/>
      <c r="C37" s="99"/>
      <c r="E37" s="65"/>
      <c r="F37" s="65"/>
    </row>
    <row r="38" spans="2:6" x14ac:dyDescent="0.3">
      <c r="B38" s="107"/>
      <c r="C38" s="99"/>
      <c r="E38" s="65"/>
      <c r="F38" s="65"/>
    </row>
    <row r="39" spans="2:6" x14ac:dyDescent="0.3">
      <c r="B39" s="107"/>
      <c r="C39" s="99"/>
      <c r="E39" s="65"/>
      <c r="F39" s="65"/>
    </row>
    <row r="40" spans="2:6" x14ac:dyDescent="0.3">
      <c r="B40" s="107"/>
      <c r="C40" s="99"/>
      <c r="E40" s="65"/>
      <c r="F40" s="65"/>
    </row>
    <row r="41" spans="2:6" x14ac:dyDescent="0.3">
      <c r="B41" s="107"/>
      <c r="C41" s="99"/>
      <c r="E41" s="65"/>
      <c r="F41" s="65"/>
    </row>
    <row r="42" spans="2:6" x14ac:dyDescent="0.3">
      <c r="B42" s="65"/>
      <c r="C42" s="65"/>
      <c r="E42" s="65"/>
      <c r="F42" s="65"/>
    </row>
    <row r="43" spans="2:6" x14ac:dyDescent="0.3">
      <c r="B43" s="65"/>
      <c r="C43" s="65"/>
      <c r="E43" s="65"/>
      <c r="F43" s="65"/>
    </row>
    <row r="44" spans="2:6" x14ac:dyDescent="0.3">
      <c r="B44" s="101"/>
      <c r="C44" s="104"/>
      <c r="E44" s="65"/>
      <c r="F44" s="65"/>
    </row>
    <row r="45" spans="2:6" x14ac:dyDescent="0.3">
      <c r="B45" s="101"/>
      <c r="C45" s="104"/>
      <c r="E45" s="65"/>
      <c r="F45" s="65"/>
    </row>
    <row r="46" spans="2:6" x14ac:dyDescent="0.3">
      <c r="B46" s="101"/>
      <c r="C46" s="104"/>
      <c r="E46" s="65"/>
      <c r="F46" s="65"/>
    </row>
    <row r="47" spans="2:6" x14ac:dyDescent="0.3">
      <c r="B47" s="101"/>
      <c r="C47" s="104"/>
      <c r="E47" s="65"/>
      <c r="F47" s="65"/>
    </row>
    <row r="48" spans="2:6" x14ac:dyDescent="0.3">
      <c r="B48" s="101"/>
      <c r="C48" s="104"/>
      <c r="E48" s="65"/>
      <c r="F48" s="65"/>
    </row>
    <row r="49" spans="2:6" x14ac:dyDescent="0.3">
      <c r="B49" s="101"/>
      <c r="C49" s="104"/>
      <c r="E49" s="65"/>
      <c r="F49" s="65"/>
    </row>
    <row r="50" spans="2:6" x14ac:dyDescent="0.3">
      <c r="B50" s="80"/>
      <c r="C50" s="68"/>
      <c r="E50" s="65"/>
      <c r="F50" s="65"/>
    </row>
    <row r="51" spans="2:6" x14ac:dyDescent="0.3">
      <c r="B51" s="80"/>
      <c r="C51" s="68"/>
      <c r="E51" s="65"/>
      <c r="F51" s="65"/>
    </row>
    <row r="52" spans="2:6" ht="21" x14ac:dyDescent="0.4">
      <c r="B52" s="80"/>
      <c r="C52" s="55">
        <f>SUM(C3:C51)</f>
        <v>166350108.70000002</v>
      </c>
      <c r="F52" s="55">
        <f>SUM(F3:F50)</f>
        <v>141053321.75</v>
      </c>
    </row>
    <row r="53" spans="2:6" x14ac:dyDescent="0.3">
      <c r="B53" s="80"/>
      <c r="C53" s="68"/>
    </row>
    <row r="54" spans="2:6" x14ac:dyDescent="0.3">
      <c r="B54" s="65"/>
      <c r="C54" s="65"/>
    </row>
    <row r="55" spans="2:6" ht="21" x14ac:dyDescent="0.4">
      <c r="B55" s="65"/>
      <c r="C55" s="65"/>
      <c r="D55" s="89" t="s">
        <v>260</v>
      </c>
      <c r="E55" s="90">
        <f>+C52-F52</f>
        <v>25296786.950000018</v>
      </c>
    </row>
    <row r="56" spans="2:6" x14ac:dyDescent="0.3">
      <c r="B56" s="65"/>
      <c r="C56" s="65"/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50EA-DF62-430E-81D4-B92B0567D497}">
  <dimension ref="B1:F42"/>
  <sheetViews>
    <sheetView tabSelected="1" workbookViewId="0">
      <selection activeCell="C4" sqref="C4"/>
    </sheetView>
  </sheetViews>
  <sheetFormatPr baseColWidth="10" defaultRowHeight="14.4" x14ac:dyDescent="0.3"/>
  <cols>
    <col min="2" max="2" width="29.44140625" customWidth="1"/>
    <col min="3" max="3" width="23.44140625" customWidth="1"/>
    <col min="4" max="4" width="22.5546875" customWidth="1"/>
    <col min="5" max="5" width="32" customWidth="1"/>
    <col min="6" max="6" width="22.33203125" customWidth="1"/>
  </cols>
  <sheetData>
    <row r="1" spans="2:6" x14ac:dyDescent="0.3">
      <c r="B1" s="121" t="s">
        <v>1</v>
      </c>
      <c r="C1" s="121"/>
      <c r="E1" s="121" t="s">
        <v>9</v>
      </c>
      <c r="F1" s="121"/>
    </row>
    <row r="2" spans="2:6" x14ac:dyDescent="0.3">
      <c r="B2" s="122" t="s">
        <v>76</v>
      </c>
      <c r="C2" s="122"/>
      <c r="E2" s="122" t="s">
        <v>76</v>
      </c>
      <c r="F2" s="122"/>
    </row>
    <row r="3" spans="2:6" ht="21" x14ac:dyDescent="0.4">
      <c r="B3" s="82" t="s">
        <v>420</v>
      </c>
      <c r="C3" s="90">
        <f>'ENE24'!E55</f>
        <v>25296786.950000018</v>
      </c>
      <c r="E3" s="63" t="s">
        <v>157</v>
      </c>
      <c r="F3" s="91"/>
    </row>
    <row r="4" spans="2:6" x14ac:dyDescent="0.3">
      <c r="B4" s="75" t="s">
        <v>68</v>
      </c>
      <c r="C4" s="76">
        <v>18504064</v>
      </c>
      <c r="E4" s="84" t="s">
        <v>220</v>
      </c>
      <c r="F4" s="85"/>
    </row>
    <row r="5" spans="2:6" x14ac:dyDescent="0.3">
      <c r="B5" s="75" t="s">
        <v>238</v>
      </c>
      <c r="C5" s="76"/>
      <c r="E5" s="84" t="s">
        <v>182</v>
      </c>
      <c r="F5" s="85"/>
    </row>
    <row r="6" spans="2:6" x14ac:dyDescent="0.3">
      <c r="B6" s="77" t="s">
        <v>437</v>
      </c>
      <c r="C6" s="78">
        <v>200000</v>
      </c>
      <c r="E6" s="84" t="s">
        <v>178</v>
      </c>
      <c r="F6" s="85"/>
    </row>
    <row r="7" spans="2:6" x14ac:dyDescent="0.3">
      <c r="B7" s="77" t="s">
        <v>237</v>
      </c>
      <c r="C7" s="78">
        <v>0</v>
      </c>
      <c r="E7" s="84" t="s">
        <v>178</v>
      </c>
      <c r="F7" s="85"/>
    </row>
    <row r="8" spans="2:6" x14ac:dyDescent="0.3">
      <c r="B8" s="77" t="s">
        <v>236</v>
      </c>
      <c r="C8" s="78">
        <v>360000</v>
      </c>
      <c r="E8" s="84" t="s">
        <v>178</v>
      </c>
      <c r="F8" s="85"/>
    </row>
    <row r="9" spans="2:6" x14ac:dyDescent="0.3">
      <c r="B9" s="77" t="s">
        <v>236</v>
      </c>
      <c r="C9" s="78">
        <v>440000</v>
      </c>
      <c r="E9" s="65" t="s">
        <v>401</v>
      </c>
      <c r="F9" s="81">
        <v>651200</v>
      </c>
    </row>
    <row r="10" spans="2:6" x14ac:dyDescent="0.3">
      <c r="B10" s="80" t="s">
        <v>431</v>
      </c>
      <c r="C10" s="88">
        <v>358000</v>
      </c>
      <c r="E10" s="65" t="s">
        <v>402</v>
      </c>
      <c r="F10" s="81">
        <v>12000000</v>
      </c>
    </row>
    <row r="11" spans="2:6" x14ac:dyDescent="0.3">
      <c r="B11" s="80" t="s">
        <v>431</v>
      </c>
      <c r="C11" s="88">
        <v>-2000</v>
      </c>
      <c r="E11" s="65" t="s">
        <v>404</v>
      </c>
      <c r="F11" s="81">
        <v>15983600</v>
      </c>
    </row>
    <row r="12" spans="2:6" x14ac:dyDescent="0.3">
      <c r="B12" s="79" t="s">
        <v>431</v>
      </c>
      <c r="C12" s="92">
        <v>442000</v>
      </c>
      <c r="E12" s="65" t="s">
        <v>421</v>
      </c>
      <c r="F12" s="81">
        <v>1534023</v>
      </c>
    </row>
    <row r="13" spans="2:6" x14ac:dyDescent="0.3">
      <c r="B13" s="79" t="s">
        <v>116</v>
      </c>
      <c r="C13" s="92">
        <v>15770594</v>
      </c>
      <c r="E13" s="65" t="s">
        <v>434</v>
      </c>
      <c r="F13" s="65">
        <v>92841</v>
      </c>
    </row>
    <row r="14" spans="2:6" x14ac:dyDescent="0.3">
      <c r="B14" s="93" t="s">
        <v>436</v>
      </c>
      <c r="C14" s="92">
        <v>400000</v>
      </c>
      <c r="E14" s="113" t="s">
        <v>435</v>
      </c>
      <c r="F14" s="114">
        <v>280700</v>
      </c>
    </row>
    <row r="15" spans="2:6" x14ac:dyDescent="0.3">
      <c r="B15" s="79"/>
      <c r="C15" s="92"/>
      <c r="E15" s="65" t="s">
        <v>422</v>
      </c>
      <c r="F15" s="81">
        <v>367015.60000000003</v>
      </c>
    </row>
    <row r="16" spans="2:6" x14ac:dyDescent="0.3">
      <c r="B16" s="79"/>
      <c r="C16" s="92"/>
      <c r="E16" s="65" t="s">
        <v>422</v>
      </c>
      <c r="F16" s="81">
        <v>621134.01</v>
      </c>
    </row>
    <row r="17" spans="2:6" x14ac:dyDescent="0.3">
      <c r="B17" s="79"/>
      <c r="C17" s="92"/>
      <c r="E17" s="65" t="s">
        <v>422</v>
      </c>
      <c r="F17" s="81">
        <v>223400.80000000002</v>
      </c>
    </row>
    <row r="18" spans="2:6" x14ac:dyDescent="0.3">
      <c r="B18" s="79"/>
      <c r="C18" s="92"/>
      <c r="E18" s="65" t="s">
        <v>422</v>
      </c>
      <c r="F18" s="81">
        <v>510630.40000000002</v>
      </c>
    </row>
    <row r="19" spans="2:6" x14ac:dyDescent="0.3">
      <c r="B19" s="79"/>
      <c r="C19" s="92"/>
      <c r="E19" s="65" t="s">
        <v>422</v>
      </c>
      <c r="F19" s="81">
        <v>1456094.5</v>
      </c>
    </row>
    <row r="20" spans="2:6" x14ac:dyDescent="0.3">
      <c r="B20" s="79"/>
      <c r="C20" s="92"/>
      <c r="E20" s="65" t="s">
        <v>422</v>
      </c>
      <c r="F20" s="81">
        <v>526587.6</v>
      </c>
    </row>
    <row r="21" spans="2:6" x14ac:dyDescent="0.3">
      <c r="B21" s="79"/>
      <c r="C21" s="92"/>
      <c r="E21" s="65" t="s">
        <v>423</v>
      </c>
      <c r="F21" s="81">
        <v>1278570</v>
      </c>
    </row>
    <row r="22" spans="2:6" x14ac:dyDescent="0.3">
      <c r="B22" s="80"/>
      <c r="C22" s="68"/>
      <c r="E22" s="65" t="s">
        <v>424</v>
      </c>
      <c r="F22" s="115">
        <v>5538410</v>
      </c>
    </row>
    <row r="23" spans="2:6" x14ac:dyDescent="0.3">
      <c r="B23" s="77"/>
      <c r="C23" s="78"/>
      <c r="E23" s="65" t="s">
        <v>425</v>
      </c>
      <c r="F23" s="115">
        <v>14884783</v>
      </c>
    </row>
    <row r="24" spans="2:6" x14ac:dyDescent="0.3">
      <c r="B24" s="79"/>
      <c r="C24" s="96"/>
      <c r="E24" s="65" t="s">
        <v>426</v>
      </c>
      <c r="F24" s="81">
        <v>1783819</v>
      </c>
    </row>
    <row r="25" spans="2:6" x14ac:dyDescent="0.3">
      <c r="B25" s="79"/>
      <c r="C25" s="81"/>
      <c r="E25" s="65" t="s">
        <v>427</v>
      </c>
      <c r="F25" s="116">
        <v>660998.59</v>
      </c>
    </row>
    <row r="26" spans="2:6" x14ac:dyDescent="0.3">
      <c r="B26" s="79"/>
      <c r="C26" s="81"/>
      <c r="E26" s="65" t="s">
        <v>428</v>
      </c>
      <c r="F26" s="117">
        <v>4052091.35</v>
      </c>
    </row>
    <row r="27" spans="2:6" x14ac:dyDescent="0.3">
      <c r="B27" s="79"/>
      <c r="C27" s="81"/>
      <c r="E27" s="65" t="s">
        <v>428</v>
      </c>
      <c r="F27" s="118">
        <v>1485130.35</v>
      </c>
    </row>
    <row r="28" spans="2:6" x14ac:dyDescent="0.3">
      <c r="B28" s="79"/>
      <c r="C28" s="81"/>
      <c r="E28" s="65" t="s">
        <v>428</v>
      </c>
      <c r="F28" s="118">
        <v>1319931.3400000001</v>
      </c>
    </row>
    <row r="29" spans="2:6" x14ac:dyDescent="0.3">
      <c r="B29" s="80"/>
      <c r="C29" s="68"/>
      <c r="E29" s="65" t="s">
        <v>429</v>
      </c>
      <c r="F29" s="118">
        <v>1034000.52</v>
      </c>
    </row>
    <row r="30" spans="2:6" ht="18" x14ac:dyDescent="0.35">
      <c r="B30" s="67"/>
      <c r="C30" s="68"/>
      <c r="D30" s="38"/>
      <c r="E30" s="65" t="s">
        <v>430</v>
      </c>
      <c r="F30" s="118">
        <v>411454</v>
      </c>
    </row>
    <row r="31" spans="2:6" x14ac:dyDescent="0.3">
      <c r="B31" s="80"/>
      <c r="C31" s="68"/>
      <c r="E31" s="65" t="s">
        <v>432</v>
      </c>
      <c r="F31" s="118">
        <v>1924547</v>
      </c>
    </row>
    <row r="32" spans="2:6" x14ac:dyDescent="0.3">
      <c r="B32" s="80"/>
      <c r="C32" s="88"/>
      <c r="E32" s="65" t="s">
        <v>433</v>
      </c>
      <c r="F32" s="118">
        <v>1516167</v>
      </c>
    </row>
    <row r="33" spans="2:6" x14ac:dyDescent="0.3">
      <c r="B33" s="67"/>
      <c r="C33" s="71"/>
      <c r="E33" s="65" t="s">
        <v>196</v>
      </c>
      <c r="F33" s="118">
        <v>891891.04</v>
      </c>
    </row>
    <row r="34" spans="2:6" x14ac:dyDescent="0.3">
      <c r="B34" s="67"/>
      <c r="C34" s="67"/>
      <c r="E34" s="65"/>
      <c r="F34" s="65"/>
    </row>
    <row r="35" spans="2:6" x14ac:dyDescent="0.3">
      <c r="B35" s="80"/>
      <c r="C35" s="68"/>
      <c r="E35" s="65"/>
      <c r="F35" s="65"/>
    </row>
    <row r="36" spans="2:6" x14ac:dyDescent="0.3">
      <c r="B36" s="80"/>
      <c r="C36" s="68"/>
      <c r="E36" s="65"/>
      <c r="F36" s="65"/>
    </row>
    <row r="37" spans="2:6" x14ac:dyDescent="0.3">
      <c r="B37" s="80"/>
      <c r="C37" s="68"/>
      <c r="E37" s="65"/>
      <c r="F37" s="65"/>
    </row>
    <row r="38" spans="2:6" ht="21" x14ac:dyDescent="0.4">
      <c r="B38" s="80"/>
      <c r="C38" s="55">
        <f>SUM(C3:C37)</f>
        <v>61769444.950000018</v>
      </c>
      <c r="F38" s="55">
        <f>SUM(F3:F37)</f>
        <v>71029020.100000024</v>
      </c>
    </row>
    <row r="39" spans="2:6" x14ac:dyDescent="0.3">
      <c r="B39" s="80"/>
      <c r="C39" s="68"/>
    </row>
    <row r="40" spans="2:6" x14ac:dyDescent="0.3">
      <c r="B40" s="65"/>
      <c r="C40" s="65"/>
    </row>
    <row r="41" spans="2:6" ht="21" x14ac:dyDescent="0.4">
      <c r="B41" s="65"/>
      <c r="C41" s="65"/>
      <c r="D41" s="89" t="s">
        <v>260</v>
      </c>
      <c r="E41" s="90">
        <f>+C38-F38</f>
        <v>-9259575.150000006</v>
      </c>
    </row>
    <row r="42" spans="2:6" x14ac:dyDescent="0.3">
      <c r="B42" s="65"/>
      <c r="C42" s="65"/>
    </row>
  </sheetData>
  <mergeCells count="4">
    <mergeCell ref="B1:C1"/>
    <mergeCell ref="E1:F1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A24C-D3C4-4A0A-971E-1FE4B030E004}">
  <sheetPr codeName="Hoja2"/>
  <dimension ref="A1:E17"/>
  <sheetViews>
    <sheetView workbookViewId="0">
      <selection activeCell="A3" sqref="A3:B3"/>
    </sheetView>
  </sheetViews>
  <sheetFormatPr baseColWidth="10" defaultRowHeight="14.4" x14ac:dyDescent="0.3"/>
  <cols>
    <col min="1" max="1" width="41.44140625" customWidth="1"/>
    <col min="2" max="2" width="16.5546875" customWidth="1"/>
    <col min="4" max="4" width="33.6640625" customWidth="1"/>
    <col min="5" max="5" width="18.5546875" customWidth="1"/>
  </cols>
  <sheetData>
    <row r="1" spans="1:5" x14ac:dyDescent="0.3">
      <c r="A1" s="120" t="s">
        <v>1</v>
      </c>
      <c r="B1" s="120"/>
      <c r="D1" s="120" t="s">
        <v>9</v>
      </c>
      <c r="E1" s="120"/>
    </row>
    <row r="2" spans="1:5" x14ac:dyDescent="0.3">
      <c r="A2" s="119" t="s">
        <v>2</v>
      </c>
      <c r="B2" s="119"/>
      <c r="D2" s="119" t="s">
        <v>2</v>
      </c>
      <c r="E2" s="119"/>
    </row>
    <row r="3" spans="1:5" x14ac:dyDescent="0.3">
      <c r="A3" t="s">
        <v>33</v>
      </c>
      <c r="B3" s="1">
        <v>15000000</v>
      </c>
      <c r="D3" t="s">
        <v>35</v>
      </c>
      <c r="E3">
        <v>13700000</v>
      </c>
    </row>
    <row r="4" spans="1:5" x14ac:dyDescent="0.3">
      <c r="D4" t="s">
        <v>34</v>
      </c>
      <c r="E4">
        <v>1070000</v>
      </c>
    </row>
    <row r="5" spans="1:5" x14ac:dyDescent="0.3">
      <c r="D5" t="s">
        <v>34</v>
      </c>
      <c r="E5">
        <v>260000</v>
      </c>
    </row>
    <row r="6" spans="1:5" x14ac:dyDescent="0.3">
      <c r="D6" t="s">
        <v>34</v>
      </c>
      <c r="E6">
        <v>104000</v>
      </c>
    </row>
    <row r="7" spans="1:5" x14ac:dyDescent="0.3">
      <c r="D7" t="s">
        <v>34</v>
      </c>
      <c r="E7">
        <v>194000</v>
      </c>
    </row>
    <row r="8" spans="1:5" x14ac:dyDescent="0.3">
      <c r="D8" t="s">
        <v>34</v>
      </c>
      <c r="E8">
        <v>211200</v>
      </c>
    </row>
    <row r="15" spans="1:5" x14ac:dyDescent="0.3">
      <c r="B15" s="3">
        <f>SUM(B3:B14)</f>
        <v>15000000</v>
      </c>
      <c r="E15">
        <f>SUM(E3:E14)</f>
        <v>15539200</v>
      </c>
    </row>
    <row r="17" spans="3:4" x14ac:dyDescent="0.3">
      <c r="C17" s="8" t="s">
        <v>36</v>
      </c>
      <c r="D17" s="9">
        <f>+B15-E15</f>
        <v>-539200</v>
      </c>
    </row>
  </sheetData>
  <mergeCells count="4">
    <mergeCell ref="A1:B1"/>
    <mergeCell ref="D1:E1"/>
    <mergeCell ref="A2:B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6613-D95F-4847-AC24-D4A5AF411052}">
  <sheetPr codeName="Hoja3"/>
  <dimension ref="A1:E16"/>
  <sheetViews>
    <sheetView workbookViewId="0">
      <selection activeCell="B3" sqref="B3"/>
    </sheetView>
  </sheetViews>
  <sheetFormatPr baseColWidth="10" defaultRowHeight="14.4" x14ac:dyDescent="0.3"/>
  <cols>
    <col min="1" max="1" width="25.33203125" customWidth="1"/>
    <col min="2" max="2" width="16.109375" customWidth="1"/>
    <col min="3" max="3" width="12" bestFit="1" customWidth="1"/>
    <col min="4" max="4" width="22.33203125" customWidth="1"/>
    <col min="5" max="5" width="13.5546875" customWidth="1"/>
  </cols>
  <sheetData>
    <row r="1" spans="1:5" x14ac:dyDescent="0.3">
      <c r="A1" s="120" t="s">
        <v>1</v>
      </c>
      <c r="B1" s="120"/>
      <c r="D1" s="120" t="s">
        <v>9</v>
      </c>
      <c r="E1" s="120"/>
    </row>
    <row r="2" spans="1:5" x14ac:dyDescent="0.3">
      <c r="A2" s="119" t="s">
        <v>37</v>
      </c>
      <c r="B2" s="119"/>
      <c r="D2" s="119" t="s">
        <v>37</v>
      </c>
      <c r="E2" s="119"/>
    </row>
    <row r="3" spans="1:5" x14ac:dyDescent="0.3">
      <c r="A3" t="s">
        <v>33</v>
      </c>
      <c r="B3" s="1">
        <v>15000000</v>
      </c>
      <c r="D3" s="10" t="s">
        <v>53</v>
      </c>
      <c r="E3">
        <v>4763000</v>
      </c>
    </row>
    <row r="4" spans="1:5" x14ac:dyDescent="0.3">
      <c r="A4" t="s">
        <v>38</v>
      </c>
      <c r="B4" s="1">
        <v>3776000</v>
      </c>
      <c r="D4" t="s">
        <v>40</v>
      </c>
      <c r="E4">
        <v>1840000</v>
      </c>
    </row>
    <row r="5" spans="1:5" x14ac:dyDescent="0.3">
      <c r="A5" t="s">
        <v>41</v>
      </c>
      <c r="B5" s="1">
        <v>5202000</v>
      </c>
      <c r="D5" t="s">
        <v>39</v>
      </c>
      <c r="E5">
        <v>600000</v>
      </c>
    </row>
    <row r="6" spans="1:5" x14ac:dyDescent="0.3">
      <c r="A6" t="s">
        <v>44</v>
      </c>
      <c r="B6" s="1">
        <v>386000</v>
      </c>
      <c r="D6" t="s">
        <v>42</v>
      </c>
      <c r="E6">
        <v>2000000</v>
      </c>
    </row>
    <row r="7" spans="1:5" x14ac:dyDescent="0.3">
      <c r="A7" t="s">
        <v>45</v>
      </c>
      <c r="B7" s="1">
        <v>1310000</v>
      </c>
      <c r="D7" t="s">
        <v>43</v>
      </c>
      <c r="E7">
        <v>94500</v>
      </c>
    </row>
    <row r="8" spans="1:5" x14ac:dyDescent="0.3">
      <c r="A8" t="s">
        <v>47</v>
      </c>
      <c r="B8" s="1">
        <v>5304000</v>
      </c>
      <c r="D8" t="s">
        <v>46</v>
      </c>
      <c r="E8">
        <v>3200000</v>
      </c>
    </row>
    <row r="9" spans="1:5" x14ac:dyDescent="0.3">
      <c r="A9" t="s">
        <v>49</v>
      </c>
      <c r="B9" s="3">
        <v>3000000</v>
      </c>
      <c r="D9" t="s">
        <v>46</v>
      </c>
      <c r="E9">
        <v>1500000</v>
      </c>
    </row>
    <row r="10" spans="1:5" x14ac:dyDescent="0.3">
      <c r="A10" t="s">
        <v>50</v>
      </c>
      <c r="B10" s="3">
        <v>10000000</v>
      </c>
      <c r="D10" t="s">
        <v>48</v>
      </c>
      <c r="E10" s="8">
        <v>3647000</v>
      </c>
    </row>
    <row r="11" spans="1:5" x14ac:dyDescent="0.3">
      <c r="D11" t="s">
        <v>51</v>
      </c>
      <c r="E11">
        <v>6519000</v>
      </c>
    </row>
    <row r="12" spans="1:5" x14ac:dyDescent="0.3">
      <c r="C12" s="3"/>
      <c r="D12" t="s">
        <v>51</v>
      </c>
      <c r="E12">
        <v>473000</v>
      </c>
    </row>
    <row r="13" spans="1:5" x14ac:dyDescent="0.3">
      <c r="D13" t="s">
        <v>52</v>
      </c>
      <c r="E13">
        <v>22664000</v>
      </c>
    </row>
    <row r="14" spans="1:5" x14ac:dyDescent="0.3">
      <c r="B14" s="3">
        <f>SUM(B3:B13)</f>
        <v>43978000</v>
      </c>
    </row>
    <row r="15" spans="1:5" x14ac:dyDescent="0.3">
      <c r="E15">
        <f>SUM(E3:E14)</f>
        <v>47300500</v>
      </c>
    </row>
    <row r="16" spans="1:5" x14ac:dyDescent="0.3">
      <c r="D16" s="13">
        <f>+E15-B14</f>
        <v>3322500</v>
      </c>
    </row>
  </sheetData>
  <mergeCells count="4">
    <mergeCell ref="A1:B1"/>
    <mergeCell ref="D1:E1"/>
    <mergeCell ref="A2:B2"/>
    <mergeCell ref="D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17B6-9EE5-4B66-8677-66690EF1F4EE}">
  <sheetPr codeName="Hoja4"/>
  <dimension ref="A1:E20"/>
  <sheetViews>
    <sheetView workbookViewId="0">
      <selection activeCell="B3" sqref="B3"/>
    </sheetView>
  </sheetViews>
  <sheetFormatPr baseColWidth="10" defaultRowHeight="14.4" x14ac:dyDescent="0.3"/>
  <cols>
    <col min="1" max="1" width="24" customWidth="1"/>
    <col min="2" max="2" width="13.88671875" customWidth="1"/>
    <col min="4" max="4" width="23.109375" customWidth="1"/>
    <col min="5" max="5" width="19.109375" customWidth="1"/>
  </cols>
  <sheetData>
    <row r="1" spans="1:5" x14ac:dyDescent="0.3">
      <c r="A1" s="120" t="s">
        <v>1</v>
      </c>
      <c r="B1" s="120"/>
      <c r="D1" s="120" t="s">
        <v>9</v>
      </c>
      <c r="E1" s="120"/>
    </row>
    <row r="2" spans="1:5" x14ac:dyDescent="0.3">
      <c r="A2" s="119" t="s">
        <v>54</v>
      </c>
      <c r="B2" s="119"/>
      <c r="D2" s="119" t="s">
        <v>54</v>
      </c>
      <c r="E2" s="119"/>
    </row>
    <row r="3" spans="1:5" x14ac:dyDescent="0.3">
      <c r="A3" s="16" t="s">
        <v>68</v>
      </c>
      <c r="B3" s="11">
        <v>16248753</v>
      </c>
      <c r="D3" s="14" t="s">
        <v>59</v>
      </c>
      <c r="E3" s="18">
        <v>3323000</v>
      </c>
    </row>
    <row r="4" spans="1:5" x14ac:dyDescent="0.3">
      <c r="A4" s="12" t="s">
        <v>57</v>
      </c>
      <c r="B4" s="11">
        <v>3000000</v>
      </c>
      <c r="D4" s="12" t="s">
        <v>55</v>
      </c>
      <c r="E4" s="11">
        <v>10000000</v>
      </c>
    </row>
    <row r="5" spans="1:5" x14ac:dyDescent="0.3">
      <c r="A5" t="s">
        <v>58</v>
      </c>
      <c r="B5" s="11">
        <v>2000000</v>
      </c>
      <c r="D5" t="s">
        <v>70</v>
      </c>
      <c r="E5" s="11">
        <v>6518000</v>
      </c>
    </row>
    <row r="6" spans="1:5" x14ac:dyDescent="0.3">
      <c r="A6" t="s">
        <v>57</v>
      </c>
      <c r="B6" s="11">
        <v>3973900</v>
      </c>
      <c r="D6" t="s">
        <v>63</v>
      </c>
      <c r="E6" s="11">
        <v>400000</v>
      </c>
    </row>
    <row r="7" spans="1:5" x14ac:dyDescent="0.3">
      <c r="A7" t="s">
        <v>62</v>
      </c>
      <c r="B7" s="11">
        <v>3300000</v>
      </c>
      <c r="D7" t="s">
        <v>56</v>
      </c>
      <c r="E7" s="11">
        <v>64000</v>
      </c>
    </row>
    <row r="8" spans="1:5" x14ac:dyDescent="0.3">
      <c r="A8" t="s">
        <v>64</v>
      </c>
      <c r="B8" s="11">
        <v>52000</v>
      </c>
      <c r="D8" t="s">
        <v>61</v>
      </c>
      <c r="E8" s="11">
        <v>16242000</v>
      </c>
    </row>
    <row r="9" spans="1:5" x14ac:dyDescent="0.3">
      <c r="A9" t="s">
        <v>57</v>
      </c>
      <c r="B9" s="11">
        <v>2000000</v>
      </c>
      <c r="D9" t="s">
        <v>67</v>
      </c>
      <c r="E9" s="11">
        <f>37293000-12677400</f>
        <v>24615600</v>
      </c>
    </row>
    <row r="10" spans="1:5" x14ac:dyDescent="0.3">
      <c r="A10" t="s">
        <v>41</v>
      </c>
      <c r="B10" s="11">
        <v>2387000</v>
      </c>
      <c r="D10" t="s">
        <v>71</v>
      </c>
      <c r="E10" s="11">
        <v>12300800</v>
      </c>
    </row>
    <row r="11" spans="1:5" x14ac:dyDescent="0.3">
      <c r="A11" t="s">
        <v>65</v>
      </c>
      <c r="B11" s="11">
        <v>2000000</v>
      </c>
      <c r="D11" t="s">
        <v>72</v>
      </c>
      <c r="E11" s="11">
        <v>2007000</v>
      </c>
    </row>
    <row r="12" spans="1:5" x14ac:dyDescent="0.3">
      <c r="A12" t="s">
        <v>66</v>
      </c>
      <c r="B12" s="11">
        <v>5670000</v>
      </c>
      <c r="D12" t="s">
        <v>74</v>
      </c>
      <c r="E12" s="11">
        <v>9549000</v>
      </c>
    </row>
    <row r="13" spans="1:5" x14ac:dyDescent="0.3">
      <c r="A13" t="s">
        <v>66</v>
      </c>
      <c r="B13" s="11">
        <v>24106000</v>
      </c>
      <c r="D13" t="s">
        <v>75</v>
      </c>
      <c r="E13" s="11">
        <v>1000000</v>
      </c>
    </row>
    <row r="14" spans="1:5" x14ac:dyDescent="0.3">
      <c r="A14" t="s">
        <v>69</v>
      </c>
      <c r="B14" s="11">
        <v>7500000</v>
      </c>
    </row>
    <row r="15" spans="1:5" x14ac:dyDescent="0.3">
      <c r="A15" t="s">
        <v>66</v>
      </c>
      <c r="B15" s="11">
        <v>3710000</v>
      </c>
      <c r="E15" s="11"/>
    </row>
    <row r="16" spans="1:5" x14ac:dyDescent="0.3">
      <c r="A16" t="s">
        <v>65</v>
      </c>
      <c r="B16" s="11">
        <v>1900000</v>
      </c>
    </row>
    <row r="17" spans="1:5" x14ac:dyDescent="0.3">
      <c r="A17" t="s">
        <v>73</v>
      </c>
      <c r="B17" s="11">
        <v>720000</v>
      </c>
    </row>
    <row r="18" spans="1:5" x14ac:dyDescent="0.3">
      <c r="B18" s="3"/>
      <c r="E18" s="13">
        <f>SUM(E3:E17)</f>
        <v>86019400</v>
      </c>
    </row>
    <row r="19" spans="1:5" x14ac:dyDescent="0.3">
      <c r="B19" s="17">
        <f>SUM(B3:B18)</f>
        <v>78567653</v>
      </c>
      <c r="C19" s="15" t="s">
        <v>60</v>
      </c>
    </row>
    <row r="20" spans="1:5" x14ac:dyDescent="0.3">
      <c r="D20" s="19">
        <f>+E18-B19</f>
        <v>7451747</v>
      </c>
    </row>
  </sheetData>
  <mergeCells count="4">
    <mergeCell ref="A1:B1"/>
    <mergeCell ref="D1:E1"/>
    <mergeCell ref="A2:B2"/>
    <mergeCell ref="D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C8F-448B-4E37-9F35-B0C94940BD09}">
  <sheetPr codeName="Hoja5"/>
  <dimension ref="A1:E37"/>
  <sheetViews>
    <sheetView topLeftCell="A16" workbookViewId="0">
      <selection activeCell="D37" sqref="D37"/>
    </sheetView>
  </sheetViews>
  <sheetFormatPr baseColWidth="10" defaultRowHeight="14.4" x14ac:dyDescent="0.3"/>
  <cols>
    <col min="1" max="1" width="24" customWidth="1"/>
    <col min="2" max="2" width="13.88671875" customWidth="1"/>
    <col min="4" max="4" width="23.109375" customWidth="1"/>
    <col min="5" max="5" width="19.109375" customWidth="1"/>
  </cols>
  <sheetData>
    <row r="1" spans="1:5" x14ac:dyDescent="0.3">
      <c r="A1" s="120" t="s">
        <v>1</v>
      </c>
      <c r="B1" s="120"/>
      <c r="D1" s="120" t="s">
        <v>9</v>
      </c>
      <c r="E1" s="120"/>
    </row>
    <row r="2" spans="1:5" x14ac:dyDescent="0.3">
      <c r="A2" s="119" t="s">
        <v>76</v>
      </c>
      <c r="B2" s="119"/>
      <c r="D2" s="119" t="s">
        <v>76</v>
      </c>
      <c r="E2" s="119"/>
    </row>
    <row r="3" spans="1:5" x14ac:dyDescent="0.3">
      <c r="A3" s="16" t="s">
        <v>68</v>
      </c>
      <c r="B3" s="20">
        <f>9741870+1562000+2000000</f>
        <v>13303870</v>
      </c>
      <c r="D3" s="14" t="s">
        <v>77</v>
      </c>
      <c r="E3" s="19">
        <v>7451747</v>
      </c>
    </row>
    <row r="4" spans="1:5" x14ac:dyDescent="0.3">
      <c r="A4" s="12" t="s">
        <v>78</v>
      </c>
      <c r="B4" s="11">
        <v>688000</v>
      </c>
      <c r="D4" t="s">
        <v>70</v>
      </c>
      <c r="E4" s="11">
        <f>1769200+641600+318200+20700</f>
        <v>2749700</v>
      </c>
    </row>
    <row r="5" spans="1:5" x14ac:dyDescent="0.3">
      <c r="A5" t="s">
        <v>80</v>
      </c>
      <c r="B5" s="11">
        <v>330000</v>
      </c>
      <c r="D5" t="s">
        <v>85</v>
      </c>
      <c r="E5" s="11">
        <v>141000</v>
      </c>
    </row>
    <row r="6" spans="1:5" x14ac:dyDescent="0.3">
      <c r="A6" t="s">
        <v>82</v>
      </c>
      <c r="B6" s="11">
        <v>2533200</v>
      </c>
      <c r="D6" t="s">
        <v>79</v>
      </c>
      <c r="E6" s="11">
        <v>13057000</v>
      </c>
    </row>
    <row r="7" spans="1:5" x14ac:dyDescent="0.3">
      <c r="A7" t="s">
        <v>86</v>
      </c>
      <c r="B7" s="11">
        <v>3497700</v>
      </c>
      <c r="D7" t="s">
        <v>90</v>
      </c>
      <c r="E7" s="11">
        <v>60888000</v>
      </c>
    </row>
    <row r="8" spans="1:5" x14ac:dyDescent="0.3">
      <c r="A8" t="s">
        <v>25</v>
      </c>
      <c r="B8" s="11">
        <v>1844600</v>
      </c>
      <c r="D8" t="s">
        <v>81</v>
      </c>
      <c r="E8" s="11">
        <v>581200</v>
      </c>
    </row>
    <row r="9" spans="1:5" x14ac:dyDescent="0.3">
      <c r="A9" t="s">
        <v>87</v>
      </c>
      <c r="B9" s="11">
        <v>7000000</v>
      </c>
      <c r="D9" t="s">
        <v>84</v>
      </c>
      <c r="E9" s="11">
        <v>466000</v>
      </c>
    </row>
    <row r="10" spans="1:5" x14ac:dyDescent="0.3">
      <c r="A10" t="s">
        <v>88</v>
      </c>
      <c r="B10" s="11">
        <v>1546000</v>
      </c>
      <c r="D10" t="s">
        <v>83</v>
      </c>
      <c r="E10" s="11">
        <v>134000</v>
      </c>
    </row>
    <row r="11" spans="1:5" x14ac:dyDescent="0.3">
      <c r="A11" t="s">
        <v>89</v>
      </c>
      <c r="B11" s="11">
        <f>5020500+2417000+1000000</f>
        <v>8437500</v>
      </c>
      <c r="D11" t="s">
        <v>83</v>
      </c>
      <c r="E11" s="11">
        <v>134000</v>
      </c>
    </row>
    <row r="12" spans="1:5" x14ac:dyDescent="0.3">
      <c r="A12" t="s">
        <v>91</v>
      </c>
      <c r="B12" s="11">
        <v>26000000</v>
      </c>
      <c r="D12" t="s">
        <v>97</v>
      </c>
      <c r="E12" s="11">
        <f>400200+85900</f>
        <v>486100</v>
      </c>
    </row>
    <row r="13" spans="1:5" x14ac:dyDescent="0.3">
      <c r="A13" t="s">
        <v>92</v>
      </c>
      <c r="B13" s="11">
        <v>5000000</v>
      </c>
      <c r="D13" t="s">
        <v>94</v>
      </c>
      <c r="E13" s="11">
        <v>215000</v>
      </c>
    </row>
    <row r="14" spans="1:5" x14ac:dyDescent="0.3">
      <c r="A14" t="s">
        <v>93</v>
      </c>
      <c r="B14" s="11">
        <v>1700000</v>
      </c>
      <c r="D14" t="s">
        <v>99</v>
      </c>
      <c r="E14" s="11">
        <v>3679600</v>
      </c>
    </row>
    <row r="15" spans="1:5" x14ac:dyDescent="0.3">
      <c r="A15" t="s">
        <v>95</v>
      </c>
      <c r="B15" s="11">
        <v>4470000</v>
      </c>
      <c r="D15" t="s">
        <v>83</v>
      </c>
      <c r="E15" s="11">
        <v>45000</v>
      </c>
    </row>
    <row r="16" spans="1:5" x14ac:dyDescent="0.3">
      <c r="A16" t="s">
        <v>96</v>
      </c>
      <c r="B16" s="11">
        <v>1000000</v>
      </c>
      <c r="D16" t="s">
        <v>98</v>
      </c>
      <c r="E16" s="11">
        <v>1700500</v>
      </c>
    </row>
    <row r="17" spans="1:5" x14ac:dyDescent="0.3">
      <c r="A17" t="s">
        <v>100</v>
      </c>
      <c r="B17" s="21">
        <v>720000</v>
      </c>
      <c r="D17" t="s">
        <v>101</v>
      </c>
      <c r="E17" s="11">
        <v>320200</v>
      </c>
    </row>
    <row r="18" spans="1:5" x14ac:dyDescent="0.3">
      <c r="A18" t="s">
        <v>102</v>
      </c>
      <c r="B18" s="11">
        <v>3000000</v>
      </c>
      <c r="D18" t="s">
        <v>103</v>
      </c>
      <c r="E18" s="11">
        <v>770000</v>
      </c>
    </row>
    <row r="19" spans="1:5" x14ac:dyDescent="0.3">
      <c r="A19" t="s">
        <v>104</v>
      </c>
      <c r="B19" s="11">
        <v>532000</v>
      </c>
      <c r="D19" t="s">
        <v>105</v>
      </c>
      <c r="E19" s="11">
        <v>10000000</v>
      </c>
    </row>
    <row r="20" spans="1:5" x14ac:dyDescent="0.3">
      <c r="A20" t="s">
        <v>105</v>
      </c>
      <c r="B20" s="11">
        <v>12000000</v>
      </c>
      <c r="D20" t="s">
        <v>106</v>
      </c>
      <c r="E20" s="11">
        <v>10000000</v>
      </c>
    </row>
    <row r="21" spans="1:5" x14ac:dyDescent="0.3">
      <c r="A21" t="s">
        <v>104</v>
      </c>
      <c r="B21" s="11">
        <v>500000</v>
      </c>
      <c r="D21" t="s">
        <v>107</v>
      </c>
      <c r="E21" s="11">
        <v>770000</v>
      </c>
    </row>
    <row r="22" spans="1:5" x14ac:dyDescent="0.3">
      <c r="A22" t="s">
        <v>108</v>
      </c>
      <c r="B22" s="11">
        <v>41218</v>
      </c>
    </row>
    <row r="23" spans="1:5" x14ac:dyDescent="0.3">
      <c r="A23" t="s">
        <v>109</v>
      </c>
      <c r="B23" s="11">
        <v>350200</v>
      </c>
    </row>
    <row r="24" spans="1:5" x14ac:dyDescent="0.3">
      <c r="A24" t="s">
        <v>110</v>
      </c>
      <c r="B24" s="11">
        <v>2735000</v>
      </c>
    </row>
    <row r="25" spans="1:5" x14ac:dyDescent="0.3">
      <c r="A25" t="s">
        <v>110</v>
      </c>
      <c r="B25" s="11">
        <v>800000</v>
      </c>
    </row>
    <row r="34" spans="2:5" x14ac:dyDescent="0.3">
      <c r="B34" s="17">
        <f>SUM(B3:B25)</f>
        <v>98029288</v>
      </c>
      <c r="E34" s="13">
        <f>SUM(E3:E21)</f>
        <v>113589047</v>
      </c>
    </row>
    <row r="36" spans="2:5" x14ac:dyDescent="0.3">
      <c r="C36" s="15" t="s">
        <v>60</v>
      </c>
    </row>
    <row r="37" spans="2:5" x14ac:dyDescent="0.3">
      <c r="D37" s="19">
        <f>+E34-B34</f>
        <v>15559759</v>
      </c>
    </row>
  </sheetData>
  <mergeCells count="4">
    <mergeCell ref="A1:B1"/>
    <mergeCell ref="D1:E1"/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A64C-6048-467C-9DDE-DEEBC22F0D2F}">
  <sheetPr codeName="Hoja6"/>
  <dimension ref="A1:F35"/>
  <sheetViews>
    <sheetView zoomScaleNormal="100" workbookViewId="0">
      <selection activeCell="B4" sqref="B4:B13"/>
    </sheetView>
  </sheetViews>
  <sheetFormatPr baseColWidth="10" defaultRowHeight="14.4" x14ac:dyDescent="0.3"/>
  <cols>
    <col min="1" max="1" width="21.88671875" customWidth="1"/>
    <col min="2" max="2" width="14.109375" customWidth="1"/>
    <col min="3" max="3" width="14.33203125" customWidth="1"/>
    <col min="4" max="4" width="20" customWidth="1"/>
    <col min="5" max="5" width="19" customWidth="1"/>
  </cols>
  <sheetData>
    <row r="1" spans="1:6" x14ac:dyDescent="0.3">
      <c r="A1" s="120" t="s">
        <v>1</v>
      </c>
      <c r="B1" s="120"/>
      <c r="D1" s="120" t="s">
        <v>9</v>
      </c>
      <c r="E1" s="120"/>
    </row>
    <row r="2" spans="1:6" x14ac:dyDescent="0.3">
      <c r="A2" s="119" t="s">
        <v>124</v>
      </c>
      <c r="B2" s="119"/>
      <c r="D2" s="119" t="s">
        <v>124</v>
      </c>
      <c r="E2" s="119"/>
    </row>
    <row r="3" spans="1:6" x14ac:dyDescent="0.3">
      <c r="A3" s="16" t="s">
        <v>68</v>
      </c>
      <c r="B3" s="20">
        <v>16534292</v>
      </c>
      <c r="D3" s="14" t="s">
        <v>111</v>
      </c>
      <c r="E3" s="19">
        <v>15559800</v>
      </c>
    </row>
    <row r="4" spans="1:6" x14ac:dyDescent="0.3">
      <c r="A4" s="22" t="s">
        <v>116</v>
      </c>
      <c r="B4" s="23">
        <v>13471369</v>
      </c>
      <c r="D4" t="s">
        <v>107</v>
      </c>
      <c r="E4" s="1">
        <f>496000+170000</f>
        <v>666000</v>
      </c>
      <c r="F4" t="s">
        <v>123</v>
      </c>
    </row>
    <row r="5" spans="1:6" x14ac:dyDescent="0.3">
      <c r="A5" s="22" t="s">
        <v>115</v>
      </c>
      <c r="B5" s="23">
        <v>1947792</v>
      </c>
      <c r="D5" t="s">
        <v>120</v>
      </c>
      <c r="E5" s="1">
        <v>1034000</v>
      </c>
      <c r="F5" t="s">
        <v>151</v>
      </c>
    </row>
    <row r="6" spans="1:6" x14ac:dyDescent="0.3">
      <c r="A6" s="22" t="s">
        <v>117</v>
      </c>
      <c r="B6" s="23">
        <f>14971249/2</f>
        <v>7485624.5</v>
      </c>
      <c r="D6" t="s">
        <v>107</v>
      </c>
      <c r="E6" s="1">
        <v>720000</v>
      </c>
      <c r="F6" t="s">
        <v>122</v>
      </c>
    </row>
    <row r="7" spans="1:6" x14ac:dyDescent="0.3">
      <c r="A7" s="22" t="s">
        <v>117</v>
      </c>
      <c r="B7" s="23">
        <v>837479</v>
      </c>
      <c r="D7" t="s">
        <v>129</v>
      </c>
      <c r="E7" s="1">
        <v>315490</v>
      </c>
    </row>
    <row r="8" spans="1:6" x14ac:dyDescent="0.3">
      <c r="A8" s="22" t="s">
        <v>113</v>
      </c>
      <c r="B8" s="23">
        <v>8854000</v>
      </c>
      <c r="D8" t="s">
        <v>126</v>
      </c>
      <c r="E8" s="1"/>
    </row>
    <row r="9" spans="1:6" x14ac:dyDescent="0.3">
      <c r="A9" s="22" t="s">
        <v>117</v>
      </c>
      <c r="B9" s="23">
        <v>4705652</v>
      </c>
      <c r="D9" t="s">
        <v>107</v>
      </c>
      <c r="E9" s="1">
        <v>530000</v>
      </c>
      <c r="F9" t="s">
        <v>150</v>
      </c>
    </row>
    <row r="10" spans="1:6" x14ac:dyDescent="0.3">
      <c r="A10" s="22" t="s">
        <v>117</v>
      </c>
      <c r="B10" s="23">
        <v>5686650</v>
      </c>
      <c r="D10" t="s">
        <v>130</v>
      </c>
      <c r="E10" s="1">
        <v>2266675</v>
      </c>
    </row>
    <row r="11" spans="1:6" x14ac:dyDescent="0.3">
      <c r="A11" s="22" t="s">
        <v>117</v>
      </c>
      <c r="B11" s="23">
        <v>2587515</v>
      </c>
      <c r="D11" t="s">
        <v>141</v>
      </c>
      <c r="E11" s="1">
        <v>5628700</v>
      </c>
    </row>
    <row r="12" spans="1:6" x14ac:dyDescent="0.3">
      <c r="A12" s="22" t="s">
        <v>114</v>
      </c>
      <c r="B12" s="23">
        <v>2079525</v>
      </c>
      <c r="D12" t="s">
        <v>131</v>
      </c>
      <c r="E12" s="1">
        <v>0</v>
      </c>
    </row>
    <row r="13" spans="1:6" x14ac:dyDescent="0.3">
      <c r="A13" s="22" t="s">
        <v>112</v>
      </c>
      <c r="B13" s="23">
        <v>5519766</v>
      </c>
      <c r="D13" t="s">
        <v>133</v>
      </c>
      <c r="E13" s="1">
        <v>6366500</v>
      </c>
    </row>
    <row r="14" spans="1:6" x14ac:dyDescent="0.3">
      <c r="A14" t="s">
        <v>119</v>
      </c>
      <c r="B14" s="21">
        <v>500000</v>
      </c>
      <c r="D14" t="s">
        <v>134</v>
      </c>
      <c r="E14" s="1">
        <v>633000</v>
      </c>
    </row>
    <row r="15" spans="1:6" x14ac:dyDescent="0.3">
      <c r="A15" t="s">
        <v>121</v>
      </c>
      <c r="B15" s="21">
        <v>500000</v>
      </c>
      <c r="D15" t="s">
        <v>135</v>
      </c>
      <c r="E15" s="1">
        <v>2278000</v>
      </c>
    </row>
    <row r="16" spans="1:6" x14ac:dyDescent="0.3">
      <c r="A16" t="s">
        <v>118</v>
      </c>
      <c r="B16" s="21">
        <v>496000</v>
      </c>
      <c r="D16" t="s">
        <v>136</v>
      </c>
      <c r="E16" s="1">
        <v>3094000</v>
      </c>
    </row>
    <row r="17" spans="1:6" x14ac:dyDescent="0.3">
      <c r="A17" t="s">
        <v>125</v>
      </c>
      <c r="B17" s="21">
        <v>160000</v>
      </c>
      <c r="D17" t="s">
        <v>137</v>
      </c>
      <c r="E17" s="1">
        <v>900000</v>
      </c>
    </row>
    <row r="18" spans="1:6" x14ac:dyDescent="0.3">
      <c r="A18" t="s">
        <v>127</v>
      </c>
      <c r="B18" s="21">
        <v>528000</v>
      </c>
      <c r="D18" t="s">
        <v>129</v>
      </c>
      <c r="E18" s="1">
        <v>528000</v>
      </c>
    </row>
    <row r="19" spans="1:6" x14ac:dyDescent="0.3">
      <c r="A19" t="s">
        <v>128</v>
      </c>
      <c r="B19" s="21">
        <v>500000</v>
      </c>
      <c r="D19" t="s">
        <v>138</v>
      </c>
      <c r="E19" s="1">
        <v>110000</v>
      </c>
    </row>
    <row r="20" spans="1:6" x14ac:dyDescent="0.3">
      <c r="A20" t="s">
        <v>41</v>
      </c>
      <c r="B20" s="21">
        <v>6035734</v>
      </c>
      <c r="D20" t="s">
        <v>139</v>
      </c>
      <c r="E20" s="1">
        <v>4966782</v>
      </c>
    </row>
    <row r="21" spans="1:6" x14ac:dyDescent="0.3">
      <c r="A21" t="s">
        <v>64</v>
      </c>
      <c r="B21" s="21">
        <v>57660</v>
      </c>
      <c r="D21" t="s">
        <v>145</v>
      </c>
      <c r="E21" s="1">
        <v>596000</v>
      </c>
      <c r="F21" t="s">
        <v>146</v>
      </c>
    </row>
    <row r="22" spans="1:6" x14ac:dyDescent="0.3">
      <c r="A22" t="s">
        <v>132</v>
      </c>
      <c r="B22" s="21">
        <v>9417000</v>
      </c>
      <c r="D22" t="s">
        <v>107</v>
      </c>
      <c r="E22" s="1">
        <v>464500</v>
      </c>
      <c r="F22" t="s">
        <v>146</v>
      </c>
    </row>
    <row r="23" spans="1:6" x14ac:dyDescent="0.3">
      <c r="A23" t="s">
        <v>132</v>
      </c>
      <c r="B23" s="21">
        <v>830000</v>
      </c>
      <c r="D23" t="s">
        <v>149</v>
      </c>
      <c r="E23" s="1"/>
    </row>
    <row r="24" spans="1:6" x14ac:dyDescent="0.3">
      <c r="A24" t="s">
        <v>132</v>
      </c>
      <c r="B24" s="21">
        <v>2440000</v>
      </c>
      <c r="D24" t="s">
        <v>152</v>
      </c>
      <c r="E24" s="1">
        <v>5628700</v>
      </c>
    </row>
    <row r="25" spans="1:6" x14ac:dyDescent="0.3">
      <c r="A25" t="s">
        <v>140</v>
      </c>
      <c r="B25" s="21">
        <v>925000</v>
      </c>
      <c r="D25" t="s">
        <v>153</v>
      </c>
      <c r="E25" s="1">
        <v>3920367</v>
      </c>
    </row>
    <row r="26" spans="1:6" x14ac:dyDescent="0.3">
      <c r="A26" t="s">
        <v>142</v>
      </c>
      <c r="B26" s="21">
        <v>4900000</v>
      </c>
      <c r="D26" t="s">
        <v>154</v>
      </c>
      <c r="E26" s="1">
        <v>76791</v>
      </c>
    </row>
    <row r="27" spans="1:6" x14ac:dyDescent="0.3">
      <c r="A27" t="s">
        <v>143</v>
      </c>
      <c r="B27" s="21">
        <v>191600</v>
      </c>
      <c r="D27" t="s">
        <v>154</v>
      </c>
      <c r="E27" s="1">
        <v>1843535</v>
      </c>
    </row>
    <row r="28" spans="1:6" x14ac:dyDescent="0.3">
      <c r="A28" t="s">
        <v>144</v>
      </c>
      <c r="B28" s="21">
        <v>900000</v>
      </c>
    </row>
    <row r="29" spans="1:6" x14ac:dyDescent="0.3">
      <c r="A29" t="s">
        <v>142</v>
      </c>
      <c r="B29" s="21">
        <v>2117000</v>
      </c>
    </row>
    <row r="30" spans="1:6" x14ac:dyDescent="0.3">
      <c r="A30" t="s">
        <v>147</v>
      </c>
      <c r="B30" s="21">
        <v>596000</v>
      </c>
    </row>
    <row r="31" spans="1:6" x14ac:dyDescent="0.3">
      <c r="A31" t="s">
        <v>148</v>
      </c>
      <c r="B31" s="21">
        <v>464500</v>
      </c>
    </row>
    <row r="32" spans="1:6" x14ac:dyDescent="0.3">
      <c r="A32" t="s">
        <v>167</v>
      </c>
      <c r="B32" s="21">
        <v>2666000</v>
      </c>
    </row>
    <row r="33" spans="2:5" x14ac:dyDescent="0.3">
      <c r="B33" s="13">
        <f>SUM(B3:B32)</f>
        <v>103934158.5</v>
      </c>
      <c r="E33" s="13">
        <f>SUM(E3:E32)</f>
        <v>58126840</v>
      </c>
    </row>
    <row r="35" spans="2:5" ht="18" x14ac:dyDescent="0.35">
      <c r="C35" s="24" t="s">
        <v>60</v>
      </c>
      <c r="D35" s="25">
        <f>E33-B33</f>
        <v>-45807318.5</v>
      </c>
    </row>
  </sheetData>
  <mergeCells count="4">
    <mergeCell ref="A1:B1"/>
    <mergeCell ref="D1:E1"/>
    <mergeCell ref="A2:B2"/>
    <mergeCell ref="D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F698-5E0F-44E6-A92B-D48E9E8CFE91}">
  <sheetPr codeName="Hoja7"/>
  <dimension ref="A1:H28"/>
  <sheetViews>
    <sheetView workbookViewId="0">
      <selection activeCell="E28" sqref="E28"/>
    </sheetView>
  </sheetViews>
  <sheetFormatPr baseColWidth="10" defaultRowHeight="14.4" x14ac:dyDescent="0.3"/>
  <cols>
    <col min="2" max="2" width="28.88671875" customWidth="1"/>
    <col min="3" max="3" width="20.33203125" customWidth="1"/>
    <col min="5" max="5" width="19.6640625" customWidth="1"/>
    <col min="6" max="6" width="16.109375" customWidth="1"/>
  </cols>
  <sheetData>
    <row r="1" spans="1:8" x14ac:dyDescent="0.3">
      <c r="B1" s="120" t="s">
        <v>1</v>
      </c>
      <c r="C1" s="120"/>
      <c r="E1" s="120" t="s">
        <v>9</v>
      </c>
      <c r="F1" s="120"/>
    </row>
    <row r="2" spans="1:8" x14ac:dyDescent="0.3">
      <c r="B2" s="119" t="s">
        <v>155</v>
      </c>
      <c r="C2" s="119"/>
      <c r="E2" s="119" t="s">
        <v>155</v>
      </c>
      <c r="F2" s="119"/>
    </row>
    <row r="3" spans="1:8" ht="18" x14ac:dyDescent="0.35">
      <c r="B3" s="30" t="s">
        <v>158</v>
      </c>
      <c r="C3" s="27">
        <v>45807318.5</v>
      </c>
      <c r="E3" s="14" t="s">
        <v>157</v>
      </c>
      <c r="F3" s="19">
        <v>0</v>
      </c>
    </row>
    <row r="4" spans="1:8" x14ac:dyDescent="0.3">
      <c r="B4" s="28" t="s">
        <v>68</v>
      </c>
      <c r="C4" s="29">
        <v>15634000</v>
      </c>
      <c r="D4">
        <v>4</v>
      </c>
      <c r="E4" s="8" t="s">
        <v>107</v>
      </c>
      <c r="F4" s="26">
        <v>220400</v>
      </c>
    </row>
    <row r="5" spans="1:8" x14ac:dyDescent="0.3">
      <c r="A5">
        <v>4</v>
      </c>
      <c r="B5" s="8" t="s">
        <v>159</v>
      </c>
      <c r="C5" s="26">
        <v>220400</v>
      </c>
      <c r="E5" t="s">
        <v>156</v>
      </c>
      <c r="F5" s="1">
        <v>139465</v>
      </c>
    </row>
    <row r="6" spans="1:8" x14ac:dyDescent="0.3">
      <c r="A6">
        <v>12</v>
      </c>
      <c r="B6" s="31" t="s">
        <v>160</v>
      </c>
      <c r="C6" s="32">
        <v>300000</v>
      </c>
      <c r="E6" t="s">
        <v>161</v>
      </c>
      <c r="F6" s="1">
        <v>412995</v>
      </c>
    </row>
    <row r="7" spans="1:8" x14ac:dyDescent="0.3">
      <c r="A7">
        <v>14</v>
      </c>
      <c r="B7" s="8" t="s">
        <v>159</v>
      </c>
      <c r="C7" s="26">
        <v>192000</v>
      </c>
      <c r="E7" t="s">
        <v>162</v>
      </c>
      <c r="F7" s="1">
        <v>5645904</v>
      </c>
    </row>
    <row r="8" spans="1:8" x14ac:dyDescent="0.3">
      <c r="B8" t="s">
        <v>25</v>
      </c>
      <c r="C8" s="1">
        <v>8411367</v>
      </c>
      <c r="E8" t="s">
        <v>163</v>
      </c>
      <c r="F8" s="1">
        <v>5628700</v>
      </c>
    </row>
    <row r="9" spans="1:8" x14ac:dyDescent="0.3">
      <c r="A9">
        <v>19</v>
      </c>
      <c r="B9" s="8" t="s">
        <v>159</v>
      </c>
      <c r="C9" s="26">
        <v>449000</v>
      </c>
      <c r="E9" t="s">
        <v>154</v>
      </c>
      <c r="F9" s="1">
        <v>2273809</v>
      </c>
    </row>
    <row r="10" spans="1:8" x14ac:dyDescent="0.3">
      <c r="B10" t="s">
        <v>117</v>
      </c>
      <c r="C10" s="1">
        <v>1522260</v>
      </c>
      <c r="D10">
        <v>14</v>
      </c>
      <c r="E10" s="8" t="s">
        <v>107</v>
      </c>
      <c r="F10" s="26">
        <v>192000</v>
      </c>
    </row>
    <row r="11" spans="1:8" x14ac:dyDescent="0.3">
      <c r="B11" t="s">
        <v>165</v>
      </c>
      <c r="C11" s="1">
        <v>420000</v>
      </c>
      <c r="E11" t="s">
        <v>164</v>
      </c>
      <c r="F11" s="1">
        <v>10366170</v>
      </c>
      <c r="H11" s="3"/>
    </row>
    <row r="12" spans="1:8" x14ac:dyDescent="0.3">
      <c r="B12" t="s">
        <v>166</v>
      </c>
      <c r="C12" s="1">
        <v>200000</v>
      </c>
      <c r="D12">
        <v>19</v>
      </c>
      <c r="E12" s="8" t="s">
        <v>107</v>
      </c>
      <c r="F12" s="26">
        <v>449000</v>
      </c>
    </row>
    <row r="13" spans="1:8" x14ac:dyDescent="0.3">
      <c r="A13">
        <v>21</v>
      </c>
      <c r="B13" s="8" t="s">
        <v>159</v>
      </c>
      <c r="C13" s="26">
        <v>705000</v>
      </c>
      <c r="D13">
        <v>21</v>
      </c>
      <c r="E13" s="8" t="s">
        <v>107</v>
      </c>
      <c r="F13" s="26">
        <v>705000</v>
      </c>
    </row>
    <row r="14" spans="1:8" x14ac:dyDescent="0.3">
      <c r="B14" t="s">
        <v>168</v>
      </c>
      <c r="C14" s="1">
        <v>390000</v>
      </c>
      <c r="D14">
        <v>26</v>
      </c>
      <c r="E14" s="8" t="s">
        <v>107</v>
      </c>
      <c r="F14" s="26">
        <v>705000</v>
      </c>
    </row>
    <row r="15" spans="1:8" x14ac:dyDescent="0.3">
      <c r="A15">
        <v>26</v>
      </c>
      <c r="B15" s="8" t="s">
        <v>159</v>
      </c>
      <c r="C15" s="26">
        <v>705000</v>
      </c>
      <c r="E15" t="s">
        <v>173</v>
      </c>
      <c r="F15" s="1">
        <v>8597000</v>
      </c>
    </row>
    <row r="16" spans="1:8" x14ac:dyDescent="0.3">
      <c r="B16" t="s">
        <v>169</v>
      </c>
      <c r="C16" s="1">
        <v>437800</v>
      </c>
      <c r="E16" t="s">
        <v>176</v>
      </c>
      <c r="F16" s="1">
        <v>6000000</v>
      </c>
    </row>
    <row r="17" spans="2:6" x14ac:dyDescent="0.3">
      <c r="B17" t="s">
        <v>49</v>
      </c>
      <c r="C17" s="1">
        <v>764000</v>
      </c>
      <c r="F17" s="1"/>
    </row>
    <row r="18" spans="2:6" x14ac:dyDescent="0.3">
      <c r="B18" t="s">
        <v>175</v>
      </c>
      <c r="C18" s="1">
        <v>2597000</v>
      </c>
      <c r="F18" s="1"/>
    </row>
    <row r="19" spans="2:6" x14ac:dyDescent="0.3">
      <c r="C19" s="1"/>
      <c r="F19" s="1"/>
    </row>
    <row r="20" spans="2:6" x14ac:dyDescent="0.3">
      <c r="C20" s="1"/>
      <c r="F20" s="1"/>
    </row>
    <row r="21" spans="2:6" x14ac:dyDescent="0.3">
      <c r="C21" s="1"/>
      <c r="F21" s="1"/>
    </row>
    <row r="22" spans="2:6" x14ac:dyDescent="0.3">
      <c r="C22" s="1"/>
      <c r="F22" s="1"/>
    </row>
    <row r="23" spans="2:6" x14ac:dyDescent="0.3">
      <c r="C23" s="1"/>
      <c r="F23" s="1"/>
    </row>
    <row r="24" spans="2:6" x14ac:dyDescent="0.3">
      <c r="C24" s="1"/>
      <c r="F24" s="1"/>
    </row>
    <row r="25" spans="2:6" x14ac:dyDescent="0.3">
      <c r="C25" s="1"/>
    </row>
    <row r="26" spans="2:6" x14ac:dyDescent="0.3">
      <c r="C26" s="13">
        <f>SUM(C3:C25)</f>
        <v>78755145.5</v>
      </c>
      <c r="F26" s="13">
        <f>SUM(F3:F25)</f>
        <v>41335443</v>
      </c>
    </row>
    <row r="28" spans="2:6" ht="18" x14ac:dyDescent="0.35">
      <c r="D28" s="24" t="s">
        <v>60</v>
      </c>
      <c r="E28" s="25">
        <f>F26-C26</f>
        <v>-37419702.5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6407-1A60-41AD-83CA-612220615D9B}">
  <sheetPr codeName="Hoja8"/>
  <dimension ref="A1:H32"/>
  <sheetViews>
    <sheetView topLeftCell="A13" workbookViewId="0">
      <selection activeCell="C3" sqref="C3"/>
    </sheetView>
  </sheetViews>
  <sheetFormatPr baseColWidth="10" defaultRowHeight="14.4" x14ac:dyDescent="0.3"/>
  <cols>
    <col min="2" max="2" width="21.5546875" customWidth="1"/>
    <col min="3" max="3" width="22.6640625" customWidth="1"/>
    <col min="4" max="4" width="18" bestFit="1" customWidth="1"/>
    <col min="5" max="5" width="19" customWidth="1"/>
    <col min="6" max="6" width="20" customWidth="1"/>
    <col min="8" max="8" width="13" bestFit="1" customWidth="1"/>
  </cols>
  <sheetData>
    <row r="1" spans="1:8" x14ac:dyDescent="0.3">
      <c r="B1" s="120" t="s">
        <v>1</v>
      </c>
      <c r="C1" s="120"/>
      <c r="E1" s="120" t="s">
        <v>9</v>
      </c>
      <c r="F1" s="120"/>
    </row>
    <row r="2" spans="1:8" x14ac:dyDescent="0.3">
      <c r="B2" s="119" t="s">
        <v>170</v>
      </c>
      <c r="C2" s="119"/>
      <c r="E2" s="119" t="s">
        <v>170</v>
      </c>
      <c r="F2" s="119"/>
    </row>
    <row r="3" spans="1:8" ht="18" x14ac:dyDescent="0.35">
      <c r="B3" s="30" t="s">
        <v>171</v>
      </c>
      <c r="C3" s="25">
        <v>37419702.5</v>
      </c>
      <c r="E3" s="14" t="s">
        <v>157</v>
      </c>
      <c r="F3" s="19">
        <v>0</v>
      </c>
    </row>
    <row r="4" spans="1:8" x14ac:dyDescent="0.3">
      <c r="B4" s="28" t="s">
        <v>68</v>
      </c>
      <c r="C4" s="34">
        <v>15634000</v>
      </c>
      <c r="D4">
        <v>5</v>
      </c>
      <c r="E4" s="8" t="s">
        <v>172</v>
      </c>
      <c r="F4" s="26">
        <v>347900</v>
      </c>
    </row>
    <row r="5" spans="1:8" x14ac:dyDescent="0.3">
      <c r="A5">
        <v>5</v>
      </c>
      <c r="B5" s="8" t="s">
        <v>159</v>
      </c>
      <c r="C5" s="35">
        <v>347900</v>
      </c>
      <c r="E5" t="s">
        <v>49</v>
      </c>
      <c r="F5" s="5">
        <v>2033000</v>
      </c>
    </row>
    <row r="6" spans="1:8" x14ac:dyDescent="0.3">
      <c r="B6" t="s">
        <v>174</v>
      </c>
      <c r="C6" s="34">
        <f>9833990*0.3</f>
        <v>2950197</v>
      </c>
      <c r="E6" t="s">
        <v>177</v>
      </c>
      <c r="F6" s="5">
        <f>6829212*0.7</f>
        <v>4780448.3999999994</v>
      </c>
    </row>
    <row r="7" spans="1:8" x14ac:dyDescent="0.3">
      <c r="A7">
        <v>10</v>
      </c>
      <c r="B7" s="8" t="s">
        <v>159</v>
      </c>
      <c r="C7" s="35">
        <v>724200</v>
      </c>
      <c r="D7">
        <v>10</v>
      </c>
      <c r="E7" s="8" t="s">
        <v>172</v>
      </c>
      <c r="F7" s="26">
        <v>724200</v>
      </c>
    </row>
    <row r="8" spans="1:8" x14ac:dyDescent="0.3">
      <c r="A8">
        <v>17</v>
      </c>
      <c r="B8" s="8" t="s">
        <v>159</v>
      </c>
      <c r="C8" s="35">
        <v>528000</v>
      </c>
      <c r="E8" t="s">
        <v>178</v>
      </c>
      <c r="F8" s="5">
        <v>76791</v>
      </c>
    </row>
    <row r="9" spans="1:8" x14ac:dyDescent="0.3">
      <c r="A9">
        <v>19</v>
      </c>
      <c r="B9" s="8" t="s">
        <v>159</v>
      </c>
      <c r="C9" s="35">
        <v>133200</v>
      </c>
      <c r="E9" t="s">
        <v>178</v>
      </c>
      <c r="F9" s="5">
        <v>1760848</v>
      </c>
    </row>
    <row r="10" spans="1:8" x14ac:dyDescent="0.3">
      <c r="A10">
        <v>24</v>
      </c>
      <c r="B10" s="8" t="s">
        <v>159</v>
      </c>
      <c r="C10" s="35">
        <v>400000</v>
      </c>
      <c r="E10" t="s">
        <v>180</v>
      </c>
      <c r="F10" s="5">
        <v>406397</v>
      </c>
    </row>
    <row r="11" spans="1:8" x14ac:dyDescent="0.3">
      <c r="B11" s="33" t="s">
        <v>181</v>
      </c>
      <c r="C11" s="34">
        <v>2154165</v>
      </c>
      <c r="E11" t="s">
        <v>179</v>
      </c>
      <c r="F11" s="5">
        <v>24231080</v>
      </c>
      <c r="G11">
        <v>21137</v>
      </c>
      <c r="H11" s="3"/>
    </row>
    <row r="12" spans="1:8" x14ac:dyDescent="0.3">
      <c r="B12" t="s">
        <v>184</v>
      </c>
      <c r="C12" s="34">
        <v>1065000</v>
      </c>
      <c r="E12" t="s">
        <v>178</v>
      </c>
      <c r="F12" s="5">
        <v>2229551</v>
      </c>
    </row>
    <row r="13" spans="1:8" x14ac:dyDescent="0.3">
      <c r="B13" t="s">
        <v>184</v>
      </c>
      <c r="C13" s="34">
        <v>3000000</v>
      </c>
      <c r="D13">
        <v>17</v>
      </c>
      <c r="E13" s="8" t="s">
        <v>172</v>
      </c>
      <c r="F13" s="26">
        <v>528000</v>
      </c>
    </row>
    <row r="14" spans="1:8" x14ac:dyDescent="0.3">
      <c r="B14" t="s">
        <v>184</v>
      </c>
      <c r="C14" s="34">
        <v>2000000</v>
      </c>
      <c r="D14">
        <v>19</v>
      </c>
      <c r="E14" s="8" t="s">
        <v>172</v>
      </c>
      <c r="F14" s="26">
        <v>133200</v>
      </c>
    </row>
    <row r="15" spans="1:8" x14ac:dyDescent="0.3">
      <c r="B15" t="s">
        <v>185</v>
      </c>
      <c r="C15" s="34">
        <v>2350000</v>
      </c>
      <c r="D15">
        <v>24</v>
      </c>
      <c r="E15" s="8" t="s">
        <v>172</v>
      </c>
      <c r="F15" s="26">
        <v>400000</v>
      </c>
    </row>
    <row r="16" spans="1:8" x14ac:dyDescent="0.3">
      <c r="B16" t="s">
        <v>186</v>
      </c>
      <c r="C16" s="34">
        <v>1642300</v>
      </c>
      <c r="E16" t="s">
        <v>182</v>
      </c>
      <c r="F16" s="5">
        <v>400282</v>
      </c>
    </row>
    <row r="17" spans="1:6" x14ac:dyDescent="0.3">
      <c r="B17" t="s">
        <v>187</v>
      </c>
      <c r="C17" s="34">
        <v>1920000</v>
      </c>
      <c r="E17" t="s">
        <v>183</v>
      </c>
      <c r="F17" s="5">
        <v>189000</v>
      </c>
    </row>
    <row r="18" spans="1:6" x14ac:dyDescent="0.3">
      <c r="B18" t="s">
        <v>189</v>
      </c>
      <c r="C18" s="34">
        <v>530000</v>
      </c>
      <c r="E18" t="s">
        <v>183</v>
      </c>
      <c r="F18" s="5">
        <v>380000</v>
      </c>
    </row>
    <row r="19" spans="1:6" x14ac:dyDescent="0.3">
      <c r="B19" t="s">
        <v>186</v>
      </c>
      <c r="C19" s="34">
        <v>1253000</v>
      </c>
      <c r="E19" t="s">
        <v>180</v>
      </c>
      <c r="F19" s="5">
        <v>560695</v>
      </c>
    </row>
    <row r="20" spans="1:6" x14ac:dyDescent="0.3">
      <c r="B20" t="s">
        <v>185</v>
      </c>
      <c r="C20" s="34">
        <v>500000</v>
      </c>
      <c r="E20" t="s">
        <v>188</v>
      </c>
      <c r="F20" s="5">
        <v>10000000</v>
      </c>
    </row>
    <row r="21" spans="1:6" x14ac:dyDescent="0.3">
      <c r="B21" t="s">
        <v>184</v>
      </c>
      <c r="C21" s="34">
        <v>2000000</v>
      </c>
      <c r="E21" t="s">
        <v>190</v>
      </c>
      <c r="F21" s="5">
        <f>5705800/2</f>
        <v>2852900</v>
      </c>
    </row>
    <row r="22" spans="1:6" x14ac:dyDescent="0.3">
      <c r="B22" t="s">
        <v>187</v>
      </c>
      <c r="C22" s="34">
        <v>2021000</v>
      </c>
      <c r="E22" t="s">
        <v>193</v>
      </c>
      <c r="F22" s="37">
        <v>64000</v>
      </c>
    </row>
    <row r="23" spans="1:6" x14ac:dyDescent="0.3">
      <c r="A23">
        <v>31</v>
      </c>
      <c r="B23" s="8" t="s">
        <v>191</v>
      </c>
      <c r="C23" s="36">
        <v>250000</v>
      </c>
      <c r="E23" s="8" t="s">
        <v>172</v>
      </c>
      <c r="F23" s="26">
        <v>123000</v>
      </c>
    </row>
    <row r="24" spans="1:6" x14ac:dyDescent="0.3">
      <c r="B24" t="s">
        <v>192</v>
      </c>
      <c r="C24" s="3">
        <v>160000</v>
      </c>
      <c r="E24" s="8" t="s">
        <v>172</v>
      </c>
      <c r="F24" s="26">
        <v>201500</v>
      </c>
    </row>
    <row r="25" spans="1:6" x14ac:dyDescent="0.3">
      <c r="B25" s="8" t="s">
        <v>159</v>
      </c>
      <c r="C25" s="36">
        <v>123000</v>
      </c>
      <c r="F25" s="3"/>
    </row>
    <row r="26" spans="1:6" x14ac:dyDescent="0.3">
      <c r="B26" s="8" t="s">
        <v>159</v>
      </c>
      <c r="C26" s="8">
        <v>201500</v>
      </c>
      <c r="D26" s="3"/>
    </row>
    <row r="27" spans="1:6" x14ac:dyDescent="0.3">
      <c r="B27" t="s">
        <v>127</v>
      </c>
      <c r="C27" s="3">
        <v>480000</v>
      </c>
      <c r="F27" s="3"/>
    </row>
    <row r="28" spans="1:6" x14ac:dyDescent="0.3">
      <c r="D28" s="3"/>
    </row>
    <row r="30" spans="1:6" ht="18" x14ac:dyDescent="0.35">
      <c r="C30" s="25">
        <f>SUM(C3:C29)</f>
        <v>79787164.5</v>
      </c>
      <c r="F30" s="25">
        <f>SUM(F3:F29)</f>
        <v>52422792.399999999</v>
      </c>
    </row>
    <row r="32" spans="1:6" ht="18" x14ac:dyDescent="0.35">
      <c r="D32" s="38">
        <f>+C30-F30</f>
        <v>27364372.100000001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7F04-4AC6-443D-AB3C-2B9E2051B4E2}">
  <sheetPr codeName="Hoja9"/>
  <dimension ref="A1:F30"/>
  <sheetViews>
    <sheetView topLeftCell="A4" workbookViewId="0">
      <selection activeCell="E29" sqref="E29"/>
    </sheetView>
  </sheetViews>
  <sheetFormatPr baseColWidth="10" defaultRowHeight="14.4" x14ac:dyDescent="0.3"/>
  <cols>
    <col min="2" max="2" width="20.88671875" customWidth="1"/>
    <col min="3" max="3" width="20.44140625" customWidth="1"/>
    <col min="4" max="4" width="23.109375" customWidth="1"/>
    <col min="5" max="5" width="22.44140625" customWidth="1"/>
    <col min="6" max="6" width="18" customWidth="1"/>
  </cols>
  <sheetData>
    <row r="1" spans="1:6" x14ac:dyDescent="0.3">
      <c r="B1" s="120" t="s">
        <v>1</v>
      </c>
      <c r="C1" s="120"/>
      <c r="E1" s="120" t="s">
        <v>9</v>
      </c>
      <c r="F1" s="120"/>
    </row>
    <row r="2" spans="1:6" x14ac:dyDescent="0.3">
      <c r="B2" s="119" t="s">
        <v>194</v>
      </c>
      <c r="C2" s="119"/>
      <c r="E2" s="119" t="s">
        <v>194</v>
      </c>
      <c r="F2" s="119"/>
    </row>
    <row r="3" spans="1:6" ht="18" x14ac:dyDescent="0.35">
      <c r="B3" s="30" t="s">
        <v>195</v>
      </c>
      <c r="C3" s="38">
        <v>27364372.100000001</v>
      </c>
      <c r="E3" s="14" t="s">
        <v>157</v>
      </c>
      <c r="F3" s="19">
        <v>0</v>
      </c>
    </row>
    <row r="4" spans="1:6" x14ac:dyDescent="0.3">
      <c r="B4" s="39" t="s">
        <v>68</v>
      </c>
      <c r="C4" s="40">
        <f>15634000-4200000</f>
        <v>11434000</v>
      </c>
      <c r="E4" t="s">
        <v>197</v>
      </c>
      <c r="F4" s="1">
        <f>2472142+1467900+899640+2800683</f>
        <v>7640365</v>
      </c>
    </row>
    <row r="5" spans="1:6" x14ac:dyDescent="0.3">
      <c r="B5" s="39" t="s">
        <v>217</v>
      </c>
      <c r="C5" s="40">
        <f>7031481*0.3</f>
        <v>2109444.2999999998</v>
      </c>
      <c r="D5">
        <v>1</v>
      </c>
      <c r="E5" s="8" t="s">
        <v>200</v>
      </c>
      <c r="F5" s="26">
        <v>393700</v>
      </c>
    </row>
    <row r="6" spans="1:6" x14ac:dyDescent="0.3">
      <c r="B6" t="s">
        <v>196</v>
      </c>
      <c r="C6" s="1">
        <v>1837000</v>
      </c>
      <c r="D6">
        <v>13</v>
      </c>
      <c r="E6" s="8" t="s">
        <v>200</v>
      </c>
      <c r="F6" s="26">
        <v>818500</v>
      </c>
    </row>
    <row r="7" spans="1:6" x14ac:dyDescent="0.3">
      <c r="B7" t="s">
        <v>198</v>
      </c>
      <c r="C7" s="1">
        <f>2403800+749700+595000</f>
        <v>3748500</v>
      </c>
      <c r="D7">
        <v>15</v>
      </c>
      <c r="E7" s="8" t="s">
        <v>200</v>
      </c>
      <c r="F7" s="26">
        <v>218000</v>
      </c>
    </row>
    <row r="8" spans="1:6" x14ac:dyDescent="0.3">
      <c r="A8">
        <v>13</v>
      </c>
      <c r="B8" t="s">
        <v>199</v>
      </c>
      <c r="C8" s="1">
        <f>1892000*0.5</f>
        <v>946000</v>
      </c>
      <c r="E8" t="s">
        <v>202</v>
      </c>
      <c r="F8" s="1">
        <v>650000</v>
      </c>
    </row>
    <row r="9" spans="1:6" x14ac:dyDescent="0.3">
      <c r="A9">
        <v>15</v>
      </c>
      <c r="B9" s="8" t="s">
        <v>201</v>
      </c>
      <c r="C9" s="26">
        <v>393700</v>
      </c>
      <c r="E9" s="33" t="s">
        <v>203</v>
      </c>
      <c r="F9" s="1">
        <v>1674000</v>
      </c>
    </row>
    <row r="10" spans="1:6" x14ac:dyDescent="0.3">
      <c r="B10" s="8" t="s">
        <v>201</v>
      </c>
      <c r="C10" s="26">
        <v>818500</v>
      </c>
      <c r="E10" t="s">
        <v>205</v>
      </c>
      <c r="F10" s="1">
        <v>411454</v>
      </c>
    </row>
    <row r="11" spans="1:6" x14ac:dyDescent="0.3">
      <c r="B11" s="8" t="s">
        <v>201</v>
      </c>
      <c r="C11" s="26">
        <v>218000</v>
      </c>
      <c r="E11" t="s">
        <v>206</v>
      </c>
      <c r="F11" s="1">
        <v>2209041</v>
      </c>
    </row>
    <row r="12" spans="1:6" x14ac:dyDescent="0.3">
      <c r="A12">
        <v>21</v>
      </c>
      <c r="B12" s="33" t="s">
        <v>204</v>
      </c>
      <c r="C12" s="1">
        <v>6300892</v>
      </c>
      <c r="E12" t="s">
        <v>207</v>
      </c>
      <c r="F12" s="1">
        <v>538600</v>
      </c>
    </row>
    <row r="13" spans="1:6" x14ac:dyDescent="0.3">
      <c r="B13" s="8" t="s">
        <v>209</v>
      </c>
      <c r="C13" s="26">
        <v>150000</v>
      </c>
      <c r="E13" t="s">
        <v>208</v>
      </c>
      <c r="F13" s="1">
        <v>6367185</v>
      </c>
    </row>
    <row r="14" spans="1:6" x14ac:dyDescent="0.3">
      <c r="B14" t="s">
        <v>210</v>
      </c>
      <c r="C14" s="1">
        <v>400000</v>
      </c>
      <c r="E14" t="s">
        <v>214</v>
      </c>
      <c r="F14" s="1">
        <v>1270000</v>
      </c>
    </row>
    <row r="15" spans="1:6" x14ac:dyDescent="0.3">
      <c r="B15" t="s">
        <v>211</v>
      </c>
      <c r="C15" s="1">
        <v>400000</v>
      </c>
      <c r="E15" t="s">
        <v>215</v>
      </c>
      <c r="F15" s="1">
        <v>25000</v>
      </c>
    </row>
    <row r="16" spans="1:6" x14ac:dyDescent="0.3">
      <c r="B16" t="s">
        <v>212</v>
      </c>
      <c r="C16" s="1">
        <v>424000</v>
      </c>
      <c r="E16" t="s">
        <v>215</v>
      </c>
      <c r="F16" s="1">
        <v>464000</v>
      </c>
    </row>
    <row r="17" spans="1:6" x14ac:dyDescent="0.3">
      <c r="A17">
        <v>23</v>
      </c>
      <c r="B17" t="s">
        <v>213</v>
      </c>
      <c r="C17" s="1">
        <v>154000</v>
      </c>
      <c r="E17" t="s">
        <v>215</v>
      </c>
      <c r="F17" s="1">
        <v>264000</v>
      </c>
    </row>
    <row r="18" spans="1:6" x14ac:dyDescent="0.3">
      <c r="A18">
        <v>28</v>
      </c>
      <c r="B18" s="8" t="s">
        <v>209</v>
      </c>
      <c r="C18" s="26">
        <v>200000</v>
      </c>
      <c r="E18" t="s">
        <v>215</v>
      </c>
      <c r="F18" s="1">
        <v>264000</v>
      </c>
    </row>
    <row r="19" spans="1:6" x14ac:dyDescent="0.3">
      <c r="B19" s="8" t="s">
        <v>209</v>
      </c>
      <c r="C19" s="26">
        <v>300000</v>
      </c>
      <c r="E19" t="s">
        <v>216</v>
      </c>
      <c r="F19" s="1">
        <v>168000</v>
      </c>
    </row>
    <row r="20" spans="1:6" x14ac:dyDescent="0.3">
      <c r="C20" s="1"/>
      <c r="E20" t="s">
        <v>178</v>
      </c>
      <c r="F20" s="5">
        <v>76791</v>
      </c>
    </row>
    <row r="21" spans="1:6" x14ac:dyDescent="0.3">
      <c r="C21" s="1"/>
      <c r="E21" t="s">
        <v>178</v>
      </c>
      <c r="F21" s="5">
        <v>1729230</v>
      </c>
    </row>
    <row r="22" spans="1:6" x14ac:dyDescent="0.3">
      <c r="C22" s="1"/>
      <c r="E22" t="s">
        <v>180</v>
      </c>
      <c r="F22" s="5">
        <v>403608</v>
      </c>
    </row>
    <row r="23" spans="1:6" x14ac:dyDescent="0.3">
      <c r="C23" s="1"/>
      <c r="F23" s="1"/>
    </row>
    <row r="24" spans="1:6" x14ac:dyDescent="0.3">
      <c r="C24" s="1"/>
    </row>
    <row r="25" spans="1:6" x14ac:dyDescent="0.3">
      <c r="C25" s="1"/>
    </row>
    <row r="26" spans="1:6" x14ac:dyDescent="0.3">
      <c r="C26" s="1"/>
    </row>
    <row r="27" spans="1:6" x14ac:dyDescent="0.3">
      <c r="C27" s="1"/>
    </row>
    <row r="28" spans="1:6" x14ac:dyDescent="0.3">
      <c r="C28" s="1"/>
      <c r="F28" s="21">
        <f>SUM(F3:F27)</f>
        <v>25585474</v>
      </c>
    </row>
    <row r="29" spans="1:6" x14ac:dyDescent="0.3">
      <c r="C29" s="2">
        <f>SUM(C3:C28)</f>
        <v>57198408.399999999</v>
      </c>
    </row>
    <row r="30" spans="1:6" x14ac:dyDescent="0.3">
      <c r="D30" s="13">
        <f>+C29-F28</f>
        <v>31612934.399999999</v>
      </c>
    </row>
  </sheetData>
  <mergeCells count="4">
    <mergeCell ref="B1:C1"/>
    <mergeCell ref="E1:F1"/>
    <mergeCell ref="B2:C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Octubre</vt:lpstr>
      <vt:lpstr>Noviembre</vt:lpstr>
      <vt:lpstr>Diciembre</vt:lpstr>
      <vt:lpstr>Enero2023</vt:lpstr>
      <vt:lpstr>Febre2023</vt:lpstr>
      <vt:lpstr>marz2023</vt:lpstr>
      <vt:lpstr>Abril23</vt:lpstr>
      <vt:lpstr>Mayo23</vt:lpstr>
      <vt:lpstr>Junio23</vt:lpstr>
      <vt:lpstr>Julio23</vt:lpstr>
      <vt:lpstr>Agos23</vt:lpstr>
      <vt:lpstr>Sep23</vt:lpstr>
      <vt:lpstr>OCT23</vt:lpstr>
      <vt:lpstr>Nov23</vt:lpstr>
      <vt:lpstr>DIC23</vt:lpstr>
      <vt:lpstr>ENE24</vt:lpstr>
      <vt:lpstr>FEB24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Daniel Escobar</cp:lastModifiedBy>
  <dcterms:created xsi:type="dcterms:W3CDTF">2022-11-16T14:12:48Z</dcterms:created>
  <dcterms:modified xsi:type="dcterms:W3CDTF">2024-03-06T19:37:25Z</dcterms:modified>
</cp:coreProperties>
</file>