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Do\Munka\Runafluid\test\"/>
    </mc:Choice>
  </mc:AlternateContent>
  <bookViews>
    <workbookView xWindow="0" yWindow="0" windowWidth="16380" windowHeight="7815" tabRatio="564" activeTab="1"/>
  </bookViews>
  <sheets>
    <sheet name="Aval_thresh_gen_rate" sheetId="2" r:id="rId1"/>
    <sheet name="RUNAFLUID_phys_numbers" sheetId="1" r:id="rId2"/>
  </sheets>
  <calcPr calcId="162913" iterateDelta="1E-4"/>
</workbook>
</file>

<file path=xl/calcChain.xml><?xml version="1.0" encoding="utf-8"?>
<calcChain xmlns="http://schemas.openxmlformats.org/spreadsheetml/2006/main">
  <c r="H55" i="1" l="1"/>
  <c r="L40" i="1"/>
  <c r="H43" i="1" s="1"/>
  <c r="F13" i="2"/>
  <c r="H25" i="1"/>
  <c r="L41" i="1" l="1"/>
  <c r="H44" i="1" s="1"/>
  <c r="M33" i="1"/>
  <c r="P31" i="1"/>
  <c r="M30" i="1"/>
  <c r="M32" i="1"/>
  <c r="D6" i="1"/>
  <c r="D7" i="1"/>
  <c r="F2" i="2"/>
  <c r="B17" i="2" l="1"/>
  <c r="F4" i="2" s="1"/>
  <c r="B24" i="2" l="1"/>
  <c r="B19" i="2"/>
  <c r="F5" i="2" s="1"/>
  <c r="B18" i="2"/>
  <c r="B11" i="2"/>
  <c r="B16" i="2"/>
  <c r="F8" i="2" l="1"/>
  <c r="C26" i="2" s="1"/>
  <c r="F9" i="2" s="1"/>
  <c r="F6" i="2"/>
  <c r="B21" i="2" s="1"/>
  <c r="B37" i="2"/>
  <c r="B35" i="2"/>
  <c r="B36" i="2"/>
  <c r="B34" i="2"/>
  <c r="F15" i="2"/>
  <c r="F14" i="2"/>
  <c r="B29" i="2"/>
  <c r="B15" i="2"/>
  <c r="B14" i="2"/>
  <c r="B13" i="2"/>
  <c r="B12" i="2"/>
  <c r="F10" i="2"/>
  <c r="B8" i="2"/>
  <c r="B4" i="2"/>
  <c r="B3" i="2"/>
  <c r="B46" i="1"/>
  <c r="M22" i="1" s="1"/>
  <c r="B33" i="1"/>
  <c r="B34" i="1" s="1"/>
  <c r="B25" i="1"/>
  <c r="H21" i="1"/>
  <c r="H24" i="1" s="1"/>
  <c r="B16" i="1"/>
  <c r="H54" i="1" s="1"/>
  <c r="H14" i="1"/>
  <c r="H12" i="1"/>
  <c r="B12" i="1"/>
  <c r="H10" i="1"/>
  <c r="H8" i="1"/>
  <c r="B8" i="1"/>
  <c r="H7" i="1"/>
  <c r="D4" i="1"/>
  <c r="D3" i="1"/>
  <c r="B14" i="1" s="1"/>
  <c r="B29" i="1" l="1"/>
  <c r="O27" i="1"/>
  <c r="O28" i="1" s="1"/>
  <c r="M27" i="1" s="1"/>
  <c r="M23" i="1"/>
  <c r="M26" i="1"/>
  <c r="M25" i="1"/>
  <c r="B15" i="1"/>
  <c r="B28" i="1" s="1"/>
  <c r="H22" i="1"/>
  <c r="B32" i="2"/>
  <c r="B33" i="2" s="1"/>
  <c r="B22" i="2"/>
  <c r="B23" i="2" s="1"/>
  <c r="F7" i="2" s="1"/>
  <c r="F17" i="2"/>
  <c r="B31" i="2"/>
  <c r="Q24" i="1"/>
  <c r="R24" i="1" s="1"/>
  <c r="S24" i="1" s="1"/>
  <c r="B30" i="1"/>
  <c r="B36" i="1" s="1"/>
  <c r="B39" i="1" s="1"/>
  <c r="H13" i="1"/>
  <c r="K13" i="1" s="1"/>
  <c r="F3" i="2"/>
  <c r="H6" i="1"/>
  <c r="I9" i="1" s="1"/>
  <c r="O24" i="1"/>
  <c r="P24" i="1" s="1"/>
  <c r="P25" i="1"/>
  <c r="D39" i="1"/>
  <c r="C16" i="1"/>
  <c r="H32" i="1"/>
  <c r="M28" i="1" l="1"/>
  <c r="M24" i="1"/>
  <c r="H42" i="1"/>
  <c r="H48" i="1" s="1"/>
  <c r="H31" i="1"/>
  <c r="F12" i="2"/>
  <c r="G7" i="2"/>
  <c r="F11" i="2"/>
  <c r="C17" i="1"/>
  <c r="H9" i="1"/>
  <c r="K8" i="1" s="1"/>
  <c r="H17" i="1" s="1"/>
  <c r="B18" i="1"/>
  <c r="C36" i="1"/>
  <c r="B40" i="1" s="1"/>
  <c r="H35" i="1" l="1"/>
  <c r="H34" i="1" s="1"/>
  <c r="H33" i="1"/>
  <c r="C39" i="1"/>
  <c r="H45" i="1" l="1"/>
  <c r="H36" i="1"/>
  <c r="H49" i="1"/>
  <c r="H56" i="1"/>
  <c r="H50" i="1"/>
  <c r="H51" i="1" s="1"/>
  <c r="H41" i="1" l="1"/>
  <c r="H47" i="1"/>
  <c r="H53" i="1" s="1"/>
  <c r="L44" i="1"/>
  <c r="L42" i="1"/>
  <c r="L43" i="1" s="1"/>
  <c r="J54" i="1"/>
  <c r="L45" i="1" l="1"/>
</calcChain>
</file>

<file path=xl/sharedStrings.xml><?xml version="1.0" encoding="utf-8"?>
<sst xmlns="http://schemas.openxmlformats.org/spreadsheetml/2006/main" count="136" uniqueCount="124">
  <si>
    <t>14.9 - 0.5 * log(electron_density * 1e-20) + log(electron_temperature * 1e-3);</t>
  </si>
  <si>
    <t>log</t>
  </si>
  <si>
    <t>density</t>
  </si>
  <si>
    <t>temp</t>
  </si>
  <si>
    <t>columb lambda</t>
  </si>
  <si>
    <t>ln lambda</t>
  </si>
  <si>
    <t>e</t>
  </si>
  <si>
    <t>e^3</t>
  </si>
  <si>
    <t>pi</t>
  </si>
  <si>
    <t>c^3</t>
  </si>
  <si>
    <t>Számláló</t>
  </si>
  <si>
    <t>eps0</t>
  </si>
  <si>
    <t>n_e * e^3 ln lambda</t>
  </si>
  <si>
    <t>me</t>
  </si>
  <si>
    <t>c</t>
  </si>
  <si>
    <t>Te^3/2</t>
  </si>
  <si>
    <t>4*pi*e0^2</t>
  </si>
  <si>
    <t>Nevező</t>
  </si>
  <si>
    <t>n_e * e3 ln lambda</t>
  </si>
  <si>
    <t>gyök8</t>
  </si>
  <si>
    <t>4pie02</t>
  </si>
  <si>
    <t>mec2</t>
  </si>
  <si>
    <t>Ed</t>
  </si>
  <si>
    <t>critical field</t>
  </si>
  <si>
    <t>Ec</t>
  </si>
  <si>
    <t>runaway collision time</t>
  </si>
  <si>
    <t>Vth</t>
  </si>
  <si>
    <t>pi_4_e02_me2_c3__e4 / (electron_density * coulomb_log)</t>
  </si>
  <si>
    <t>Thermal_electron:collision_Time</t>
  </si>
  <si>
    <t>ReferenceAlpha</t>
  </si>
  <si>
    <t>ReferenceLambda</t>
  </si>
  <si>
    <t>gyök alatti</t>
  </si>
  <si>
    <t>asin belül</t>
  </si>
  <si>
    <t>ReferenceGamma</t>
  </si>
  <si>
    <t>mc</t>
  </si>
  <si>
    <t>reference Ed</t>
  </si>
  <si>
    <t>refh1</t>
  </si>
  <si>
    <t>refh2</t>
  </si>
  <si>
    <t>4pie02 * me2 c3 / e4  * 1/ne logLambda</t>
  </si>
  <si>
    <t>refh3</t>
  </si>
  <si>
    <t>eleje</t>
  </si>
  <si>
    <t>refHsum</t>
  </si>
  <si>
    <t>vége</t>
  </si>
  <si>
    <t>reference_growth_rate</t>
  </si>
  <si>
    <t>inv_asp_ratio</t>
  </si>
  <si>
    <t>first</t>
  </si>
  <si>
    <t>second</t>
  </si>
  <si>
    <t>ref_toroidicity_dreicer</t>
  </si>
  <si>
    <t>thermal speed</t>
  </si>
  <si>
    <t>third</t>
  </si>
  <si>
    <t>v/c</t>
  </si>
  <si>
    <t>exponential</t>
  </si>
  <si>
    <t>thermal coll. Time</t>
  </si>
  <si>
    <t>growth rate</t>
  </si>
  <si>
    <t>Dreicer</t>
  </si>
  <si>
    <t>E/Ed</t>
  </si>
  <si>
    <t>dreicer_growth_rate_63</t>
  </si>
  <si>
    <t>els</t>
  </si>
  <si>
    <t>mas</t>
  </si>
  <si>
    <t>harm</t>
  </si>
  <si>
    <t>exp</t>
  </si>
  <si>
    <t>ref electric field</t>
  </si>
  <si>
    <t>growth rate limit</t>
  </si>
  <si>
    <t>dreicer_growth_rate_67</t>
  </si>
  <si>
    <t>ref_zeff_1</t>
  </si>
  <si>
    <t>dreicer_growth_rate_66</t>
  </si>
  <si>
    <t>Variable/calculations name:</t>
  </si>
  <si>
    <t>Value:</t>
  </si>
  <si>
    <t>Function name:</t>
  </si>
  <si>
    <t>Electron density</t>
  </si>
  <si>
    <t>Columb lambda</t>
  </si>
  <si>
    <t>Electron temperature in eV</t>
  </si>
  <si>
    <t>Ne*e^3*Ln(lambda)</t>
  </si>
  <si>
    <t>Electron temperature in Joule</t>
  </si>
  <si>
    <t>Runaway electron collision time</t>
  </si>
  <si>
    <t>Electron's charge</t>
  </si>
  <si>
    <t>Synchrotron loss time</t>
  </si>
  <si>
    <t>Electron's mass</t>
  </si>
  <si>
    <t>Normalised synchrotron loss time</t>
  </si>
  <si>
    <t>Effective charge(Zeff)</t>
  </si>
  <si>
    <t>Avalanche threshold electric field</t>
  </si>
  <si>
    <t>π</t>
  </si>
  <si>
    <t>Critical field(Ec)</t>
  </si>
  <si>
    <t>Epsilon_0</t>
  </si>
  <si>
    <t>Avalanche generation rate</t>
  </si>
  <si>
    <t>Speed of light( c )</t>
  </si>
  <si>
    <t>Runaway electron density</t>
  </si>
  <si>
    <t>e^4</t>
  </si>
  <si>
    <t>Avalanche density</t>
  </si>
  <si>
    <t>4*π*Eps0^2</t>
  </si>
  <si>
    <t>M0*c^2</t>
  </si>
  <si>
    <t>Sqrt(8)</t>
  </si>
  <si>
    <t>M0^2*c^3</t>
  </si>
  <si>
    <t>Ne*Ln(lambda)</t>
  </si>
  <si>
    <t>6*π*Eps0*M0*c^3</t>
  </si>
  <si>
    <t>e^4*B^2</t>
  </si>
  <si>
    <t>Magnetic field</t>
  </si>
  <si>
    <t>(Zeff+1)/sqrt(Trad)</t>
  </si>
  <si>
    <t>1/8+(Zeff+1)^2/Trad</t>
  </si>
  <si>
    <t>Sixth square(1/8+(Zeff+1)^2/Trad)</t>
  </si>
  <si>
    <t>Electric field_2</t>
  </si>
  <si>
    <t>Electric field_1</t>
  </si>
  <si>
    <t>Ir(runaway current)</t>
  </si>
  <si>
    <t>A(surface)</t>
  </si>
  <si>
    <t>C*ne/Tau[th]</t>
  </si>
  <si>
    <t>Thermal electron collision time</t>
  </si>
  <si>
    <t>Dreicer field</t>
  </si>
  <si>
    <t>E/Ed^(-3/16*(Z+1))</t>
  </si>
  <si>
    <t>sqrt((1+Zeff)*Ed/E)</t>
  </si>
  <si>
    <t>Exp(-1/4-sqrt((1+Zeff)*Ed/E))</t>
  </si>
  <si>
    <t>Dreicer growth rate 67</t>
  </si>
  <si>
    <t>Reference Alpha</t>
  </si>
  <si>
    <t>Reference Lambda</t>
  </si>
  <si>
    <t>Reference Gamma</t>
  </si>
  <si>
    <t>Reference h</t>
  </si>
  <si>
    <t>Part 1 of reference h</t>
  </si>
  <si>
    <t>Part 2 of reference h</t>
  </si>
  <si>
    <t>Part 3 of reference h</t>
  </si>
  <si>
    <t>SQRT(alpha/(alpha-1))</t>
  </si>
  <si>
    <t>ref_toroidicity_dreicer_from coordinate</t>
  </si>
  <si>
    <t>rho_norm</t>
  </si>
  <si>
    <t>in_asp_ratio_coordinate</t>
  </si>
  <si>
    <t>Dreicer Generation Rates</t>
  </si>
  <si>
    <t>Ed/E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</si>
</sst>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E+000"/>
    <numFmt numFmtId="165" formatCode="0.0000E+000"/>
    <numFmt numFmtId="166" formatCode="#,##0.0000"/>
    <numFmt numFmtId="167" formatCode="0.00000E+00"/>
  </numFmts>
  <fonts count="3" x14ac:knownFonts="1">
    <font>
      <sz val="11"/>
      <color rgb="FF000000"/>
      <name val="Calibri"/>
      <family val="2"/>
      <charset val="1"/>
    </font>
    <font>
      <sz val="10"/>
      <name val="Times New Roman"/>
      <family val="1"/>
      <charset val="1"/>
    </font>
    <font>
      <sz val="16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26E62F"/>
        <bgColor rgb="FF33CCCC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/>
    <xf numFmtId="0" fontId="0" fillId="2" borderId="0" xfId="0" applyFont="1" applyFill="1"/>
    <xf numFmtId="165" fontId="0" fillId="2" borderId="0" xfId="0" applyNumberFormat="1" applyFill="1"/>
    <xf numFmtId="165" fontId="0" fillId="2" borderId="0" xfId="0" applyNumberFormat="1" applyFont="1" applyFill="1"/>
    <xf numFmtId="165" fontId="1" fillId="2" borderId="0" xfId="0" applyNumberFormat="1" applyFont="1" applyFill="1" applyAlignment="1">
      <alignment wrapText="1"/>
    </xf>
    <xf numFmtId="166" fontId="0" fillId="0" borderId="0" xfId="0" applyNumberFormat="1"/>
    <xf numFmtId="166" fontId="0" fillId="0" borderId="0" xfId="0" applyNumberFormat="1" applyFont="1"/>
    <xf numFmtId="165" fontId="0" fillId="0" borderId="1" xfId="0" applyNumberFormat="1" applyBorder="1"/>
    <xf numFmtId="0" fontId="2" fillId="2" borderId="0" xfId="0" applyFont="1" applyFill="1"/>
    <xf numFmtId="0" fontId="0" fillId="3" borderId="0" xfId="0" applyFill="1"/>
    <xf numFmtId="167" fontId="0" fillId="0" borderId="0" xfId="0" applyNumberFormat="1"/>
    <xf numFmtId="11" fontId="0" fillId="0" borderId="0" xfId="0" applyNumberFormat="1"/>
    <xf numFmtId="0" fontId="0" fillId="0" borderId="0" xfId="0" applyFill="1"/>
    <xf numFmtId="167" fontId="0" fillId="0" borderId="0" xfId="0" applyNumberFormat="1" applyFill="1"/>
  </cellXfs>
  <cellStyles count="1">
    <cellStyle name="Normá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26E62F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Normal="100" workbookViewId="0">
      <selection activeCell="F13" sqref="F13"/>
    </sheetView>
  </sheetViews>
  <sheetFormatPr defaultRowHeight="15" x14ac:dyDescent="0.25"/>
  <cols>
    <col min="1" max="1" width="36.140625"/>
    <col min="2" max="2" width="17.5703125"/>
    <col min="3" max="3" width="12" bestFit="1" customWidth="1"/>
    <col min="4" max="4" width="8.7109375"/>
    <col min="5" max="5" width="31.42578125"/>
    <col min="6" max="6" width="16.7109375"/>
    <col min="7" max="8" width="11.5703125" bestFit="1" customWidth="1"/>
    <col min="9" max="1025" width="8.7109375"/>
  </cols>
  <sheetData>
    <row r="1" spans="1:8" ht="21" x14ac:dyDescent="0.35">
      <c r="A1" s="11" t="s">
        <v>66</v>
      </c>
      <c r="B1" s="11" t="s">
        <v>67</v>
      </c>
      <c r="C1" s="12"/>
      <c r="D1" s="12"/>
      <c r="E1" s="11" t="s">
        <v>68</v>
      </c>
      <c r="F1" s="11" t="s">
        <v>67</v>
      </c>
    </row>
    <row r="2" spans="1:8" x14ac:dyDescent="0.25">
      <c r="A2" t="s">
        <v>69</v>
      </c>
      <c r="B2" s="13">
        <v>1E+21</v>
      </c>
      <c r="E2" t="s">
        <v>70</v>
      </c>
      <c r="F2" s="13">
        <f>14.9-0.5*(LN(B2*POWER(10,-20)))+LN(B3*POWER(10,-3))</f>
        <v>18.353877639491067</v>
      </c>
    </row>
    <row r="3" spans="1:8" x14ac:dyDescent="0.25">
      <c r="A3" t="s">
        <v>71</v>
      </c>
      <c r="B3" s="13">
        <f>100000</f>
        <v>100000</v>
      </c>
      <c r="E3" t="s">
        <v>72</v>
      </c>
      <c r="F3" s="13">
        <f>B2*B5*B5*B5*F2</f>
        <v>7.5484711906878547E-35</v>
      </c>
    </row>
    <row r="4" spans="1:8" x14ac:dyDescent="0.25">
      <c r="A4" t="s">
        <v>73</v>
      </c>
      <c r="B4" s="13">
        <f>B3*B5</f>
        <v>1.6021766200000001E-14</v>
      </c>
      <c r="E4" t="s">
        <v>74</v>
      </c>
      <c r="F4" s="13">
        <f>((B13*B16)/B11)/B17</f>
        <v>1.8212854535508969E-3</v>
      </c>
    </row>
    <row r="5" spans="1:8" x14ac:dyDescent="0.25">
      <c r="A5" t="s">
        <v>75</v>
      </c>
      <c r="B5" s="13">
        <v>1.6021766200000001E-19</v>
      </c>
      <c r="E5" t="s">
        <v>76</v>
      </c>
      <c r="F5" s="13">
        <f>B18/B19</f>
        <v>1.2896663771229915</v>
      </c>
    </row>
    <row r="6" spans="1:8" x14ac:dyDescent="0.25">
      <c r="A6" t="s">
        <v>77</v>
      </c>
      <c r="B6" s="13">
        <v>9.1093835599999998E-31</v>
      </c>
      <c r="E6" t="s">
        <v>78</v>
      </c>
      <c r="F6" s="13">
        <f>F5/F4</f>
        <v>708.10776784527309</v>
      </c>
    </row>
    <row r="7" spans="1:8" x14ac:dyDescent="0.25">
      <c r="A7" t="s">
        <v>79</v>
      </c>
      <c r="B7" s="13">
        <v>1</v>
      </c>
      <c r="E7" t="s">
        <v>80</v>
      </c>
      <c r="F7" s="13">
        <f>1+(B21/B23)</f>
        <v>1.1055105888710326</v>
      </c>
      <c r="G7" s="13">
        <f>F7*F8</f>
        <v>1.03462790986947</v>
      </c>
    </row>
    <row r="8" spans="1:8" x14ac:dyDescent="0.25">
      <c r="A8" t="s">
        <v>81</v>
      </c>
      <c r="B8" s="13">
        <f>PI()</f>
        <v>3.1415926535897931</v>
      </c>
      <c r="E8" t="s">
        <v>82</v>
      </c>
      <c r="F8" s="13">
        <f>B24/(B13*B14)</f>
        <v>0.93588240608898254</v>
      </c>
      <c r="G8" s="13"/>
    </row>
    <row r="9" spans="1:8" x14ac:dyDescent="0.25">
      <c r="A9" t="s">
        <v>83</v>
      </c>
      <c r="B9" s="13">
        <v>8.8541878170000005E-12</v>
      </c>
      <c r="E9" t="s">
        <v>84</v>
      </c>
      <c r="F9" s="13">
        <f>((C26/F8)-1)/(2*F4*F2)</f>
        <v>2.9915354181308507</v>
      </c>
      <c r="H9" s="13"/>
    </row>
    <row r="10" spans="1:8" x14ac:dyDescent="0.25">
      <c r="A10" t="s">
        <v>85</v>
      </c>
      <c r="B10" s="13">
        <v>299792458</v>
      </c>
      <c r="E10" t="s">
        <v>86</v>
      </c>
      <c r="F10" s="13">
        <f>B27/(B28*B5*B10)</f>
        <v>3122915017928723</v>
      </c>
    </row>
    <row r="11" spans="1:8" x14ac:dyDescent="0.25">
      <c r="A11" t="s">
        <v>87</v>
      </c>
      <c r="B11" s="13">
        <f>B5*B5*B5*B5</f>
        <v>6.589334578782229E-76</v>
      </c>
      <c r="E11" t="s">
        <v>88</v>
      </c>
      <c r="F11" s="13">
        <f>F10/F9</f>
        <v>1043917113266190.3</v>
      </c>
    </row>
    <row r="12" spans="1:8" x14ac:dyDescent="0.25">
      <c r="A12" t="s">
        <v>9</v>
      </c>
      <c r="B12" s="13">
        <f>B10*B10*B10</f>
        <v>2.6944002417373989E+25</v>
      </c>
      <c r="E12" t="s">
        <v>110</v>
      </c>
      <c r="F12" s="13">
        <f>B29*B31*B33</f>
        <v>145.14409604056164</v>
      </c>
      <c r="G12" s="13"/>
    </row>
    <row r="13" spans="1:8" x14ac:dyDescent="0.25">
      <c r="A13" t="s">
        <v>89</v>
      </c>
      <c r="B13" s="13">
        <f>4*B8*B9*B9</f>
        <v>9.8516125702040401E-22</v>
      </c>
      <c r="E13" t="s">
        <v>106</v>
      </c>
      <c r="F13" s="13">
        <f>(F8*B14)/B4</f>
        <v>4.7823492358159427</v>
      </c>
    </row>
    <row r="14" spans="1:8" x14ac:dyDescent="0.25">
      <c r="A14" t="s">
        <v>90</v>
      </c>
      <c r="B14" s="13">
        <f>B6*B10*B10</f>
        <v>8.1871056496500277E-14</v>
      </c>
      <c r="E14" t="s">
        <v>111</v>
      </c>
      <c r="F14">
        <f>B26</f>
        <v>1.2</v>
      </c>
    </row>
    <row r="15" spans="1:8" x14ac:dyDescent="0.25">
      <c r="A15" t="s">
        <v>91</v>
      </c>
      <c r="B15" s="13">
        <f>SQRT(8)</f>
        <v>2.8284271247461903</v>
      </c>
      <c r="E15" t="s">
        <v>112</v>
      </c>
      <c r="F15">
        <f>(8*F14*(F14-0.5-SQRT(F14*(F14-1))))</f>
        <v>2.0169796938562983</v>
      </c>
    </row>
    <row r="16" spans="1:8" x14ac:dyDescent="0.25">
      <c r="A16" t="s">
        <v>92</v>
      </c>
      <c r="B16" s="13">
        <f>B6*B6*B12</f>
        <v>2.2358367307069281E-35</v>
      </c>
      <c r="E16" t="s">
        <v>113</v>
      </c>
    </row>
    <row r="17" spans="1:6" x14ac:dyDescent="0.25">
      <c r="A17" t="s">
        <v>93</v>
      </c>
      <c r="B17" s="13">
        <f>B2*F2</f>
        <v>1.8353877639491066E+22</v>
      </c>
      <c r="E17" t="s">
        <v>114</v>
      </c>
      <c r="F17">
        <f>(B34*(B35+B37))</f>
        <v>0.17551025721682159</v>
      </c>
    </row>
    <row r="18" spans="1:6" x14ac:dyDescent="0.25">
      <c r="A18" t="s">
        <v>94</v>
      </c>
      <c r="B18" s="13">
        <f>(((6*B8)*B9)*B6*B6*B6)*B12</f>
        <v>3.3992173015477323E-75</v>
      </c>
    </row>
    <row r="19" spans="1:6" x14ac:dyDescent="0.25">
      <c r="A19" t="s">
        <v>95</v>
      </c>
      <c r="B19" s="13">
        <f>B11*B20*B20</f>
        <v>2.6357338315128916E-75</v>
      </c>
    </row>
    <row r="20" spans="1:6" x14ac:dyDescent="0.25">
      <c r="A20" t="s">
        <v>96</v>
      </c>
      <c r="B20">
        <v>2</v>
      </c>
    </row>
    <row r="21" spans="1:6" x14ac:dyDescent="0.25">
      <c r="A21" t="s">
        <v>97</v>
      </c>
      <c r="B21" s="13">
        <f>(B7+1)/(SQRT(F6))</f>
        <v>7.5158882883148981E-2</v>
      </c>
    </row>
    <row r="22" spans="1:6" x14ac:dyDescent="0.25">
      <c r="A22" t="s">
        <v>98</v>
      </c>
      <c r="B22" s="13">
        <f>1/8+(((B7+1)*(B7+1))/F6)</f>
        <v>0.1306488576762429</v>
      </c>
    </row>
    <row r="23" spans="1:6" x14ac:dyDescent="0.25">
      <c r="A23" t="s">
        <v>99</v>
      </c>
      <c r="B23" s="13">
        <f>B22^(1/6)</f>
        <v>0.71233497687153369</v>
      </c>
    </row>
    <row r="24" spans="1:6" x14ac:dyDescent="0.25">
      <c r="A24" t="s">
        <v>18</v>
      </c>
      <c r="B24" s="13">
        <f>B17*B5*B5*B5</f>
        <v>7.5484711906878547E-35</v>
      </c>
    </row>
    <row r="25" spans="1:6" x14ac:dyDescent="0.25">
      <c r="A25" t="s">
        <v>100</v>
      </c>
      <c r="B25">
        <v>0.8</v>
      </c>
    </row>
    <row r="26" spans="1:6" x14ac:dyDescent="0.25">
      <c r="A26" t="s">
        <v>101</v>
      </c>
      <c r="B26">
        <v>1.2</v>
      </c>
      <c r="C26" s="13">
        <f>B26*F8</f>
        <v>1.1230588873067791</v>
      </c>
    </row>
    <row r="27" spans="1:6" x14ac:dyDescent="0.25">
      <c r="A27" t="s">
        <v>102</v>
      </c>
      <c r="B27">
        <v>150000</v>
      </c>
    </row>
    <row r="28" spans="1:6" x14ac:dyDescent="0.25">
      <c r="A28" s="15" t="s">
        <v>103</v>
      </c>
      <c r="B28" s="15">
        <v>1</v>
      </c>
    </row>
    <row r="29" spans="1:6" x14ac:dyDescent="0.25">
      <c r="A29" s="15" t="s">
        <v>104</v>
      </c>
      <c r="B29" s="16">
        <f>1/B30</f>
        <v>2003.6553057174081</v>
      </c>
    </row>
    <row r="30" spans="1:6" x14ac:dyDescent="0.25">
      <c r="A30" s="15" t="s">
        <v>105</v>
      </c>
      <c r="B30" s="15">
        <v>4.9908784068123453E-4</v>
      </c>
      <c r="D30" s="15"/>
    </row>
    <row r="31" spans="1:6" x14ac:dyDescent="0.25">
      <c r="A31" s="15" t="s">
        <v>107</v>
      </c>
      <c r="B31" s="16">
        <f>(C26/F13)^((-3/16)*(B7+1))</f>
        <v>1.7217279690422986</v>
      </c>
    </row>
    <row r="32" spans="1:6" x14ac:dyDescent="0.25">
      <c r="A32" s="15" t="s">
        <v>108</v>
      </c>
      <c r="B32" s="15">
        <f>SQRT((1+B7)*(F13/C26))</f>
        <v>2.918329849199603</v>
      </c>
    </row>
    <row r="33" spans="1:2" x14ac:dyDescent="0.25">
      <c r="A33" s="15" t="s">
        <v>109</v>
      </c>
      <c r="B33" s="15">
        <f>EXP((-1/4)-B32)</f>
        <v>4.207380886122665E-2</v>
      </c>
    </row>
    <row r="34" spans="1:2" x14ac:dyDescent="0.25">
      <c r="A34" s="15" t="s">
        <v>115</v>
      </c>
      <c r="B34">
        <f>1/(16*(F14-1))</f>
        <v>0.31250000000000006</v>
      </c>
    </row>
    <row r="35" spans="1:2" x14ac:dyDescent="0.25">
      <c r="A35" s="15" t="s">
        <v>116</v>
      </c>
      <c r="B35">
        <f>((F14*(B7+1))-B7+7)</f>
        <v>8.4</v>
      </c>
    </row>
    <row r="36" spans="1:2" x14ac:dyDescent="0.25">
      <c r="A36" s="15" t="s">
        <v>118</v>
      </c>
      <c r="B36">
        <f>SQRT(F14/(F14-1))</f>
        <v>2.4494897427831783</v>
      </c>
    </row>
    <row r="37" spans="1:2" x14ac:dyDescent="0.25">
      <c r="A37" s="15" t="s">
        <v>117</v>
      </c>
      <c r="B37">
        <f>2*B36*(1+B7)*(F14-2)</f>
        <v>-7.8383671769061714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abSelected="1" topLeftCell="C36" zoomScaleNormal="100" workbookViewId="0">
      <selection activeCell="J50" sqref="J50"/>
    </sheetView>
  </sheetViews>
  <sheetFormatPr defaultRowHeight="15" x14ac:dyDescent="0.25"/>
  <cols>
    <col min="1" max="1" width="18"/>
    <col min="2" max="2" width="21.5703125" customWidth="1"/>
    <col min="3" max="3" width="11.28515625"/>
    <col min="4" max="4" width="11.5703125"/>
    <col min="5" max="6" width="8.7109375"/>
    <col min="7" max="7" width="22"/>
    <col min="8" max="8" width="12.28515625"/>
    <col min="9" max="9" width="11.28515625"/>
    <col min="10" max="10" width="19"/>
    <col min="11" max="11" width="12"/>
    <col min="12" max="12" width="21.42578125"/>
    <col min="13" max="13" width="13.85546875"/>
    <col min="14" max="14" width="8.7109375"/>
    <col min="15" max="15" width="11.5703125" bestFit="1" customWidth="1"/>
    <col min="16" max="1025" width="8.7109375"/>
  </cols>
  <sheetData>
    <row r="1" spans="1:12" x14ac:dyDescent="0.25">
      <c r="A1" s="1" t="s">
        <v>0</v>
      </c>
      <c r="B1" s="2"/>
      <c r="L1" t="s">
        <v>122</v>
      </c>
    </row>
    <row r="2" spans="1:12" x14ac:dyDescent="0.25">
      <c r="A2" s="1"/>
      <c r="B2" s="2"/>
      <c r="D2" t="s">
        <v>1</v>
      </c>
      <c r="L2">
        <v>63</v>
      </c>
    </row>
    <row r="3" spans="1:12" x14ac:dyDescent="0.25">
      <c r="A3" s="1" t="s">
        <v>2</v>
      </c>
      <c r="B3" s="2">
        <v>1E+21</v>
      </c>
      <c r="D3" s="3">
        <f>LOG10(B3)-20</f>
        <v>1</v>
      </c>
      <c r="L3">
        <v>66</v>
      </c>
    </row>
    <row r="4" spans="1:12" x14ac:dyDescent="0.25">
      <c r="A4" t="s">
        <v>3</v>
      </c>
      <c r="B4" s="2">
        <v>100000</v>
      </c>
      <c r="D4" s="3">
        <f>LOG10(B4)-3</f>
        <v>2</v>
      </c>
      <c r="L4">
        <v>67</v>
      </c>
    </row>
    <row r="5" spans="1:12" x14ac:dyDescent="0.25">
      <c r="B5" s="3"/>
    </row>
    <row r="6" spans="1:12" x14ac:dyDescent="0.25">
      <c r="A6" t="s">
        <v>4</v>
      </c>
      <c r="B6" s="3"/>
      <c r="D6" s="3">
        <f>14.9-0.5*(LN(B3*POWER(10,-20)))+LN(B4*POWER(10,-3))</f>
        <v>18.353877639491067</v>
      </c>
      <c r="G6" s="4" t="s">
        <v>5</v>
      </c>
      <c r="H6" s="5">
        <f>D6</f>
        <v>18.353877639491067</v>
      </c>
    </row>
    <row r="7" spans="1:12" x14ac:dyDescent="0.25">
      <c r="A7" s="4" t="s">
        <v>6</v>
      </c>
      <c r="B7" s="6">
        <v>1.6021766200000001E-19</v>
      </c>
      <c r="D7" s="3">
        <f>14.9-0.5*(LN(B3*POWER(10,-20)))+LN(B4*POWER(10,-3))</f>
        <v>18.353877639491067</v>
      </c>
      <c r="G7" s="4" t="s">
        <v>7</v>
      </c>
      <c r="H7" s="5">
        <f>B7^3</f>
        <v>4.1127391927503151E-57</v>
      </c>
    </row>
    <row r="8" spans="1:12" x14ac:dyDescent="0.25">
      <c r="A8" s="4" t="s">
        <v>8</v>
      </c>
      <c r="B8" s="5">
        <f>PI()</f>
        <v>3.1415926535897931</v>
      </c>
      <c r="G8" s="4" t="s">
        <v>9</v>
      </c>
      <c r="H8" s="5">
        <f>B11^3</f>
        <v>2.6944002417373989E+25</v>
      </c>
      <c r="J8" t="s">
        <v>10</v>
      </c>
      <c r="K8">
        <f>H9*H8*(H10)^(3/2)</f>
        <v>1.7682944912236603E-54</v>
      </c>
    </row>
    <row r="9" spans="1:12" x14ac:dyDescent="0.25">
      <c r="A9" s="4" t="s">
        <v>11</v>
      </c>
      <c r="B9" s="7">
        <v>8.8541878170000005E-12</v>
      </c>
      <c r="G9" s="4" t="s">
        <v>12</v>
      </c>
      <c r="H9" s="5">
        <f>B14</f>
        <v>7.5484711906878547E-35</v>
      </c>
      <c r="I9" s="5">
        <f>H6*H7*B3</f>
        <v>7.5484711906878547E-35</v>
      </c>
    </row>
    <row r="10" spans="1:12" x14ac:dyDescent="0.25">
      <c r="A10" s="4" t="s">
        <v>13</v>
      </c>
      <c r="B10" s="7">
        <v>9.1093835599999998E-31</v>
      </c>
      <c r="G10" s="4" t="s">
        <v>13</v>
      </c>
      <c r="H10" s="5">
        <f>B10</f>
        <v>9.1093835599999998E-31</v>
      </c>
    </row>
    <row r="11" spans="1:12" x14ac:dyDescent="0.25">
      <c r="A11" s="4" t="s">
        <v>14</v>
      </c>
      <c r="B11" s="7">
        <v>299792458</v>
      </c>
    </row>
    <row r="12" spans="1:12" x14ac:dyDescent="0.25">
      <c r="B12" s="3">
        <f>RUNAFLUID_phys_numbers!B1</f>
        <v>0</v>
      </c>
      <c r="G12" t="s">
        <v>15</v>
      </c>
      <c r="H12" s="3">
        <f>(B4)^(2.5)*B7</f>
        <v>5.0665273330700901E-7</v>
      </c>
      <c r="I12" s="3"/>
    </row>
    <row r="13" spans="1:12" x14ac:dyDescent="0.25">
      <c r="B13" s="3"/>
      <c r="G13" s="4" t="s">
        <v>16</v>
      </c>
      <c r="H13" s="5">
        <f>B15</f>
        <v>9.8516125702040401E-22</v>
      </c>
      <c r="J13" t="s">
        <v>17</v>
      </c>
      <c r="K13" s="3">
        <f>H13*H14*H12</f>
        <v>1.4117659649084197E-27</v>
      </c>
    </row>
    <row r="14" spans="1:12" x14ac:dyDescent="0.25">
      <c r="A14" s="4" t="s">
        <v>18</v>
      </c>
      <c r="B14" s="5">
        <f>B3*B7^3*D6</f>
        <v>7.5484711906878547E-35</v>
      </c>
      <c r="G14" t="s">
        <v>19</v>
      </c>
      <c r="H14">
        <f>SQRT(8)</f>
        <v>2.8284271247461903</v>
      </c>
    </row>
    <row r="15" spans="1:12" x14ac:dyDescent="0.25">
      <c r="A15" s="4" t="s">
        <v>20</v>
      </c>
      <c r="B15" s="5">
        <f>4*B8*B9*B9</f>
        <v>9.8516125702040401E-22</v>
      </c>
    </row>
    <row r="16" spans="1:12" x14ac:dyDescent="0.25">
      <c r="A16" s="4" t="s">
        <v>21</v>
      </c>
      <c r="B16" s="5">
        <f>B10*B11*B11</f>
        <v>8.1871056496500277E-14</v>
      </c>
      <c r="C16" s="3">
        <f>B16*B15</f>
        <v>8.0656192931680725E-35</v>
      </c>
    </row>
    <row r="17" spans="1:19" x14ac:dyDescent="0.25">
      <c r="B17" s="3"/>
      <c r="C17" s="3">
        <f>B14/C16</f>
        <v>0.93588240608898254</v>
      </c>
      <c r="G17" t="s">
        <v>22</v>
      </c>
      <c r="H17" s="3">
        <f>K8/K13</f>
        <v>1.2525408142548389E-27</v>
      </c>
    </row>
    <row r="18" spans="1:19" x14ac:dyDescent="0.25">
      <c r="A18" t="s">
        <v>23</v>
      </c>
      <c r="B18" s="3">
        <f>(B14/B15)/B16</f>
        <v>0.93588240608898265</v>
      </c>
    </row>
    <row r="19" spans="1:19" x14ac:dyDescent="0.25">
      <c r="B19" s="3"/>
      <c r="D19" t="s">
        <v>24</v>
      </c>
    </row>
    <row r="20" spans="1:19" x14ac:dyDescent="0.25">
      <c r="B20" s="3"/>
    </row>
    <row r="21" spans="1:19" x14ac:dyDescent="0.25">
      <c r="A21" t="s">
        <v>25</v>
      </c>
      <c r="B21" s="3"/>
      <c r="G21" t="s">
        <v>26</v>
      </c>
      <c r="H21">
        <f>(2*B4/B10*B7)^0.5</f>
        <v>187553726.84774402</v>
      </c>
    </row>
    <row r="22" spans="1:19" x14ac:dyDescent="0.25">
      <c r="A22" t="s">
        <v>27</v>
      </c>
      <c r="B22" s="3"/>
      <c r="G22" t="s">
        <v>28</v>
      </c>
      <c r="H22" s="3">
        <f>(4*B8*B9*B9*B10*B10*H21*H21*H21)/(B3*B7*B7*B7*B7*D6)</f>
        <v>4.4595702052414946E-4</v>
      </c>
      <c r="L22" t="s">
        <v>29</v>
      </c>
      <c r="M22" s="3">
        <f>B46+0.2</f>
        <v>1.2</v>
      </c>
    </row>
    <row r="23" spans="1:19" x14ac:dyDescent="0.25">
      <c r="B23" s="3"/>
      <c r="L23" t="s">
        <v>30</v>
      </c>
      <c r="M23">
        <f>(8*M22*(M22-0.5-SQRT(M22*(M22-1))))</f>
        <v>2.0169796938562983</v>
      </c>
      <c r="O23" t="s">
        <v>31</v>
      </c>
      <c r="Q23" t="s">
        <v>32</v>
      </c>
    </row>
    <row r="24" spans="1:19" x14ac:dyDescent="0.25">
      <c r="B24" s="8"/>
      <c r="C24" s="8"/>
      <c r="H24" s="3">
        <f>H21/B11</f>
        <v>0.62561189197009093</v>
      </c>
      <c r="L24" t="s">
        <v>33</v>
      </c>
      <c r="M24">
        <f>P24*S24</f>
        <v>3.086476805943275</v>
      </c>
      <c r="O24">
        <f>(1+B49)*M22*M22/(8*(M22-1))</f>
        <v>1.8000000000000003</v>
      </c>
      <c r="P24">
        <f>SQRT(O24)</f>
        <v>1.3416407864998738</v>
      </c>
      <c r="Q24">
        <f>(1-2/M22)</f>
        <v>-0.66666666666666674</v>
      </c>
      <c r="R24">
        <f>ASIN(Q24)</f>
        <v>-0.72972765622696645</v>
      </c>
      <c r="S24">
        <f>PI()/2-R24</f>
        <v>2.3005239830218631</v>
      </c>
    </row>
    <row r="25" spans="1:19" x14ac:dyDescent="0.25">
      <c r="A25" t="s">
        <v>34</v>
      </c>
      <c r="B25" s="8">
        <f>B10*B11</f>
        <v>2.7309244883171902E-22</v>
      </c>
      <c r="C25" s="8"/>
      <c r="G25" t="s">
        <v>35</v>
      </c>
      <c r="H25" s="3">
        <f>Aval_thresh_gen_rate!F13</f>
        <v>4.7823492358159427</v>
      </c>
      <c r="L25" t="s">
        <v>36</v>
      </c>
      <c r="M25" s="3">
        <f>1/(16*(M22-1))</f>
        <v>0.31250000000000006</v>
      </c>
      <c r="P25">
        <f>(M22-1)*16</f>
        <v>3.1999999999999993</v>
      </c>
    </row>
    <row r="26" spans="1:19" x14ac:dyDescent="0.25">
      <c r="B26" s="8"/>
      <c r="C26" s="8"/>
      <c r="L26" t="s">
        <v>37</v>
      </c>
      <c r="M26">
        <f>(M22*(B49+1)-B49+7)</f>
        <v>8.4</v>
      </c>
    </row>
    <row r="27" spans="1:19" x14ac:dyDescent="0.25">
      <c r="A27" t="s">
        <v>38</v>
      </c>
      <c r="B27" s="8"/>
      <c r="C27" s="8"/>
      <c r="L27" t="s">
        <v>39</v>
      </c>
      <c r="M27" s="3">
        <f>2*O28*(1+B49)*(M22-2)</f>
        <v>-7.8383671769061714</v>
      </c>
      <c r="O27" s="3">
        <f>M22/(M22-1)</f>
        <v>6.0000000000000009</v>
      </c>
    </row>
    <row r="28" spans="1:19" x14ac:dyDescent="0.25">
      <c r="A28" t="s">
        <v>40</v>
      </c>
      <c r="B28" s="14">
        <f>B15*B25*B16/B7^4</f>
        <v>3.3427650361058152E+19</v>
      </c>
      <c r="C28" s="8"/>
      <c r="L28" t="s">
        <v>41</v>
      </c>
      <c r="M28" s="3">
        <f>M25*(M26+M27)</f>
        <v>0.17551025721682159</v>
      </c>
      <c r="O28">
        <f>SQRT(O27)</f>
        <v>2.4494897427831783</v>
      </c>
    </row>
    <row r="29" spans="1:19" x14ac:dyDescent="0.25">
      <c r="A29" t="s">
        <v>42</v>
      </c>
      <c r="B29" s="8">
        <f>1/B3/D6</f>
        <v>5.4484399408240193E-23</v>
      </c>
      <c r="C29" s="8"/>
    </row>
    <row r="30" spans="1:19" x14ac:dyDescent="0.25">
      <c r="A30" t="s">
        <v>25</v>
      </c>
      <c r="B30" s="8">
        <f>B28*B29</f>
        <v>1.8212854535508969E-3</v>
      </c>
      <c r="C30" s="8"/>
      <c r="G30" t="s">
        <v>43</v>
      </c>
      <c r="L30" t="s">
        <v>44</v>
      </c>
      <c r="M30">
        <f>0.5/1.65</f>
        <v>0.30303030303030304</v>
      </c>
      <c r="O30" t="s">
        <v>120</v>
      </c>
      <c r="P30">
        <v>0.65</v>
      </c>
    </row>
    <row r="31" spans="1:19" x14ac:dyDescent="0.25">
      <c r="B31" s="8"/>
      <c r="C31" s="8"/>
      <c r="G31" t="s">
        <v>45</v>
      </c>
      <c r="H31">
        <f>(B3/H22)</f>
        <v>2.2423685556618521E+24</v>
      </c>
      <c r="O31" t="s">
        <v>121</v>
      </c>
      <c r="P31">
        <f>M30*P30</f>
        <v>0.19696969696969699</v>
      </c>
    </row>
    <row r="32" spans="1:19" x14ac:dyDescent="0.25">
      <c r="B32" s="8"/>
      <c r="C32" s="8"/>
      <c r="G32" t="s">
        <v>46</v>
      </c>
      <c r="H32">
        <f>(B16/(2*(B7*B4)))^1.5</f>
        <v>4.0839932319268666</v>
      </c>
      <c r="L32" t="s">
        <v>47</v>
      </c>
      <c r="M32">
        <f>(1-(1.2*SQRT((2*M30)/(1+M30))))</f>
        <v>0.18160679263543178</v>
      </c>
    </row>
    <row r="33" spans="1:13" x14ac:dyDescent="0.25">
      <c r="A33" t="s">
        <v>48</v>
      </c>
      <c r="B33" s="3">
        <f>SQRT(2*B4*B7/B10)</f>
        <v>187553726.84774402</v>
      </c>
      <c r="C33" s="8"/>
      <c r="G33" t="s">
        <v>49</v>
      </c>
      <c r="H33" s="3">
        <f>(H25/B46)^(3*(1+B49)/16)</f>
        <v>1.7983138243908148</v>
      </c>
      <c r="L33" t="s">
        <v>119</v>
      </c>
      <c r="M33">
        <f>(1-(1.2*SQRT((2*P31)/(1+P31))))</f>
        <v>0.31157858064052701</v>
      </c>
    </row>
    <row r="34" spans="1:13" x14ac:dyDescent="0.25">
      <c r="A34" t="s">
        <v>50</v>
      </c>
      <c r="B34" s="8">
        <f>B33/B11</f>
        <v>0.62561189197009093</v>
      </c>
      <c r="C34" s="8"/>
      <c r="G34" t="s">
        <v>51</v>
      </c>
      <c r="H34">
        <f>EXP(H35)</f>
        <v>1.3728628162402919E-2</v>
      </c>
    </row>
    <row r="35" spans="1:13" x14ac:dyDescent="0.25">
      <c r="B35" s="8"/>
      <c r="C35" s="8"/>
      <c r="H35" s="3">
        <f>(-1*H25/(4*B46))-(SQRT((H25*(1+B49))/B46))</f>
        <v>-4.2882719795325892</v>
      </c>
    </row>
    <row r="36" spans="1:13" x14ac:dyDescent="0.25">
      <c r="A36" t="s">
        <v>52</v>
      </c>
      <c r="B36" s="8">
        <f>B30*B34^2</f>
        <v>7.1283334963439225E-4</v>
      </c>
      <c r="C36" s="8">
        <f>B15*B10^2*B33^3/B14/B7</f>
        <v>4.4595702052414952E-4</v>
      </c>
      <c r="G36" t="s">
        <v>53</v>
      </c>
      <c r="H36" s="3">
        <f>H31*H32*H33*H34</f>
        <v>2.2609170748922962E+23</v>
      </c>
    </row>
    <row r="37" spans="1:13" x14ac:dyDescent="0.25">
      <c r="B37" s="8"/>
      <c r="C37" s="8"/>
    </row>
    <row r="38" spans="1:13" x14ac:dyDescent="0.25">
      <c r="B38" s="8"/>
      <c r="C38" s="8"/>
    </row>
    <row r="39" spans="1:13" x14ac:dyDescent="0.25">
      <c r="A39" t="s">
        <v>54</v>
      </c>
      <c r="B39" s="8">
        <f>B25*B16/B7/B36/B4</f>
        <v>1.9576799223574102E-18</v>
      </c>
      <c r="C39" s="8">
        <f>B18*B10*B33*B33/B4</f>
        <v>2.9988978202102277E-19</v>
      </c>
      <c r="D39" s="3">
        <f>B14/B33/B33/B10*4*B8</f>
        <v>2.9602506168763293E-20</v>
      </c>
    </row>
    <row r="40" spans="1:13" x14ac:dyDescent="0.25">
      <c r="B40" s="9">
        <f>B25*B16/B7/C36/B4</f>
        <v>3.1292242802363517E-18</v>
      </c>
      <c r="C40" s="9"/>
      <c r="K40" t="s">
        <v>55</v>
      </c>
      <c r="L40">
        <f>((M22*B18)/H25)</f>
        <v>0.23483414362463803</v>
      </c>
    </row>
    <row r="41" spans="1:13" x14ac:dyDescent="0.25">
      <c r="B41" s="8"/>
      <c r="C41" s="8"/>
      <c r="G41" t="s">
        <v>56</v>
      </c>
      <c r="H41" s="10">
        <f>H42*H43*H45</f>
        <v>4.1377608925281709E-2</v>
      </c>
      <c r="K41" t="s">
        <v>123</v>
      </c>
      <c r="L41">
        <f>1/L40</f>
        <v>4.2583245543646884</v>
      </c>
    </row>
    <row r="42" spans="1:13" x14ac:dyDescent="0.25">
      <c r="B42" s="8"/>
      <c r="C42" s="8"/>
      <c r="G42" t="s">
        <v>57</v>
      </c>
      <c r="H42" s="3">
        <f>1/H22</f>
        <v>2242.368555661852</v>
      </c>
      <c r="L42">
        <f>L41*L41</f>
        <v>18.13332801030522</v>
      </c>
    </row>
    <row r="43" spans="1:13" x14ac:dyDescent="0.25">
      <c r="B43" s="8"/>
      <c r="C43" s="8"/>
      <c r="G43" t="s">
        <v>58</v>
      </c>
      <c r="H43" s="3">
        <f>L40^(-1*M28)</f>
        <v>1.2895490219262831</v>
      </c>
      <c r="L43">
        <f>L42/8</f>
        <v>2.2666660012881525</v>
      </c>
    </row>
    <row r="44" spans="1:13" x14ac:dyDescent="0.25">
      <c r="B44" s="8"/>
      <c r="C44" s="8"/>
      <c r="G44" t="s">
        <v>59</v>
      </c>
      <c r="H44">
        <f>(-1*(((M23/4)*(L41))+(SQRT(2*(L41))*M24)))</f>
        <v>-11.154595930647321</v>
      </c>
      <c r="L44">
        <f>(2/3)*L41^1.5*SQRT(2)</f>
        <v>8.2847971030547143</v>
      </c>
    </row>
    <row r="45" spans="1:13" x14ac:dyDescent="0.25">
      <c r="B45" s="8"/>
      <c r="C45" s="8"/>
      <c r="G45" t="s">
        <v>60</v>
      </c>
      <c r="H45">
        <f>EXP(H44)</f>
        <v>1.4309370856773003E-5</v>
      </c>
      <c r="L45">
        <f>L44+L43</f>
        <v>10.551463104342867</v>
      </c>
    </row>
    <row r="46" spans="1:13" x14ac:dyDescent="0.25">
      <c r="A46" t="s">
        <v>61</v>
      </c>
      <c r="B46" s="8">
        <f>1</f>
        <v>1</v>
      </c>
      <c r="C46" s="8"/>
    </row>
    <row r="47" spans="1:13" x14ac:dyDescent="0.25">
      <c r="A47" t="s">
        <v>62</v>
      </c>
      <c r="B47" s="8">
        <v>1</v>
      </c>
      <c r="C47" s="8"/>
      <c r="G47" t="s">
        <v>63</v>
      </c>
      <c r="H47" s="3">
        <f>H48*H49*H51</f>
        <v>71.930862096202191</v>
      </c>
    </row>
    <row r="48" spans="1:13" x14ac:dyDescent="0.25">
      <c r="B48" s="8"/>
      <c r="C48" s="8"/>
      <c r="G48" t="s">
        <v>57</v>
      </c>
      <c r="H48" s="3">
        <f>H42</f>
        <v>2242.368555661852</v>
      </c>
    </row>
    <row r="49" spans="1:10" x14ac:dyDescent="0.25">
      <c r="A49" t="s">
        <v>64</v>
      </c>
      <c r="B49" s="8">
        <v>1</v>
      </c>
      <c r="C49" s="8"/>
      <c r="G49" t="s">
        <v>58</v>
      </c>
      <c r="H49" s="3">
        <f>L40^((-3/16)*(B49+1))</f>
        <v>1.7217279690422986</v>
      </c>
    </row>
    <row r="50" spans="1:10" x14ac:dyDescent="0.25">
      <c r="B50" s="8"/>
      <c r="C50" s="8"/>
      <c r="G50" t="s">
        <v>59</v>
      </c>
      <c r="H50">
        <f>(-1*(((1/4)*(1/L40))+(SQRT((1+B49)*(1/L40)))))</f>
        <v>-3.9829109877907749</v>
      </c>
    </row>
    <row r="51" spans="1:10" x14ac:dyDescent="0.25">
      <c r="B51" s="8"/>
      <c r="C51" s="8"/>
      <c r="G51" t="s">
        <v>60</v>
      </c>
      <c r="H51">
        <f>EXP(H50)</f>
        <v>1.8631324762644737E-2</v>
      </c>
    </row>
    <row r="52" spans="1:10" x14ac:dyDescent="0.25">
      <c r="B52" s="8"/>
      <c r="C52" s="8"/>
    </row>
    <row r="53" spans="1:10" x14ac:dyDescent="0.25">
      <c r="B53" s="8"/>
      <c r="C53" s="8"/>
      <c r="G53" t="s">
        <v>65</v>
      </c>
      <c r="H53" s="3">
        <f>H56*H47</f>
        <v>9.1233364311998404</v>
      </c>
    </row>
    <row r="54" spans="1:10" x14ac:dyDescent="0.25">
      <c r="B54" s="8"/>
      <c r="C54" s="8"/>
      <c r="G54" t="s">
        <v>57</v>
      </c>
      <c r="H54" s="3">
        <f>((-1*B4*B7)/B16)</f>
        <v>-0.19569511968719838</v>
      </c>
      <c r="J54" s="3">
        <f>H54*H55</f>
        <v>-2.0648698350794352</v>
      </c>
    </row>
    <row r="55" spans="1:10" x14ac:dyDescent="0.25">
      <c r="G55" t="s">
        <v>58</v>
      </c>
      <c r="H55">
        <f>(((L41)*(L41)/8)+((2/3)*((L41)^(1.5))*SQRT(1+B49)))</f>
        <v>10.551463104342867</v>
      </c>
    </row>
    <row r="56" spans="1:10" x14ac:dyDescent="0.25">
      <c r="G56" t="s">
        <v>60</v>
      </c>
      <c r="H56" s="3">
        <f>EXP(H54*H55)</f>
        <v>0.12683479893509486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Aval_thresh_gen_rate</vt:lpstr>
      <vt:lpstr>RUNAFLUID_phys_numbers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Olasz Soma</cp:lastModifiedBy>
  <cp:revision>1</cp:revision>
  <dcterms:created xsi:type="dcterms:W3CDTF">2015-06-05T18:17:20Z</dcterms:created>
  <dcterms:modified xsi:type="dcterms:W3CDTF">2019-10-07T10:22:53Z</dcterms:modified>
  <dc:language>hu-HU</dc:language>
</cp:coreProperties>
</file>