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0"/>
  </bookViews>
  <sheets>
    <sheet name="RUNAFLUID_phys_numbers" sheetId="1" state="visible" r:id="rId2"/>
    <sheet name="Aval_thresh_gen_rat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<sst xmlns="http://schemas.openxmlformats.org/spreadsheetml/2006/main" count="116" uniqueCount="104">
  <si>
    <t>14.9 - 0.5 * log(electron_density * 1e-20) + log(electron_temperature * 1e-3);</t>
  </si>
  <si>
    <t>log</t>
  </si>
  <si>
    <t>density</t>
  </si>
  <si>
    <t>temp</t>
  </si>
  <si>
    <t>columb lambda</t>
  </si>
  <si>
    <t>ln lambda</t>
  </si>
  <si>
    <t>e</t>
  </si>
  <si>
    <t>e^3</t>
  </si>
  <si>
    <t>pi</t>
  </si>
  <si>
    <t>c^3</t>
  </si>
  <si>
    <t>Számláló</t>
  </si>
  <si>
    <t>eps0</t>
  </si>
  <si>
    <t>n_e * e^3 ln lambda</t>
  </si>
  <si>
    <t>me</t>
  </si>
  <si>
    <t>c</t>
  </si>
  <si>
    <t>Te^3/2</t>
  </si>
  <si>
    <t>4*pi*e0^2</t>
  </si>
  <si>
    <t>Nevező</t>
  </si>
  <si>
    <t>n_e * e3 ln lambda</t>
  </si>
  <si>
    <t>gyök8</t>
  </si>
  <si>
    <t>4pie02</t>
  </si>
  <si>
    <t>mec2</t>
  </si>
  <si>
    <t>Ed </t>
  </si>
  <si>
    <t>critical field</t>
  </si>
  <si>
    <t>Ec</t>
  </si>
  <si>
    <t>runaway collision time</t>
  </si>
  <si>
    <t>Vth</t>
  </si>
  <si>
    <t>pi_4_e02_me2_c3__e4 / (electron_density * coulomb_log)</t>
  </si>
  <si>
    <t>Thermal_electron:collision_Time</t>
  </si>
  <si>
    <t>ReferenceAlpha</t>
  </si>
  <si>
    <t>ReferenceLambda</t>
  </si>
  <si>
    <t>gyök alatti</t>
  </si>
  <si>
    <t>asin belül</t>
  </si>
  <si>
    <t>ReferenceGamma</t>
  </si>
  <si>
    <t>mc</t>
  </si>
  <si>
    <t>reference Ed </t>
  </si>
  <si>
    <t>refh1</t>
  </si>
  <si>
    <t>refh2</t>
  </si>
  <si>
    <t>4pie02 * me2 c3 / e4  * 1/ne logLambda</t>
  </si>
  <si>
    <t>refh3</t>
  </si>
  <si>
    <t>eleje</t>
  </si>
  <si>
    <t>refHsum</t>
  </si>
  <si>
    <t>vége</t>
  </si>
  <si>
    <t>reference_growth_rate</t>
  </si>
  <si>
    <t>inv_asp_ratio</t>
  </si>
  <si>
    <t>first</t>
  </si>
  <si>
    <t>second</t>
  </si>
  <si>
    <t>ref_toroidicity_dreicer</t>
  </si>
  <si>
    <t>thermal speed</t>
  </si>
  <si>
    <t>third</t>
  </si>
  <si>
    <t>v/c</t>
  </si>
  <si>
    <t>exponential</t>
  </si>
  <si>
    <t>thermal coll. Time</t>
  </si>
  <si>
    <t>growth rate</t>
  </si>
  <si>
    <t>Dreicer</t>
  </si>
  <si>
    <t>E/Ed</t>
  </si>
  <si>
    <t>dreicer_growth_rate_63</t>
  </si>
  <si>
    <t>els</t>
  </si>
  <si>
    <t>mas</t>
  </si>
  <si>
    <t>harm</t>
  </si>
  <si>
    <t>exp</t>
  </si>
  <si>
    <t>ref electric field</t>
  </si>
  <si>
    <t>growth rate limit</t>
  </si>
  <si>
    <t>dreicer_growth_rate_67</t>
  </si>
  <si>
    <t>ref_zeff_1</t>
  </si>
  <si>
    <t>dreicer_growth_rate_66</t>
  </si>
  <si>
    <t>Variable/calculations name:</t>
  </si>
  <si>
    <t>Value:</t>
  </si>
  <si>
    <t>Function name:</t>
  </si>
  <si>
    <t>Electron density</t>
  </si>
  <si>
    <t>Columb lambda</t>
  </si>
  <si>
    <t>Electron temperature in eV</t>
  </si>
  <si>
    <t>Ne*e^3*Ln(lambda)</t>
  </si>
  <si>
    <t>Electron temperature in Joule</t>
  </si>
  <si>
    <t>Runaway electron collision time</t>
  </si>
  <si>
    <t>Electron's charge</t>
  </si>
  <si>
    <t>Synchrotron loss time</t>
  </si>
  <si>
    <t>Electron's mass</t>
  </si>
  <si>
    <t>Normalised synchrotron loss time</t>
  </si>
  <si>
    <t>Effective charge(Zeff)</t>
  </si>
  <si>
    <t>Avalanche threshold electric field</t>
  </si>
  <si>
    <t>π</t>
  </si>
  <si>
    <t>Critical field(Ec)</t>
  </si>
  <si>
    <t>Epsilon_0</t>
  </si>
  <si>
    <t>Avalanche generation rate</t>
  </si>
  <si>
    <t>Speed of light( c )</t>
  </si>
  <si>
    <t>Runaway electron density</t>
  </si>
  <si>
    <t>e^4</t>
  </si>
  <si>
    <t>Avalanche density</t>
  </si>
  <si>
    <t>4*π*Eps0^2</t>
  </si>
  <si>
    <t>M0*c^2</t>
  </si>
  <si>
    <t>Sqrt(8)</t>
  </si>
  <si>
    <t>M0^2*c^3</t>
  </si>
  <si>
    <t>Ne*Ln(lambda)</t>
  </si>
  <si>
    <t>6*π*Eps0*M0*c^3</t>
  </si>
  <si>
    <t>e^4*B^2</t>
  </si>
  <si>
    <t>Magnetic field</t>
  </si>
  <si>
    <t>(Zeff+1)/sqrt(Trad)</t>
  </si>
  <si>
    <t>1/8+(Zeff+1)^2/Trad</t>
  </si>
  <si>
    <t>Sixth square(1/8+(Zeff+1)^2/Trad)</t>
  </si>
  <si>
    <t>Electric field_2 </t>
  </si>
  <si>
    <t>Electric field_1</t>
  </si>
  <si>
    <t>Ir(runaway current)</t>
  </si>
  <si>
    <t>A(surface)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</si>
</sst>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0"/>
    <numFmt numFmtId="166" formatCode="0.0000E+000"/>
    <numFmt numFmtId="167" formatCode="#,##0.0000"/>
    <numFmt numFmtId="168" formatCode="0.000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6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26E62F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26E62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42" activeCellId="0" sqref="H42"/>
    </sheetView>
  </sheetViews>
  <sheetFormatPr defaultRowHeight="15"/>
  <cols>
    <col collapsed="false" hidden="false" max="1" min="1" style="0" width="18"/>
    <col collapsed="false" hidden="false" max="2" min="2" style="0" width="17.2244897959184"/>
    <col collapsed="false" hidden="false" max="3" min="3" style="0" width="11.2857142857143"/>
    <col collapsed="false" hidden="false" max="4" min="4" style="0" width="11.5714285714286"/>
    <col collapsed="false" hidden="false" max="6" min="5" style="0" width="8.72959183673469"/>
    <col collapsed="false" hidden="false" max="7" min="7" style="0" width="22.0051020408163"/>
    <col collapsed="false" hidden="false" max="8" min="8" style="0" width="12.2857142857143"/>
    <col collapsed="false" hidden="false" max="9" min="9" style="0" width="11.2857142857143"/>
    <col collapsed="false" hidden="false" max="10" min="10" style="0" width="19.0357142857143"/>
    <col collapsed="false" hidden="false" max="11" min="11" style="0" width="11.9948979591837"/>
    <col collapsed="false" hidden="false" max="12" min="12" style="0" width="21.4285714285714"/>
    <col collapsed="false" hidden="false" max="13" min="13" style="0" width="13.8877551020408"/>
    <col collapsed="false" hidden="false" max="1025" min="14" style="0" width="8.72959183673469"/>
  </cols>
  <sheetData>
    <row r="1" customFormat="false" ht="1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1"/>
      <c r="B2" s="2"/>
      <c r="D2" s="0" t="s">
        <v>1</v>
      </c>
    </row>
    <row r="3" customFormat="false" ht="15" hidden="false" customHeight="false" outlineLevel="0" collapsed="false">
      <c r="A3" s="1" t="s">
        <v>2</v>
      </c>
      <c r="B3" s="2" t="n">
        <v>1E+021</v>
      </c>
      <c r="D3" s="3" t="n">
        <f aca="false">LOG10(B3)-20</f>
        <v>1</v>
      </c>
    </row>
    <row r="4" customFormat="false" ht="15" hidden="false" customHeight="false" outlineLevel="0" collapsed="false">
      <c r="A4" s="0" t="s">
        <v>3</v>
      </c>
      <c r="B4" s="2" t="n">
        <v>100000</v>
      </c>
      <c r="D4" s="3" t="n">
        <f aca="false">LOG10(B4)-3</f>
        <v>2</v>
      </c>
    </row>
    <row r="5" customFormat="false" ht="15" hidden="false" customHeight="false" outlineLevel="0" collapsed="false">
      <c r="B5" s="3"/>
    </row>
    <row r="6" customFormat="false" ht="15" hidden="false" customHeight="false" outlineLevel="0" collapsed="false">
      <c r="A6" s="0" t="s">
        <v>4</v>
      </c>
      <c r="B6" s="3"/>
      <c r="D6" s="3" t="n">
        <f aca="false">14.9-0.5*(D3)+D4</f>
        <v>16.4</v>
      </c>
      <c r="G6" s="4" t="s">
        <v>5</v>
      </c>
      <c r="H6" s="5" t="n">
        <f aca="false">D6</f>
        <v>16.4</v>
      </c>
    </row>
    <row r="7" customFormat="false" ht="15" hidden="false" customHeight="false" outlineLevel="0" collapsed="false">
      <c r="A7" s="4" t="s">
        <v>6</v>
      </c>
      <c r="B7" s="6" t="n">
        <v>1.60217662E-019</v>
      </c>
      <c r="G7" s="4" t="s">
        <v>7</v>
      </c>
      <c r="H7" s="5" t="n">
        <f aca="false">B7^3</f>
        <v>4.11273919275032E-057</v>
      </c>
    </row>
    <row r="8" customFormat="false" ht="15" hidden="false" customHeight="false" outlineLevel="0" collapsed="false">
      <c r="A8" s="4" t="s">
        <v>8</v>
      </c>
      <c r="B8" s="5" t="n">
        <f aca="false">PI()</f>
        <v>3.14159265358979</v>
      </c>
      <c r="G8" s="4" t="s">
        <v>9</v>
      </c>
      <c r="H8" s="5" t="n">
        <f aca="false">B11^3</f>
        <v>2.6944002417374E+025</v>
      </c>
      <c r="J8" s="0" t="s">
        <v>10</v>
      </c>
      <c r="K8" s="0" t="n">
        <f aca="false">H9*H8*(H10)^(3/2)</f>
        <v>1.58004919863202E-054</v>
      </c>
    </row>
    <row r="9" customFormat="false" ht="15" hidden="false" customHeight="false" outlineLevel="0" collapsed="false">
      <c r="A9" s="4" t="s">
        <v>11</v>
      </c>
      <c r="B9" s="7" t="n">
        <v>8.854187817E-012</v>
      </c>
      <c r="G9" s="4" t="s">
        <v>12</v>
      </c>
      <c r="H9" s="5" t="n">
        <f aca="false">B14</f>
        <v>6.74489227611052E-035</v>
      </c>
      <c r="I9" s="5" t="n">
        <f aca="false">H6*H7*B3</f>
        <v>6.74489227611052E-035</v>
      </c>
    </row>
    <row r="10" customFormat="false" ht="15" hidden="false" customHeight="false" outlineLevel="0" collapsed="false">
      <c r="A10" s="4" t="s">
        <v>13</v>
      </c>
      <c r="B10" s="7" t="n">
        <v>9.10938356E-031</v>
      </c>
      <c r="G10" s="4" t="s">
        <v>13</v>
      </c>
      <c r="H10" s="5" t="n">
        <f aca="false">B10</f>
        <v>9.10938356E-031</v>
      </c>
    </row>
    <row r="11" customFormat="false" ht="15" hidden="false" customHeight="false" outlineLevel="0" collapsed="false">
      <c r="A11" s="4" t="s">
        <v>14</v>
      </c>
      <c r="B11" s="7" t="n">
        <v>299792458</v>
      </c>
    </row>
    <row r="12" customFormat="false" ht="15" hidden="false" customHeight="false" outlineLevel="0" collapsed="false">
      <c r="B12" s="3" t="n">
        <f aca="false">RUNAFLUID_phys_numbers!B1</f>
        <v>0</v>
      </c>
      <c r="G12" s="0" t="s">
        <v>15</v>
      </c>
      <c r="H12" s="3" t="n">
        <f aca="false">(B4)^(2.5)*B7</f>
        <v>5.06652733307009E-007</v>
      </c>
      <c r="I12" s="3"/>
    </row>
    <row r="13" customFormat="false" ht="15" hidden="false" customHeight="false" outlineLevel="0" collapsed="false">
      <c r="B13" s="3"/>
      <c r="G13" s="4" t="s">
        <v>16</v>
      </c>
      <c r="H13" s="5" t="n">
        <f aca="false">B15</f>
        <v>9.85161257020404E-022</v>
      </c>
      <c r="J13" s="0" t="s">
        <v>17</v>
      </c>
      <c r="K13" s="3" t="n">
        <f aca="false">H13*H14*H12</f>
        <v>1.41176596490842E-027</v>
      </c>
    </row>
    <row r="14" customFormat="false" ht="15" hidden="false" customHeight="false" outlineLevel="0" collapsed="false">
      <c r="A14" s="4" t="s">
        <v>18</v>
      </c>
      <c r="B14" s="5" t="n">
        <f aca="false">B3*B7^3*D6</f>
        <v>6.74489227611052E-035</v>
      </c>
      <c r="G14" s="0" t="s">
        <v>19</v>
      </c>
      <c r="H14" s="0" t="n">
        <f aca="false">SQRT(8)</f>
        <v>2.82842712474619</v>
      </c>
    </row>
    <row r="15" customFormat="false" ht="15" hidden="false" customHeight="false" outlineLevel="0" collapsed="false">
      <c r="A15" s="4" t="s">
        <v>20</v>
      </c>
      <c r="B15" s="5" t="n">
        <f aca="false">4*B8*B9*B9</f>
        <v>9.85161257020404E-022</v>
      </c>
    </row>
    <row r="16" customFormat="false" ht="15" hidden="false" customHeight="false" outlineLevel="0" collapsed="false">
      <c r="A16" s="4" t="s">
        <v>21</v>
      </c>
      <c r="B16" s="5" t="n">
        <f aca="false">B10*B11*B11</f>
        <v>8.18710564965003E-014</v>
      </c>
      <c r="C16" s="3" t="n">
        <f aca="false">B16*B15</f>
        <v>8.06561929316807E-035</v>
      </c>
    </row>
    <row r="17" customFormat="false" ht="15" hidden="false" customHeight="false" outlineLevel="0" collapsed="false">
      <c r="B17" s="3"/>
      <c r="C17" s="3" t="n">
        <f aca="false">B14/C16</f>
        <v>0.836252249324951</v>
      </c>
      <c r="G17" s="0" t="s">
        <v>22</v>
      </c>
      <c r="H17" s="3" t="n">
        <f aca="false">K8/K13</f>
        <v>1.11920051758332E-027</v>
      </c>
    </row>
    <row r="18" customFormat="false" ht="15" hidden="false" customHeight="false" outlineLevel="0" collapsed="false">
      <c r="A18" s="0" t="s">
        <v>23</v>
      </c>
      <c r="B18" s="3" t="n">
        <f aca="false">(B14/B15)/B16</f>
        <v>0.836252249324951</v>
      </c>
    </row>
    <row r="19" customFormat="false" ht="15" hidden="false" customHeight="false" outlineLevel="0" collapsed="false">
      <c r="B19" s="3"/>
      <c r="D19" s="0" t="s">
        <v>24</v>
      </c>
    </row>
    <row r="20" customFormat="false" ht="15" hidden="false" customHeight="false" outlineLevel="0" collapsed="false">
      <c r="B20" s="3"/>
    </row>
    <row r="21" customFormat="false" ht="15" hidden="false" customHeight="false" outlineLevel="0" collapsed="false">
      <c r="A21" s="0" t="s">
        <v>25</v>
      </c>
      <c r="B21" s="3"/>
      <c r="G21" s="0" t="s">
        <v>26</v>
      </c>
      <c r="H21" s="0" t="n">
        <f aca="false">(2*B4/B10*B7)^0.5</f>
        <v>187553726.847744</v>
      </c>
    </row>
    <row r="22" customFormat="false" ht="15" hidden="false" customHeight="false" outlineLevel="0" collapsed="false">
      <c r="A22" s="0" t="s">
        <v>27</v>
      </c>
      <c r="B22" s="3"/>
      <c r="G22" s="0" t="s">
        <v>28</v>
      </c>
      <c r="H22" s="3" t="n">
        <f aca="false">(4*B8*B9*B9*B10*B10*H21*H21*H21)/(B3*B7*B7*B7*B7*D6)</f>
        <v>0.000499087840681234</v>
      </c>
      <c r="L22" s="0" t="s">
        <v>29</v>
      </c>
      <c r="M22" s="3" t="n">
        <f aca="false">B46+0.2</f>
        <v>1.2</v>
      </c>
    </row>
    <row r="23" customFormat="false" ht="13.8" hidden="false" customHeight="false" outlineLevel="0" collapsed="false">
      <c r="B23" s="3"/>
      <c r="L23" s="0" t="s">
        <v>30</v>
      </c>
      <c r="M23" s="0" t="n">
        <f aca="false">(8*M22*(M22-0.5-SQRT(M22*(M22-1))))</f>
        <v>2.0169796938563</v>
      </c>
      <c r="O23" s="0" t="s">
        <v>31</v>
      </c>
      <c r="Q23" s="0" t="s">
        <v>32</v>
      </c>
    </row>
    <row r="24" customFormat="false" ht="13.8" hidden="false" customHeight="false" outlineLevel="0" collapsed="false">
      <c r="B24" s="8"/>
      <c r="C24" s="8"/>
      <c r="H24" s="3" t="n">
        <f aca="false">H21/B11</f>
        <v>0.625611891970091</v>
      </c>
      <c r="L24" s="0" t="s">
        <v>33</v>
      </c>
      <c r="M24" s="0" t="n">
        <f aca="false">P24*S24</f>
        <v>3.08647680594327</v>
      </c>
      <c r="O24" s="0" t="n">
        <f aca="false">(1+B49)*M22*M22/(8*(M22-1))</f>
        <v>1.8</v>
      </c>
      <c r="P24" s="0" t="n">
        <f aca="false">SQRT(O24)</f>
        <v>1.34164078649987</v>
      </c>
      <c r="Q24" s="0" t="n">
        <f aca="false">(1-2/M22)</f>
        <v>-0.666666666666667</v>
      </c>
      <c r="R24" s="0" t="n">
        <f aca="false">ASIN(Q24)</f>
        <v>-0.729727656226966</v>
      </c>
      <c r="S24" s="0" t="n">
        <f aca="false">PI()/2-R24</f>
        <v>2.30052398302186</v>
      </c>
    </row>
    <row r="25" customFormat="false" ht="13.8" hidden="false" customHeight="false" outlineLevel="0" collapsed="false">
      <c r="A25" s="0" t="s">
        <v>34</v>
      </c>
      <c r="B25" s="8" t="n">
        <f aca="false">B10*B11</f>
        <v>2.73092448831719E-022</v>
      </c>
      <c r="C25" s="8"/>
      <c r="G25" s="0" t="s">
        <v>35</v>
      </c>
      <c r="H25" s="3" t="n">
        <f aca="false">B10*B10*B11*B11*B11/(B7*H22*B4*B7)</f>
        <v>17.4518839912089</v>
      </c>
      <c r="L25" s="0" t="s">
        <v>36</v>
      </c>
      <c r="M25" s="3" t="n">
        <f aca="false">1/(16*(M22-1))</f>
        <v>0.3125</v>
      </c>
      <c r="P25" s="0" t="n">
        <f aca="false">(M22-1)*16</f>
        <v>3.2</v>
      </c>
    </row>
    <row r="26" customFormat="false" ht="13.8" hidden="false" customHeight="false" outlineLevel="0" collapsed="false">
      <c r="B26" s="8"/>
      <c r="C26" s="8"/>
      <c r="L26" s="0" t="s">
        <v>37</v>
      </c>
      <c r="M26" s="0" t="n">
        <f aca="false">(M22*(B49+1)-B49+7)</f>
        <v>8.4</v>
      </c>
    </row>
    <row r="27" customFormat="false" ht="13.8" hidden="false" customHeight="false" outlineLevel="0" collapsed="false">
      <c r="A27" s="0" t="s">
        <v>38</v>
      </c>
      <c r="B27" s="8"/>
      <c r="C27" s="8"/>
      <c r="L27" s="0" t="s">
        <v>39</v>
      </c>
      <c r="M27" s="0" t="n">
        <f aca="false">2*O27+(1+B49)+(M22-2)</f>
        <v>13.2</v>
      </c>
      <c r="O27" s="0" t="n">
        <f aca="false">M22/(M22-1)</f>
        <v>6</v>
      </c>
    </row>
    <row r="28" customFormat="false" ht="13.8" hidden="false" customHeight="false" outlineLevel="0" collapsed="false">
      <c r="A28" s="0" t="s">
        <v>40</v>
      </c>
      <c r="B28" s="8" t="n">
        <f aca="false">B15*B25*B16/B7^4</f>
        <v>3.34276503610581E+019</v>
      </c>
      <c r="C28" s="8"/>
      <c r="L28" s="0" t="s">
        <v>41</v>
      </c>
      <c r="M28" s="3" t="n">
        <f aca="false">M25*(M26+M27)</f>
        <v>6.75</v>
      </c>
    </row>
    <row r="29" customFormat="false" ht="13.8" hidden="false" customHeight="false" outlineLevel="0" collapsed="false">
      <c r="A29" s="0" t="s">
        <v>42</v>
      </c>
      <c r="B29" s="8" t="n">
        <f aca="false">1/B3/D6</f>
        <v>6.09756097560975E-023</v>
      </c>
      <c r="C29" s="8"/>
    </row>
    <row r="30" customFormat="false" ht="13.8" hidden="false" customHeight="false" outlineLevel="0" collapsed="false">
      <c r="A30" s="0" t="s">
        <v>25</v>
      </c>
      <c r="B30" s="8" t="n">
        <f aca="false">B28*B29</f>
        <v>0.00203827136347915</v>
      </c>
      <c r="C30" s="8"/>
      <c r="G30" s="0" t="s">
        <v>43</v>
      </c>
      <c r="L30" s="0" t="s">
        <v>44</v>
      </c>
      <c r="M30" s="0" t="n">
        <f aca="false">0.5/1.65</f>
        <v>0.303030303030303</v>
      </c>
    </row>
    <row r="31" customFormat="false" ht="13.8" hidden="false" customHeight="false" outlineLevel="0" collapsed="false">
      <c r="B31" s="8"/>
      <c r="C31" s="8"/>
      <c r="G31" s="0" t="s">
        <v>45</v>
      </c>
      <c r="H31" s="0" t="n">
        <f aca="false">(B3/H22)</f>
        <v>2.00365530571741E+024</v>
      </c>
    </row>
    <row r="32" customFormat="false" ht="13.8" hidden="false" customHeight="false" outlineLevel="0" collapsed="false">
      <c r="B32" s="8"/>
      <c r="C32" s="8"/>
      <c r="G32" s="0" t="s">
        <v>46</v>
      </c>
      <c r="H32" s="0" t="n">
        <f aca="false">(B16/(2*(B7*B4)))^1.5</f>
        <v>4.08399323192687</v>
      </c>
      <c r="L32" s="0" t="s">
        <v>47</v>
      </c>
      <c r="M32" s="0" t="n">
        <f aca="false">(1-(1.2*SQRT((2*M30)/(1+M30))))</f>
        <v>0.181606792635432</v>
      </c>
    </row>
    <row r="33" customFormat="false" ht="13.8" hidden="false" customHeight="false" outlineLevel="0" collapsed="false">
      <c r="A33" s="0" t="s">
        <v>48</v>
      </c>
      <c r="B33" s="3" t="n">
        <f aca="false">SQRT(2*B4*B7/B10)</f>
        <v>187553726.847744</v>
      </c>
      <c r="C33" s="8"/>
      <c r="G33" s="0" t="s">
        <v>49</v>
      </c>
      <c r="H33" s="3" t="n">
        <f aca="false">(H25/B46)^(3*(1+B49)/16)</f>
        <v>2.92207170572636</v>
      </c>
    </row>
    <row r="34" customFormat="false" ht="13.8" hidden="false" customHeight="false" outlineLevel="0" collapsed="false">
      <c r="A34" s="0" t="s">
        <v>50</v>
      </c>
      <c r="B34" s="8" t="n">
        <f aca="false">B33/B11</f>
        <v>0.625611891970091</v>
      </c>
      <c r="C34" s="8"/>
      <c r="G34" s="0" t="s">
        <v>51</v>
      </c>
      <c r="H34" s="0" t="n">
        <f aca="false">EXP(H35)</f>
        <v>3.46257790926752E-005</v>
      </c>
    </row>
    <row r="35" customFormat="false" ht="13.8" hidden="false" customHeight="false" outlineLevel="0" collapsed="false">
      <c r="B35" s="8"/>
      <c r="C35" s="8"/>
      <c r="H35" s="3" t="n">
        <f aca="false">(-1*H25/(4*B46))-(SQRT((H25*(1+B49))/B46))</f>
        <v>-10.2709120928384</v>
      </c>
    </row>
    <row r="36" customFormat="false" ht="13.8" hidden="false" customHeight="false" outlineLevel="0" collapsed="false">
      <c r="A36" s="0" t="s">
        <v>52</v>
      </c>
      <c r="B36" s="8" t="n">
        <f aca="false">B30*B34^2</f>
        <v>0.000797759516862084</v>
      </c>
      <c r="C36" s="8" t="n">
        <f aca="false">B15*B10^2*B33^3/B14/B7</f>
        <v>0.000499087840681234</v>
      </c>
      <c r="G36" s="0" t="s">
        <v>53</v>
      </c>
      <c r="H36" s="3" t="n">
        <f aca="false">H31*H32*H33*H34</f>
        <v>8.27939203925169E+020</v>
      </c>
    </row>
    <row r="37" customFormat="false" ht="13.8" hidden="false" customHeight="false" outlineLevel="0" collapsed="false">
      <c r="B37" s="8"/>
      <c r="C37" s="8"/>
    </row>
    <row r="38" customFormat="false" ht="13.8" hidden="false" customHeight="false" outlineLevel="0" collapsed="false">
      <c r="B38" s="8"/>
      <c r="C38" s="8"/>
    </row>
    <row r="39" customFormat="false" ht="13.8" hidden="false" customHeight="false" outlineLevel="0" collapsed="false">
      <c r="A39" s="0" t="s">
        <v>54</v>
      </c>
      <c r="B39" s="8" t="n">
        <f aca="false">B25*B16/B7/B36/B4</f>
        <v>1.74927344277271E-018</v>
      </c>
      <c r="C39" s="8" t="n">
        <f aca="false">B18*B10*B33*B33/B4</f>
        <v>2.67964760458169E-019</v>
      </c>
      <c r="D39" s="0" t="n">
        <f aca="false">B14/B33/B33/B10*4*B8</f>
        <v>2.64511462211742E-020</v>
      </c>
    </row>
    <row r="40" customFormat="false" ht="13.8" hidden="false" customHeight="false" outlineLevel="0" collapsed="false">
      <c r="B40" s="9" t="n">
        <f aca="false">B25*B16/B7/C36/B4</f>
        <v>2.79610005056671E-018</v>
      </c>
      <c r="C40" s="9"/>
      <c r="K40" s="0" t="s">
        <v>55</v>
      </c>
      <c r="L40" s="0" t="n">
        <f aca="false">((B46*B18)/H25)</f>
        <v>0.0479175915761417</v>
      </c>
    </row>
    <row r="41" customFormat="false" ht="13.8" hidden="false" customHeight="false" outlineLevel="0" collapsed="false">
      <c r="B41" s="8"/>
      <c r="C41" s="8"/>
      <c r="G41" s="0" t="s">
        <v>56</v>
      </c>
      <c r="H41" s="10" t="n">
        <f aca="false">H42*H43*H45</f>
        <v>9.51455562102939E+019</v>
      </c>
      <c r="L41" s="0" t="n">
        <f aca="false">1/L40</f>
        <v>20.869162391248</v>
      </c>
    </row>
    <row r="42" customFormat="false" ht="13.8" hidden="false" customHeight="false" outlineLevel="0" collapsed="false">
      <c r="B42" s="8"/>
      <c r="C42" s="8"/>
      <c r="G42" s="0" t="s">
        <v>57</v>
      </c>
      <c r="H42" s="3" t="n">
        <f aca="false">1*B3/H22</f>
        <v>2.00365530571741E+024</v>
      </c>
      <c r="L42" s="0" t="n">
        <f aca="false">L41*L41</f>
        <v>435.521938912282</v>
      </c>
    </row>
    <row r="43" customFormat="false" ht="13.8" hidden="false" customHeight="false" outlineLevel="0" collapsed="false">
      <c r="B43" s="8"/>
      <c r="C43" s="8"/>
      <c r="G43" s="0" t="s">
        <v>58</v>
      </c>
      <c r="H43" s="3" t="n">
        <f aca="false">L40^(-1*M28)</f>
        <v>806601220.446918</v>
      </c>
      <c r="L43" s="0" t="n">
        <f aca="false">L42/8</f>
        <v>54.4402423640353</v>
      </c>
    </row>
    <row r="44" customFormat="false" ht="13.8" hidden="false" customHeight="false" outlineLevel="0" collapsed="false">
      <c r="B44" s="8"/>
      <c r="C44" s="8"/>
      <c r="G44" s="0" t="s">
        <v>59</v>
      </c>
      <c r="H44" s="0" t="n">
        <f aca="false">(-1*(((M23/4)*(1/L40))+(SQRT(2*(1/L40))*M24)))</f>
        <v>-30.4634157870764</v>
      </c>
      <c r="L44" s="0" t="n">
        <f aca="false">(2/3)*L41^1.5*SQRT(2)</f>
        <v>89.8837672558244</v>
      </c>
    </row>
    <row r="45" customFormat="false" ht="13.8" hidden="false" customHeight="false" outlineLevel="0" collapsed="false">
      <c r="B45" s="8"/>
      <c r="C45" s="8"/>
      <c r="G45" s="0" t="s">
        <v>60</v>
      </c>
      <c r="H45" s="0" t="n">
        <f aca="false">EXP(H44)</f>
        <v>5.88717063595562E-014</v>
      </c>
      <c r="L45" s="0" t="n">
        <f aca="false">L44+L43</f>
        <v>144.32400961986</v>
      </c>
    </row>
    <row r="46" customFormat="false" ht="13.8" hidden="false" customHeight="false" outlineLevel="0" collapsed="false">
      <c r="A46" s="0" t="s">
        <v>61</v>
      </c>
      <c r="B46" s="8" t="n">
        <f aca="false">1</f>
        <v>1</v>
      </c>
      <c r="C46" s="8"/>
    </row>
    <row r="47" customFormat="false" ht="13.8" hidden="false" customHeight="false" outlineLevel="0" collapsed="false">
      <c r="A47" s="0" t="s">
        <v>62</v>
      </c>
      <c r="B47" s="8" t="n">
        <v>1</v>
      </c>
      <c r="C47" s="8"/>
      <c r="G47" s="0" t="s">
        <v>63</v>
      </c>
      <c r="H47" s="3" t="n">
        <f aca="false">H48*H49*H51</f>
        <v>5.30919264296692E+019</v>
      </c>
    </row>
    <row r="48" customFormat="false" ht="13.8" hidden="false" customHeight="false" outlineLevel="0" collapsed="false">
      <c r="B48" s="8"/>
      <c r="C48" s="8"/>
      <c r="G48" s="0" t="s">
        <v>57</v>
      </c>
      <c r="H48" s="3" t="n">
        <f aca="false">H42</f>
        <v>2.00365530571741E+024</v>
      </c>
    </row>
    <row r="49" customFormat="false" ht="13.8" hidden="false" customHeight="false" outlineLevel="0" collapsed="false">
      <c r="A49" s="0" t="s">
        <v>64</v>
      </c>
      <c r="B49" s="8" t="n">
        <v>1</v>
      </c>
      <c r="C49" s="8"/>
      <c r="G49" s="0" t="s">
        <v>58</v>
      </c>
      <c r="H49" s="3" t="n">
        <f aca="false">L40^((-3/16)*(B49+1))</f>
        <v>3.12474356192635</v>
      </c>
    </row>
    <row r="50" customFormat="false" ht="13.8" hidden="false" customHeight="false" outlineLevel="0" collapsed="false">
      <c r="B50" s="8"/>
      <c r="C50" s="8"/>
      <c r="G50" s="0" t="s">
        <v>59</v>
      </c>
      <c r="H50" s="0" t="n">
        <f aca="false">(-1*(((1/4)*(1/L40))+(SQRT((1+B49)*(1/L40)))))</f>
        <v>-11.6778110708464</v>
      </c>
    </row>
    <row r="51" customFormat="false" ht="13.8" hidden="false" customHeight="false" outlineLevel="0" collapsed="false">
      <c r="B51" s="8"/>
      <c r="C51" s="8"/>
      <c r="G51" s="0" t="s">
        <v>60</v>
      </c>
      <c r="H51" s="0" t="n">
        <f aca="false">EXP(H50)</f>
        <v>8.47990703693306E-006</v>
      </c>
    </row>
    <row r="52" customFormat="false" ht="13.8" hidden="false" customHeight="false" outlineLevel="0" collapsed="false">
      <c r="B52" s="8"/>
      <c r="C52" s="8"/>
    </row>
    <row r="53" customFormat="false" ht="13.8" hidden="false" customHeight="false" outlineLevel="0" collapsed="false">
      <c r="B53" s="8"/>
      <c r="C53" s="8"/>
      <c r="G53" s="0" t="s">
        <v>65</v>
      </c>
      <c r="H53" s="3" t="n">
        <f aca="false">H56*H47</f>
        <v>1251265094506440</v>
      </c>
    </row>
    <row r="54" customFormat="false" ht="13.8" hidden="false" customHeight="false" outlineLevel="0" collapsed="false">
      <c r="B54" s="8"/>
      <c r="C54" s="8"/>
      <c r="G54" s="0" t="s">
        <v>57</v>
      </c>
      <c r="H54" s="3" t="n">
        <f aca="false">((-1*B4*B7)/B16)</f>
        <v>-0.195695119687198</v>
      </c>
      <c r="J54" s="3" t="n">
        <f aca="false">H54*H55</f>
        <v>-10.6556250359149</v>
      </c>
    </row>
    <row r="55" customFormat="false" ht="15" hidden="false" customHeight="false" outlineLevel="0" collapsed="false">
      <c r="G55" s="0" t="s">
        <v>58</v>
      </c>
      <c r="H55" s="0" t="n">
        <f aca="false">(((1/L40)*(1/L40)/8)+((2/3)*((1/L40)^(-1.5))*SQRT(1+B49)))</f>
        <v>54.4501316790476</v>
      </c>
    </row>
    <row r="56" customFormat="false" ht="15" hidden="false" customHeight="false" outlineLevel="0" collapsed="false">
      <c r="G56" s="0" t="s">
        <v>60</v>
      </c>
      <c r="H56" s="3" t="n">
        <f aca="false">EXP(H54*H55)</f>
        <v>2.35678977699932E-005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0" width="36.1428571428571"/>
    <col collapsed="false" hidden="false" max="2" min="2" style="0" width="17.5765306122449"/>
    <col collapsed="false" hidden="false" max="4" min="3" style="0" width="8.72959183673469"/>
    <col collapsed="false" hidden="false" max="5" min="5" style="0" width="31.4285714285714"/>
    <col collapsed="false" hidden="false" max="6" min="6" style="0" width="16.7142857142857"/>
    <col collapsed="false" hidden="false" max="1025" min="7" style="0" width="8.72959183673469"/>
  </cols>
  <sheetData>
    <row r="1" customFormat="false" ht="21" hidden="false" customHeight="false" outlineLevel="0" collapsed="false">
      <c r="A1" s="11" t="s">
        <v>66</v>
      </c>
      <c r="B1" s="11" t="s">
        <v>67</v>
      </c>
      <c r="C1" s="12"/>
      <c r="D1" s="12"/>
      <c r="E1" s="11" t="s">
        <v>68</v>
      </c>
      <c r="F1" s="11" t="s">
        <v>67</v>
      </c>
    </row>
    <row r="2" customFormat="false" ht="15" hidden="false" customHeight="false" outlineLevel="0" collapsed="false">
      <c r="A2" s="0" t="s">
        <v>69</v>
      </c>
      <c r="B2" s="13" t="n">
        <v>1E+021</v>
      </c>
      <c r="E2" s="0" t="s">
        <v>70</v>
      </c>
      <c r="F2" s="13" t="n">
        <f aca="false">14.9-0.5*(LOG10(B2)-20)+LOG10(B3)-3</f>
        <v>16.4</v>
      </c>
    </row>
    <row r="3" customFormat="false" ht="15" hidden="false" customHeight="false" outlineLevel="0" collapsed="false">
      <c r="A3" s="0" t="s">
        <v>71</v>
      </c>
      <c r="B3" s="13" t="n">
        <f aca="false">100000</f>
        <v>100000</v>
      </c>
      <c r="E3" s="0" t="s">
        <v>72</v>
      </c>
      <c r="F3" s="13" t="n">
        <f aca="false">B2*B5*B5*B5*F2</f>
        <v>6.74489227611052E-035</v>
      </c>
    </row>
    <row r="4" customFormat="false" ht="15" hidden="false" customHeight="false" outlineLevel="0" collapsed="false">
      <c r="A4" s="0" t="s">
        <v>73</v>
      </c>
      <c r="B4" s="13" t="n">
        <f aca="false">B3*B5</f>
        <v>1.60217662E-014</v>
      </c>
      <c r="E4" s="0" t="s">
        <v>74</v>
      </c>
      <c r="F4" s="13" t="n">
        <f aca="false">((B13*B16)/B11)/B17</f>
        <v>0.00203827136347916</v>
      </c>
    </row>
    <row r="5" customFormat="false" ht="15" hidden="false" customHeight="false" outlineLevel="0" collapsed="false">
      <c r="A5" s="0" t="s">
        <v>75</v>
      </c>
      <c r="B5" s="13" t="n">
        <v>1.60217662E-019</v>
      </c>
      <c r="E5" s="0" t="s">
        <v>76</v>
      </c>
      <c r="F5" s="13" t="n">
        <f aca="false">B18/B19</f>
        <v>1.28966637712299</v>
      </c>
    </row>
    <row r="6" customFormat="false" ht="15" hidden="false" customHeight="false" outlineLevel="0" collapsed="false">
      <c r="A6" s="0" t="s">
        <v>77</v>
      </c>
      <c r="B6" s="13" t="n">
        <v>9.10938356E-031</v>
      </c>
      <c r="E6" s="0" t="s">
        <v>78</v>
      </c>
      <c r="F6" s="13" t="n">
        <f aca="false">F5/F4</f>
        <v>632.725553736692</v>
      </c>
    </row>
    <row r="7" customFormat="false" ht="15" hidden="false" customHeight="false" outlineLevel="0" collapsed="false">
      <c r="A7" s="0" t="s">
        <v>79</v>
      </c>
      <c r="B7" s="13" t="n">
        <v>1</v>
      </c>
      <c r="E7" s="0" t="s">
        <v>80</v>
      </c>
      <c r="F7" s="13" t="n">
        <f aca="false">1+(B21/B23)</f>
        <v>1.11152343552082</v>
      </c>
    </row>
    <row r="8" customFormat="false" ht="15" hidden="false" customHeight="false" outlineLevel="0" collapsed="false">
      <c r="A8" s="0" t="s">
        <v>81</v>
      </c>
      <c r="B8" s="13" t="n">
        <f aca="false">PI()</f>
        <v>3.14159265358979</v>
      </c>
      <c r="E8" s="0" t="s">
        <v>82</v>
      </c>
      <c r="F8" s="13" t="n">
        <f aca="false">B24/(B13*B14)</f>
        <v>0.836252249324951</v>
      </c>
    </row>
    <row r="9" customFormat="false" ht="15" hidden="false" customHeight="false" outlineLevel="0" collapsed="false">
      <c r="A9" s="0" t="s">
        <v>83</v>
      </c>
      <c r="B9" s="13" t="n">
        <v>8.854187817E-012</v>
      </c>
      <c r="E9" s="0" t="s">
        <v>84</v>
      </c>
      <c r="F9" s="13" t="n">
        <f aca="false">((B26/F8)-1)/(2*F4*F2)</f>
        <v>6.50619642750284</v>
      </c>
    </row>
    <row r="10" customFormat="false" ht="15" hidden="false" customHeight="false" outlineLevel="0" collapsed="false">
      <c r="A10" s="0" t="s">
        <v>85</v>
      </c>
      <c r="B10" s="13" t="n">
        <v>299792458</v>
      </c>
      <c r="E10" s="0" t="s">
        <v>86</v>
      </c>
      <c r="F10" s="13" t="n">
        <f aca="false">B27/(B28*B5*B10)</f>
        <v>3122915017928720</v>
      </c>
    </row>
    <row r="11" customFormat="false" ht="15" hidden="false" customHeight="false" outlineLevel="0" collapsed="false">
      <c r="A11" s="0" t="s">
        <v>87</v>
      </c>
      <c r="B11" s="13" t="n">
        <f aca="false">B5*B5*B5*B5</f>
        <v>6.58933457878223E-076</v>
      </c>
      <c r="E11" s="0" t="s">
        <v>88</v>
      </c>
      <c r="F11" s="13" t="n">
        <f aca="false">F10/F9</f>
        <v>479990890641975</v>
      </c>
    </row>
    <row r="12" customFormat="false" ht="15" hidden="false" customHeight="false" outlineLevel="0" collapsed="false">
      <c r="A12" s="0" t="s">
        <v>9</v>
      </c>
      <c r="B12" s="13" t="n">
        <f aca="false">B10*B10*B10</f>
        <v>2.6944002417374E+025</v>
      </c>
    </row>
    <row r="13" customFormat="false" ht="15" hidden="false" customHeight="false" outlineLevel="0" collapsed="false">
      <c r="A13" s="0" t="s">
        <v>89</v>
      </c>
      <c r="B13" s="13" t="n">
        <f aca="false">4*B8*B9*B9</f>
        <v>9.85161257020404E-022</v>
      </c>
    </row>
    <row r="14" customFormat="false" ht="15" hidden="false" customHeight="false" outlineLevel="0" collapsed="false">
      <c r="A14" s="0" t="s">
        <v>90</v>
      </c>
      <c r="B14" s="13" t="n">
        <f aca="false">B6*B10*B10</f>
        <v>8.18710564965003E-014</v>
      </c>
    </row>
    <row r="15" customFormat="false" ht="15" hidden="false" customHeight="false" outlineLevel="0" collapsed="false">
      <c r="A15" s="0" t="s">
        <v>91</v>
      </c>
      <c r="B15" s="13" t="n">
        <f aca="false">SQRT(8)</f>
        <v>2.82842712474619</v>
      </c>
    </row>
    <row r="16" customFormat="false" ht="15" hidden="false" customHeight="false" outlineLevel="0" collapsed="false">
      <c r="A16" s="0" t="s">
        <v>92</v>
      </c>
      <c r="B16" s="13" t="n">
        <f aca="false">B6*B6*B12</f>
        <v>2.23583673070693E-035</v>
      </c>
    </row>
    <row r="17" customFormat="false" ht="15" hidden="false" customHeight="false" outlineLevel="0" collapsed="false">
      <c r="A17" s="0" t="s">
        <v>93</v>
      </c>
      <c r="B17" s="13" t="n">
        <f aca="false">B2*F2</f>
        <v>1.64E+022</v>
      </c>
    </row>
    <row r="18" customFormat="false" ht="15" hidden="false" customHeight="false" outlineLevel="0" collapsed="false">
      <c r="A18" s="0" t="s">
        <v>94</v>
      </c>
      <c r="B18" s="13" t="n">
        <f aca="false">(((6*B8)*B9)*B6*B6*B6)*B12</f>
        <v>3.39921730154773E-075</v>
      </c>
    </row>
    <row r="19" customFormat="false" ht="15" hidden="false" customHeight="false" outlineLevel="0" collapsed="false">
      <c r="A19" s="0" t="s">
        <v>95</v>
      </c>
      <c r="B19" s="13" t="n">
        <f aca="false">B11*B20*B20</f>
        <v>2.63573383151289E-075</v>
      </c>
    </row>
    <row r="20" customFormat="false" ht="15" hidden="false" customHeight="false" outlineLevel="0" collapsed="false">
      <c r="A20" s="0" t="s">
        <v>96</v>
      </c>
      <c r="B20" s="0" t="n">
        <v>2</v>
      </c>
    </row>
    <row r="21" customFormat="false" ht="15" hidden="false" customHeight="false" outlineLevel="0" collapsed="false">
      <c r="A21" s="0" t="s">
        <v>97</v>
      </c>
      <c r="B21" s="13" t="n">
        <f aca="false">(B7+1)/(SQRT(F6))</f>
        <v>0.0795101015950183</v>
      </c>
    </row>
    <row r="22" customFormat="false" ht="15" hidden="false" customHeight="false" outlineLevel="0" collapsed="false">
      <c r="A22" s="0" t="s">
        <v>98</v>
      </c>
      <c r="B22" s="13" t="n">
        <f aca="false">1/8+(((B7+1)*(B7+1))/F6)</f>
        <v>0.13132185625565</v>
      </c>
    </row>
    <row r="23" customFormat="false" ht="15" hidden="false" customHeight="false" outlineLevel="0" collapsed="false">
      <c r="A23" s="0" t="s">
        <v>99</v>
      </c>
      <c r="B23" s="13" t="n">
        <f aca="false">B22^(1/6)</f>
        <v>0.71294523185824</v>
      </c>
    </row>
    <row r="24" customFormat="false" ht="15" hidden="false" customHeight="false" outlineLevel="0" collapsed="false">
      <c r="A24" s="0" t="s">
        <v>18</v>
      </c>
      <c r="B24" s="0" t="n">
        <v>6.74489227611052E-035</v>
      </c>
    </row>
    <row r="25" customFormat="false" ht="15" hidden="false" customHeight="false" outlineLevel="0" collapsed="false">
      <c r="A25" s="0" t="s">
        <v>100</v>
      </c>
      <c r="B25" s="0" t="n">
        <v>0.8</v>
      </c>
    </row>
    <row r="26" customFormat="false" ht="15" hidden="false" customHeight="false" outlineLevel="0" collapsed="false">
      <c r="A26" s="0" t="s">
        <v>101</v>
      </c>
      <c r="B26" s="0" t="n">
        <v>1.2</v>
      </c>
    </row>
    <row r="27" customFormat="false" ht="15" hidden="false" customHeight="false" outlineLevel="0" collapsed="false">
      <c r="A27" s="0" t="s">
        <v>102</v>
      </c>
      <c r="B27" s="0" t="n">
        <v>150000</v>
      </c>
    </row>
    <row r="28" customFormat="false" ht="15" hidden="false" customHeight="false" outlineLevel="0" collapsed="false">
      <c r="A28" s="0" t="s">
        <v>103</v>
      </c>
      <c r="B2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hu-HU</dc:language>
  <cp:lastModifiedBy>Matyi Aradi</cp:lastModifiedBy>
  <dcterms:modified xsi:type="dcterms:W3CDTF">2017-09-07T16:48:41Z</dcterms:modified>
  <cp:revision>1</cp:revision>
</cp:coreProperties>
</file>