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4" i="1"/>
  <c r="D3" i="1"/>
  <c r="B14" i="1" l="1"/>
  <c r="B18" i="1" s="1"/>
  <c r="H54" i="1"/>
  <c r="M32" i="1"/>
  <c r="M30" i="1"/>
  <c r="M28" i="1"/>
  <c r="M27" i="1"/>
  <c r="M26" i="1"/>
  <c r="M25" i="1"/>
  <c r="M22" i="1"/>
  <c r="M24" i="1" s="1"/>
  <c r="B16" i="1"/>
  <c r="B8" i="1"/>
  <c r="B15" i="1" s="1"/>
  <c r="H6" i="1"/>
  <c r="B46" i="1"/>
  <c r="H7" i="1"/>
  <c r="B33" i="1"/>
  <c r="B34" i="1" s="1"/>
  <c r="B25" i="1"/>
  <c r="H21" i="1"/>
  <c r="H24" i="1" s="1"/>
  <c r="H32" i="1"/>
  <c r="H14" i="1"/>
  <c r="H12" i="1"/>
  <c r="H10" i="1"/>
  <c r="H8" i="1"/>
  <c r="M23" i="1" l="1"/>
  <c r="B29" i="1"/>
  <c r="C36" i="1"/>
  <c r="I9" i="1"/>
  <c r="H22" i="1"/>
  <c r="H42" i="1" s="1"/>
  <c r="H48" i="1" s="1"/>
  <c r="D39" i="1" l="1"/>
  <c r="H9" i="1"/>
  <c r="K8" i="1" s="1"/>
  <c r="C39" i="1"/>
  <c r="B28" i="1"/>
  <c r="B30" i="1" s="1"/>
  <c r="B40" i="1"/>
  <c r="H13" i="1"/>
  <c r="K13" i="1" s="1"/>
  <c r="H31" i="1"/>
  <c r="H25" i="1"/>
  <c r="H35" i="1" l="1"/>
  <c r="H34" i="1" s="1"/>
  <c r="H36" i="1" s="1"/>
  <c r="L40" i="1"/>
  <c r="B36" i="1"/>
  <c r="B39" i="1" s="1"/>
  <c r="H33" i="1"/>
  <c r="H17" i="1"/>
  <c r="H49" i="1" l="1"/>
  <c r="L41" i="1"/>
  <c r="H50" i="1"/>
  <c r="H51" i="1" s="1"/>
  <c r="H47" i="1" s="1"/>
  <c r="H44" i="1"/>
  <c r="H45" i="1" s="1"/>
  <c r="H55" i="1"/>
  <c r="H43" i="1"/>
  <c r="H56" i="1" l="1"/>
  <c r="H53" i="1" s="1"/>
  <c r="J54" i="1"/>
  <c r="H41" i="1"/>
  <c r="L42" i="1"/>
  <c r="L43" i="1" s="1"/>
  <c r="L44" i="1"/>
  <c r="L45" i="1" l="1"/>
</calcChain>
</file>

<file path=xl/sharedStrings.xml><?xml version="1.0" encoding="utf-8"?>
<sst xmlns="http://schemas.openxmlformats.org/spreadsheetml/2006/main" count="73" uniqueCount="64">
  <si>
    <t>14.9 - 0.5 * log(electron_density * 1e-20) + log(electron_temperature * 1e-3);</t>
  </si>
  <si>
    <t>log</t>
  </si>
  <si>
    <t>density</t>
  </si>
  <si>
    <t>temp</t>
  </si>
  <si>
    <t>columb lambda</t>
  </si>
  <si>
    <t>ln lambda</t>
  </si>
  <si>
    <t>e</t>
  </si>
  <si>
    <t>e^3</t>
  </si>
  <si>
    <t>pi</t>
  </si>
  <si>
    <t>c^3</t>
  </si>
  <si>
    <t>Számláló</t>
  </si>
  <si>
    <t>eps0</t>
  </si>
  <si>
    <t>n_e * e^3 ln lambda</t>
  </si>
  <si>
    <t>me</t>
  </si>
  <si>
    <t>c</t>
  </si>
  <si>
    <t>Te^3/2</t>
  </si>
  <si>
    <t>4*pi*e0^2</t>
  </si>
  <si>
    <t>Nevező</t>
  </si>
  <si>
    <t>n_e * e3 ln lambda</t>
  </si>
  <si>
    <t>gyök8</t>
  </si>
  <si>
    <t>4pie02</t>
  </si>
  <si>
    <t>mec2</t>
  </si>
  <si>
    <t xml:space="preserve">Ed </t>
  </si>
  <si>
    <t>critical field</t>
  </si>
  <si>
    <t>runaway collision time</t>
  </si>
  <si>
    <t>Vth</t>
  </si>
  <si>
    <t>pi_4_e02_me2_c3__e4 / (electron_density * coulomb_log)</t>
  </si>
  <si>
    <t>Thermal_electron:collision_Time</t>
  </si>
  <si>
    <t>mc</t>
  </si>
  <si>
    <t xml:space="preserve">reference Ed </t>
  </si>
  <si>
    <t>4pie02 * me2 c3 / e4  * 1/ne logLambda</t>
  </si>
  <si>
    <t>eleje</t>
  </si>
  <si>
    <t>vége</t>
  </si>
  <si>
    <t>reference_growth_rate</t>
  </si>
  <si>
    <t>first</t>
  </si>
  <si>
    <t>second</t>
  </si>
  <si>
    <t>thermal speed</t>
  </si>
  <si>
    <t>third</t>
  </si>
  <si>
    <t>v/c</t>
  </si>
  <si>
    <t>exponential</t>
  </si>
  <si>
    <t>thermal coll. Time</t>
  </si>
  <si>
    <t>growth rate</t>
  </si>
  <si>
    <t>Dreicer</t>
  </si>
  <si>
    <t>ref electric field</t>
  </si>
  <si>
    <t>growth rate limit</t>
  </si>
  <si>
    <t>ref_zeff_1</t>
  </si>
  <si>
    <t>ReferenceAlpha</t>
  </si>
  <si>
    <t>ReferenceLambda</t>
  </si>
  <si>
    <t>Ec</t>
  </si>
  <si>
    <t>ReferenceGamma</t>
  </si>
  <si>
    <t>refh1</t>
  </si>
  <si>
    <t>refh2</t>
  </si>
  <si>
    <t>refh3</t>
  </si>
  <si>
    <t>refHsum</t>
  </si>
  <si>
    <t>inv_asp_ratio</t>
  </si>
  <si>
    <t>ref_toroidicity_dreicer</t>
  </si>
  <si>
    <t>els</t>
  </si>
  <si>
    <t>mas</t>
  </si>
  <si>
    <t>harm</t>
  </si>
  <si>
    <t>exp</t>
  </si>
  <si>
    <t>E/Ed</t>
  </si>
  <si>
    <t>dreicer_growth_rate_63</t>
  </si>
  <si>
    <t>dreicer_growth_rate_66</t>
  </si>
  <si>
    <t>dreicer_growth_rate_67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</si>
</sst>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E+000"/>
    <numFmt numFmtId="165" formatCode="0.0000E+000"/>
  </numFmts>
  <fonts count="2" x14ac:knownFonts="1">
    <font>
      <sz val="11"/>
      <color theme="1"/>
      <name val="Calibri"/>
      <family val="2"/>
      <scheme val="minor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 applyFont="1"/>
    <xf numFmtId="165" fontId="0" fillId="0" borderId="0" xfId="0" applyNumberFormat="1" applyFont="1"/>
    <xf numFmtId="165" fontId="0" fillId="0" borderId="0" xfId="0" applyNumberFormat="1"/>
    <xf numFmtId="165" fontId="1" fillId="0" borderId="0" xfId="0" applyNumberFormat="1" applyFont="1" applyAlignment="1">
      <alignment wrapText="1"/>
    </xf>
    <xf numFmtId="0" fontId="0" fillId="0" borderId="0" xfId="0" applyFont="1"/>
    <xf numFmtId="165" fontId="0" fillId="0" borderId="1" xfId="0" applyNumberForma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workbookViewId="0">
      <selection activeCell="H17" sqref="H17"/>
    </sheetView>
  </sheetViews>
  <sheetFormatPr defaultRowHeight="15" x14ac:dyDescent="0.25"/>
  <cols>
    <col min="1" max="1" width="18" customWidth="1"/>
    <col min="2" max="2" width="11.5703125" bestFit="1" customWidth="1"/>
    <col min="3" max="3" width="11.28515625" bestFit="1" customWidth="1"/>
    <col min="4" max="4" width="11.5703125" bestFit="1" customWidth="1"/>
    <col min="7" max="7" width="22" customWidth="1"/>
    <col min="8" max="8" width="12.28515625" bestFit="1" customWidth="1"/>
    <col min="9" max="9" width="11.28515625" bestFit="1" customWidth="1"/>
    <col min="10" max="10" width="12.28515625" bestFit="1" customWidth="1"/>
    <col min="11" max="11" width="11.28515625" bestFit="1" customWidth="1"/>
    <col min="12" max="12" width="21.42578125" bestFit="1" customWidth="1"/>
    <col min="13" max="13" width="12.28515625" bestFit="1" customWidth="1"/>
  </cols>
  <sheetData>
    <row r="1" spans="1:11" x14ac:dyDescent="0.25">
      <c r="A1" s="1" t="s">
        <v>0</v>
      </c>
      <c r="B1" s="2"/>
    </row>
    <row r="2" spans="1:11" x14ac:dyDescent="0.25">
      <c r="A2" s="1"/>
      <c r="B2" s="2"/>
      <c r="D2" t="s">
        <v>1</v>
      </c>
    </row>
    <row r="3" spans="1:11" x14ac:dyDescent="0.25">
      <c r="A3" s="1" t="s">
        <v>2</v>
      </c>
      <c r="B3" s="2">
        <v>1E+21</v>
      </c>
      <c r="D3" s="3">
        <f>LOG10(B3)-20</f>
        <v>1</v>
      </c>
    </row>
    <row r="4" spans="1:11" x14ac:dyDescent="0.25">
      <c r="A4" t="s">
        <v>3</v>
      </c>
      <c r="B4" s="2">
        <v>100000</v>
      </c>
      <c r="D4" s="3">
        <f>LOG10(B4)-3</f>
        <v>2</v>
      </c>
    </row>
    <row r="5" spans="1:11" x14ac:dyDescent="0.25">
      <c r="B5" s="3"/>
    </row>
    <row r="6" spans="1:11" x14ac:dyDescent="0.25">
      <c r="A6" t="s">
        <v>4</v>
      </c>
      <c r="B6" s="3"/>
      <c r="D6" s="3">
        <f>14.9-0.5*(D3)+D4</f>
        <v>16.399999999999999</v>
      </c>
      <c r="G6" t="s">
        <v>5</v>
      </c>
      <c r="H6">
        <f>D6</f>
        <v>16.399999999999999</v>
      </c>
    </row>
    <row r="7" spans="1:11" x14ac:dyDescent="0.25">
      <c r="A7" t="s">
        <v>6</v>
      </c>
      <c r="B7" s="2">
        <v>1.6021766200000001E-19</v>
      </c>
      <c r="G7" t="s">
        <v>7</v>
      </c>
      <c r="H7" s="3">
        <f>B7^3</f>
        <v>4.1127391927503151E-57</v>
      </c>
    </row>
    <row r="8" spans="1:11" x14ac:dyDescent="0.25">
      <c r="A8" t="s">
        <v>8</v>
      </c>
      <c r="B8" s="3">
        <f>PI()</f>
        <v>3.1415926535897931</v>
      </c>
      <c r="G8" t="s">
        <v>9</v>
      </c>
      <c r="H8" s="3">
        <f>B11^3</f>
        <v>2.6944002417373989E+25</v>
      </c>
      <c r="J8" t="s">
        <v>10</v>
      </c>
      <c r="K8">
        <f>H9*H8*(H10)^(3/2)</f>
        <v>1.5800491986320209E-54</v>
      </c>
    </row>
    <row r="9" spans="1:11" x14ac:dyDescent="0.25">
      <c r="A9" t="s">
        <v>11</v>
      </c>
      <c r="B9" s="4">
        <v>8.8541878169999989E-12</v>
      </c>
      <c r="G9" t="s">
        <v>12</v>
      </c>
      <c r="H9" s="3">
        <f>B14</f>
        <v>6.744892276110516E-35</v>
      </c>
      <c r="I9" s="3">
        <f>H6*H7*B3</f>
        <v>6.744892276110516E-35</v>
      </c>
    </row>
    <row r="10" spans="1:11" x14ac:dyDescent="0.25">
      <c r="A10" t="s">
        <v>13</v>
      </c>
      <c r="B10" s="4">
        <v>9.1093835599999998E-31</v>
      </c>
      <c r="G10" t="s">
        <v>13</v>
      </c>
      <c r="H10" s="3">
        <f>B10</f>
        <v>9.1093835599999998E-31</v>
      </c>
    </row>
    <row r="11" spans="1:11" x14ac:dyDescent="0.25">
      <c r="A11" t="s">
        <v>14</v>
      </c>
      <c r="B11" s="4">
        <v>299792458</v>
      </c>
    </row>
    <row r="12" spans="1:11" x14ac:dyDescent="0.25">
      <c r="B12" s="3"/>
      <c r="G12" t="s">
        <v>15</v>
      </c>
      <c r="H12" s="3">
        <f>(B4)^(2.5)*B7</f>
        <v>5.0665273330700901E-7</v>
      </c>
      <c r="I12" s="3"/>
    </row>
    <row r="13" spans="1:11" x14ac:dyDescent="0.25">
      <c r="B13" s="3"/>
      <c r="G13" t="s">
        <v>16</v>
      </c>
      <c r="H13" s="3">
        <f>B15</f>
        <v>9.8516125702040363E-22</v>
      </c>
      <c r="J13" t="s">
        <v>17</v>
      </c>
      <c r="K13" s="3">
        <f>H13*H14*H12</f>
        <v>1.4117659649084191E-27</v>
      </c>
    </row>
    <row r="14" spans="1:11" x14ac:dyDescent="0.25">
      <c r="A14" t="s">
        <v>18</v>
      </c>
      <c r="B14" s="3">
        <f>B3*B7^3*D6</f>
        <v>6.744892276110516E-35</v>
      </c>
      <c r="G14" t="s">
        <v>19</v>
      </c>
      <c r="H14">
        <f>SQRT(8)</f>
        <v>2.8284271247461903</v>
      </c>
    </row>
    <row r="15" spans="1:11" x14ac:dyDescent="0.25">
      <c r="A15" t="s">
        <v>20</v>
      </c>
      <c r="B15" s="3">
        <f>4*B8*B9*B9</f>
        <v>9.8516125702040363E-22</v>
      </c>
    </row>
    <row r="16" spans="1:11" x14ac:dyDescent="0.25">
      <c r="A16" t="s">
        <v>21</v>
      </c>
      <c r="B16" s="3">
        <f>B10*B11*B11</f>
        <v>8.1871056496500277E-14</v>
      </c>
    </row>
    <row r="17" spans="1:13" x14ac:dyDescent="0.25">
      <c r="B17" s="3"/>
      <c r="G17" t="s">
        <v>22</v>
      </c>
      <c r="H17" s="3">
        <f>K8/K13</f>
        <v>1.1192005175833222E-27</v>
      </c>
    </row>
    <row r="18" spans="1:13" x14ac:dyDescent="0.25">
      <c r="A18" t="s">
        <v>23</v>
      </c>
      <c r="B18" s="3">
        <f>B14/B15/B16</f>
        <v>0.83625224932495068</v>
      </c>
    </row>
    <row r="19" spans="1:13" x14ac:dyDescent="0.25">
      <c r="B19" s="3"/>
      <c r="D19" t="s">
        <v>48</v>
      </c>
    </row>
    <row r="20" spans="1:13" x14ac:dyDescent="0.25">
      <c r="B20" s="3"/>
    </row>
    <row r="21" spans="1:13" x14ac:dyDescent="0.25">
      <c r="A21" t="s">
        <v>24</v>
      </c>
      <c r="B21" s="3"/>
      <c r="G21" t="s">
        <v>25</v>
      </c>
      <c r="H21">
        <f>(2*B4/B10*B7)^0.5</f>
        <v>187553726.84774402</v>
      </c>
    </row>
    <row r="22" spans="1:13" x14ac:dyDescent="0.25">
      <c r="A22" t="s">
        <v>26</v>
      </c>
      <c r="B22" s="3"/>
      <c r="G22" t="s">
        <v>27</v>
      </c>
      <c r="H22" s="3">
        <f>(4*B8*B9*B9*B10*B10*H21*H21*H21)/(B3*B7*B7*B7*B7*D6)</f>
        <v>4.9908784068123432E-4</v>
      </c>
      <c r="L22" t="s">
        <v>46</v>
      </c>
      <c r="M22" s="3">
        <f>B46+0.2</f>
        <v>1.2</v>
      </c>
    </row>
    <row r="23" spans="1:13" x14ac:dyDescent="0.25">
      <c r="B23" s="3"/>
      <c r="L23" t="s">
        <v>47</v>
      </c>
      <c r="M23">
        <f>(8*M22*(M22-0.5-SQRT(M22*(M22-1))))</f>
        <v>2.0169796938562983</v>
      </c>
    </row>
    <row r="24" spans="1:13" x14ac:dyDescent="0.25">
      <c r="B24" s="3"/>
      <c r="H24" s="3">
        <f>H21/B11</f>
        <v>0.62561189197009093</v>
      </c>
      <c r="L24" t="s">
        <v>49</v>
      </c>
      <c r="M24" s="3">
        <f>SQRT(((1+B49)*M22*M22)/8*(M22-1))*(B8/2-ASIN(1-(2/M22)))</f>
        <v>0.61729536118865491</v>
      </c>
    </row>
    <row r="25" spans="1:13" x14ac:dyDescent="0.25">
      <c r="A25" t="s">
        <v>28</v>
      </c>
      <c r="B25" s="3">
        <f>B10*B11</f>
        <v>2.7309244883171902E-22</v>
      </c>
      <c r="G25" t="s">
        <v>29</v>
      </c>
      <c r="H25" s="3">
        <f>B10*B10*B11*B11*B11/(B7*H22*B4*B7)</f>
        <v>17.451883991208849</v>
      </c>
      <c r="L25" t="s">
        <v>50</v>
      </c>
      <c r="M25" s="3">
        <f>1/(16*(M22-1))</f>
        <v>0.31250000000000006</v>
      </c>
    </row>
    <row r="26" spans="1:13" x14ac:dyDescent="0.25">
      <c r="B26" s="3"/>
      <c r="L26" t="s">
        <v>51</v>
      </c>
      <c r="M26">
        <f>(M22*(B49+1)-B49+7)</f>
        <v>8.4</v>
      </c>
    </row>
    <row r="27" spans="1:13" x14ac:dyDescent="0.25">
      <c r="A27" t="s">
        <v>30</v>
      </c>
      <c r="B27" s="3"/>
      <c r="L27" t="s">
        <v>52</v>
      </c>
      <c r="M27" s="3">
        <f>2*(SQRT((M22)/(M22+1))*(1+B49)*(M22-2))</f>
        <v>-2.3633566268031885</v>
      </c>
    </row>
    <row r="28" spans="1:13" x14ac:dyDescent="0.25">
      <c r="A28" t="s">
        <v>31</v>
      </c>
      <c r="B28" s="3">
        <f>B15*B25*B16/B7^4</f>
        <v>3.342765036105814E+19</v>
      </c>
      <c r="L28" t="s">
        <v>53</v>
      </c>
      <c r="M28" s="3">
        <f>M25*(M26+M27)</f>
        <v>1.886451054124004</v>
      </c>
    </row>
    <row r="29" spans="1:13" x14ac:dyDescent="0.25">
      <c r="A29" t="s">
        <v>32</v>
      </c>
      <c r="B29" s="3">
        <f>1/B3/D6</f>
        <v>6.0975609756097557E-23</v>
      </c>
    </row>
    <row r="30" spans="1:13" x14ac:dyDescent="0.25">
      <c r="A30" t="s">
        <v>24</v>
      </c>
      <c r="B30" s="3">
        <f>B28*B29</f>
        <v>2.0382713634791547E-3</v>
      </c>
      <c r="C30" s="3"/>
      <c r="G30" t="s">
        <v>33</v>
      </c>
      <c r="L30" t="s">
        <v>54</v>
      </c>
      <c r="M30">
        <f>0.5/1.65</f>
        <v>0.30303030303030304</v>
      </c>
    </row>
    <row r="31" spans="1:13" x14ac:dyDescent="0.25">
      <c r="B31" s="3"/>
      <c r="G31" t="s">
        <v>34</v>
      </c>
      <c r="H31">
        <f>(B3/H22)</f>
        <v>2.0036553057174089E+24</v>
      </c>
    </row>
    <row r="32" spans="1:13" x14ac:dyDescent="0.25">
      <c r="B32" s="3"/>
      <c r="G32" t="s">
        <v>35</v>
      </c>
      <c r="H32">
        <f>(B16/(2*(B7*B4)))^1.5</f>
        <v>4.0839932319268666</v>
      </c>
      <c r="L32" t="s">
        <v>55</v>
      </c>
      <c r="M32">
        <f>(1-(1.2*SQRT((2*M30)/(1+M30))))</f>
        <v>0.18160679263543178</v>
      </c>
    </row>
    <row r="33" spans="1:12" x14ac:dyDescent="0.25">
      <c r="A33" t="s">
        <v>36</v>
      </c>
      <c r="B33" s="3">
        <f>SQRT(2*B4*B7/B10)</f>
        <v>187553726.84774402</v>
      </c>
      <c r="G33" t="s">
        <v>37</v>
      </c>
      <c r="H33" s="3">
        <f>(H25/B46)^(3*(1+B49)/16)</f>
        <v>2.9220717057263639</v>
      </c>
    </row>
    <row r="34" spans="1:12" x14ac:dyDescent="0.25">
      <c r="A34" t="s">
        <v>38</v>
      </c>
      <c r="B34" s="3">
        <f>B33/B11</f>
        <v>0.62561189197009093</v>
      </c>
      <c r="G34" t="s">
        <v>39</v>
      </c>
      <c r="H34">
        <f>EXP(H35)</f>
        <v>3.4625779092675222E-5</v>
      </c>
    </row>
    <row r="35" spans="1:12" x14ac:dyDescent="0.25">
      <c r="B35" s="3"/>
      <c r="H35" s="3">
        <f>(-1*H25/(4*B46))-(SQRT((H25*(1+B49))/B46))</f>
        <v>-10.270912092838426</v>
      </c>
    </row>
    <row r="36" spans="1:12" x14ac:dyDescent="0.25">
      <c r="A36" t="s">
        <v>40</v>
      </c>
      <c r="B36" s="3">
        <f>B30*B34^2</f>
        <v>7.9775951686208426E-4</v>
      </c>
      <c r="C36" s="3">
        <f>B15*B10^2*B33^3/B14/B7</f>
        <v>4.9908784068123443E-4</v>
      </c>
      <c r="G36" t="s">
        <v>41</v>
      </c>
      <c r="H36" s="3">
        <f>H31*H32*H33*H34</f>
        <v>8.2793920392516914E+20</v>
      </c>
    </row>
    <row r="37" spans="1:12" x14ac:dyDescent="0.25">
      <c r="B37" s="3"/>
    </row>
    <row r="38" spans="1:12" x14ac:dyDescent="0.25">
      <c r="B38" s="3"/>
    </row>
    <row r="39" spans="1:12" x14ac:dyDescent="0.25">
      <c r="A39" t="s">
        <v>42</v>
      </c>
      <c r="B39" s="3">
        <f>B25*B16/B7/B36/B4</f>
        <v>1.7492734427727072E-18</v>
      </c>
      <c r="C39">
        <f>B18*B10*B33*B33/B4</f>
        <v>2.6796476045816934E-19</v>
      </c>
      <c r="D39">
        <f>B14/B33/B33/B10*4*B8</f>
        <v>2.6451146221174208E-20</v>
      </c>
    </row>
    <row r="40" spans="1:12" x14ac:dyDescent="0.25">
      <c r="B40" s="2">
        <f>B25*B16/B7/C36/B4</f>
        <v>2.7961000505667102E-18</v>
      </c>
      <c r="C40" s="5"/>
      <c r="K40" t="s">
        <v>60</v>
      </c>
      <c r="L40">
        <f>((B46*B18)/H25)</f>
        <v>4.7917591576141665E-2</v>
      </c>
    </row>
    <row r="41" spans="1:12" x14ac:dyDescent="0.25">
      <c r="B41" s="3"/>
      <c r="G41" t="s">
        <v>61</v>
      </c>
      <c r="H41" s="6">
        <f>H42*H43*H45</f>
        <v>3.0822120821196141E+20</v>
      </c>
      <c r="L41">
        <f>1/L40</f>
        <v>20.86916239124805</v>
      </c>
    </row>
    <row r="42" spans="1:12" x14ac:dyDescent="0.25">
      <c r="B42" s="3"/>
      <c r="G42" t="s">
        <v>56</v>
      </c>
      <c r="H42" s="3">
        <f>1*B3/H22</f>
        <v>2.0036553057174089E+24</v>
      </c>
      <c r="L42">
        <f>L41*L41</f>
        <v>435.52193891228205</v>
      </c>
    </row>
    <row r="43" spans="1:12" x14ac:dyDescent="0.25">
      <c r="B43" s="3"/>
      <c r="G43" t="s">
        <v>57</v>
      </c>
      <c r="H43" s="3">
        <f>L40^(-1*M28)</f>
        <v>308.44776879028939</v>
      </c>
      <c r="L43">
        <f>L42/8</f>
        <v>54.440242364035257</v>
      </c>
    </row>
    <row r="44" spans="1:12" x14ac:dyDescent="0.25">
      <c r="B44" s="3"/>
      <c r="G44" t="s">
        <v>58</v>
      </c>
      <c r="H44">
        <f>(-1*(((M23/4)*(1/L40))+(SQRT(2*(1/L40))*M24)))</f>
        <v>-14.511218511602662</v>
      </c>
      <c r="L44">
        <f>(2/3)*L41^1.5*SQRT(2)</f>
        <v>89.883767255824452</v>
      </c>
    </row>
    <row r="45" spans="1:12" x14ac:dyDescent="0.25">
      <c r="B45" s="3"/>
      <c r="G45" t="s">
        <v>59</v>
      </c>
      <c r="H45">
        <f>EXP(H44)</f>
        <v>4.9872125145199562E-7</v>
      </c>
      <c r="L45">
        <f>L44+L43</f>
        <v>144.32400961985971</v>
      </c>
    </row>
    <row r="46" spans="1:12" x14ac:dyDescent="0.25">
      <c r="A46" t="s">
        <v>43</v>
      </c>
      <c r="B46" s="3">
        <f xml:space="preserve"> 1</f>
        <v>1</v>
      </c>
    </row>
    <row r="47" spans="1:12" x14ac:dyDescent="0.25">
      <c r="A47" t="s">
        <v>44</v>
      </c>
      <c r="B47" s="3">
        <v>1</v>
      </c>
      <c r="G47" t="s">
        <v>63</v>
      </c>
      <c r="H47" s="3">
        <f>H48*H49*H51</f>
        <v>5.3091926429669147E+19</v>
      </c>
    </row>
    <row r="48" spans="1:12" x14ac:dyDescent="0.25">
      <c r="B48" s="3"/>
      <c r="G48" t="s">
        <v>56</v>
      </c>
      <c r="H48" s="3">
        <f>H42</f>
        <v>2.0036553057174089E+24</v>
      </c>
    </row>
    <row r="49" spans="1:10" x14ac:dyDescent="0.25">
      <c r="A49" t="s">
        <v>45</v>
      </c>
      <c r="B49" s="3">
        <v>1</v>
      </c>
      <c r="G49" t="s">
        <v>57</v>
      </c>
      <c r="H49" s="3">
        <f>L40^((-3/16)*(B49+1))</f>
        <v>3.1247435619263491</v>
      </c>
    </row>
    <row r="50" spans="1:10" x14ac:dyDescent="0.25">
      <c r="B50" s="3"/>
      <c r="G50" t="s">
        <v>58</v>
      </c>
      <c r="H50">
        <f>(-1*(((1/4)*(1/L40))+(SQRT((1+B49)*(1/L40)))))</f>
        <v>-11.677811070846371</v>
      </c>
    </row>
    <row r="51" spans="1:10" x14ac:dyDescent="0.25">
      <c r="B51" s="3"/>
      <c r="G51" t="s">
        <v>59</v>
      </c>
      <c r="H51">
        <f>EXP(H50)</f>
        <v>8.4799070369330614E-6</v>
      </c>
    </row>
    <row r="52" spans="1:10" x14ac:dyDescent="0.25">
      <c r="B52" s="3"/>
    </row>
    <row r="53" spans="1:10" x14ac:dyDescent="0.25">
      <c r="B53" s="3"/>
      <c r="G53" t="s">
        <v>62</v>
      </c>
      <c r="H53" s="3">
        <f>H56*H47</f>
        <v>1251265094506441.8</v>
      </c>
    </row>
    <row r="54" spans="1:10" x14ac:dyDescent="0.25">
      <c r="G54" t="s">
        <v>56</v>
      </c>
      <c r="H54" s="3">
        <f>((-1*B4*B7)/B16)</f>
        <v>-0.19569511968719838</v>
      </c>
      <c r="J54" s="3">
        <f>H54*H55</f>
        <v>-10.655625035914932</v>
      </c>
    </row>
    <row r="55" spans="1:10" x14ac:dyDescent="0.25">
      <c r="G55" t="s">
        <v>57</v>
      </c>
      <c r="H55">
        <f>(((1/L40)*(1/L40)/8)+((2/3)*((1/L40)^(-1.5))*SQRT(1+B49)))</f>
        <v>54.450131679047601</v>
      </c>
    </row>
    <row r="56" spans="1:10" x14ac:dyDescent="0.25">
      <c r="G56" t="s">
        <v>59</v>
      </c>
      <c r="H56" s="3">
        <f>EXP(H54*H55)</f>
        <v>2.3567897769993187E-5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2017-05-12T15:56:16Z</dcterms:modified>
</cp:coreProperties>
</file>