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RenewEV-Heat-Loss-Code\"/>
    </mc:Choice>
  </mc:AlternateContent>
  <xr:revisionPtr revIDLastSave="0" documentId="13_ncr:1_{42E14938-6ED8-4A65-8A19-FF9CC75F1F79}" xr6:coauthVersionLast="47" xr6:coauthVersionMax="47" xr10:uidLastSave="{00000000-0000-0000-0000-000000000000}"/>
  <bookViews>
    <workbookView xWindow="-110" yWindow="-110" windowWidth="19420" windowHeight="10420" xr2:uid="{F7AB01C9-9591-4175-8402-68F676A903F8}"/>
  </bookViews>
  <sheets>
    <sheet name="Elements" sheetId="2" r:id="rId1"/>
    <sheet name="IW" sheetId="12" r:id="rId2"/>
    <sheet name="Room Key" sheetId="1" r:id="rId3"/>
    <sheet name="Materials" sheetId="5" r:id="rId4"/>
    <sheet name="Element Types" sheetId="3" r:id="rId5"/>
    <sheet name="Effective Area" sheetId="7" r:id="rId6"/>
    <sheet name="U-Value Type" sheetId="11" r:id="rId7"/>
    <sheet name="Insulation" sheetId="13" r:id="rId8"/>
    <sheet name="Inputs" sheetId="4" r:id="rId9"/>
  </sheets>
  <definedNames>
    <definedName name="_xlnm._FilterDatabase" localSheetId="0" hidden="1">Elements!$A$1:$X$80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9" i="1"/>
  <c r="G13" i="1"/>
  <c r="G14" i="1"/>
  <c r="G15" i="1"/>
  <c r="G16" i="1"/>
  <c r="G17" i="1"/>
  <c r="G18" i="1"/>
  <c r="G19" i="1"/>
  <c r="G20" i="1"/>
  <c r="G21" i="1"/>
  <c r="G22" i="1"/>
  <c r="G23" i="1"/>
  <c r="G24" i="1"/>
  <c r="Q3" i="2"/>
  <c r="Q2" i="2"/>
  <c r="B19" i="7"/>
  <c r="Q76" i="2"/>
  <c r="Q73" i="2"/>
  <c r="B17" i="7"/>
  <c r="D17" i="7"/>
  <c r="B16" i="7"/>
  <c r="Q66" i="2"/>
  <c r="Q70" i="2"/>
  <c r="Q69" i="2"/>
  <c r="Q61" i="2"/>
  <c r="Q64" i="2"/>
  <c r="Q58" i="2"/>
  <c r="Q55" i="2"/>
  <c r="Q52" i="2"/>
  <c r="Q49" i="2"/>
  <c r="H15" i="1"/>
  <c r="B10" i="7"/>
  <c r="Q79" i="2" s="1"/>
  <c r="Q45" i="2"/>
  <c r="D10" i="7" s="1"/>
  <c r="M10" i="7" s="1"/>
  <c r="Q47" i="2" s="1"/>
  <c r="Q13" i="2"/>
  <c r="D5" i="7" s="1"/>
  <c r="Q35" i="2"/>
  <c r="H11" i="1"/>
  <c r="Q24" i="2"/>
  <c r="Q25" i="2"/>
  <c r="Q23" i="2"/>
  <c r="D20" i="7"/>
  <c r="B8" i="7"/>
  <c r="H13" i="1"/>
  <c r="Q5" i="2"/>
  <c r="Q44" i="2"/>
  <c r="Q68" i="2"/>
  <c r="D16" i="7" s="1"/>
  <c r="Q54" i="2"/>
  <c r="D12" i="7" s="1"/>
  <c r="Q51" i="2"/>
  <c r="D11" i="7" s="1"/>
  <c r="Q32" i="2"/>
  <c r="Q34" i="2" s="1"/>
  <c r="H7" i="1"/>
  <c r="H12" i="1"/>
  <c r="F15" i="1"/>
  <c r="F2" i="1"/>
  <c r="H2" i="1" s="1"/>
  <c r="D19" i="7"/>
  <c r="H24" i="1"/>
  <c r="D18" i="7"/>
  <c r="B18" i="7"/>
  <c r="H23" i="1"/>
  <c r="H22" i="1"/>
  <c r="E21" i="1"/>
  <c r="D15" i="7"/>
  <c r="B15" i="7"/>
  <c r="H20" i="1"/>
  <c r="D14" i="7"/>
  <c r="B14" i="7"/>
  <c r="H19" i="1"/>
  <c r="D13" i="7"/>
  <c r="B13" i="7"/>
  <c r="H18" i="1"/>
  <c r="B12" i="7"/>
  <c r="H17" i="1"/>
  <c r="B11" i="7"/>
  <c r="H16" i="1"/>
  <c r="Q46" i="2"/>
  <c r="H10" i="1"/>
  <c r="H8" i="1"/>
  <c r="Q40" i="2"/>
  <c r="D9" i="7" s="1"/>
  <c r="B9" i="7"/>
  <c r="Q38" i="2"/>
  <c r="Q37" i="2"/>
  <c r="E2" i="1"/>
  <c r="G2" i="1" s="1"/>
  <c r="H3" i="1"/>
  <c r="Q31" i="2"/>
  <c r="Q33" i="2" s="1"/>
  <c r="H14" i="1"/>
  <c r="D7" i="7"/>
  <c r="B7" i="7"/>
  <c r="Q27" i="2"/>
  <c r="H9" i="1"/>
  <c r="Q20" i="2"/>
  <c r="H6" i="1"/>
  <c r="F6" i="7"/>
  <c r="B6" i="7"/>
  <c r="Q16" i="2"/>
  <c r="D6" i="7"/>
  <c r="H5" i="1"/>
  <c r="B5" i="7"/>
  <c r="Q12" i="2"/>
  <c r="H4" i="1"/>
  <c r="Q10" i="2"/>
  <c r="D4" i="7"/>
  <c r="Q8" i="2"/>
  <c r="Q6" i="2"/>
  <c r="B4" i="7"/>
  <c r="D3" i="7"/>
  <c r="B3" i="7"/>
  <c r="M32" i="7"/>
  <c r="M33" i="7"/>
  <c r="M34" i="7"/>
  <c r="M35" i="7"/>
  <c r="M36" i="7"/>
  <c r="D8" i="7" l="1"/>
  <c r="M8" i="7" s="1"/>
  <c r="E3" i="13"/>
  <c r="M29" i="7"/>
  <c r="M31" i="7"/>
  <c r="M30" i="7"/>
  <c r="M27" i="7"/>
  <c r="M25" i="7"/>
  <c r="M21" i="7"/>
  <c r="M28" i="7"/>
  <c r="M26" i="7"/>
  <c r="M24" i="7"/>
  <c r="M19" i="7"/>
  <c r="Q77" i="2" s="1"/>
  <c r="M18" i="7"/>
  <c r="Q74" i="2" s="1"/>
  <c r="M23" i="7" l="1"/>
  <c r="E4" i="13"/>
  <c r="M20" i="7"/>
  <c r="M17" i="7"/>
  <c r="Q71" i="2" s="1"/>
  <c r="M3" i="7"/>
  <c r="M11" i="7"/>
  <c r="M9" i="7"/>
  <c r="Q39" i="2" s="1"/>
  <c r="M5" i="7"/>
  <c r="Q11" i="2" s="1"/>
  <c r="M13" i="7"/>
  <c r="Q21" i="2" l="1"/>
  <c r="Q50" i="2"/>
  <c r="M6" i="7"/>
  <c r="Q14" i="2" s="1"/>
  <c r="Q56" i="2"/>
  <c r="M12" i="7"/>
  <c r="Q53" i="2" s="1"/>
  <c r="M22" i="7"/>
  <c r="M14" i="7" s="1"/>
  <c r="Q59" i="2" s="1"/>
  <c r="M16" i="7"/>
  <c r="Q67" i="2" s="1"/>
  <c r="B8" i="4"/>
  <c r="B21" i="4"/>
  <c r="M7" i="7"/>
  <c r="Q26" i="2" s="1"/>
  <c r="M15" i="7" l="1"/>
  <c r="Q62" i="2" s="1"/>
  <c r="G3" i="13"/>
  <c r="F3" i="13"/>
  <c r="M4" i="7"/>
  <c r="Q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tc={82F12036-27A5-43A9-9A4A-48F81350944E}</author>
    <author>tc={D016CE02-3235-4659-869A-9383DF6D6696}</author>
  </authors>
  <commentList>
    <comment ref="Q5" authorId="0" shapeId="0" xr:uid="{82F12036-27A5-43A9-9A4A-48F81350944E}">
      <text>
        <t>[Threaded comment]
Your version of Excel allows you to read this threaded comment; however, any edits to it will get removed if the file is opened in a newer version of Excel. Learn more: https://go.microsoft.com/fwlink/?linkid=870924
Comment:
    @Carl Fernandes roof type is RF2 and it looks like it has a vaulted ceiling. This means the area is not the same as the floor area.</t>
      </text>
    </comment>
    <comment ref="Q13" authorId="1" shapeId="0" xr:uid="{D016CE02-3235-4659-869A-9383DF6D669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dimension, seems a bit small.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tc={574BE56F-0134-4C0A-8104-6D0794A6681F}</author>
  </authors>
  <commentList>
    <comment ref="A5" authorId="0" shapeId="0" xr:uid="{574BE56F-0134-4C0A-8104-6D0794A6681F}">
      <text>
        <t>[Threaded comment]
Your version of Excel allows you to read this threaded comment; however, any edits to it will get removed if the file is opened in a newer version of Excel. Learn more: https://go.microsoft.com/fwlink/?linkid=870924
Comment:
    door from G0.1 Hallway is attached to garage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tc={89F9480C-BB7F-4365-840F-7E126E92C3D4}</author>
  </authors>
  <commentList>
    <comment ref="H15" authorId="0" shapeId="0" xr:uid="{89F9480C-BB7F-4365-840F-7E126E92C3D4}">
      <text>
        <t>[Threaded comment]
Your version of Excel allows you to read this threaded comment; however, any edits to it will get removed if the file is opened in a newer version of Excel. Learn more: https://go.microsoft.com/fwlink/?linkid=870924
Comment:
    Vaulted ceiling, need to recalcualte volume</t>
      </text>
    </comment>
  </commentList>
</comments>
</file>

<file path=xl/sharedStrings.xml><?xml version="1.0" encoding="utf-8"?>
<sst xmlns="http://schemas.openxmlformats.org/spreadsheetml/2006/main" count="1517" uniqueCount="317">
  <si>
    <t>Variable Name</t>
  </si>
  <si>
    <t>Value</t>
  </si>
  <si>
    <t>Description</t>
  </si>
  <si>
    <t>Kpc</t>
  </si>
  <si>
    <t>cooling Kp value</t>
  </si>
  <si>
    <t>Kpf</t>
  </si>
  <si>
    <t>free cooling Kp value</t>
  </si>
  <si>
    <t>Kph</t>
  </si>
  <si>
    <t>heating Kp value</t>
  </si>
  <si>
    <t>dt</t>
  </si>
  <si>
    <t>time step for solver (s)</t>
  </si>
  <si>
    <t>T_cooling</t>
  </si>
  <si>
    <t>cooling temperature set point (C)</t>
  </si>
  <si>
    <t>T_heating</t>
  </si>
  <si>
    <t>heating temperture set point (C)</t>
  </si>
  <si>
    <t>Tm</t>
  </si>
  <si>
    <t>Mean temp for radiative exchange (K)</t>
  </si>
  <si>
    <t>ACH</t>
  </si>
  <si>
    <t>no. of air change in volume per hour (h^-1)</t>
  </si>
  <si>
    <t>h_in</t>
  </si>
  <si>
    <t>internal convection coefficient (W/m^2K)</t>
  </si>
  <si>
    <t>h_out</t>
  </si>
  <si>
    <t>external convection coefficient (W/m^2K)</t>
  </si>
  <si>
    <t>Albedo_sur</t>
  </si>
  <si>
    <t>albedo for the surroundings</t>
  </si>
  <si>
    <t>Latitude</t>
  </si>
  <si>
    <t>latitude of the buildings location</t>
  </si>
  <si>
    <t>Qa</t>
  </si>
  <si>
    <t>auxiliary heat flow (J/s)</t>
  </si>
  <si>
    <t>Tisp</t>
  </si>
  <si>
    <t>desired indoor temperature (C)</t>
  </si>
  <si>
    <t>DeltaBlind</t>
  </si>
  <si>
    <t>max temperature difference for blinds controller</t>
  </si>
  <si>
    <t>WF</t>
  </si>
  <si>
    <t>GBR_ENG_RAF.Lyneham.037400_TMYx.2004-2018.epw</t>
  </si>
  <si>
    <t>name of weather file</t>
  </si>
  <si>
    <t>t_start</t>
  </si>
  <si>
    <t>start date and time</t>
  </si>
  <si>
    <t>t_end</t>
  </si>
  <si>
    <t>end date and time</t>
  </si>
  <si>
    <t>Tg</t>
  </si>
  <si>
    <t>ground temperature (C)</t>
  </si>
  <si>
    <t>Building Volume</t>
  </si>
  <si>
    <t>total building volume (m3)</t>
  </si>
  <si>
    <t>density of soil under building (kg/m3)</t>
  </si>
  <si>
    <t>heat capacity of soil under building (J/kg*K)</t>
  </si>
  <si>
    <t>conductivity of soil under building (W/mK)</t>
  </si>
  <si>
    <t>depth of soil associated with ground temperture (m)</t>
  </si>
  <si>
    <t>Element_Code</t>
  </si>
  <si>
    <t>Element_Type</t>
  </si>
  <si>
    <t>Material_1</t>
  </si>
  <si>
    <t>Material_2</t>
  </si>
  <si>
    <t>Material_3</t>
  </si>
  <si>
    <t>Material_4</t>
  </si>
  <si>
    <t>Material_5</t>
  </si>
  <si>
    <t>Thickness_1</t>
  </si>
  <si>
    <t>Thickness_2</t>
  </si>
  <si>
    <t>Thickness_3</t>
  </si>
  <si>
    <t>Thickness_4</t>
  </si>
  <si>
    <t>Thickness_5</t>
  </si>
  <si>
    <t>fk</t>
  </si>
  <si>
    <t>fRH</t>
  </si>
  <si>
    <t>U-Value</t>
  </si>
  <si>
    <t>U-Value_Type</t>
  </si>
  <si>
    <t>Surface</t>
  </si>
  <si>
    <t>Slope</t>
  </si>
  <si>
    <t>Azimuth</t>
  </si>
  <si>
    <t>Mesh_1</t>
  </si>
  <si>
    <t>Mesh_2</t>
  </si>
  <si>
    <t>Mesh_3</t>
  </si>
  <si>
    <t>Mesh_4</t>
  </si>
  <si>
    <t>Mesh_5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</si>
  <si>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</si>
  <si>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</si>
  <si>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</si>
  <si>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</si>
  <si>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</si>
  <si>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</si>
  <si>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</si>
  <si>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</si>
  <si>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</si>
  <si>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</si>
  <si>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</si>
  <si>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</si>
  <si>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</si>
  <si>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Material</t>
  </si>
  <si>
    <t>Density</t>
  </si>
  <si>
    <t>Specific_Heat</t>
  </si>
  <si>
    <t>Conductivity</t>
  </si>
  <si>
    <t>LW_Emissivity</t>
  </si>
  <si>
    <t>SW_Transmittance</t>
  </si>
  <si>
    <t>SW_Absorptivity</t>
  </si>
  <si>
    <t>Albedo</t>
  </si>
  <si>
    <t>Property</t>
  </si>
  <si>
    <t>Unit</t>
  </si>
  <si>
    <t>N</t>
  </si>
  <si>
    <t>kg/m^3</t>
  </si>
  <si>
    <t>Concrete</t>
  </si>
  <si>
    <t>Specific Heat</t>
  </si>
  <si>
    <t>J/(kg*k)</t>
  </si>
  <si>
    <t>Glass</t>
  </si>
  <si>
    <t>(W/(m*K)</t>
  </si>
  <si>
    <t>Air</t>
  </si>
  <si>
    <t>-</t>
  </si>
  <si>
    <t>Insulation</t>
  </si>
  <si>
    <t>Useful links for materials</t>
  </si>
  <si>
    <t>Emissivity:</t>
  </si>
  <si>
    <t xml:space="preserve">https://www.engineeringtoolbox.com/emissivity-coefficients-d_447.html </t>
  </si>
  <si>
    <t>Absoprtion Coefficient</t>
  </si>
  <si>
    <t>https://www.engineeringtoolbox.com/solar-radiation-absorbed-materials-d_1568.html</t>
  </si>
  <si>
    <t>Element Type</t>
  </si>
  <si>
    <t>Door</t>
  </si>
  <si>
    <t>Floor - 1 Layer</t>
  </si>
  <si>
    <t>Floor - 2 Layers</t>
  </si>
  <si>
    <t>Floor - 3 Layers</t>
  </si>
  <si>
    <t>Floor - 5 Layers</t>
  </si>
  <si>
    <t>Roof - 1 Layer</t>
  </si>
  <si>
    <t>Roof - 2 Layers</t>
  </si>
  <si>
    <t>Roof - 3 Layers</t>
  </si>
  <si>
    <t>Roof - 4 Layers</t>
  </si>
  <si>
    <t>Roof - 5 Layers</t>
  </si>
  <si>
    <t>Skylight</t>
  </si>
  <si>
    <t>Wallex - 1 Layer</t>
  </si>
  <si>
    <t>Wallex - 2 Layers</t>
  </si>
  <si>
    <t>Wallex - 3 Layers</t>
  </si>
  <si>
    <t>Wallex - 4 Layers</t>
  </si>
  <si>
    <t>Wallex - 5 Layers</t>
  </si>
  <si>
    <t>Wallin - 1 Layer</t>
  </si>
  <si>
    <t>Wallin - 2 Layers</t>
  </si>
  <si>
    <t>Wallin - 3 Layers</t>
  </si>
  <si>
    <t>Wallin - 4 Layers</t>
  </si>
  <si>
    <t>Wallin - 5 Layers</t>
  </si>
  <si>
    <t>Window</t>
  </si>
  <si>
    <t>Roof/Wall Element</t>
  </si>
  <si>
    <t>Elements Reducing Total Area of Element</t>
  </si>
  <si>
    <t>Element Effective Area (m^2)</t>
  </si>
  <si>
    <t>EC</t>
  </si>
  <si>
    <t>ETA (m^2)</t>
  </si>
  <si>
    <t>U-Value Type</t>
  </si>
  <si>
    <t>Win - DG</t>
  </si>
  <si>
    <t>Win - TG</t>
  </si>
  <si>
    <t>Win - SinG</t>
  </si>
  <si>
    <t>Win - SecG</t>
  </si>
  <si>
    <t>D - Solid</t>
  </si>
  <si>
    <t>D - DG</t>
  </si>
  <si>
    <t>D - SinG</t>
  </si>
  <si>
    <t>D- TG</t>
  </si>
  <si>
    <t>Soil_rho</t>
  </si>
  <si>
    <t>Soil_cap</t>
  </si>
  <si>
    <t>Soil_con</t>
  </si>
  <si>
    <t>Soil_T_depth</t>
  </si>
  <si>
    <t>Design Temperature</t>
  </si>
  <si>
    <t>Volume (m3)</t>
  </si>
  <si>
    <t>Ceiling Height 1 (m)</t>
  </si>
  <si>
    <t>Ceiling Height 2 (m)</t>
  </si>
  <si>
    <t>FL1</t>
  </si>
  <si>
    <t>EW1</t>
  </si>
  <si>
    <t>RF1</t>
  </si>
  <si>
    <t>Oak Timber</t>
  </si>
  <si>
    <t>Rockwool (0.05-0.12)</t>
  </si>
  <si>
    <t>Rockwool (0.14)</t>
  </si>
  <si>
    <t>Window Type A</t>
  </si>
  <si>
    <t>External Door Type A</t>
  </si>
  <si>
    <t>External Door Type B</t>
  </si>
  <si>
    <t>External Door Type C</t>
  </si>
  <si>
    <t>Rooflight Type A</t>
  </si>
  <si>
    <t>Rooflight Type B</t>
  </si>
  <si>
    <t>Cotswold Stone</t>
  </si>
  <si>
    <t>Celotex GA400</t>
  </si>
  <si>
    <t>Celotex PL4000</t>
  </si>
  <si>
    <t>Insulated Loft</t>
  </si>
  <si>
    <t>Floor Area (m2)</t>
  </si>
  <si>
    <t>Rockwool Loft Roll</t>
  </si>
  <si>
    <t>ACH (1/h)</t>
  </si>
  <si>
    <t>Perimeter (m)</t>
  </si>
  <si>
    <t>Uninsulated Suspended Floor</t>
  </si>
  <si>
    <t>Element Code</t>
  </si>
  <si>
    <t>Unheated Room</t>
  </si>
  <si>
    <t>Gutex Thermoroom</t>
  </si>
  <si>
    <t>Insulation Length (m)</t>
  </si>
  <si>
    <t>Insulation Thickness (m)</t>
  </si>
  <si>
    <t>Total</t>
  </si>
  <si>
    <t>Floor Area Reduction (m2)</t>
  </si>
  <si>
    <t>% Floor Area Reduction:</t>
  </si>
  <si>
    <t>Wall Area (m2)</t>
  </si>
  <si>
    <t>Insulation Cost (£)</t>
  </si>
  <si>
    <t>Insulation Price (£/m2):</t>
  </si>
  <si>
    <t>G0.1 Hallway</t>
  </si>
  <si>
    <t>G0.12 Storage</t>
  </si>
  <si>
    <t>G0.7 Larder</t>
  </si>
  <si>
    <t>G0.3 Sitting room</t>
  </si>
  <si>
    <t>G0.2 Bedroom 5</t>
  </si>
  <si>
    <t xml:space="preserve">G0.6 Utility </t>
  </si>
  <si>
    <t xml:space="preserve">G0.13 Garage </t>
  </si>
  <si>
    <t xml:space="preserve">G0.5 Kitchen </t>
  </si>
  <si>
    <t>G0.9 WC1</t>
  </si>
  <si>
    <t>G0.8 Gymnasium</t>
  </si>
  <si>
    <t xml:space="preserve">G0.14 Storage room </t>
  </si>
  <si>
    <t xml:space="preserve">G1.5 Bedroom 1 </t>
  </si>
  <si>
    <t>G1.7 Bedroom 2</t>
  </si>
  <si>
    <t xml:space="preserve">G1.1 Landing </t>
  </si>
  <si>
    <t>G1.2 Bedroom 4</t>
  </si>
  <si>
    <t>G1.3 Bedroom 3</t>
  </si>
  <si>
    <t>G1.4 Bathroom</t>
  </si>
  <si>
    <t>G1.6 Closet 1</t>
  </si>
  <si>
    <t>G1.8 Closet 2</t>
  </si>
  <si>
    <t>G1.9 Ensuite 1</t>
  </si>
  <si>
    <t>G0.4 Garden room</t>
  </si>
  <si>
    <t>IW0-00</t>
  </si>
  <si>
    <t>EW0-00</t>
  </si>
  <si>
    <t>EW2</t>
  </si>
  <si>
    <t>D0.02</t>
  </si>
  <si>
    <t>2021 B/R</t>
  </si>
  <si>
    <t>R0-00</t>
  </si>
  <si>
    <t>F0-00</t>
  </si>
  <si>
    <t>EW0-01</t>
  </si>
  <si>
    <t>W0.02</t>
  </si>
  <si>
    <t>F0-01</t>
  </si>
  <si>
    <t>W0-02</t>
  </si>
  <si>
    <t>EW0-02</t>
  </si>
  <si>
    <t>EW0-03</t>
  </si>
  <si>
    <t>W0.08</t>
  </si>
  <si>
    <t>D0.07</t>
  </si>
  <si>
    <t>F0-02</t>
  </si>
  <si>
    <t>W0.05</t>
  </si>
  <si>
    <t>F0-03</t>
  </si>
  <si>
    <t>D0.06</t>
  </si>
  <si>
    <t>EW0-04</t>
  </si>
  <si>
    <t>F0-04</t>
  </si>
  <si>
    <t>W0.03</t>
  </si>
  <si>
    <t>D0.04</t>
  </si>
  <si>
    <t>F0-05</t>
  </si>
  <si>
    <t>D0.05</t>
  </si>
  <si>
    <t>EW0-06</t>
  </si>
  <si>
    <t>EW0-07</t>
  </si>
  <si>
    <t>IW0-01</t>
  </si>
  <si>
    <t>D0.03</t>
  </si>
  <si>
    <t>D0.20</t>
  </si>
  <si>
    <t>D0.01</t>
  </si>
  <si>
    <t>RL1.01</t>
  </si>
  <si>
    <t>W1.08</t>
  </si>
  <si>
    <t>W1.06</t>
  </si>
  <si>
    <t>W1.04</t>
  </si>
  <si>
    <t>W1.05</t>
  </si>
  <si>
    <t>W1.02</t>
  </si>
  <si>
    <t>R1-00</t>
  </si>
  <si>
    <t>RL1.04</t>
  </si>
  <si>
    <t>RL1.02</t>
  </si>
  <si>
    <t>R1-01</t>
  </si>
  <si>
    <t>W1.01</t>
  </si>
  <si>
    <t>G2.1 Loft storage</t>
  </si>
  <si>
    <t>R1-02</t>
  </si>
  <si>
    <t>W2.01</t>
  </si>
  <si>
    <t>Thermalite</t>
  </si>
  <si>
    <t>Thermalite block</t>
  </si>
  <si>
    <t>Wood fibre insulation</t>
  </si>
  <si>
    <t>https://help.iesve.com/ve2021/table_6_thermal_conductivity__specific_heat_capacity_and_density.htm</t>
  </si>
  <si>
    <t>https://www.greenspec.co.uk/building-design/woodfibre-insulation-intro/</t>
  </si>
  <si>
    <t>Wood fibre</t>
  </si>
  <si>
    <t xml:space="preserve">Ashlar Stone </t>
  </si>
  <si>
    <t xml:space="preserve">Recon stone </t>
  </si>
  <si>
    <t>Lightweight blockwork</t>
  </si>
  <si>
    <t>Roman clay tiles</t>
  </si>
  <si>
    <t>Celotex XR4100 PIR insulation</t>
  </si>
  <si>
    <t xml:space="preserve">Celotex GA4050 insulation </t>
  </si>
  <si>
    <t xml:space="preserve">Plasterboard </t>
  </si>
  <si>
    <t>R2-00</t>
  </si>
  <si>
    <t>F0-07</t>
  </si>
  <si>
    <t>F0-06</t>
  </si>
  <si>
    <t>Floor - 4 Layers</t>
  </si>
  <si>
    <t>IW0-02</t>
  </si>
  <si>
    <t>F0-08</t>
  </si>
  <si>
    <t>RF2</t>
  </si>
  <si>
    <t>Insulated Solid Floor</t>
  </si>
  <si>
    <t>EW1-00</t>
  </si>
  <si>
    <t>EW1-02</t>
  </si>
  <si>
    <t>EW1-03</t>
  </si>
  <si>
    <t>EW1-04</t>
  </si>
  <si>
    <t>EW1-05</t>
  </si>
  <si>
    <t>EW1-06</t>
  </si>
  <si>
    <t>EW1-07</t>
  </si>
  <si>
    <t>EW1-08</t>
  </si>
  <si>
    <t>EW1-09</t>
  </si>
  <si>
    <t>RF3</t>
  </si>
  <si>
    <t>R0-01</t>
  </si>
  <si>
    <t>R0-02</t>
  </si>
  <si>
    <t>EW0-08</t>
  </si>
  <si>
    <t>R0-03</t>
  </si>
  <si>
    <t>R0-05</t>
  </si>
  <si>
    <t>RL0.01</t>
  </si>
  <si>
    <t>IW1</t>
  </si>
  <si>
    <t>IW0-03</t>
  </si>
  <si>
    <t>R0-06</t>
  </si>
  <si>
    <t>G0.10 Storage</t>
  </si>
  <si>
    <t>R0-07</t>
  </si>
  <si>
    <t>R0-08</t>
  </si>
  <si>
    <t>R1-03</t>
  </si>
  <si>
    <t>FL2</t>
  </si>
  <si>
    <t>IW1-00</t>
  </si>
  <si>
    <t>IW2</t>
  </si>
  <si>
    <t>R1-04</t>
  </si>
  <si>
    <t>R1-05</t>
  </si>
  <si>
    <t>R1-06</t>
  </si>
  <si>
    <t>R1-07</t>
  </si>
  <si>
    <t>R1-08</t>
  </si>
  <si>
    <t>IW1-01</t>
  </si>
  <si>
    <t>F1-00</t>
  </si>
  <si>
    <t>R1-09</t>
  </si>
  <si>
    <t>R1-10</t>
  </si>
  <si>
    <t>R1-11</t>
  </si>
  <si>
    <t>EW1-10</t>
  </si>
  <si>
    <t>EW0-09</t>
  </si>
  <si>
    <t>FA/P (m/m2)</t>
  </si>
  <si>
    <t>Geocell Foam Glass Gravel</t>
  </si>
  <si>
    <t>Soil, with organic matter</t>
  </si>
  <si>
    <t>Uninsulated Cavity Wall</t>
  </si>
  <si>
    <t>Insulated Cavity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</si>
</sst>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22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10" fontId="0" fillId="0" borderId="0" xfId="2" applyNumberFormat="1" applyFont="1"/>
    <xf numFmtId="2" fontId="0" fillId="0" borderId="0" xfId="2" applyNumberFormat="1" applyFont="1"/>
    <xf numFmtId="2" fontId="0" fillId="2" borderId="0" xfId="0" applyNumberFormat="1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 Fernandes" id="{5B07719A-A667-4B63-BA90-8351561DADB0}" userId="carl@renewev.co.uk" providerId="PeoplePicker"/>
  <person displayName="Charlie Gerike-Roberts" id="{14BF1EE8-0642-4D38-9989-2BE15CD19622}" userId="Charlie Gerike-Robert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2T15:03:40.34" personId="{14BF1EE8-0642-4D38-9989-2BE15CD19622}" id="{82F12036-27A5-43A9-9A4A-48F81350944E}">
    <text>@Carl Fernandes roof type is RF2 and it looks like it has a vaulted ceiling. This means the area is not the same as the floor area.</text>
    <mentions>
      <mention mentionpersonId="{5B07719A-A667-4B63-BA90-8351561DADB0}" mentionId="{663030B0-2BAF-42C8-805D-98BD442DF406}" startIndex="0" length="15"/>
    </mentions>
  </threadedComment>
  <threadedComment ref="Q13" dT="2022-09-02T15:47:16.35" personId="{14BF1EE8-0642-4D38-9989-2BE15CD19622}" id="{D016CE02-3235-4659-869A-9383DF6D6696}">
    <text>Check dimension, seems a bit small.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2-08-22T10:51:31.45" personId="{14BF1EE8-0642-4D38-9989-2BE15CD19622}" id="{574BE56F-0134-4C0A-8104-6D0794A6681F}">
    <text>door from G0.1 Hallway is attached to garage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5" dT="2022-09-03T09:28:48.28" personId="{14BF1EE8-0642-4D38-9989-2BE15CD19622}" id="{89F9480C-BB7F-4365-840F-7E126E92C3D4}">
    <text>Vaulted ceiling, need to recalcualte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help.iesve.com/ve2021/table_6_thermal_conductivity__specific_heat_capacity_and_density.htm" TargetMode="External"/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sheetPr filterMode="1"/>
  <dimension ref="A1:X80"/>
  <sheetViews>
    <sheetView tabSelected="1" zoomScale="55" zoomScaleNormal="55" workbookViewId="0">
      <pane xSplit="3" ySplit="1" topLeftCell="F3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RowHeight="14.5" x14ac:dyDescent="0.35"/>
  <cols>
    <col min="1" max="1" width="13.1796875" style="9" bestFit="1" customWidth="1"/>
    <col min="2" max="2" width="18.81640625" style="9" bestFit="1" customWidth="1"/>
    <col min="3" max="3" width="23.453125" style="9" bestFit="1" customWidth="1"/>
    <col min="4" max="4" width="22.1796875" style="9" customWidth="1"/>
    <col min="5" max="5" width="28.1796875" style="9" bestFit="1" customWidth="1"/>
    <col min="6" max="6" width="25.7265625" style="9" bestFit="1" customWidth="1"/>
    <col min="7" max="7" width="22.1796875" style="9" customWidth="1"/>
    <col min="8" max="8" width="18.26953125" style="9" bestFit="1" customWidth="1"/>
    <col min="9" max="10" width="19.26953125" style="9" bestFit="1" customWidth="1"/>
    <col min="11" max="13" width="19.26953125" style="9" customWidth="1"/>
    <col min="14" max="14" width="10.08984375" style="9" bestFit="1" customWidth="1"/>
    <col min="15" max="15" width="17" style="9" bestFit="1" customWidth="1"/>
    <col min="16" max="16" width="23.81640625" style="9" bestFit="1" customWidth="1"/>
    <col min="17" max="17" width="16.6328125" style="9" bestFit="1" customWidth="1"/>
    <col min="18" max="18" width="5.453125" style="9" hidden="1" customWidth="1"/>
    <col min="19" max="19" width="7.81640625" style="9" hidden="1" customWidth="1"/>
    <col min="20" max="24" width="7.453125" style="9" hidden="1" customWidth="1"/>
  </cols>
  <sheetData>
    <row r="1" spans="1:24" x14ac:dyDescent="0.35">
      <c r="A1" s="8" t="s">
        <v>48</v>
      </c>
      <c r="B1" s="16" t="s">
        <v>72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59</v>
      </c>
      <c r="N1" s="8" t="s">
        <v>60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</row>
    <row r="2" spans="1:24" hidden="1" x14ac:dyDescent="0.35">
      <c r="A2" s="13" t="s">
        <v>209</v>
      </c>
      <c r="B2" s="13" t="s">
        <v>193</v>
      </c>
      <c r="C2" s="13" t="s">
        <v>124</v>
      </c>
      <c r="D2" s="13" t="s">
        <v>260</v>
      </c>
      <c r="E2" s="13" t="s">
        <v>255</v>
      </c>
      <c r="F2" s="13" t="s">
        <v>254</v>
      </c>
      <c r="G2" s="13" t="s">
        <v>95</v>
      </c>
      <c r="H2" s="13" t="s">
        <v>95</v>
      </c>
      <c r="I2" s="13">
        <v>0.1</v>
      </c>
      <c r="J2" s="13">
        <v>0.1</v>
      </c>
      <c r="K2" s="13">
        <v>0.1</v>
      </c>
      <c r="L2" s="13" t="s">
        <v>95</v>
      </c>
      <c r="M2" s="13" t="s">
        <v>95</v>
      </c>
      <c r="N2" s="13">
        <v>1</v>
      </c>
      <c r="O2" s="13" t="s">
        <v>95</v>
      </c>
      <c r="P2" s="13" t="s">
        <v>210</v>
      </c>
      <c r="Q2" s="13">
        <f>1.6*'Room Key'!I13</f>
        <v>4.08</v>
      </c>
      <c r="R2" s="13"/>
      <c r="S2" s="13"/>
      <c r="T2" s="13">
        <v>1</v>
      </c>
      <c r="U2" s="13">
        <v>1</v>
      </c>
      <c r="V2" s="13">
        <v>1</v>
      </c>
      <c r="W2" s="13">
        <v>1</v>
      </c>
      <c r="X2" s="13">
        <v>1</v>
      </c>
    </row>
    <row r="3" spans="1:24" x14ac:dyDescent="0.35">
      <c r="A3" s="13" t="s">
        <v>311</v>
      </c>
      <c r="B3" s="13" t="s">
        <v>193</v>
      </c>
      <c r="C3" s="13" t="s">
        <v>122</v>
      </c>
      <c r="D3" s="13" t="s">
        <v>95</v>
      </c>
      <c r="E3" s="13" t="s">
        <v>95</v>
      </c>
      <c r="F3" s="13" t="s">
        <v>95</v>
      </c>
      <c r="G3" s="13" t="s">
        <v>95</v>
      </c>
      <c r="H3" s="13" t="s">
        <v>95</v>
      </c>
      <c r="I3" s="13" t="s">
        <v>95</v>
      </c>
      <c r="J3" s="13" t="s">
        <v>95</v>
      </c>
      <c r="K3" s="13" t="s">
        <v>95</v>
      </c>
      <c r="L3" s="13" t="s">
        <v>95</v>
      </c>
      <c r="M3" s="13" t="s">
        <v>95</v>
      </c>
      <c r="N3" s="13">
        <v>1</v>
      </c>
      <c r="O3" s="13">
        <v>0.4</v>
      </c>
      <c r="P3" s="13" t="s">
        <v>316</v>
      </c>
      <c r="Q3" s="13">
        <f>6.4*'Room Key'!I13</f>
        <v>16.32</v>
      </c>
      <c r="R3" s="13"/>
      <c r="S3" s="13"/>
      <c r="T3" s="13">
        <v>1</v>
      </c>
      <c r="U3" s="13">
        <v>1</v>
      </c>
      <c r="V3" s="13">
        <v>1</v>
      </c>
      <c r="W3" s="13">
        <v>1</v>
      </c>
      <c r="X3" s="13">
        <v>1</v>
      </c>
    </row>
    <row r="4" spans="1:24" hidden="1" x14ac:dyDescent="0.35">
      <c r="A4" s="13" t="s">
        <v>211</v>
      </c>
      <c r="B4" s="13" t="s">
        <v>193</v>
      </c>
      <c r="C4" s="13" t="s">
        <v>111</v>
      </c>
      <c r="D4" s="13" t="s">
        <v>95</v>
      </c>
      <c r="E4" s="13" t="s">
        <v>95</v>
      </c>
      <c r="F4" s="13" t="s">
        <v>95</v>
      </c>
      <c r="G4" s="13" t="s">
        <v>95</v>
      </c>
      <c r="H4" s="13" t="s">
        <v>95</v>
      </c>
      <c r="I4" s="13" t="s">
        <v>95</v>
      </c>
      <c r="J4" s="13" t="s">
        <v>95</v>
      </c>
      <c r="K4" s="13" t="s">
        <v>95</v>
      </c>
      <c r="L4" s="13" t="s">
        <v>95</v>
      </c>
      <c r="M4" s="13" t="s">
        <v>95</v>
      </c>
      <c r="N4" s="13">
        <v>1</v>
      </c>
      <c r="O4" s="13">
        <v>1.4</v>
      </c>
      <c r="P4" s="13" t="s">
        <v>143</v>
      </c>
      <c r="Q4" s="13">
        <v>7</v>
      </c>
      <c r="R4" s="13"/>
      <c r="S4" s="13"/>
      <c r="T4" s="13">
        <v>1</v>
      </c>
      <c r="U4" s="13">
        <v>1</v>
      </c>
      <c r="V4" s="13">
        <v>1</v>
      </c>
      <c r="W4" s="13">
        <v>1</v>
      </c>
      <c r="X4" s="13">
        <v>1</v>
      </c>
    </row>
    <row r="5" spans="1:24" hidden="1" x14ac:dyDescent="0.35">
      <c r="A5" s="13" t="s">
        <v>213</v>
      </c>
      <c r="B5" s="13" t="s">
        <v>193</v>
      </c>
      <c r="C5" s="13" t="s">
        <v>118</v>
      </c>
      <c r="D5" s="13" t="s">
        <v>262</v>
      </c>
      <c r="E5" s="13" t="s">
        <v>263</v>
      </c>
      <c r="F5" s="13" t="s">
        <v>264</v>
      </c>
      <c r="G5" s="13" t="s">
        <v>95</v>
      </c>
      <c r="H5" s="13" t="s">
        <v>95</v>
      </c>
      <c r="I5" s="13">
        <v>0.01</v>
      </c>
      <c r="J5" s="13">
        <v>0.1</v>
      </c>
      <c r="K5" s="13">
        <v>0.05</v>
      </c>
      <c r="L5" s="13" t="s">
        <v>95</v>
      </c>
      <c r="M5" s="13" t="s">
        <v>95</v>
      </c>
      <c r="N5" s="13">
        <v>1</v>
      </c>
      <c r="O5" s="13" t="s">
        <v>95</v>
      </c>
      <c r="P5" s="13" t="s">
        <v>272</v>
      </c>
      <c r="Q5" s="26">
        <f>12.6+(0.5*4.1*5*2)</f>
        <v>33.1</v>
      </c>
      <c r="R5" s="13"/>
      <c r="S5" s="13"/>
      <c r="T5" s="13">
        <v>1</v>
      </c>
      <c r="U5" s="13">
        <v>1</v>
      </c>
      <c r="V5" s="13">
        <v>1</v>
      </c>
      <c r="W5" s="13">
        <v>1</v>
      </c>
      <c r="X5" s="13">
        <v>1</v>
      </c>
    </row>
    <row r="6" spans="1:24" hidden="1" x14ac:dyDescent="0.35">
      <c r="A6" s="13" t="s">
        <v>214</v>
      </c>
      <c r="B6" s="13" t="s">
        <v>193</v>
      </c>
      <c r="C6" s="13" t="s">
        <v>112</v>
      </c>
      <c r="D6" s="13" t="s">
        <v>95</v>
      </c>
      <c r="E6" s="13" t="s">
        <v>95</v>
      </c>
      <c r="F6" s="13" t="s">
        <v>95</v>
      </c>
      <c r="G6" s="13" t="s">
        <v>95</v>
      </c>
      <c r="H6" s="13" t="s">
        <v>95</v>
      </c>
      <c r="I6" s="13" t="s">
        <v>95</v>
      </c>
      <c r="J6" s="13" t="s">
        <v>95</v>
      </c>
      <c r="K6" s="13" t="s">
        <v>95</v>
      </c>
      <c r="L6" s="13" t="s">
        <v>95</v>
      </c>
      <c r="M6" s="13" t="s">
        <v>95</v>
      </c>
      <c r="N6" s="13">
        <v>0.3</v>
      </c>
      <c r="O6" s="13">
        <v>0.17</v>
      </c>
      <c r="P6" s="13" t="s">
        <v>155</v>
      </c>
      <c r="Q6" s="26">
        <f>'Room Key'!F13</f>
        <v>27.4</v>
      </c>
      <c r="R6" s="13"/>
      <c r="S6" s="13"/>
      <c r="T6" s="13">
        <v>1</v>
      </c>
      <c r="U6" s="13">
        <v>1</v>
      </c>
      <c r="V6" s="13">
        <v>1</v>
      </c>
      <c r="W6" s="13">
        <v>1</v>
      </c>
      <c r="X6" s="13">
        <v>1</v>
      </c>
    </row>
    <row r="7" spans="1:24" x14ac:dyDescent="0.35">
      <c r="A7" s="13" t="s">
        <v>215</v>
      </c>
      <c r="B7" s="13" t="s">
        <v>191</v>
      </c>
      <c r="C7" s="13" t="s">
        <v>122</v>
      </c>
      <c r="D7" s="13" t="s">
        <v>95</v>
      </c>
      <c r="E7" s="13" t="s">
        <v>95</v>
      </c>
      <c r="F7" s="13" t="s">
        <v>95</v>
      </c>
      <c r="G7" s="13" t="s">
        <v>95</v>
      </c>
      <c r="H7" s="13" t="s">
        <v>95</v>
      </c>
      <c r="I7" s="13" t="s">
        <v>95</v>
      </c>
      <c r="J7" s="13" t="s">
        <v>95</v>
      </c>
      <c r="K7" s="13" t="s">
        <v>95</v>
      </c>
      <c r="L7" s="13" t="s">
        <v>95</v>
      </c>
      <c r="M7" s="13" t="s">
        <v>95</v>
      </c>
      <c r="N7" s="13">
        <v>1</v>
      </c>
      <c r="O7" s="13">
        <v>0.4</v>
      </c>
      <c r="P7" s="13" t="s">
        <v>316</v>
      </c>
      <c r="Q7" s="13">
        <f>'Effective Area'!M4</f>
        <v>13.667999999999999</v>
      </c>
      <c r="R7" s="13"/>
      <c r="S7" s="13"/>
      <c r="T7" s="13">
        <v>1</v>
      </c>
      <c r="U7" s="13">
        <v>1</v>
      </c>
      <c r="V7" s="13">
        <v>1</v>
      </c>
      <c r="W7" s="13">
        <v>1</v>
      </c>
      <c r="X7" s="13">
        <v>1</v>
      </c>
    </row>
    <row r="8" spans="1:24" hidden="1" x14ac:dyDescent="0.35">
      <c r="A8" s="13" t="s">
        <v>217</v>
      </c>
      <c r="B8" s="13" t="s">
        <v>191</v>
      </c>
      <c r="C8" s="13" t="s">
        <v>112</v>
      </c>
      <c r="D8" s="13" t="s">
        <v>95</v>
      </c>
      <c r="E8" s="13" t="s">
        <v>95</v>
      </c>
      <c r="F8" s="13" t="s">
        <v>95</v>
      </c>
      <c r="G8" s="13" t="s">
        <v>95</v>
      </c>
      <c r="H8" s="13" t="s">
        <v>95</v>
      </c>
      <c r="I8" s="13" t="s">
        <v>95</v>
      </c>
      <c r="J8" s="13" t="s">
        <v>95</v>
      </c>
      <c r="K8" s="13" t="s">
        <v>95</v>
      </c>
      <c r="L8" s="13" t="s">
        <v>95</v>
      </c>
      <c r="M8" s="13" t="s">
        <v>95</v>
      </c>
      <c r="N8" s="13">
        <v>0.3</v>
      </c>
      <c r="O8" s="13">
        <v>0.19</v>
      </c>
      <c r="P8" s="13" t="s">
        <v>155</v>
      </c>
      <c r="Q8" s="26">
        <f>'Room Key'!F3</f>
        <v>9.6999999999999993</v>
      </c>
      <c r="R8" s="13"/>
      <c r="S8" s="13"/>
      <c r="T8" s="13">
        <v>1</v>
      </c>
      <c r="U8" s="13">
        <v>1</v>
      </c>
      <c r="V8" s="13">
        <v>1</v>
      </c>
      <c r="W8" s="13">
        <v>1</v>
      </c>
      <c r="X8" s="13">
        <v>1</v>
      </c>
    </row>
    <row r="9" spans="1:24" hidden="1" x14ac:dyDescent="0.35">
      <c r="A9" s="13" t="s">
        <v>218</v>
      </c>
      <c r="B9" s="13" t="s">
        <v>191</v>
      </c>
      <c r="C9" s="13" t="s">
        <v>132</v>
      </c>
      <c r="D9" s="13" t="s">
        <v>95</v>
      </c>
      <c r="E9" s="13" t="s">
        <v>95</v>
      </c>
      <c r="F9" s="13" t="s">
        <v>95</v>
      </c>
      <c r="G9" s="13" t="s">
        <v>95</v>
      </c>
      <c r="H9" s="13" t="s">
        <v>95</v>
      </c>
      <c r="I9" s="13" t="s">
        <v>95</v>
      </c>
      <c r="J9" s="13" t="s">
        <v>95</v>
      </c>
      <c r="K9" s="13" t="s">
        <v>95</v>
      </c>
      <c r="L9" s="13" t="s">
        <v>95</v>
      </c>
      <c r="M9" s="13" t="s">
        <v>95</v>
      </c>
      <c r="N9" s="13">
        <v>1</v>
      </c>
      <c r="O9" s="13">
        <v>1.4</v>
      </c>
      <c r="P9" s="13" t="s">
        <v>161</v>
      </c>
      <c r="Q9" s="26">
        <v>0.96</v>
      </c>
      <c r="R9" s="13"/>
      <c r="S9" s="13"/>
      <c r="T9" s="13">
        <v>1</v>
      </c>
      <c r="U9" s="13">
        <v>1</v>
      </c>
      <c r="V9" s="13">
        <v>1</v>
      </c>
      <c r="W9" s="13">
        <v>1</v>
      </c>
      <c r="X9" s="13">
        <v>1</v>
      </c>
    </row>
    <row r="10" spans="1:24" hidden="1" x14ac:dyDescent="0.35">
      <c r="A10" s="13" t="s">
        <v>208</v>
      </c>
      <c r="B10" s="13" t="s">
        <v>191</v>
      </c>
      <c r="C10" s="13" t="s">
        <v>127</v>
      </c>
      <c r="D10" s="13" t="s">
        <v>95</v>
      </c>
      <c r="E10" s="13" t="s">
        <v>95</v>
      </c>
      <c r="F10" s="13" t="s">
        <v>95</v>
      </c>
      <c r="G10" s="13" t="s">
        <v>95</v>
      </c>
      <c r="H10" s="13" t="s">
        <v>95</v>
      </c>
      <c r="I10" s="13" t="s">
        <v>95</v>
      </c>
      <c r="J10" s="13" t="s">
        <v>95</v>
      </c>
      <c r="K10" s="13" t="s">
        <v>95</v>
      </c>
      <c r="L10" s="13" t="s">
        <v>95</v>
      </c>
      <c r="M10" s="13" t="s">
        <v>95</v>
      </c>
      <c r="N10" s="13">
        <v>1</v>
      </c>
      <c r="O10" s="13">
        <v>0.4</v>
      </c>
      <c r="P10" s="13" t="s">
        <v>316</v>
      </c>
      <c r="Q10" s="13">
        <f>2.73*'Room Key'!I3</f>
        <v>6.2789999999999999</v>
      </c>
      <c r="R10" s="13"/>
      <c r="S10" s="13"/>
      <c r="T10" s="13">
        <v>1</v>
      </c>
      <c r="U10" s="13">
        <v>1</v>
      </c>
      <c r="V10" s="13">
        <v>1</v>
      </c>
      <c r="W10" s="13">
        <v>1</v>
      </c>
      <c r="X10" s="13">
        <v>1</v>
      </c>
    </row>
    <row r="11" spans="1:24" x14ac:dyDescent="0.35">
      <c r="A11" s="13" t="s">
        <v>219</v>
      </c>
      <c r="B11" s="13" t="s">
        <v>190</v>
      </c>
      <c r="C11" s="13" t="s">
        <v>122</v>
      </c>
      <c r="D11" s="13" t="s">
        <v>95</v>
      </c>
      <c r="E11" s="13" t="s">
        <v>95</v>
      </c>
      <c r="F11" s="13" t="s">
        <v>95</v>
      </c>
      <c r="G11" s="13" t="s">
        <v>95</v>
      </c>
      <c r="H11" s="13" t="s">
        <v>95</v>
      </c>
      <c r="I11" s="13" t="s">
        <v>95</v>
      </c>
      <c r="J11" s="13" t="s">
        <v>95</v>
      </c>
      <c r="K11" s="13" t="s">
        <v>95</v>
      </c>
      <c r="L11" s="13" t="s">
        <v>95</v>
      </c>
      <c r="M11" s="13" t="s">
        <v>95</v>
      </c>
      <c r="N11" s="13">
        <v>1</v>
      </c>
      <c r="O11" s="13">
        <v>0.4</v>
      </c>
      <c r="P11" s="13" t="s">
        <v>316</v>
      </c>
      <c r="Q11" s="13">
        <f>'Effective Area'!M5</f>
        <v>16.833000000000002</v>
      </c>
      <c r="R11" s="13"/>
      <c r="S11" s="13"/>
      <c r="T11" s="13">
        <v>1</v>
      </c>
      <c r="U11" s="13">
        <v>1</v>
      </c>
      <c r="V11" s="13">
        <v>1</v>
      </c>
      <c r="W11" s="13">
        <v>1</v>
      </c>
      <c r="X11" s="13">
        <v>1</v>
      </c>
    </row>
    <row r="12" spans="1:24" hidden="1" x14ac:dyDescent="0.35">
      <c r="A12" s="13" t="s">
        <v>225</v>
      </c>
      <c r="B12" s="13" t="s">
        <v>190</v>
      </c>
      <c r="C12" s="13" t="s">
        <v>112</v>
      </c>
      <c r="D12" s="13" t="s">
        <v>95</v>
      </c>
      <c r="E12" s="13" t="s">
        <v>95</v>
      </c>
      <c r="F12" s="13" t="s">
        <v>95</v>
      </c>
      <c r="G12" s="13" t="s">
        <v>95</v>
      </c>
      <c r="H12" s="13" t="s">
        <v>95</v>
      </c>
      <c r="I12" s="13" t="s">
        <v>95</v>
      </c>
      <c r="J12" s="13" t="s">
        <v>95</v>
      </c>
      <c r="K12" s="13" t="s">
        <v>95</v>
      </c>
      <c r="L12" s="13" t="s">
        <v>95</v>
      </c>
      <c r="M12" s="13" t="s">
        <v>95</v>
      </c>
      <c r="N12" s="13">
        <v>0.3</v>
      </c>
      <c r="O12" s="13">
        <v>0.18</v>
      </c>
      <c r="P12" s="13" t="s">
        <v>155</v>
      </c>
      <c r="Q12" s="26">
        <f>'Room Key'!F4</f>
        <v>17.399999999999999</v>
      </c>
      <c r="R12" s="13"/>
      <c r="S12" s="13"/>
      <c r="T12" s="13">
        <v>1</v>
      </c>
      <c r="U12" s="13">
        <v>1</v>
      </c>
      <c r="V12" s="13">
        <v>1</v>
      </c>
      <c r="W12" s="13">
        <v>1</v>
      </c>
      <c r="X12" s="13">
        <v>1</v>
      </c>
    </row>
    <row r="13" spans="1:24" hidden="1" x14ac:dyDescent="0.35">
      <c r="A13" s="13" t="s">
        <v>221</v>
      </c>
      <c r="B13" s="13" t="s">
        <v>190</v>
      </c>
      <c r="C13" s="13" t="s">
        <v>132</v>
      </c>
      <c r="D13" s="13" t="s">
        <v>95</v>
      </c>
      <c r="E13" s="13" t="s">
        <v>95</v>
      </c>
      <c r="F13" s="13" t="s">
        <v>95</v>
      </c>
      <c r="G13" s="13" t="s">
        <v>95</v>
      </c>
      <c r="H13" s="13" t="s">
        <v>95</v>
      </c>
      <c r="I13" s="13" t="s">
        <v>95</v>
      </c>
      <c r="J13" s="13" t="s">
        <v>95</v>
      </c>
      <c r="K13" s="13" t="s">
        <v>95</v>
      </c>
      <c r="L13" s="13" t="s">
        <v>95</v>
      </c>
      <c r="M13" s="13" t="s">
        <v>95</v>
      </c>
      <c r="N13" s="13">
        <v>1</v>
      </c>
      <c r="O13" s="13">
        <v>1.4</v>
      </c>
      <c r="P13" s="13" t="s">
        <v>161</v>
      </c>
      <c r="Q13" s="13">
        <f>1.9+0.65+0.65</f>
        <v>3.1999999999999997</v>
      </c>
      <c r="R13" s="13"/>
      <c r="S13" s="13"/>
      <c r="T13" s="13">
        <v>1</v>
      </c>
      <c r="U13" s="13">
        <v>1</v>
      </c>
      <c r="V13" s="13">
        <v>1</v>
      </c>
      <c r="W13" s="13">
        <v>1</v>
      </c>
      <c r="X13" s="13">
        <v>1</v>
      </c>
    </row>
    <row r="14" spans="1:24" hidden="1" x14ac:dyDescent="0.35">
      <c r="A14" s="13" t="s">
        <v>220</v>
      </c>
      <c r="B14" s="13" t="s">
        <v>207</v>
      </c>
      <c r="C14" s="13" t="s">
        <v>124</v>
      </c>
      <c r="D14" s="13" t="s">
        <v>259</v>
      </c>
      <c r="E14" s="13" t="s">
        <v>255</v>
      </c>
      <c r="F14" s="13" t="s">
        <v>254</v>
      </c>
      <c r="G14" s="13" t="s">
        <v>95</v>
      </c>
      <c r="H14" s="13" t="s">
        <v>95</v>
      </c>
      <c r="I14" s="13">
        <v>0.1</v>
      </c>
      <c r="J14" s="13">
        <v>0.1</v>
      </c>
      <c r="K14" s="13">
        <v>0.1</v>
      </c>
      <c r="L14" s="13" t="s">
        <v>95</v>
      </c>
      <c r="M14" s="13" t="s">
        <v>95</v>
      </c>
      <c r="N14" s="13">
        <v>1</v>
      </c>
      <c r="O14" s="13" t="s">
        <v>95</v>
      </c>
      <c r="P14" s="13" t="s">
        <v>156</v>
      </c>
      <c r="Q14" s="13">
        <f>'Effective Area'!M6</f>
        <v>16.846</v>
      </c>
      <c r="R14" s="13"/>
      <c r="S14" s="13"/>
      <c r="T14" s="13">
        <v>1</v>
      </c>
      <c r="U14" s="13">
        <v>1</v>
      </c>
      <c r="V14" s="13">
        <v>1</v>
      </c>
      <c r="W14" s="13">
        <v>1</v>
      </c>
      <c r="X14" s="13">
        <v>1</v>
      </c>
    </row>
    <row r="15" spans="1:24" hidden="1" x14ac:dyDescent="0.35">
      <c r="A15" s="13" t="s">
        <v>222</v>
      </c>
      <c r="B15" s="13" t="s">
        <v>207</v>
      </c>
      <c r="C15" s="13" t="s">
        <v>111</v>
      </c>
      <c r="D15" s="13" t="s">
        <v>95</v>
      </c>
      <c r="E15" s="13" t="s">
        <v>95</v>
      </c>
      <c r="F15" s="13" t="s">
        <v>95</v>
      </c>
      <c r="G15" s="13" t="s">
        <v>95</v>
      </c>
      <c r="H15" s="13" t="s">
        <v>95</v>
      </c>
      <c r="I15" s="13" t="s">
        <v>95</v>
      </c>
      <c r="J15" s="13" t="s">
        <v>95</v>
      </c>
      <c r="K15" s="13" t="s">
        <v>95</v>
      </c>
      <c r="L15" s="13" t="s">
        <v>95</v>
      </c>
      <c r="M15" s="13" t="s">
        <v>95</v>
      </c>
      <c r="N15" s="13">
        <v>1</v>
      </c>
      <c r="O15" s="13">
        <v>1.4</v>
      </c>
      <c r="P15" s="13" t="s">
        <v>161</v>
      </c>
      <c r="Q15" s="13">
        <v>15.45</v>
      </c>
      <c r="R15" s="13"/>
      <c r="S15" s="13"/>
      <c r="T15" s="13">
        <v>1</v>
      </c>
      <c r="U15" s="13">
        <v>1</v>
      </c>
      <c r="V15" s="13">
        <v>1</v>
      </c>
      <c r="W15" s="13">
        <v>1</v>
      </c>
      <c r="X15" s="13">
        <v>1</v>
      </c>
    </row>
    <row r="16" spans="1:24" hidden="1" x14ac:dyDescent="0.35">
      <c r="A16" s="13" t="s">
        <v>223</v>
      </c>
      <c r="B16" s="13" t="s">
        <v>207</v>
      </c>
      <c r="C16" s="13" t="s">
        <v>112</v>
      </c>
      <c r="D16" s="13" t="s">
        <v>95</v>
      </c>
      <c r="E16" s="13" t="s">
        <v>95</v>
      </c>
      <c r="F16" s="13" t="s">
        <v>95</v>
      </c>
      <c r="G16" s="13" t="s">
        <v>95</v>
      </c>
      <c r="H16" s="13" t="s">
        <v>95</v>
      </c>
      <c r="I16" s="13" t="s">
        <v>95</v>
      </c>
      <c r="J16" s="13" t="s">
        <v>95</v>
      </c>
      <c r="K16" s="13" t="s">
        <v>95</v>
      </c>
      <c r="L16" s="13" t="s">
        <v>95</v>
      </c>
      <c r="M16" s="13" t="s">
        <v>95</v>
      </c>
      <c r="N16" s="13">
        <v>0.3</v>
      </c>
      <c r="O16" s="13">
        <v>0.17</v>
      </c>
      <c r="P16" s="13" t="s">
        <v>155</v>
      </c>
      <c r="Q16" s="26">
        <f>'Room Key'!F5</f>
        <v>37.299999999999997</v>
      </c>
      <c r="R16" s="13"/>
      <c r="S16" s="13"/>
      <c r="T16" s="13">
        <v>1</v>
      </c>
      <c r="U16" s="13">
        <v>1</v>
      </c>
      <c r="V16" s="13">
        <v>1</v>
      </c>
      <c r="W16" s="13">
        <v>1</v>
      </c>
      <c r="X16" s="13">
        <v>1</v>
      </c>
    </row>
    <row r="17" spans="1:24" hidden="1" x14ac:dyDescent="0.35">
      <c r="A17" s="13" t="s">
        <v>224</v>
      </c>
      <c r="B17" s="13" t="s">
        <v>207</v>
      </c>
      <c r="C17" s="13" t="s">
        <v>132</v>
      </c>
      <c r="D17" s="13" t="s">
        <v>95</v>
      </c>
      <c r="E17" s="13" t="s">
        <v>95</v>
      </c>
      <c r="F17" s="13" t="s">
        <v>95</v>
      </c>
      <c r="G17" s="13" t="s">
        <v>95</v>
      </c>
      <c r="H17" s="13" t="s">
        <v>95</v>
      </c>
      <c r="I17" s="13" t="s">
        <v>95</v>
      </c>
      <c r="J17" s="13" t="s">
        <v>95</v>
      </c>
      <c r="K17" s="13" t="s">
        <v>95</v>
      </c>
      <c r="L17" s="13" t="s">
        <v>95</v>
      </c>
      <c r="M17" s="13" t="s">
        <v>95</v>
      </c>
      <c r="N17" s="13">
        <v>1</v>
      </c>
      <c r="O17" s="13">
        <v>1.4</v>
      </c>
      <c r="P17" s="13" t="s">
        <v>161</v>
      </c>
      <c r="Q17" s="13">
        <v>12</v>
      </c>
      <c r="R17" s="13"/>
      <c r="S17" s="13"/>
      <c r="T17" s="13">
        <v>1</v>
      </c>
      <c r="U17" s="13">
        <v>1</v>
      </c>
      <c r="V17" s="13">
        <v>1</v>
      </c>
      <c r="W17" s="13">
        <v>1</v>
      </c>
      <c r="X17" s="13">
        <v>1</v>
      </c>
    </row>
    <row r="18" spans="1:24" hidden="1" x14ac:dyDescent="0.35">
      <c r="A18" s="13" t="s">
        <v>287</v>
      </c>
      <c r="B18" s="13" t="s">
        <v>207</v>
      </c>
      <c r="C18" s="13" t="s">
        <v>118</v>
      </c>
      <c r="D18" s="13" t="s">
        <v>314</v>
      </c>
      <c r="E18" s="13" t="s">
        <v>255</v>
      </c>
      <c r="F18" s="13" t="s">
        <v>95</v>
      </c>
      <c r="G18" s="13" t="s">
        <v>95</v>
      </c>
      <c r="H18" s="13" t="s">
        <v>95</v>
      </c>
      <c r="I18" s="13">
        <v>0.25</v>
      </c>
      <c r="J18" s="13">
        <v>0.16</v>
      </c>
      <c r="K18" s="13" t="s">
        <v>95</v>
      </c>
      <c r="L18" s="13" t="s">
        <v>95</v>
      </c>
      <c r="M18" s="13" t="s">
        <v>95</v>
      </c>
      <c r="N18" s="13">
        <v>1</v>
      </c>
      <c r="O18" s="13" t="s">
        <v>95</v>
      </c>
      <c r="P18" s="13" t="s">
        <v>157</v>
      </c>
      <c r="Q18" s="26">
        <v>30.76</v>
      </c>
      <c r="R18" s="13"/>
      <c r="S18" s="13"/>
      <c r="T18" s="13">
        <v>1</v>
      </c>
      <c r="U18" s="13">
        <v>1</v>
      </c>
      <c r="V18" s="13">
        <v>1</v>
      </c>
      <c r="W18" s="13">
        <v>1</v>
      </c>
      <c r="X18" s="13">
        <v>1</v>
      </c>
    </row>
    <row r="19" spans="1:24" hidden="1" x14ac:dyDescent="0.35">
      <c r="A19" s="13" t="s">
        <v>226</v>
      </c>
      <c r="B19" s="13" t="s">
        <v>194</v>
      </c>
      <c r="C19" s="13" t="s">
        <v>111</v>
      </c>
      <c r="D19" s="13" t="s">
        <v>95</v>
      </c>
      <c r="E19" s="13" t="s">
        <v>95</v>
      </c>
      <c r="F19" s="13" t="s">
        <v>95</v>
      </c>
      <c r="G19" s="13" t="s">
        <v>95</v>
      </c>
      <c r="H19" s="13" t="s">
        <v>95</v>
      </c>
      <c r="I19" s="13" t="s">
        <v>95</v>
      </c>
      <c r="J19" s="13" t="s">
        <v>95</v>
      </c>
      <c r="K19" s="13" t="s">
        <v>95</v>
      </c>
      <c r="L19" s="13" t="s">
        <v>95</v>
      </c>
      <c r="M19" s="13" t="s">
        <v>95</v>
      </c>
      <c r="N19" s="13">
        <v>1</v>
      </c>
      <c r="O19" s="13">
        <v>1.4</v>
      </c>
      <c r="P19" s="13" t="s">
        <v>143</v>
      </c>
      <c r="Q19" s="13">
        <v>14.89</v>
      </c>
      <c r="R19" s="13"/>
      <c r="S19" s="13"/>
      <c r="T19" s="13">
        <v>1</v>
      </c>
      <c r="U19" s="13">
        <v>1</v>
      </c>
      <c r="V19" s="13">
        <v>1</v>
      </c>
      <c r="W19" s="13">
        <v>1</v>
      </c>
      <c r="X19" s="13">
        <v>1</v>
      </c>
    </row>
    <row r="20" spans="1:24" hidden="1" x14ac:dyDescent="0.35">
      <c r="A20" s="13" t="s">
        <v>228</v>
      </c>
      <c r="B20" s="13" t="s">
        <v>194</v>
      </c>
      <c r="C20" s="13" t="s">
        <v>112</v>
      </c>
      <c r="D20" s="13" t="s">
        <v>95</v>
      </c>
      <c r="E20" s="13" t="s">
        <v>95</v>
      </c>
      <c r="F20" s="13" t="s">
        <v>95</v>
      </c>
      <c r="G20" s="13" t="s">
        <v>95</v>
      </c>
      <c r="H20" s="13" t="s">
        <v>95</v>
      </c>
      <c r="I20" s="13" t="s">
        <v>95</v>
      </c>
      <c r="J20" s="13" t="s">
        <v>95</v>
      </c>
      <c r="K20" s="13" t="s">
        <v>95</v>
      </c>
      <c r="L20" s="13" t="s">
        <v>95</v>
      </c>
      <c r="M20" s="13" t="s">
        <v>95</v>
      </c>
      <c r="N20" s="13">
        <v>0.3</v>
      </c>
      <c r="O20" s="13">
        <v>0.14000000000000001</v>
      </c>
      <c r="P20" s="13" t="s">
        <v>155</v>
      </c>
      <c r="Q20" s="26">
        <f>'Room Key'!F6</f>
        <v>36.200000000000003</v>
      </c>
      <c r="R20" s="13"/>
      <c r="S20" s="13"/>
      <c r="T20" s="13">
        <v>1</v>
      </c>
      <c r="U20" s="13">
        <v>1</v>
      </c>
      <c r="V20" s="13">
        <v>1</v>
      </c>
      <c r="W20" s="13">
        <v>1</v>
      </c>
      <c r="X20" s="13">
        <v>1</v>
      </c>
    </row>
    <row r="21" spans="1:24" hidden="1" x14ac:dyDescent="0.35">
      <c r="A21" s="13" t="s">
        <v>288</v>
      </c>
      <c r="B21" s="13" t="s">
        <v>194</v>
      </c>
      <c r="C21" s="13" t="s">
        <v>118</v>
      </c>
      <c r="D21" s="13" t="s">
        <v>314</v>
      </c>
      <c r="E21" s="13" t="s">
        <v>255</v>
      </c>
      <c r="F21" s="13" t="s">
        <v>95</v>
      </c>
      <c r="G21" s="13" t="s">
        <v>95</v>
      </c>
      <c r="H21" s="13" t="s">
        <v>95</v>
      </c>
      <c r="I21" s="13">
        <v>0.25</v>
      </c>
      <c r="J21" s="13">
        <v>0.16</v>
      </c>
      <c r="K21" s="13" t="s">
        <v>95</v>
      </c>
      <c r="L21" s="13" t="s">
        <v>95</v>
      </c>
      <c r="M21" s="13" t="s">
        <v>95</v>
      </c>
      <c r="N21" s="13">
        <v>1</v>
      </c>
      <c r="O21" s="13" t="s">
        <v>95</v>
      </c>
      <c r="P21" s="13" t="s">
        <v>157</v>
      </c>
      <c r="Q21" s="26">
        <f>'Effective Area'!M20</f>
        <v>15.459999999999997</v>
      </c>
      <c r="R21" s="13"/>
      <c r="S21" s="13"/>
      <c r="T21" s="13">
        <v>1</v>
      </c>
      <c r="U21" s="13">
        <v>1</v>
      </c>
      <c r="V21" s="13">
        <v>1</v>
      </c>
      <c r="W21" s="13">
        <v>1</v>
      </c>
      <c r="X21" s="13">
        <v>1</v>
      </c>
    </row>
    <row r="22" spans="1:24" ht="14.4" hidden="1" x14ac:dyDescent="0.35">
      <c r="A22" s="13" t="s">
        <v>239</v>
      </c>
      <c r="B22" s="13" t="s">
        <v>194</v>
      </c>
      <c r="C22" s="13" t="s">
        <v>121</v>
      </c>
      <c r="D22" s="13" t="s">
        <v>95</v>
      </c>
      <c r="E22" s="13" t="s">
        <v>95</v>
      </c>
      <c r="F22" s="13" t="s">
        <v>95</v>
      </c>
      <c r="G22" s="13" t="s">
        <v>95</v>
      </c>
      <c r="H22" s="13" t="s">
        <v>95</v>
      </c>
      <c r="I22" s="13" t="s">
        <v>95</v>
      </c>
      <c r="J22" s="13" t="s">
        <v>95</v>
      </c>
      <c r="K22" s="13" t="s">
        <v>95</v>
      </c>
      <c r="L22" s="13" t="s">
        <v>95</v>
      </c>
      <c r="M22" s="13" t="s">
        <v>95</v>
      </c>
      <c r="N22" s="13">
        <v>1</v>
      </c>
      <c r="O22" s="13">
        <v>1.4</v>
      </c>
      <c r="P22" s="13" t="s">
        <v>165</v>
      </c>
      <c r="Q22" s="13">
        <v>6.12</v>
      </c>
    </row>
    <row r="23" spans="1:24" hidden="1" x14ac:dyDescent="0.35">
      <c r="A23" s="13" t="s">
        <v>271</v>
      </c>
      <c r="B23" s="13" t="s">
        <v>192</v>
      </c>
      <c r="C23" s="13" t="s">
        <v>112</v>
      </c>
      <c r="D23" s="13" t="s">
        <v>95</v>
      </c>
      <c r="E23" s="13" t="s">
        <v>95</v>
      </c>
      <c r="F23" s="13" t="s">
        <v>95</v>
      </c>
      <c r="G23" s="13" t="s">
        <v>95</v>
      </c>
      <c r="H23" s="13" t="s">
        <v>95</v>
      </c>
      <c r="I23" s="13" t="s">
        <v>95</v>
      </c>
      <c r="J23" s="13" t="s">
        <v>95</v>
      </c>
      <c r="K23" s="13" t="s">
        <v>95</v>
      </c>
      <c r="L23" s="13" t="s">
        <v>95</v>
      </c>
      <c r="M23" s="13" t="s">
        <v>95</v>
      </c>
      <c r="N23" s="13">
        <v>0.3</v>
      </c>
      <c r="O23" s="13">
        <v>0.14000000000000001</v>
      </c>
      <c r="P23" s="13" t="s">
        <v>155</v>
      </c>
      <c r="Q23" s="26">
        <f>'Room Key'!F7</f>
        <v>5.5</v>
      </c>
      <c r="R23" s="13"/>
      <c r="S23" s="13"/>
      <c r="T23" s="13">
        <v>1</v>
      </c>
      <c r="U23" s="13">
        <v>1</v>
      </c>
      <c r="V23" s="13">
        <v>1</v>
      </c>
      <c r="W23" s="13">
        <v>1</v>
      </c>
      <c r="X23" s="13">
        <v>1</v>
      </c>
    </row>
    <row r="24" spans="1:24" hidden="1" x14ac:dyDescent="0.35">
      <c r="A24" s="13" t="s">
        <v>270</v>
      </c>
      <c r="B24" s="13" t="s">
        <v>192</v>
      </c>
      <c r="C24" s="13" t="s">
        <v>127</v>
      </c>
      <c r="D24" s="13" t="s">
        <v>95</v>
      </c>
      <c r="E24" s="13" t="s">
        <v>95</v>
      </c>
      <c r="F24" s="13" t="s">
        <v>95</v>
      </c>
      <c r="G24" s="13" t="s">
        <v>95</v>
      </c>
      <c r="H24" s="13" t="s">
        <v>95</v>
      </c>
      <c r="I24" s="13" t="s">
        <v>95</v>
      </c>
      <c r="J24" s="13" t="s">
        <v>95</v>
      </c>
      <c r="K24" s="13" t="s">
        <v>95</v>
      </c>
      <c r="L24" s="13" t="s">
        <v>95</v>
      </c>
      <c r="M24" s="13" t="s">
        <v>95</v>
      </c>
      <c r="N24" s="13">
        <v>1</v>
      </c>
      <c r="O24" s="13">
        <v>0.4</v>
      </c>
      <c r="P24" s="13" t="s">
        <v>316</v>
      </c>
      <c r="Q24" s="26">
        <f>1.4*'Room Key'!I7</f>
        <v>3.2199999999999998</v>
      </c>
      <c r="R24" s="13"/>
      <c r="S24" s="13"/>
      <c r="T24" s="13"/>
      <c r="U24" s="13"/>
      <c r="V24" s="13"/>
      <c r="W24" s="13"/>
      <c r="X24" s="13"/>
    </row>
    <row r="25" spans="1:24" hidden="1" x14ac:dyDescent="0.35">
      <c r="A25" s="13" t="s">
        <v>291</v>
      </c>
      <c r="B25" s="13" t="s">
        <v>192</v>
      </c>
      <c r="C25" s="13" t="s">
        <v>127</v>
      </c>
      <c r="D25" s="13" t="s">
        <v>261</v>
      </c>
      <c r="E25" s="13" t="s">
        <v>95</v>
      </c>
      <c r="F25" s="13" t="s">
        <v>95</v>
      </c>
      <c r="G25" s="13" t="s">
        <v>95</v>
      </c>
      <c r="H25" s="13" t="s">
        <v>95</v>
      </c>
      <c r="I25" s="13">
        <v>0.1</v>
      </c>
      <c r="J25" s="13" t="s">
        <v>95</v>
      </c>
      <c r="K25" s="13" t="s">
        <v>95</v>
      </c>
      <c r="L25" s="13" t="s">
        <v>95</v>
      </c>
      <c r="M25" s="13" t="s">
        <v>95</v>
      </c>
      <c r="N25" s="13">
        <v>1</v>
      </c>
      <c r="O25" s="13" t="s">
        <v>95</v>
      </c>
      <c r="P25" s="13" t="s">
        <v>290</v>
      </c>
      <c r="Q25" s="26">
        <f>0.9*'Room Key'!I8</f>
        <v>2.0699999999999998</v>
      </c>
      <c r="R25" s="13"/>
      <c r="S25" s="13"/>
      <c r="T25" s="13"/>
      <c r="U25" s="13"/>
      <c r="V25" s="13"/>
      <c r="W25" s="13"/>
      <c r="X25" s="13"/>
    </row>
    <row r="26" spans="1:24" hidden="1" x14ac:dyDescent="0.35">
      <c r="A26" s="13" t="s">
        <v>227</v>
      </c>
      <c r="B26" s="13" t="s">
        <v>196</v>
      </c>
      <c r="C26" s="13" t="s">
        <v>124</v>
      </c>
      <c r="D26" s="13" t="s">
        <v>259</v>
      </c>
      <c r="E26" s="13" t="s">
        <v>255</v>
      </c>
      <c r="F26" s="13" t="s">
        <v>254</v>
      </c>
      <c r="G26" s="13" t="s">
        <v>95</v>
      </c>
      <c r="H26" s="13" t="s">
        <v>95</v>
      </c>
      <c r="I26" s="13">
        <v>0.1</v>
      </c>
      <c r="J26" s="13">
        <v>0.1</v>
      </c>
      <c r="K26" s="13">
        <v>0.1</v>
      </c>
      <c r="L26" s="13" t="s">
        <v>95</v>
      </c>
      <c r="M26" s="13" t="s">
        <v>95</v>
      </c>
      <c r="N26" s="13">
        <v>1</v>
      </c>
      <c r="O26" s="13" t="s">
        <v>95</v>
      </c>
      <c r="P26" s="13" t="s">
        <v>156</v>
      </c>
      <c r="Q26" s="13">
        <f>'Effective Area'!M7</f>
        <v>13.372000000000003</v>
      </c>
      <c r="R26" s="13"/>
      <c r="S26" s="13"/>
      <c r="T26" s="13">
        <v>1</v>
      </c>
      <c r="U26" s="13">
        <v>1</v>
      </c>
      <c r="V26" s="13">
        <v>1</v>
      </c>
      <c r="W26" s="13">
        <v>1</v>
      </c>
      <c r="X26" s="13">
        <v>1</v>
      </c>
    </row>
    <row r="27" spans="1:24" hidden="1" x14ac:dyDescent="0.35">
      <c r="A27" s="13" t="s">
        <v>231</v>
      </c>
      <c r="B27" s="13" t="s">
        <v>196</v>
      </c>
      <c r="C27" s="13" t="s">
        <v>112</v>
      </c>
      <c r="D27" s="13" t="s">
        <v>95</v>
      </c>
      <c r="E27" s="13" t="s">
        <v>95</v>
      </c>
      <c r="F27" s="13" t="s">
        <v>95</v>
      </c>
      <c r="G27" s="13" t="s">
        <v>95</v>
      </c>
      <c r="H27" s="13" t="s">
        <v>95</v>
      </c>
      <c r="I27" s="13" t="s">
        <v>95</v>
      </c>
      <c r="J27" s="13" t="s">
        <v>95</v>
      </c>
      <c r="K27" s="13" t="s">
        <v>95</v>
      </c>
      <c r="L27" s="13" t="s">
        <v>95</v>
      </c>
      <c r="M27" s="13" t="s">
        <v>95</v>
      </c>
      <c r="N27" s="13">
        <v>0.3</v>
      </c>
      <c r="O27" s="13">
        <v>0.17</v>
      </c>
      <c r="P27" s="13" t="s">
        <v>155</v>
      </c>
      <c r="Q27" s="26">
        <f>'Room Key'!F9</f>
        <v>28.6</v>
      </c>
      <c r="R27" s="13"/>
      <c r="S27" s="13"/>
      <c r="T27" s="13">
        <v>1</v>
      </c>
      <c r="U27" s="13">
        <v>1</v>
      </c>
      <c r="V27" s="13">
        <v>1</v>
      </c>
      <c r="W27" s="13">
        <v>1</v>
      </c>
      <c r="X27" s="13">
        <v>1</v>
      </c>
    </row>
    <row r="28" spans="1:24" hidden="1" x14ac:dyDescent="0.35">
      <c r="A28" s="13" t="s">
        <v>229</v>
      </c>
      <c r="B28" s="13" t="s">
        <v>196</v>
      </c>
      <c r="C28" s="13" t="s">
        <v>132</v>
      </c>
      <c r="D28" s="13" t="s">
        <v>95</v>
      </c>
      <c r="E28" s="13" t="s">
        <v>95</v>
      </c>
      <c r="F28" s="13" t="s">
        <v>95</v>
      </c>
      <c r="G28" s="13" t="s">
        <v>95</v>
      </c>
      <c r="H28" s="13" t="s">
        <v>95</v>
      </c>
      <c r="I28" s="13" t="s">
        <v>95</v>
      </c>
      <c r="J28" s="13" t="s">
        <v>95</v>
      </c>
      <c r="K28" s="13" t="s">
        <v>95</v>
      </c>
      <c r="L28" s="13" t="s">
        <v>95</v>
      </c>
      <c r="M28" s="13" t="s">
        <v>95</v>
      </c>
      <c r="N28" s="13">
        <v>1</v>
      </c>
      <c r="O28" s="13">
        <v>1.4</v>
      </c>
      <c r="P28" s="13" t="s">
        <v>161</v>
      </c>
      <c r="Q28" s="13">
        <v>6.5</v>
      </c>
    </row>
    <row r="29" spans="1:24" hidden="1" x14ac:dyDescent="0.35">
      <c r="A29" s="13" t="s">
        <v>292</v>
      </c>
      <c r="B29" s="13" t="s">
        <v>196</v>
      </c>
      <c r="C29" s="13" t="s">
        <v>118</v>
      </c>
      <c r="D29" s="13" t="s">
        <v>314</v>
      </c>
      <c r="E29" s="13" t="s">
        <v>255</v>
      </c>
      <c r="F29" s="13" t="s">
        <v>95</v>
      </c>
      <c r="G29" s="13" t="s">
        <v>95</v>
      </c>
      <c r="H29" s="13" t="s">
        <v>95</v>
      </c>
      <c r="I29" s="13">
        <v>0.25</v>
      </c>
      <c r="J29" s="13">
        <v>0.16</v>
      </c>
      <c r="K29" s="13" t="s">
        <v>95</v>
      </c>
      <c r="L29" s="13" t="s">
        <v>95</v>
      </c>
      <c r="M29" s="13" t="s">
        <v>95</v>
      </c>
      <c r="N29" s="13">
        <v>1</v>
      </c>
      <c r="O29" s="13" t="s">
        <v>95</v>
      </c>
      <c r="P29" s="13" t="s">
        <v>157</v>
      </c>
      <c r="Q29" s="13">
        <v>14.42</v>
      </c>
    </row>
    <row r="30" spans="1:24" hidden="1" x14ac:dyDescent="0.35">
      <c r="A30" s="13" t="s">
        <v>230</v>
      </c>
      <c r="B30" s="13" t="s">
        <v>196</v>
      </c>
      <c r="C30" s="13" t="s">
        <v>111</v>
      </c>
      <c r="D30" s="13" t="s">
        <v>95</v>
      </c>
      <c r="E30" s="13" t="s">
        <v>95</v>
      </c>
      <c r="F30" s="13" t="s">
        <v>95</v>
      </c>
      <c r="G30" s="13" t="s">
        <v>95</v>
      </c>
      <c r="H30" s="13" t="s">
        <v>95</v>
      </c>
      <c r="I30" s="13" t="s">
        <v>95</v>
      </c>
      <c r="J30" s="13" t="s">
        <v>95</v>
      </c>
      <c r="K30" s="13" t="s">
        <v>95</v>
      </c>
      <c r="L30" s="13" t="s">
        <v>95</v>
      </c>
      <c r="M30" s="13" t="s">
        <v>95</v>
      </c>
      <c r="N30" s="13">
        <v>1</v>
      </c>
      <c r="O30" s="13">
        <v>1.4</v>
      </c>
      <c r="P30" s="13" t="s">
        <v>143</v>
      </c>
      <c r="Q30" s="13">
        <v>7.49</v>
      </c>
    </row>
    <row r="31" spans="1:24" hidden="1" x14ac:dyDescent="0.35">
      <c r="A31" s="13" t="s">
        <v>268</v>
      </c>
      <c r="B31" s="13" t="s">
        <v>197</v>
      </c>
      <c r="C31" s="13" t="s">
        <v>112</v>
      </c>
      <c r="D31" s="13" t="s">
        <v>95</v>
      </c>
      <c r="E31" s="13" t="s">
        <v>95</v>
      </c>
      <c r="F31" s="13" t="s">
        <v>95</v>
      </c>
      <c r="G31" s="13" t="s">
        <v>95</v>
      </c>
      <c r="H31" s="13" t="s">
        <v>95</v>
      </c>
      <c r="I31" s="13" t="s">
        <v>95</v>
      </c>
      <c r="J31" s="13" t="s">
        <v>95</v>
      </c>
      <c r="K31" s="13" t="s">
        <v>95</v>
      </c>
      <c r="L31" s="13" t="s">
        <v>95</v>
      </c>
      <c r="M31" s="13" t="s">
        <v>95</v>
      </c>
      <c r="N31" s="13">
        <v>0.3</v>
      </c>
      <c r="O31" s="13">
        <v>0.2</v>
      </c>
      <c r="P31" s="13" t="s">
        <v>155</v>
      </c>
      <c r="Q31" s="26">
        <f>'Room Key'!F14</f>
        <v>1.5</v>
      </c>
    </row>
    <row r="32" spans="1:24" hidden="1" x14ac:dyDescent="0.35">
      <c r="A32" s="13" t="s">
        <v>232</v>
      </c>
      <c r="B32" s="13" t="s">
        <v>197</v>
      </c>
      <c r="C32" s="13" t="s">
        <v>111</v>
      </c>
      <c r="D32" s="13" t="s">
        <v>95</v>
      </c>
      <c r="E32" s="13" t="s">
        <v>95</v>
      </c>
      <c r="F32" s="13" t="s">
        <v>95</v>
      </c>
      <c r="G32" s="13" t="s">
        <v>95</v>
      </c>
      <c r="H32" s="13" t="s">
        <v>95</v>
      </c>
      <c r="I32" s="13" t="s">
        <v>95</v>
      </c>
      <c r="J32" s="13" t="s">
        <v>95</v>
      </c>
      <c r="K32" s="13" t="s">
        <v>95</v>
      </c>
      <c r="L32" s="13" t="s">
        <v>95</v>
      </c>
      <c r="M32" s="13" t="s">
        <v>95</v>
      </c>
      <c r="N32" s="13">
        <v>1</v>
      </c>
      <c r="O32" s="13">
        <v>1.4</v>
      </c>
      <c r="P32" s="13" t="s">
        <v>143</v>
      </c>
      <c r="Q32" s="26">
        <f>2.35*1.38</f>
        <v>3.2429999999999999</v>
      </c>
    </row>
    <row r="33" spans="1:17" hidden="1" x14ac:dyDescent="0.35">
      <c r="A33" s="13" t="s">
        <v>285</v>
      </c>
      <c r="B33" s="13" t="s">
        <v>197</v>
      </c>
      <c r="C33" s="13" t="s">
        <v>118</v>
      </c>
      <c r="D33" s="13" t="s">
        <v>314</v>
      </c>
      <c r="E33" s="13" t="s">
        <v>255</v>
      </c>
      <c r="F33" s="13" t="s">
        <v>95</v>
      </c>
      <c r="G33" s="13" t="s">
        <v>95</v>
      </c>
      <c r="H33" s="13" t="s">
        <v>95</v>
      </c>
      <c r="I33" s="13">
        <v>0.25</v>
      </c>
      <c r="J33" s="13">
        <v>0.16</v>
      </c>
      <c r="K33" s="13" t="s">
        <v>95</v>
      </c>
      <c r="L33" s="13" t="s">
        <v>95</v>
      </c>
      <c r="M33" s="13" t="s">
        <v>95</v>
      </c>
      <c r="N33" s="13">
        <v>1</v>
      </c>
      <c r="O33" s="13" t="s">
        <v>95</v>
      </c>
      <c r="P33" s="13" t="s">
        <v>157</v>
      </c>
      <c r="Q33" s="26">
        <f>Q31</f>
        <v>1.5</v>
      </c>
    </row>
    <row r="34" spans="1:17" hidden="1" x14ac:dyDescent="0.35">
      <c r="A34" s="13" t="s">
        <v>286</v>
      </c>
      <c r="B34" s="13" t="s">
        <v>197</v>
      </c>
      <c r="C34" s="13" t="s">
        <v>124</v>
      </c>
      <c r="D34" s="13" t="s">
        <v>259</v>
      </c>
      <c r="E34" s="13" t="s">
        <v>255</v>
      </c>
      <c r="F34" s="13" t="s">
        <v>254</v>
      </c>
      <c r="G34" s="13" t="s">
        <v>95</v>
      </c>
      <c r="H34" s="13" t="s">
        <v>95</v>
      </c>
      <c r="I34" s="13">
        <v>0.1</v>
      </c>
      <c r="J34" s="13">
        <v>0.1</v>
      </c>
      <c r="K34" s="13">
        <v>0.1</v>
      </c>
      <c r="L34" s="13" t="s">
        <v>95</v>
      </c>
      <c r="M34" s="13" t="s">
        <v>95</v>
      </c>
      <c r="N34" s="13">
        <v>1</v>
      </c>
      <c r="O34" s="13" t="s">
        <v>95</v>
      </c>
      <c r="P34" s="13" t="s">
        <v>156</v>
      </c>
      <c r="Q34" s="26">
        <f>Q32</f>
        <v>3.2429999999999999</v>
      </c>
    </row>
    <row r="35" spans="1:17" hidden="1" x14ac:dyDescent="0.35">
      <c r="A35" s="13" t="s">
        <v>294</v>
      </c>
      <c r="B35" s="13" t="s">
        <v>293</v>
      </c>
      <c r="C35" s="13" t="s">
        <v>118</v>
      </c>
      <c r="D35" s="13" t="s">
        <v>314</v>
      </c>
      <c r="E35" s="13" t="s">
        <v>255</v>
      </c>
      <c r="F35" s="13" t="s">
        <v>95</v>
      </c>
      <c r="G35" s="13" t="s">
        <v>95</v>
      </c>
      <c r="H35" s="13" t="s">
        <v>95</v>
      </c>
      <c r="I35" s="13">
        <v>0.25</v>
      </c>
      <c r="J35" s="13">
        <v>0.16</v>
      </c>
      <c r="K35" s="13" t="s">
        <v>95</v>
      </c>
      <c r="L35" s="13" t="s">
        <v>95</v>
      </c>
      <c r="M35" s="13" t="s">
        <v>95</v>
      </c>
      <c r="N35" s="13">
        <v>1</v>
      </c>
      <c r="O35" s="13" t="s">
        <v>95</v>
      </c>
      <c r="P35" s="13" t="s">
        <v>157</v>
      </c>
      <c r="Q35" s="26">
        <f>'Room Key'!F11</f>
        <v>2.4</v>
      </c>
    </row>
    <row r="36" spans="1:17" hidden="1" x14ac:dyDescent="0.35">
      <c r="A36" s="13" t="s">
        <v>295</v>
      </c>
      <c r="B36" s="13" t="s">
        <v>195</v>
      </c>
      <c r="C36" s="13" t="s">
        <v>118</v>
      </c>
      <c r="D36" s="13" t="s">
        <v>314</v>
      </c>
      <c r="E36" s="13" t="s">
        <v>255</v>
      </c>
      <c r="F36" s="13" t="s">
        <v>95</v>
      </c>
      <c r="G36" s="13" t="s">
        <v>95</v>
      </c>
      <c r="H36" s="13" t="s">
        <v>95</v>
      </c>
      <c r="I36" s="13">
        <v>0.25</v>
      </c>
      <c r="J36" s="13">
        <v>0.16</v>
      </c>
      <c r="K36" s="13" t="s">
        <v>95</v>
      </c>
      <c r="L36" s="13" t="s">
        <v>95</v>
      </c>
      <c r="M36" s="13" t="s">
        <v>95</v>
      </c>
      <c r="N36" s="13">
        <v>1</v>
      </c>
      <c r="O36" s="13" t="s">
        <v>95</v>
      </c>
      <c r="P36" s="13" t="s">
        <v>157</v>
      </c>
      <c r="Q36" s="26">
        <v>1.2</v>
      </c>
    </row>
    <row r="37" spans="1:17" x14ac:dyDescent="0.35">
      <c r="A37" s="13" t="s">
        <v>233</v>
      </c>
      <c r="B37" s="13" t="s">
        <v>187</v>
      </c>
      <c r="C37" s="13" t="s">
        <v>122</v>
      </c>
      <c r="D37" s="13" t="s">
        <v>95</v>
      </c>
      <c r="E37" s="13" t="s">
        <v>95</v>
      </c>
      <c r="F37" s="13" t="s">
        <v>95</v>
      </c>
      <c r="G37" s="13" t="s">
        <v>95</v>
      </c>
      <c r="H37" s="13" t="s">
        <v>95</v>
      </c>
      <c r="I37" s="13" t="s">
        <v>95</v>
      </c>
      <c r="J37" s="13" t="s">
        <v>95</v>
      </c>
      <c r="K37" s="13" t="s">
        <v>95</v>
      </c>
      <c r="L37" s="13" t="s">
        <v>95</v>
      </c>
      <c r="M37" s="13" t="s">
        <v>95</v>
      </c>
      <c r="N37" s="13">
        <v>1</v>
      </c>
      <c r="O37" s="13">
        <v>0.4</v>
      </c>
      <c r="P37" s="13" t="s">
        <v>316</v>
      </c>
      <c r="Q37" s="13">
        <f>0.96*2.3</f>
        <v>2.2079999999999997</v>
      </c>
    </row>
    <row r="38" spans="1:17" x14ac:dyDescent="0.35">
      <c r="A38" s="13" t="s">
        <v>234</v>
      </c>
      <c r="B38" s="13" t="s">
        <v>187</v>
      </c>
      <c r="C38" s="13" t="s">
        <v>122</v>
      </c>
      <c r="D38" s="13" t="s">
        <v>95</v>
      </c>
      <c r="E38" s="13" t="s">
        <v>95</v>
      </c>
      <c r="F38" s="13" t="s">
        <v>95</v>
      </c>
      <c r="G38" s="13" t="s">
        <v>95</v>
      </c>
      <c r="H38" s="13" t="s">
        <v>95</v>
      </c>
      <c r="I38" s="13" t="s">
        <v>95</v>
      </c>
      <c r="J38" s="13" t="s">
        <v>95</v>
      </c>
      <c r="K38" s="13" t="s">
        <v>95</v>
      </c>
      <c r="L38" s="13" t="s">
        <v>95</v>
      </c>
      <c r="M38" s="13" t="s">
        <v>95</v>
      </c>
      <c r="N38" s="13">
        <v>1</v>
      </c>
      <c r="O38" s="13">
        <v>0.4</v>
      </c>
      <c r="P38" s="13" t="s">
        <v>316</v>
      </c>
      <c r="Q38" s="13">
        <f>1.7*2.3</f>
        <v>3.9099999999999997</v>
      </c>
    </row>
    <row r="39" spans="1:17" hidden="1" x14ac:dyDescent="0.35">
      <c r="A39" s="13" t="s">
        <v>235</v>
      </c>
      <c r="B39" s="13" t="s">
        <v>187</v>
      </c>
      <c r="C39" s="13" t="s">
        <v>127</v>
      </c>
      <c r="D39" s="13" t="s">
        <v>95</v>
      </c>
      <c r="E39" s="13" t="s">
        <v>95</v>
      </c>
      <c r="F39" s="13" t="s">
        <v>95</v>
      </c>
      <c r="G39" s="13" t="s">
        <v>95</v>
      </c>
      <c r="H39" s="13" t="s">
        <v>95</v>
      </c>
      <c r="I39" s="13" t="s">
        <v>95</v>
      </c>
      <c r="J39" s="13" t="s">
        <v>95</v>
      </c>
      <c r="K39" s="13" t="s">
        <v>95</v>
      </c>
      <c r="L39" s="13" t="s">
        <v>95</v>
      </c>
      <c r="M39" s="13" t="s">
        <v>95</v>
      </c>
      <c r="N39" s="13">
        <v>1</v>
      </c>
      <c r="O39" s="13">
        <v>0.4</v>
      </c>
      <c r="P39" s="13" t="s">
        <v>316</v>
      </c>
      <c r="Q39" s="13">
        <f>'Effective Area'!M9</f>
        <v>12.15</v>
      </c>
    </row>
    <row r="40" spans="1:17" hidden="1" x14ac:dyDescent="0.35">
      <c r="A40" s="13" t="s">
        <v>237</v>
      </c>
      <c r="B40" s="13" t="s">
        <v>187</v>
      </c>
      <c r="C40" s="13" t="s">
        <v>111</v>
      </c>
      <c r="D40" s="13" t="s">
        <v>95</v>
      </c>
      <c r="E40" s="13" t="s">
        <v>95</v>
      </c>
      <c r="F40" s="13" t="s">
        <v>95</v>
      </c>
      <c r="G40" s="13" t="s">
        <v>95</v>
      </c>
      <c r="H40" s="13" t="s">
        <v>95</v>
      </c>
      <c r="I40" s="13" t="s">
        <v>95</v>
      </c>
      <c r="J40" s="13" t="s">
        <v>95</v>
      </c>
      <c r="K40" s="13" t="s">
        <v>95</v>
      </c>
      <c r="L40" s="13" t="s">
        <v>95</v>
      </c>
      <c r="M40" s="13" t="s">
        <v>95</v>
      </c>
      <c r="N40" s="13">
        <v>1</v>
      </c>
      <c r="O40" s="13">
        <v>1.4</v>
      </c>
      <c r="P40" s="13" t="s">
        <v>143</v>
      </c>
      <c r="Q40" s="13">
        <f>0.92*2.7</f>
        <v>2.4840000000000004</v>
      </c>
    </row>
    <row r="41" spans="1:17" hidden="1" x14ac:dyDescent="0.35">
      <c r="A41" s="13" t="s">
        <v>236</v>
      </c>
      <c r="B41" s="13" t="s">
        <v>187</v>
      </c>
      <c r="C41" s="13" t="s">
        <v>111</v>
      </c>
      <c r="D41" s="13" t="s">
        <v>95</v>
      </c>
      <c r="E41" s="13" t="s">
        <v>95</v>
      </c>
      <c r="F41" s="13" t="s">
        <v>95</v>
      </c>
      <c r="G41" s="13" t="s">
        <v>95</v>
      </c>
      <c r="H41" s="13" t="s">
        <v>95</v>
      </c>
      <c r="I41" s="13" t="s">
        <v>95</v>
      </c>
      <c r="J41" s="13" t="s">
        <v>95</v>
      </c>
      <c r="K41" s="13" t="s">
        <v>95</v>
      </c>
      <c r="L41" s="13" t="s">
        <v>95</v>
      </c>
      <c r="M41" s="13" t="s">
        <v>95</v>
      </c>
      <c r="N41" s="13">
        <v>1</v>
      </c>
      <c r="O41" s="13">
        <v>1.4</v>
      </c>
      <c r="P41" s="13" t="s">
        <v>143</v>
      </c>
      <c r="Q41" s="13">
        <v>2.16</v>
      </c>
    </row>
    <row r="42" spans="1:17" hidden="1" x14ac:dyDescent="0.35">
      <c r="A42" s="13" t="s">
        <v>238</v>
      </c>
      <c r="B42" s="13" t="s">
        <v>187</v>
      </c>
      <c r="C42" s="13" t="s">
        <v>111</v>
      </c>
      <c r="D42" s="13" t="s">
        <v>95</v>
      </c>
      <c r="E42" s="13" t="s">
        <v>95</v>
      </c>
      <c r="F42" s="13" t="s">
        <v>95</v>
      </c>
      <c r="G42" s="13" t="s">
        <v>95</v>
      </c>
      <c r="H42" s="13" t="s">
        <v>95</v>
      </c>
      <c r="I42" s="13" t="s">
        <v>95</v>
      </c>
      <c r="J42" s="13" t="s">
        <v>95</v>
      </c>
      <c r="K42" s="13" t="s">
        <v>95</v>
      </c>
      <c r="L42" s="13" t="s">
        <v>95</v>
      </c>
      <c r="M42" s="13" t="s">
        <v>95</v>
      </c>
      <c r="N42" s="13">
        <v>1</v>
      </c>
      <c r="O42" s="13">
        <v>1.4</v>
      </c>
      <c r="P42" s="13" t="s">
        <v>143</v>
      </c>
      <c r="Q42" s="13">
        <v>4.7699999999999996</v>
      </c>
    </row>
    <row r="43" spans="1:17" hidden="1" x14ac:dyDescent="0.35">
      <c r="A43" s="13" t="s">
        <v>267</v>
      </c>
      <c r="B43" s="13" t="s">
        <v>187</v>
      </c>
      <c r="C43" s="13" t="s">
        <v>112</v>
      </c>
      <c r="D43" s="13" t="s">
        <v>95</v>
      </c>
      <c r="E43" s="13" t="s">
        <v>95</v>
      </c>
      <c r="F43" s="13" t="s">
        <v>95</v>
      </c>
      <c r="G43" s="13" t="s">
        <v>95</v>
      </c>
      <c r="H43" s="13" t="s">
        <v>95</v>
      </c>
      <c r="I43" s="13" t="s">
        <v>95</v>
      </c>
      <c r="J43" s="13" t="s">
        <v>95</v>
      </c>
      <c r="K43" s="13" t="s">
        <v>95</v>
      </c>
      <c r="L43" s="13" t="s">
        <v>95</v>
      </c>
      <c r="M43" s="13" t="s">
        <v>95</v>
      </c>
      <c r="N43" s="13">
        <v>0.3</v>
      </c>
      <c r="O43" s="13">
        <v>0.17</v>
      </c>
      <c r="P43" s="13" t="s">
        <v>155</v>
      </c>
      <c r="Q43" s="13">
        <v>22.67</v>
      </c>
    </row>
    <row r="44" spans="1:17" hidden="1" x14ac:dyDescent="0.35">
      <c r="A44" s="13" t="s">
        <v>284</v>
      </c>
      <c r="B44" s="13" t="s">
        <v>187</v>
      </c>
      <c r="C44" s="13" t="s">
        <v>118</v>
      </c>
      <c r="D44" s="13" t="s">
        <v>314</v>
      </c>
      <c r="E44" s="13" t="s">
        <v>255</v>
      </c>
      <c r="F44" s="13" t="s">
        <v>95</v>
      </c>
      <c r="G44" s="13" t="s">
        <v>95</v>
      </c>
      <c r="H44" s="13" t="s">
        <v>95</v>
      </c>
      <c r="I44" s="13">
        <v>0.25</v>
      </c>
      <c r="J44" s="13">
        <v>0.16</v>
      </c>
      <c r="K44" s="13" t="s">
        <v>95</v>
      </c>
      <c r="L44" s="13" t="s">
        <v>95</v>
      </c>
      <c r="M44" s="13" t="s">
        <v>95</v>
      </c>
      <c r="N44" s="13">
        <v>1</v>
      </c>
      <c r="O44" s="13" t="s">
        <v>95</v>
      </c>
      <c r="P44" s="13" t="s">
        <v>157</v>
      </c>
      <c r="Q44" s="13">
        <f>2.9*1.25</f>
        <v>3.625</v>
      </c>
    </row>
    <row r="45" spans="1:17" hidden="1" x14ac:dyDescent="0.35">
      <c r="A45" s="13" t="s">
        <v>239</v>
      </c>
      <c r="B45" s="13" t="s">
        <v>200</v>
      </c>
      <c r="C45" s="13" t="s">
        <v>132</v>
      </c>
      <c r="D45" s="13" t="s">
        <v>95</v>
      </c>
      <c r="E45" s="13" t="s">
        <v>95</v>
      </c>
      <c r="F45" s="13" t="s">
        <v>95</v>
      </c>
      <c r="G45" s="13" t="s">
        <v>95</v>
      </c>
      <c r="H45" s="13" t="s">
        <v>95</v>
      </c>
      <c r="I45" s="13" t="s">
        <v>95</v>
      </c>
      <c r="J45" s="13" t="s">
        <v>95</v>
      </c>
      <c r="K45" s="13" t="s">
        <v>95</v>
      </c>
      <c r="L45" s="13" t="s">
        <v>95</v>
      </c>
      <c r="M45" s="13" t="s">
        <v>95</v>
      </c>
      <c r="N45" s="13">
        <v>1</v>
      </c>
      <c r="O45" s="13">
        <v>1.4</v>
      </c>
      <c r="P45" s="13" t="s">
        <v>161</v>
      </c>
      <c r="Q45" s="13">
        <f>2.65*3.6</f>
        <v>9.5399999999999991</v>
      </c>
    </row>
    <row r="46" spans="1:17" x14ac:dyDescent="0.35">
      <c r="A46" s="13" t="s">
        <v>274</v>
      </c>
      <c r="B46" s="13" t="s">
        <v>200</v>
      </c>
      <c r="C46" s="13" t="s">
        <v>122</v>
      </c>
      <c r="D46" s="13" t="s">
        <v>95</v>
      </c>
      <c r="E46" s="13" t="s">
        <v>95</v>
      </c>
      <c r="F46" s="13" t="s">
        <v>95</v>
      </c>
      <c r="G46" s="13" t="s">
        <v>95</v>
      </c>
      <c r="H46" s="13" t="s">
        <v>95</v>
      </c>
      <c r="I46" s="13" t="s">
        <v>95</v>
      </c>
      <c r="J46" s="13" t="s">
        <v>95</v>
      </c>
      <c r="K46" s="13" t="s">
        <v>95</v>
      </c>
      <c r="L46" s="13" t="s">
        <v>95</v>
      </c>
      <c r="M46" s="13" t="s">
        <v>95</v>
      </c>
      <c r="N46" s="13">
        <v>1</v>
      </c>
      <c r="O46" s="13">
        <v>0.4</v>
      </c>
      <c r="P46" s="13" t="s">
        <v>316</v>
      </c>
      <c r="Q46" s="13">
        <f>1.17*2.3</f>
        <v>2.6909999999999998</v>
      </c>
    </row>
    <row r="47" spans="1:17" hidden="1" x14ac:dyDescent="0.35">
      <c r="A47" s="13" t="s">
        <v>245</v>
      </c>
      <c r="B47" s="13" t="s">
        <v>200</v>
      </c>
      <c r="C47" s="13" t="s">
        <v>118</v>
      </c>
      <c r="D47" s="13" t="s">
        <v>262</v>
      </c>
      <c r="E47" s="13" t="s">
        <v>263</v>
      </c>
      <c r="F47" s="13" t="s">
        <v>264</v>
      </c>
      <c r="G47" s="13" t="s">
        <v>95</v>
      </c>
      <c r="H47" s="13" t="s">
        <v>95</v>
      </c>
      <c r="I47" s="13">
        <v>0.01</v>
      </c>
      <c r="J47" s="13">
        <v>0.1</v>
      </c>
      <c r="K47" s="13">
        <v>0.05</v>
      </c>
      <c r="L47" s="13" t="s">
        <v>95</v>
      </c>
      <c r="M47" s="13" t="s">
        <v>95</v>
      </c>
      <c r="N47" s="13">
        <v>1</v>
      </c>
      <c r="O47" s="13" t="s">
        <v>95</v>
      </c>
      <c r="P47" s="13" t="s">
        <v>272</v>
      </c>
      <c r="Q47" s="13">
        <f>'Effective Area'!M10</f>
        <v>11.629999999999999</v>
      </c>
    </row>
    <row r="48" spans="1:17" hidden="1" x14ac:dyDescent="0.35">
      <c r="A48" s="13" t="s">
        <v>296</v>
      </c>
      <c r="B48" s="13" t="s">
        <v>200</v>
      </c>
      <c r="C48" s="13" t="s">
        <v>116</v>
      </c>
      <c r="D48" s="13" t="s">
        <v>255</v>
      </c>
      <c r="E48" s="13" t="s">
        <v>95</v>
      </c>
      <c r="F48" s="13" t="s">
        <v>95</v>
      </c>
      <c r="G48" s="13" t="s">
        <v>95</v>
      </c>
      <c r="H48" s="13" t="s">
        <v>95</v>
      </c>
      <c r="I48" s="13">
        <v>0.1</v>
      </c>
      <c r="J48" s="13" t="s">
        <v>95</v>
      </c>
      <c r="K48" s="13" t="s">
        <v>95</v>
      </c>
      <c r="L48" s="13" t="s">
        <v>95</v>
      </c>
      <c r="M48" s="13" t="s">
        <v>95</v>
      </c>
      <c r="N48" s="13">
        <v>0.9</v>
      </c>
      <c r="O48" s="13" t="s">
        <v>95</v>
      </c>
      <c r="P48" s="13" t="s">
        <v>297</v>
      </c>
      <c r="Q48" s="13">
        <v>3.8</v>
      </c>
    </row>
    <row r="49" spans="1:17" hidden="1" x14ac:dyDescent="0.35">
      <c r="A49" s="13" t="s">
        <v>298</v>
      </c>
      <c r="B49" s="13" t="s">
        <v>200</v>
      </c>
      <c r="C49" s="13" t="s">
        <v>127</v>
      </c>
      <c r="D49" s="13" t="s">
        <v>255</v>
      </c>
      <c r="E49" s="13" t="s">
        <v>95</v>
      </c>
      <c r="F49" s="13" t="s">
        <v>95</v>
      </c>
      <c r="G49" s="13" t="s">
        <v>95</v>
      </c>
      <c r="H49" s="13" t="s">
        <v>95</v>
      </c>
      <c r="I49" s="13">
        <v>0.1</v>
      </c>
      <c r="J49" s="13" t="s">
        <v>95</v>
      </c>
      <c r="K49" s="13" t="s">
        <v>95</v>
      </c>
      <c r="L49" s="13" t="s">
        <v>95</v>
      </c>
      <c r="M49" s="13" t="s">
        <v>95</v>
      </c>
      <c r="N49" s="13">
        <v>1</v>
      </c>
      <c r="O49" s="13" t="s">
        <v>95</v>
      </c>
      <c r="P49" s="13" t="s">
        <v>299</v>
      </c>
      <c r="Q49" s="13">
        <f>5.47*2+2.8*2.9</f>
        <v>19.059999999999999</v>
      </c>
    </row>
    <row r="50" spans="1:17" x14ac:dyDescent="0.35">
      <c r="A50" s="13" t="s">
        <v>275</v>
      </c>
      <c r="B50" s="13" t="s">
        <v>201</v>
      </c>
      <c r="C50" s="13" t="s">
        <v>122</v>
      </c>
      <c r="D50" s="13" t="s">
        <v>95</v>
      </c>
      <c r="E50" s="13" t="s">
        <v>95</v>
      </c>
      <c r="F50" s="13" t="s">
        <v>95</v>
      </c>
      <c r="G50" s="13" t="s">
        <v>95</v>
      </c>
      <c r="H50" s="13" t="s">
        <v>95</v>
      </c>
      <c r="I50" s="13" t="s">
        <v>95</v>
      </c>
      <c r="J50" s="13" t="s">
        <v>95</v>
      </c>
      <c r="K50" s="13" t="s">
        <v>95</v>
      </c>
      <c r="L50" s="13" t="s">
        <v>95</v>
      </c>
      <c r="M50" s="13" t="s">
        <v>95</v>
      </c>
      <c r="N50" s="13">
        <v>1</v>
      </c>
      <c r="O50" s="13">
        <v>0.4</v>
      </c>
      <c r="P50" s="13" t="s">
        <v>316</v>
      </c>
      <c r="Q50" s="13">
        <f>'Effective Area'!M11</f>
        <v>13.54</v>
      </c>
    </row>
    <row r="51" spans="1:17" hidden="1" x14ac:dyDescent="0.35">
      <c r="A51" s="13" t="s">
        <v>240</v>
      </c>
      <c r="B51" s="13" t="s">
        <v>201</v>
      </c>
      <c r="C51" s="13" t="s">
        <v>132</v>
      </c>
      <c r="D51" s="13" t="s">
        <v>95</v>
      </c>
      <c r="E51" s="13" t="s">
        <v>95</v>
      </c>
      <c r="F51" s="13" t="s">
        <v>95</v>
      </c>
      <c r="G51" s="13" t="s">
        <v>95</v>
      </c>
      <c r="H51" s="13" t="s">
        <v>95</v>
      </c>
      <c r="I51" s="13" t="s">
        <v>95</v>
      </c>
      <c r="J51" s="13" t="s">
        <v>95</v>
      </c>
      <c r="K51" s="13" t="s">
        <v>95</v>
      </c>
      <c r="L51" s="13" t="s">
        <v>95</v>
      </c>
      <c r="M51" s="13" t="s">
        <v>95</v>
      </c>
      <c r="N51" s="13">
        <v>1</v>
      </c>
      <c r="O51" s="13">
        <v>1.4</v>
      </c>
      <c r="P51" s="13" t="s">
        <v>161</v>
      </c>
      <c r="Q51" s="13">
        <f>1.83+0.5</f>
        <v>2.33</v>
      </c>
    </row>
    <row r="52" spans="1:17" hidden="1" x14ac:dyDescent="0.35">
      <c r="A52" s="13" t="s">
        <v>300</v>
      </c>
      <c r="B52" s="13" t="s">
        <v>201</v>
      </c>
      <c r="C52" s="13" t="s">
        <v>116</v>
      </c>
      <c r="D52" s="13" t="s">
        <v>255</v>
      </c>
      <c r="E52" s="13" t="s">
        <v>95</v>
      </c>
      <c r="F52" s="13" t="s">
        <v>95</v>
      </c>
      <c r="G52" s="13" t="s">
        <v>95</v>
      </c>
      <c r="H52" s="13" t="s">
        <v>95</v>
      </c>
      <c r="I52" s="13">
        <v>0.1</v>
      </c>
      <c r="J52" s="13" t="s">
        <v>95</v>
      </c>
      <c r="K52" s="13" t="s">
        <v>95</v>
      </c>
      <c r="L52" s="13" t="s">
        <v>95</v>
      </c>
      <c r="M52" s="13" t="s">
        <v>95</v>
      </c>
      <c r="N52" s="13">
        <v>0.9</v>
      </c>
      <c r="O52" s="13" t="s">
        <v>95</v>
      </c>
      <c r="P52" s="13" t="s">
        <v>297</v>
      </c>
      <c r="Q52" s="26">
        <f>'Room Key'!F16</f>
        <v>11.7</v>
      </c>
    </row>
    <row r="53" spans="1:17" x14ac:dyDescent="0.35">
      <c r="A53" s="13" t="s">
        <v>276</v>
      </c>
      <c r="B53" s="13" t="s">
        <v>202</v>
      </c>
      <c r="C53" s="13" t="s">
        <v>122</v>
      </c>
      <c r="D53" s="13" t="s">
        <v>95</v>
      </c>
      <c r="E53" s="13" t="s">
        <v>95</v>
      </c>
      <c r="F53" s="13" t="s">
        <v>95</v>
      </c>
      <c r="G53" s="13" t="s">
        <v>95</v>
      </c>
      <c r="H53" s="13" t="s">
        <v>95</v>
      </c>
      <c r="I53" s="13" t="s">
        <v>95</v>
      </c>
      <c r="J53" s="13" t="s">
        <v>95</v>
      </c>
      <c r="K53" s="13" t="s">
        <v>95</v>
      </c>
      <c r="L53" s="13" t="s">
        <v>95</v>
      </c>
      <c r="M53" s="13" t="s">
        <v>95</v>
      </c>
      <c r="N53" s="13">
        <v>1</v>
      </c>
      <c r="O53" s="13">
        <v>0.4</v>
      </c>
      <c r="P53" s="13" t="s">
        <v>316</v>
      </c>
      <c r="Q53" s="13">
        <f>'Effective Area'!M12</f>
        <v>13.65</v>
      </c>
    </row>
    <row r="54" spans="1:17" hidden="1" x14ac:dyDescent="0.35">
      <c r="A54" s="13" t="s">
        <v>241</v>
      </c>
      <c r="B54" s="13" t="s">
        <v>202</v>
      </c>
      <c r="C54" s="13" t="s">
        <v>132</v>
      </c>
      <c r="D54" s="13" t="s">
        <v>95</v>
      </c>
      <c r="E54" s="13" t="s">
        <v>95</v>
      </c>
      <c r="F54" s="13" t="s">
        <v>95</v>
      </c>
      <c r="G54" s="13" t="s">
        <v>95</v>
      </c>
      <c r="H54" s="13" t="s">
        <v>95</v>
      </c>
      <c r="I54" s="13" t="s">
        <v>95</v>
      </c>
      <c r="J54" s="13" t="s">
        <v>95</v>
      </c>
      <c r="K54" s="13" t="s">
        <v>95</v>
      </c>
      <c r="L54" s="13" t="s">
        <v>95</v>
      </c>
      <c r="M54" s="13" t="s">
        <v>95</v>
      </c>
      <c r="N54" s="13">
        <v>1</v>
      </c>
      <c r="O54" s="13">
        <v>1.4</v>
      </c>
      <c r="P54" s="13" t="s">
        <v>161</v>
      </c>
      <c r="Q54" s="13">
        <f>2.7+0.9</f>
        <v>3.6</v>
      </c>
    </row>
    <row r="55" spans="1:17" hidden="1" x14ac:dyDescent="0.35">
      <c r="A55" s="13" t="s">
        <v>301</v>
      </c>
      <c r="B55" s="13" t="s">
        <v>202</v>
      </c>
      <c r="C55" s="13" t="s">
        <v>116</v>
      </c>
      <c r="D55" s="13" t="s">
        <v>255</v>
      </c>
      <c r="E55" s="13" t="s">
        <v>95</v>
      </c>
      <c r="F55" s="13" t="s">
        <v>95</v>
      </c>
      <c r="G55" s="13" t="s">
        <v>95</v>
      </c>
      <c r="H55" s="13" t="s">
        <v>95</v>
      </c>
      <c r="I55" s="13">
        <v>0.1</v>
      </c>
      <c r="J55" s="13" t="s">
        <v>95</v>
      </c>
      <c r="K55" s="13" t="s">
        <v>95</v>
      </c>
      <c r="L55" s="13" t="s">
        <v>95</v>
      </c>
      <c r="M55" s="13" t="s">
        <v>95</v>
      </c>
      <c r="N55" s="13">
        <v>0.9</v>
      </c>
      <c r="O55" s="13" t="s">
        <v>95</v>
      </c>
      <c r="P55" s="13" t="s">
        <v>297</v>
      </c>
      <c r="Q55" s="26">
        <f>'Room Key'!F17</f>
        <v>15.9</v>
      </c>
    </row>
    <row r="56" spans="1:17" x14ac:dyDescent="0.35">
      <c r="A56" s="13" t="s">
        <v>277</v>
      </c>
      <c r="B56" s="13" t="s">
        <v>203</v>
      </c>
      <c r="C56" s="13" t="s">
        <v>122</v>
      </c>
      <c r="D56" s="13" t="s">
        <v>95</v>
      </c>
      <c r="E56" s="13" t="s">
        <v>95</v>
      </c>
      <c r="F56" s="13" t="s">
        <v>95</v>
      </c>
      <c r="G56" s="13" t="s">
        <v>95</v>
      </c>
      <c r="H56" s="13" t="s">
        <v>95</v>
      </c>
      <c r="I56" s="13" t="s">
        <v>95</v>
      </c>
      <c r="J56" s="13" t="s">
        <v>95</v>
      </c>
      <c r="K56" s="13" t="s">
        <v>95</v>
      </c>
      <c r="L56" s="13" t="s">
        <v>95</v>
      </c>
      <c r="M56" s="13" t="s">
        <v>95</v>
      </c>
      <c r="N56" s="13">
        <v>1</v>
      </c>
      <c r="O56" s="13">
        <v>0.4</v>
      </c>
      <c r="P56" s="13" t="s">
        <v>316</v>
      </c>
      <c r="Q56" s="13">
        <f>'Effective Area'!M13</f>
        <v>4.8439999999999994</v>
      </c>
    </row>
    <row r="57" spans="1:17" hidden="1" x14ac:dyDescent="0.35">
      <c r="A57" s="13" t="s">
        <v>243</v>
      </c>
      <c r="B57" s="13" t="s">
        <v>203</v>
      </c>
      <c r="C57" s="13" t="s">
        <v>132</v>
      </c>
      <c r="D57" s="13" t="s">
        <v>95</v>
      </c>
      <c r="E57" s="13" t="s">
        <v>95</v>
      </c>
      <c r="F57" s="13" t="s">
        <v>95</v>
      </c>
      <c r="G57" s="13" t="s">
        <v>95</v>
      </c>
      <c r="H57" s="13" t="s">
        <v>95</v>
      </c>
      <c r="I57" s="13" t="s">
        <v>95</v>
      </c>
      <c r="J57" s="13" t="s">
        <v>95</v>
      </c>
      <c r="K57" s="13" t="s">
        <v>95</v>
      </c>
      <c r="L57" s="13" t="s">
        <v>95</v>
      </c>
      <c r="M57" s="13" t="s">
        <v>95</v>
      </c>
      <c r="N57" s="13">
        <v>1</v>
      </c>
      <c r="O57" s="13">
        <v>1.4</v>
      </c>
      <c r="P57" s="13" t="s">
        <v>161</v>
      </c>
      <c r="Q57" s="13">
        <v>2.4700000000000002</v>
      </c>
    </row>
    <row r="58" spans="1:17" hidden="1" x14ac:dyDescent="0.35">
      <c r="A58" s="13" t="s">
        <v>302</v>
      </c>
      <c r="B58" s="13" t="s">
        <v>203</v>
      </c>
      <c r="C58" s="13" t="s">
        <v>116</v>
      </c>
      <c r="D58" s="13" t="s">
        <v>255</v>
      </c>
      <c r="E58" s="13" t="s">
        <v>95</v>
      </c>
      <c r="F58" s="13" t="s">
        <v>95</v>
      </c>
      <c r="G58" s="13" t="s">
        <v>95</v>
      </c>
      <c r="H58" s="13" t="s">
        <v>95</v>
      </c>
      <c r="I58" s="13">
        <v>0.1</v>
      </c>
      <c r="J58" s="13" t="s">
        <v>95</v>
      </c>
      <c r="K58" s="13" t="s">
        <v>95</v>
      </c>
      <c r="L58" s="13" t="s">
        <v>95</v>
      </c>
      <c r="M58" s="13" t="s">
        <v>95</v>
      </c>
      <c r="N58" s="13">
        <v>0.9</v>
      </c>
      <c r="O58" s="13" t="s">
        <v>95</v>
      </c>
      <c r="P58" s="13" t="s">
        <v>297</v>
      </c>
      <c r="Q58" s="26">
        <f>'Room Key'!F18</f>
        <v>8.6999999999999993</v>
      </c>
    </row>
    <row r="59" spans="1:17" hidden="1" x14ac:dyDescent="0.35">
      <c r="A59" s="13" t="s">
        <v>278</v>
      </c>
      <c r="B59" s="13" t="s">
        <v>198</v>
      </c>
      <c r="C59" s="13" t="s">
        <v>124</v>
      </c>
      <c r="D59" s="13" t="s">
        <v>260</v>
      </c>
      <c r="E59" s="13" t="s">
        <v>255</v>
      </c>
      <c r="F59" s="13" t="s">
        <v>254</v>
      </c>
      <c r="G59" s="13" t="s">
        <v>95</v>
      </c>
      <c r="H59" s="13" t="s">
        <v>95</v>
      </c>
      <c r="I59" s="13">
        <v>0.1</v>
      </c>
      <c r="J59" s="13">
        <v>0.1</v>
      </c>
      <c r="K59" s="13">
        <v>0.1</v>
      </c>
      <c r="L59" s="13" t="s">
        <v>95</v>
      </c>
      <c r="M59" s="13" t="s">
        <v>95</v>
      </c>
      <c r="N59" s="13">
        <v>1</v>
      </c>
      <c r="O59" s="13" t="s">
        <v>95</v>
      </c>
      <c r="P59" s="13" t="s">
        <v>210</v>
      </c>
      <c r="Q59" s="13">
        <f>'Effective Area'!M14</f>
        <v>13.366</v>
      </c>
    </row>
    <row r="60" spans="1:17" hidden="1" x14ac:dyDescent="0.35">
      <c r="A60" s="13" t="s">
        <v>244</v>
      </c>
      <c r="B60" s="13" t="s">
        <v>198</v>
      </c>
      <c r="C60" s="13" t="s">
        <v>132</v>
      </c>
      <c r="D60" s="13" t="s">
        <v>95</v>
      </c>
      <c r="E60" s="13" t="s">
        <v>95</v>
      </c>
      <c r="F60" s="13" t="s">
        <v>95</v>
      </c>
      <c r="G60" s="13" t="s">
        <v>95</v>
      </c>
      <c r="H60" s="13" t="s">
        <v>95</v>
      </c>
      <c r="I60" s="13" t="s">
        <v>95</v>
      </c>
      <c r="J60" s="13" t="s">
        <v>95</v>
      </c>
      <c r="K60" s="13" t="s">
        <v>95</v>
      </c>
      <c r="L60" s="13" t="s">
        <v>95</v>
      </c>
      <c r="M60" s="13" t="s">
        <v>95</v>
      </c>
      <c r="N60" s="13">
        <v>1</v>
      </c>
      <c r="O60" s="13">
        <v>1.4</v>
      </c>
      <c r="P60" s="13" t="s">
        <v>161</v>
      </c>
      <c r="Q60" s="13">
        <v>3.7</v>
      </c>
    </row>
    <row r="61" spans="1:17" hidden="1" x14ac:dyDescent="0.35">
      <c r="A61" s="13" t="s">
        <v>304</v>
      </c>
      <c r="B61" s="13" t="s">
        <v>198</v>
      </c>
      <c r="C61" s="13" t="s">
        <v>116</v>
      </c>
      <c r="D61" s="13" t="s">
        <v>255</v>
      </c>
      <c r="E61" s="13" t="s">
        <v>95</v>
      </c>
      <c r="F61" s="13" t="s">
        <v>95</v>
      </c>
      <c r="G61" s="13" t="s">
        <v>95</v>
      </c>
      <c r="H61" s="13" t="s">
        <v>95</v>
      </c>
      <c r="I61" s="13">
        <v>0.1</v>
      </c>
      <c r="J61" s="13" t="s">
        <v>95</v>
      </c>
      <c r="K61" s="13" t="s">
        <v>95</v>
      </c>
      <c r="L61" s="13" t="s">
        <v>95</v>
      </c>
      <c r="M61" s="13" t="s">
        <v>95</v>
      </c>
      <c r="N61" s="13">
        <v>0.9</v>
      </c>
      <c r="O61" s="13" t="s">
        <v>95</v>
      </c>
      <c r="P61" s="13" t="s">
        <v>297</v>
      </c>
      <c r="Q61" s="26">
        <f>'Room Key'!F19</f>
        <v>13.7</v>
      </c>
    </row>
    <row r="62" spans="1:17" x14ac:dyDescent="0.35">
      <c r="A62" s="13" t="s">
        <v>279</v>
      </c>
      <c r="B62" s="13" t="s">
        <v>204</v>
      </c>
      <c r="C62" s="13" t="s">
        <v>122</v>
      </c>
      <c r="D62" s="13" t="s">
        <v>95</v>
      </c>
      <c r="E62" s="13" t="s">
        <v>95</v>
      </c>
      <c r="F62" s="13" t="s">
        <v>95</v>
      </c>
      <c r="G62" s="13" t="s">
        <v>95</v>
      </c>
      <c r="H62" s="13" t="s">
        <v>95</v>
      </c>
      <c r="I62" s="13" t="s">
        <v>95</v>
      </c>
      <c r="J62" s="13" t="s">
        <v>95</v>
      </c>
      <c r="K62" s="13" t="s">
        <v>95</v>
      </c>
      <c r="L62" s="13" t="s">
        <v>95</v>
      </c>
      <c r="M62" s="13" t="s">
        <v>95</v>
      </c>
      <c r="N62" s="13">
        <v>1</v>
      </c>
      <c r="O62" s="13">
        <v>0.4</v>
      </c>
      <c r="P62" s="13" t="s">
        <v>316</v>
      </c>
      <c r="Q62" s="13">
        <f>'Effective Area'!M15</f>
        <v>5.4339999999999993</v>
      </c>
    </row>
    <row r="63" spans="1:17" hidden="1" x14ac:dyDescent="0.35">
      <c r="A63" s="13" t="s">
        <v>242</v>
      </c>
      <c r="B63" s="13" t="s">
        <v>204</v>
      </c>
      <c r="C63" s="13" t="s">
        <v>132</v>
      </c>
      <c r="D63" s="13" t="s">
        <v>95</v>
      </c>
      <c r="E63" s="13" t="s">
        <v>95</v>
      </c>
      <c r="F63" s="13" t="s">
        <v>95</v>
      </c>
      <c r="G63" s="13" t="s">
        <v>95</v>
      </c>
      <c r="H63" s="13" t="s">
        <v>95</v>
      </c>
      <c r="I63" s="13" t="s">
        <v>95</v>
      </c>
      <c r="J63" s="13" t="s">
        <v>95</v>
      </c>
      <c r="K63" s="13" t="s">
        <v>95</v>
      </c>
      <c r="L63" s="13" t="s">
        <v>95</v>
      </c>
      <c r="M63" s="13" t="s">
        <v>95</v>
      </c>
      <c r="N63" s="13">
        <v>1</v>
      </c>
      <c r="O63" s="13">
        <v>1.4</v>
      </c>
      <c r="P63" s="13" t="s">
        <v>161</v>
      </c>
      <c r="Q63" s="13">
        <v>0.96</v>
      </c>
    </row>
    <row r="64" spans="1:17" hidden="1" x14ac:dyDescent="0.35">
      <c r="A64" s="13" t="s">
        <v>303</v>
      </c>
      <c r="B64" s="13" t="s">
        <v>204</v>
      </c>
      <c r="C64" s="13" t="s">
        <v>116</v>
      </c>
      <c r="D64" s="13" t="s">
        <v>255</v>
      </c>
      <c r="E64" s="13" t="s">
        <v>95</v>
      </c>
      <c r="F64" s="13" t="s">
        <v>95</v>
      </c>
      <c r="G64" s="13" t="s">
        <v>95</v>
      </c>
      <c r="H64" s="13" t="s">
        <v>95</v>
      </c>
      <c r="I64" s="13">
        <v>0.1</v>
      </c>
      <c r="J64" s="13" t="s">
        <v>95</v>
      </c>
      <c r="K64" s="13" t="s">
        <v>95</v>
      </c>
      <c r="L64" s="13" t="s">
        <v>95</v>
      </c>
      <c r="M64" s="13" t="s">
        <v>95</v>
      </c>
      <c r="N64" s="13">
        <v>0.9</v>
      </c>
      <c r="O64" s="13" t="s">
        <v>95</v>
      </c>
      <c r="P64" s="13" t="s">
        <v>297</v>
      </c>
      <c r="Q64" s="26">
        <f>'Room Key'!F20</f>
        <v>8.8000000000000007</v>
      </c>
    </row>
    <row r="65" spans="1:17" hidden="1" x14ac:dyDescent="0.35">
      <c r="A65" s="13" t="s">
        <v>280</v>
      </c>
      <c r="B65" s="13" t="s">
        <v>199</v>
      </c>
      <c r="C65" s="13" t="s">
        <v>124</v>
      </c>
      <c r="D65" s="13" t="s">
        <v>260</v>
      </c>
      <c r="E65" s="13" t="s">
        <v>255</v>
      </c>
      <c r="F65" s="13" t="s">
        <v>254</v>
      </c>
      <c r="G65" s="13" t="s">
        <v>95</v>
      </c>
      <c r="H65" s="13" t="s">
        <v>95</v>
      </c>
      <c r="I65" s="13">
        <v>0.1</v>
      </c>
      <c r="J65" s="13">
        <v>0.1</v>
      </c>
      <c r="K65" s="13">
        <v>0.1</v>
      </c>
      <c r="L65" s="13" t="s">
        <v>95</v>
      </c>
      <c r="M65" s="13" t="s">
        <v>95</v>
      </c>
      <c r="N65" s="13">
        <v>1</v>
      </c>
      <c r="O65" s="13" t="s">
        <v>95</v>
      </c>
      <c r="P65" s="13" t="s">
        <v>210</v>
      </c>
      <c r="Q65" s="13">
        <v>0.75</v>
      </c>
    </row>
    <row r="66" spans="1:17" hidden="1" x14ac:dyDescent="0.35">
      <c r="A66" s="13" t="s">
        <v>248</v>
      </c>
      <c r="B66" s="13" t="s">
        <v>199</v>
      </c>
      <c r="C66" s="13" t="s">
        <v>116</v>
      </c>
      <c r="D66" s="13" t="s">
        <v>255</v>
      </c>
      <c r="E66" s="13" t="s">
        <v>95</v>
      </c>
      <c r="F66" s="13" t="s">
        <v>95</v>
      </c>
      <c r="G66" s="13" t="s">
        <v>95</v>
      </c>
      <c r="H66" s="13" t="s">
        <v>95</v>
      </c>
      <c r="I66" s="13">
        <v>0.1</v>
      </c>
      <c r="J66" s="13" t="s">
        <v>95</v>
      </c>
      <c r="K66" s="13" t="s">
        <v>95</v>
      </c>
      <c r="L66" s="13" t="s">
        <v>95</v>
      </c>
      <c r="M66" s="13" t="s">
        <v>95</v>
      </c>
      <c r="N66" s="13">
        <v>0.9</v>
      </c>
      <c r="O66" s="13" t="s">
        <v>95</v>
      </c>
      <c r="P66" s="13" t="s">
        <v>297</v>
      </c>
      <c r="Q66" s="13">
        <f>1.2*5.7</f>
        <v>6.84</v>
      </c>
    </row>
    <row r="67" spans="1:17" hidden="1" x14ac:dyDescent="0.35">
      <c r="A67" s="13" t="s">
        <v>307</v>
      </c>
      <c r="B67" s="13" t="s">
        <v>199</v>
      </c>
      <c r="C67" s="13" t="s">
        <v>118</v>
      </c>
      <c r="D67" s="13" t="s">
        <v>262</v>
      </c>
      <c r="E67" s="13" t="s">
        <v>263</v>
      </c>
      <c r="F67" s="13" t="s">
        <v>264</v>
      </c>
      <c r="G67" s="13" t="s">
        <v>95</v>
      </c>
      <c r="H67" s="13" t="s">
        <v>95</v>
      </c>
      <c r="I67" s="13">
        <v>0.01</v>
      </c>
      <c r="J67" s="13">
        <v>0.1</v>
      </c>
      <c r="K67" s="13">
        <v>0.05</v>
      </c>
      <c r="L67" s="13" t="s">
        <v>95</v>
      </c>
      <c r="M67" s="13" t="s">
        <v>95</v>
      </c>
      <c r="N67" s="13">
        <v>1</v>
      </c>
      <c r="O67" s="13" t="s">
        <v>95</v>
      </c>
      <c r="P67" s="13" t="s">
        <v>272</v>
      </c>
      <c r="Q67" s="13">
        <f>'Effective Area'!M16</f>
        <v>17.07</v>
      </c>
    </row>
    <row r="68" spans="1:17" hidden="1" x14ac:dyDescent="0.35">
      <c r="A68" s="13" t="s">
        <v>246</v>
      </c>
      <c r="B68" s="13" t="s">
        <v>199</v>
      </c>
      <c r="C68" s="13" t="s">
        <v>121</v>
      </c>
      <c r="D68" s="13" t="s">
        <v>95</v>
      </c>
      <c r="E68" s="13" t="s">
        <v>95</v>
      </c>
      <c r="F68" s="13" t="s">
        <v>95</v>
      </c>
      <c r="G68" s="13" t="s">
        <v>95</v>
      </c>
      <c r="H68" s="13" t="s">
        <v>95</v>
      </c>
      <c r="I68" s="13" t="s">
        <v>95</v>
      </c>
      <c r="J68" s="13" t="s">
        <v>95</v>
      </c>
      <c r="K68" s="13" t="s">
        <v>95</v>
      </c>
      <c r="L68" s="13" t="s">
        <v>95</v>
      </c>
      <c r="M68" s="13" t="s">
        <v>95</v>
      </c>
      <c r="N68" s="13">
        <v>1</v>
      </c>
      <c r="O68" s="13">
        <v>1.4</v>
      </c>
      <c r="P68" s="13" t="s">
        <v>165</v>
      </c>
      <c r="Q68" s="13">
        <f>1.5*1.15*2</f>
        <v>3.4499999999999997</v>
      </c>
    </row>
    <row r="69" spans="1:17" hidden="1" x14ac:dyDescent="0.35">
      <c r="A69" s="13" t="s">
        <v>305</v>
      </c>
      <c r="B69" s="13" t="s">
        <v>199</v>
      </c>
      <c r="C69" s="13" t="s">
        <v>129</v>
      </c>
      <c r="D69" s="13" t="s">
        <v>260</v>
      </c>
      <c r="E69" s="13" t="s">
        <v>255</v>
      </c>
      <c r="F69" s="13" t="s">
        <v>254</v>
      </c>
      <c r="G69" s="13" t="s">
        <v>95</v>
      </c>
      <c r="H69" s="13" t="s">
        <v>95</v>
      </c>
      <c r="I69" s="13">
        <v>0.1</v>
      </c>
      <c r="J69" s="13">
        <v>0.1</v>
      </c>
      <c r="K69" s="13">
        <v>0.1</v>
      </c>
      <c r="L69" s="13" t="s">
        <v>95</v>
      </c>
      <c r="M69" s="13" t="s">
        <v>95</v>
      </c>
      <c r="N69" s="13">
        <v>1</v>
      </c>
      <c r="O69" s="13" t="s">
        <v>95</v>
      </c>
      <c r="P69" s="13" t="s">
        <v>210</v>
      </c>
      <c r="Q69" s="26">
        <f>0.5*3.189*3.189</f>
        <v>5.0848605000000004</v>
      </c>
    </row>
    <row r="70" spans="1:17" hidden="1" x14ac:dyDescent="0.35">
      <c r="A70" s="13" t="s">
        <v>306</v>
      </c>
      <c r="B70" s="13" t="s">
        <v>199</v>
      </c>
      <c r="C70" s="13" t="s">
        <v>113</v>
      </c>
      <c r="D70" s="13" t="s">
        <v>255</v>
      </c>
      <c r="E70" s="13" t="s">
        <v>95</v>
      </c>
      <c r="F70" s="13" t="s">
        <v>95</v>
      </c>
      <c r="G70" s="13" t="s">
        <v>95</v>
      </c>
      <c r="H70" s="13" t="s">
        <v>95</v>
      </c>
      <c r="I70" s="13">
        <v>0.1</v>
      </c>
      <c r="J70" s="13" t="s">
        <v>95</v>
      </c>
      <c r="K70" s="13" t="s">
        <v>95</v>
      </c>
      <c r="L70" s="13" t="s">
        <v>95</v>
      </c>
      <c r="M70" s="13" t="s">
        <v>95</v>
      </c>
      <c r="N70" s="13">
        <v>0.8</v>
      </c>
      <c r="O70" s="13" t="s">
        <v>95</v>
      </c>
      <c r="P70" s="13" t="s">
        <v>297</v>
      </c>
      <c r="Q70" s="26">
        <f>2.14*2.6</f>
        <v>5.5640000000000009</v>
      </c>
    </row>
    <row r="71" spans="1:17" hidden="1" x14ac:dyDescent="0.35">
      <c r="A71" s="13" t="s">
        <v>251</v>
      </c>
      <c r="B71" s="13" t="s">
        <v>205</v>
      </c>
      <c r="C71" s="13" t="s">
        <v>118</v>
      </c>
      <c r="D71" s="13" t="s">
        <v>262</v>
      </c>
      <c r="E71" s="13" t="s">
        <v>263</v>
      </c>
      <c r="F71" s="13" t="s">
        <v>264</v>
      </c>
      <c r="G71" s="13" t="s">
        <v>95</v>
      </c>
      <c r="H71" s="13" t="s">
        <v>95</v>
      </c>
      <c r="I71" s="13">
        <v>0.01</v>
      </c>
      <c r="J71" s="13">
        <v>0.1</v>
      </c>
      <c r="K71" s="13">
        <v>0.05</v>
      </c>
      <c r="L71" s="13" t="s">
        <v>95</v>
      </c>
      <c r="M71" s="13" t="s">
        <v>95</v>
      </c>
      <c r="N71" s="13">
        <v>1</v>
      </c>
      <c r="O71" s="13" t="s">
        <v>95</v>
      </c>
      <c r="P71" s="13" t="s">
        <v>272</v>
      </c>
      <c r="Q71" s="13">
        <f>'Effective Area'!M17</f>
        <v>4.7550000000000008</v>
      </c>
    </row>
    <row r="72" spans="1:17" hidden="1" x14ac:dyDescent="0.35">
      <c r="A72" s="13" t="s">
        <v>247</v>
      </c>
      <c r="B72" s="13" t="s">
        <v>205</v>
      </c>
      <c r="C72" s="13" t="s">
        <v>121</v>
      </c>
      <c r="D72" s="13" t="s">
        <v>95</v>
      </c>
      <c r="E72" s="13" t="s">
        <v>95</v>
      </c>
      <c r="F72" s="13" t="s">
        <v>95</v>
      </c>
      <c r="G72" s="13" t="s">
        <v>95</v>
      </c>
      <c r="H72" s="13" t="s">
        <v>95</v>
      </c>
      <c r="I72" s="13" t="s">
        <v>95</v>
      </c>
      <c r="J72" s="13" t="s">
        <v>95</v>
      </c>
      <c r="K72" s="13" t="s">
        <v>95</v>
      </c>
      <c r="L72" s="13" t="s">
        <v>95</v>
      </c>
      <c r="M72" s="13" t="s">
        <v>95</v>
      </c>
      <c r="N72" s="13">
        <v>1</v>
      </c>
      <c r="O72" s="13">
        <v>1.4</v>
      </c>
      <c r="P72" s="13" t="s">
        <v>165</v>
      </c>
      <c r="Q72" s="13">
        <v>1</v>
      </c>
    </row>
    <row r="73" spans="1:17" hidden="1" x14ac:dyDescent="0.35">
      <c r="A73" s="13" t="s">
        <v>308</v>
      </c>
      <c r="B73" s="13" t="s">
        <v>205</v>
      </c>
      <c r="C73" s="13" t="s">
        <v>116</v>
      </c>
      <c r="D73" s="13" t="s">
        <v>255</v>
      </c>
      <c r="E73" s="13" t="s">
        <v>95</v>
      </c>
      <c r="F73" s="13" t="s">
        <v>95</v>
      </c>
      <c r="G73" s="13" t="s">
        <v>95</v>
      </c>
      <c r="H73" s="13" t="s">
        <v>95</v>
      </c>
      <c r="I73" s="13">
        <v>0.1</v>
      </c>
      <c r="J73" s="13" t="s">
        <v>95</v>
      </c>
      <c r="K73" s="13" t="s">
        <v>95</v>
      </c>
      <c r="L73" s="13" t="s">
        <v>95</v>
      </c>
      <c r="M73" s="13" t="s">
        <v>95</v>
      </c>
      <c r="N73" s="13">
        <v>0.9</v>
      </c>
      <c r="O73" s="13" t="s">
        <v>95</v>
      </c>
      <c r="P73" s="13" t="s">
        <v>297</v>
      </c>
      <c r="Q73" s="13">
        <f>2.4*1.8</f>
        <v>4.32</v>
      </c>
    </row>
    <row r="74" spans="1:17" hidden="1" x14ac:dyDescent="0.35">
      <c r="A74" s="13" t="s">
        <v>281</v>
      </c>
      <c r="B74" s="13" t="s">
        <v>206</v>
      </c>
      <c r="C74" s="13" t="s">
        <v>124</v>
      </c>
      <c r="D74" s="13" t="s">
        <v>260</v>
      </c>
      <c r="E74" s="13" t="s">
        <v>255</v>
      </c>
      <c r="F74" s="13" t="s">
        <v>254</v>
      </c>
      <c r="G74" s="13" t="s">
        <v>95</v>
      </c>
      <c r="H74" s="13" t="s">
        <v>95</v>
      </c>
      <c r="I74" s="13">
        <v>0.1</v>
      </c>
      <c r="J74" s="13">
        <v>0.1</v>
      </c>
      <c r="K74" s="13">
        <v>0.1</v>
      </c>
      <c r="L74" s="13" t="s">
        <v>95</v>
      </c>
      <c r="M74" s="13" t="s">
        <v>95</v>
      </c>
      <c r="N74" s="13">
        <v>1</v>
      </c>
      <c r="O74" s="13" t="s">
        <v>95</v>
      </c>
      <c r="P74" s="13" t="s">
        <v>210</v>
      </c>
      <c r="Q74" s="13">
        <f>'Effective Area'!M18</f>
        <v>4.6939999999999991</v>
      </c>
    </row>
    <row r="75" spans="1:17" hidden="1" x14ac:dyDescent="0.35">
      <c r="A75" s="13" t="s">
        <v>249</v>
      </c>
      <c r="B75" s="13" t="s">
        <v>206</v>
      </c>
      <c r="C75" s="13" t="s">
        <v>132</v>
      </c>
      <c r="D75" s="13" t="s">
        <v>95</v>
      </c>
      <c r="E75" s="13" t="s">
        <v>95</v>
      </c>
      <c r="F75" s="13" t="s">
        <v>95</v>
      </c>
      <c r="G75" s="13" t="s">
        <v>95</v>
      </c>
      <c r="H75" s="13" t="s">
        <v>95</v>
      </c>
      <c r="I75" s="13" t="s">
        <v>95</v>
      </c>
      <c r="J75" s="13" t="s">
        <v>95</v>
      </c>
      <c r="K75" s="13" t="s">
        <v>95</v>
      </c>
      <c r="L75" s="13" t="s">
        <v>95</v>
      </c>
      <c r="M75" s="13" t="s">
        <v>95</v>
      </c>
      <c r="N75" s="13">
        <v>1</v>
      </c>
      <c r="O75" s="13">
        <v>1.4</v>
      </c>
      <c r="P75" s="13" t="s">
        <v>161</v>
      </c>
      <c r="Q75" s="13">
        <v>0.78</v>
      </c>
    </row>
    <row r="76" spans="1:17" hidden="1" x14ac:dyDescent="0.35">
      <c r="A76" s="13" t="s">
        <v>309</v>
      </c>
      <c r="B76" s="13" t="s">
        <v>206</v>
      </c>
      <c r="C76" s="13" t="s">
        <v>116</v>
      </c>
      <c r="D76" s="13" t="s">
        <v>255</v>
      </c>
      <c r="E76" s="13" t="s">
        <v>95</v>
      </c>
      <c r="F76" s="13" t="s">
        <v>95</v>
      </c>
      <c r="G76" s="13" t="s">
        <v>95</v>
      </c>
      <c r="H76" s="13" t="s">
        <v>95</v>
      </c>
      <c r="I76" s="13">
        <v>0.1</v>
      </c>
      <c r="J76" s="13" t="s">
        <v>95</v>
      </c>
      <c r="K76" s="13" t="s">
        <v>95</v>
      </c>
      <c r="L76" s="13" t="s">
        <v>95</v>
      </c>
      <c r="M76" s="13" t="s">
        <v>95</v>
      </c>
      <c r="N76" s="13">
        <v>0.9</v>
      </c>
      <c r="O76" s="13" t="s">
        <v>95</v>
      </c>
      <c r="P76" s="13" t="s">
        <v>297</v>
      </c>
      <c r="Q76" s="26">
        <f>'Room Key'!F23</f>
        <v>7.4</v>
      </c>
    </row>
    <row r="77" spans="1:17" hidden="1" x14ac:dyDescent="0.35">
      <c r="A77" s="13" t="s">
        <v>282</v>
      </c>
      <c r="B77" s="13" t="s">
        <v>250</v>
      </c>
      <c r="C77" s="13" t="s">
        <v>124</v>
      </c>
      <c r="D77" s="13" t="s">
        <v>260</v>
      </c>
      <c r="E77" s="13" t="s">
        <v>255</v>
      </c>
      <c r="F77" s="13" t="s">
        <v>254</v>
      </c>
      <c r="G77" s="13" t="s">
        <v>95</v>
      </c>
      <c r="H77" s="13" t="s">
        <v>95</v>
      </c>
      <c r="I77" s="13">
        <v>0.1</v>
      </c>
      <c r="J77" s="13">
        <v>0.1</v>
      </c>
      <c r="K77" s="13">
        <v>0.1</v>
      </c>
      <c r="L77" s="13" t="s">
        <v>95</v>
      </c>
      <c r="M77" s="13" t="s">
        <v>95</v>
      </c>
      <c r="N77" s="13">
        <v>1</v>
      </c>
      <c r="O77" s="13" t="s">
        <v>95</v>
      </c>
      <c r="P77" s="13" t="s">
        <v>210</v>
      </c>
      <c r="Q77" s="13">
        <f>'Effective Area'!M19</f>
        <v>9.4500000000000011</v>
      </c>
    </row>
    <row r="78" spans="1:17" x14ac:dyDescent="0.35">
      <c r="A78" s="13" t="s">
        <v>310</v>
      </c>
      <c r="B78" s="13" t="s">
        <v>250</v>
      </c>
      <c r="C78" s="13" t="s">
        <v>122</v>
      </c>
      <c r="D78" s="13" t="s">
        <v>95</v>
      </c>
      <c r="E78" s="13" t="s">
        <v>95</v>
      </c>
      <c r="F78" s="13" t="s">
        <v>95</v>
      </c>
      <c r="G78" s="13" t="s">
        <v>95</v>
      </c>
      <c r="H78" s="13" t="s">
        <v>95</v>
      </c>
      <c r="I78" s="13" t="s">
        <v>95</v>
      </c>
      <c r="J78" s="13" t="s">
        <v>95</v>
      </c>
      <c r="K78" s="13" t="s">
        <v>95</v>
      </c>
      <c r="L78" s="13" t="s">
        <v>95</v>
      </c>
      <c r="M78" s="13" t="s">
        <v>95</v>
      </c>
      <c r="N78" s="13">
        <v>1</v>
      </c>
      <c r="O78" s="13">
        <v>0.4</v>
      </c>
      <c r="P78" s="13" t="s">
        <v>316</v>
      </c>
      <c r="Q78" s="13">
        <v>9.9</v>
      </c>
    </row>
    <row r="79" spans="1:17" hidden="1" x14ac:dyDescent="0.35">
      <c r="A79" s="13" t="s">
        <v>266</v>
      </c>
      <c r="B79" s="13" t="s">
        <v>250</v>
      </c>
      <c r="C79" s="13" t="s">
        <v>118</v>
      </c>
      <c r="D79" s="13" t="s">
        <v>262</v>
      </c>
      <c r="E79" s="13" t="s">
        <v>263</v>
      </c>
      <c r="F79" s="13" t="s">
        <v>264</v>
      </c>
      <c r="G79" s="13" t="s">
        <v>95</v>
      </c>
      <c r="H79" s="13" t="s">
        <v>95</v>
      </c>
      <c r="I79" s="13">
        <v>0.01</v>
      </c>
      <c r="J79" s="13">
        <v>0.1</v>
      </c>
      <c r="K79" s="13">
        <v>0.05</v>
      </c>
      <c r="L79" s="13" t="s">
        <v>95</v>
      </c>
      <c r="M79" s="13" t="s">
        <v>95</v>
      </c>
      <c r="N79" s="13">
        <v>1</v>
      </c>
      <c r="O79" s="13" t="s">
        <v>95</v>
      </c>
      <c r="P79" s="13" t="s">
        <v>272</v>
      </c>
      <c r="Q79" s="13">
        <f>15*9-'Effective Area'!B10</f>
        <v>113.83</v>
      </c>
    </row>
    <row r="80" spans="1:17" hidden="1" x14ac:dyDescent="0.35">
      <c r="A80" s="13" t="s">
        <v>252</v>
      </c>
      <c r="B80" s="13" t="s">
        <v>250</v>
      </c>
      <c r="C80" s="13" t="s">
        <v>132</v>
      </c>
      <c r="D80" s="13" t="s">
        <v>95</v>
      </c>
      <c r="E80" s="13" t="s">
        <v>95</v>
      </c>
      <c r="F80" s="13" t="s">
        <v>95</v>
      </c>
      <c r="G80" s="13" t="s">
        <v>95</v>
      </c>
      <c r="H80" s="13" t="s">
        <v>95</v>
      </c>
      <c r="I80" s="13" t="s">
        <v>95</v>
      </c>
      <c r="J80" s="13" t="s">
        <v>95</v>
      </c>
      <c r="K80" s="13" t="s">
        <v>95</v>
      </c>
      <c r="L80" s="13" t="s">
        <v>95</v>
      </c>
      <c r="M80" s="13" t="s">
        <v>95</v>
      </c>
      <c r="N80" s="13">
        <v>1</v>
      </c>
      <c r="O80" s="13">
        <v>1.4</v>
      </c>
      <c r="P80" s="13" t="s">
        <v>161</v>
      </c>
      <c r="Q80" s="13">
        <v>0.45</v>
      </c>
    </row>
  </sheetData>
  <autoFilter ref="A1:X80" xr:uid="{716C0F2C-B08A-4EA2-B90D-300B6914284F}">
    <filterColumn colId="2">
      <filters>
        <filter val="Wallex - 1 Layer"/>
      </filters>
    </filterColumn>
  </autoFilter>
  <phoneticPr fontId="3" type="noConversion"/>
  <pageMargins left="0.7" right="0.7" top="0.75" bottom="0.75" header="0.3" footer="0.3"/>
  <pageSetup paperSize="9" orientation="portrait" horizontalDpi="4294967293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A21097-FF9F-4E5D-9283-9C3319CEBCD8}">
          <x14:formula1>
            <xm:f>Materials!$A$2:$A$199</xm:f>
          </x14:formula1>
          <xm:sqref>F81:H81 D82:H1048576 D81 D2:H6 G7:G23 G25:G36 G39:G80 H7:H80 D7:F80</xm:sqref>
        </x14:dataValidation>
        <x14:dataValidation type="list" allowBlank="1" showInputMessage="1" showErrorMessage="1" xr:uid="{9C7E8831-E19E-4D5B-83EA-07AD83E035C0}">
          <x14:formula1>
            <xm:f>'U-Value Type'!$A$2:$A$1048576</xm:f>
          </x14:formula1>
          <xm:sqref>P2:P80</xm:sqref>
        </x14:dataValidation>
        <x14:dataValidation type="list" allowBlank="1" showInputMessage="1" showErrorMessage="1" xr:uid="{31461861-8C27-4353-B916-83BBEF5811A5}">
          <x14:formula1>
            <xm:f>'Element Types'!$A$2:$A$54</xm:f>
          </x14:formula1>
          <xm:sqref>C2:C1048576</xm:sqref>
        </x14:dataValidation>
        <x14:dataValidation type="list" allowBlank="1" showInputMessage="1" showErrorMessage="1" xr:uid="{DA8955F0-6DA6-45FE-9792-62B15534165D}">
          <x14:formula1>
            <xm:f>'Room Key'!$A$2:$A$24</xm:f>
          </x14:formula1>
          <xm:sqref>B2:B80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19B9-FD8D-4303-A195-5C5CEC7BE950}">
  <dimension ref="A1:B16"/>
  <sheetViews>
    <sheetView workbookViewId="0">
      <selection activeCell="A16" sqref="A16"/>
    </sheetView>
  </sheetViews>
  <sheetFormatPr defaultRowHeight="14.5" x14ac:dyDescent="0.35"/>
  <cols>
    <col min="1" max="1" width="12.90625" bestFit="1" customWidth="1"/>
    <col min="2" max="2" width="14.81640625" bestFit="1" customWidth="1"/>
  </cols>
  <sheetData>
    <row r="1" spans="1:2" x14ac:dyDescent="0.35">
      <c r="A1" s="1" t="s">
        <v>176</v>
      </c>
      <c r="B1" s="1" t="s">
        <v>177</v>
      </c>
    </row>
    <row r="2" spans="1:2" x14ac:dyDescent="0.35">
      <c r="A2" t="s">
        <v>208</v>
      </c>
      <c r="B2" t="s">
        <v>193</v>
      </c>
    </row>
    <row r="3" spans="1:2" x14ac:dyDescent="0.35">
      <c r="A3" t="s">
        <v>235</v>
      </c>
      <c r="B3" t="s">
        <v>193</v>
      </c>
    </row>
    <row r="4" spans="1:2" x14ac:dyDescent="0.35">
      <c r="A4" t="s">
        <v>270</v>
      </c>
      <c r="B4" t="s">
        <v>193</v>
      </c>
    </row>
    <row r="5" spans="1:2" x14ac:dyDescent="0.35">
      <c r="A5" t="s">
        <v>237</v>
      </c>
      <c r="B5" t="s">
        <v>193</v>
      </c>
    </row>
    <row r="6" spans="1:2" x14ac:dyDescent="0.35">
      <c r="A6" t="s">
        <v>291</v>
      </c>
      <c r="B6" t="s">
        <v>193</v>
      </c>
    </row>
    <row r="7" spans="1:2" x14ac:dyDescent="0.35">
      <c r="A7" t="s">
        <v>296</v>
      </c>
      <c r="B7" t="s">
        <v>250</v>
      </c>
    </row>
    <row r="8" spans="1:2" x14ac:dyDescent="0.35">
      <c r="A8" t="s">
        <v>298</v>
      </c>
      <c r="B8" t="s">
        <v>250</v>
      </c>
    </row>
    <row r="9" spans="1:2" x14ac:dyDescent="0.35">
      <c r="A9" t="s">
        <v>300</v>
      </c>
      <c r="B9" t="s">
        <v>250</v>
      </c>
    </row>
    <row r="10" spans="1:2" x14ac:dyDescent="0.35">
      <c r="A10" t="s">
        <v>301</v>
      </c>
      <c r="B10" t="s">
        <v>250</v>
      </c>
    </row>
    <row r="11" spans="1:2" x14ac:dyDescent="0.35">
      <c r="A11" t="s">
        <v>302</v>
      </c>
      <c r="B11" t="s">
        <v>250</v>
      </c>
    </row>
    <row r="12" spans="1:2" x14ac:dyDescent="0.35">
      <c r="A12" t="s">
        <v>303</v>
      </c>
      <c r="B12" t="s">
        <v>250</v>
      </c>
    </row>
    <row r="13" spans="1:2" x14ac:dyDescent="0.35">
      <c r="A13" t="s">
        <v>305</v>
      </c>
      <c r="B13" t="s">
        <v>193</v>
      </c>
    </row>
    <row r="14" spans="1:2" x14ac:dyDescent="0.35">
      <c r="A14" t="s">
        <v>306</v>
      </c>
      <c r="B14" t="s">
        <v>193</v>
      </c>
    </row>
    <row r="15" spans="1:2" x14ac:dyDescent="0.35">
      <c r="A15" t="s">
        <v>248</v>
      </c>
      <c r="B15" t="s">
        <v>250</v>
      </c>
    </row>
    <row r="16" spans="1:2" x14ac:dyDescent="0.35">
      <c r="A16" t="s">
        <v>308</v>
      </c>
      <c r="B16" t="s">
        <v>250</v>
      </c>
    </row>
  </sheetData>
  <pageMargins left="0.7" right="0.7" top="0.75" bottom="0.75" header="0.3" footer="0.3"/>
  <pageSetup paperSize="9" orientation="portrait" horizontalDpi="4294967293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46CEE6-25DD-48D1-A5A2-82293E495063}">
          <x14:formula1>
            <xm:f>'Room Key'!$A$2:$A$24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V24"/>
  <sheetViews>
    <sheetView zoomScale="80" zoomScaleNormal="80" zoomScaleSheetLayoutView="9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RowHeight="14.5" x14ac:dyDescent="0.35"/>
  <cols>
    <col min="1" max="1" width="20" style="7" bestFit="1" customWidth="1"/>
    <col min="2" max="2" width="18" style="7" bestFit="1" customWidth="1"/>
    <col min="3" max="6" width="18" style="7" customWidth="1"/>
    <col min="7" max="7" width="11.6328125" style="7" bestFit="1" customWidth="1"/>
    <col min="8" max="10" width="18" style="7" customWidth="1"/>
    <col min="11" max="19" width="9.1796875" style="7" bestFit="1" customWidth="1"/>
    <col min="20" max="22" width="10.1796875" style="7" bestFit="1" customWidth="1"/>
  </cols>
  <sheetData>
    <row r="1" spans="1:22" x14ac:dyDescent="0.35">
      <c r="A1" s="6" t="s">
        <v>72</v>
      </c>
      <c r="B1" s="14" t="s">
        <v>151</v>
      </c>
      <c r="C1" s="14" t="s">
        <v>173</v>
      </c>
      <c r="D1" s="15" t="s">
        <v>61</v>
      </c>
      <c r="E1" s="18" t="s">
        <v>174</v>
      </c>
      <c r="F1" s="15" t="s">
        <v>171</v>
      </c>
      <c r="G1" s="18" t="s">
        <v>312</v>
      </c>
      <c r="H1" s="15" t="s">
        <v>152</v>
      </c>
      <c r="I1" s="15" t="s">
        <v>153</v>
      </c>
      <c r="J1" s="15" t="s">
        <v>154</v>
      </c>
      <c r="K1" s="6" t="s">
        <v>73</v>
      </c>
      <c r="L1" s="6" t="s">
        <v>74</v>
      </c>
      <c r="M1" s="6" t="s">
        <v>75</v>
      </c>
      <c r="N1" s="6" t="s">
        <v>76</v>
      </c>
      <c r="O1" s="6" t="s">
        <v>77</v>
      </c>
      <c r="P1" s="6" t="s">
        <v>78</v>
      </c>
      <c r="Q1" s="6" t="s">
        <v>79</v>
      </c>
      <c r="R1" s="6" t="s">
        <v>80</v>
      </c>
      <c r="S1" s="6" t="s">
        <v>81</v>
      </c>
      <c r="T1" s="6" t="s">
        <v>82</v>
      </c>
      <c r="U1" s="6" t="s">
        <v>83</v>
      </c>
      <c r="V1" s="6" t="s">
        <v>84</v>
      </c>
    </row>
    <row r="2" spans="1:22" x14ac:dyDescent="0.35">
      <c r="A2" s="12" t="s">
        <v>187</v>
      </c>
      <c r="B2" s="12">
        <v>18</v>
      </c>
      <c r="C2" s="12">
        <v>0.5</v>
      </c>
      <c r="D2" s="12">
        <v>4</v>
      </c>
      <c r="E2" s="12">
        <f>4.57+1.67+0.96+1.15+1.24</f>
        <v>9.59</v>
      </c>
      <c r="F2" s="17">
        <f>1.84+2.91+4.42+8.36+5.14</f>
        <v>22.67</v>
      </c>
      <c r="G2" s="12">
        <f>E2/F2</f>
        <v>0.42302602558447283</v>
      </c>
      <c r="H2" s="17">
        <f t="shared" ref="H2:H10" si="0">F2*I2</f>
        <v>52.140999999999998</v>
      </c>
      <c r="I2" s="12">
        <v>2.2999999999999998</v>
      </c>
      <c r="J2" s="12" t="s">
        <v>95</v>
      </c>
      <c r="K2" s="13" t="s">
        <v>233</v>
      </c>
      <c r="L2" s="13" t="s">
        <v>234</v>
      </c>
      <c r="M2" s="13" t="s">
        <v>235</v>
      </c>
      <c r="N2" s="13" t="s">
        <v>237</v>
      </c>
      <c r="O2" s="13" t="s">
        <v>236</v>
      </c>
      <c r="P2" s="13" t="s">
        <v>238</v>
      </c>
      <c r="Q2" s="13" t="s">
        <v>267</v>
      </c>
      <c r="R2" s="13" t="s">
        <v>284</v>
      </c>
      <c r="S2" s="12"/>
      <c r="T2" s="12"/>
      <c r="U2" s="12"/>
      <c r="V2" s="12"/>
    </row>
    <row r="3" spans="1:22" x14ac:dyDescent="0.35">
      <c r="A3" s="12" t="s">
        <v>191</v>
      </c>
      <c r="B3" s="12">
        <v>18</v>
      </c>
      <c r="C3" s="12">
        <v>0.5</v>
      </c>
      <c r="D3" s="12">
        <v>4</v>
      </c>
      <c r="E3" s="12">
        <v>6.36</v>
      </c>
      <c r="F3" s="17">
        <v>9.6999999999999993</v>
      </c>
      <c r="G3" s="12">
        <f t="shared" ref="G3:G24" si="1">E3/F3</f>
        <v>0.65567010309278362</v>
      </c>
      <c r="H3" s="17">
        <f t="shared" si="0"/>
        <v>22.309999999999995</v>
      </c>
      <c r="I3" s="12">
        <v>2.2999999999999998</v>
      </c>
      <c r="J3" s="12" t="s">
        <v>95</v>
      </c>
      <c r="K3" s="13" t="s">
        <v>215</v>
      </c>
      <c r="L3" s="13" t="s">
        <v>217</v>
      </c>
      <c r="M3" s="13" t="s">
        <v>218</v>
      </c>
      <c r="N3" s="13" t="s">
        <v>208</v>
      </c>
      <c r="O3" s="12"/>
      <c r="P3" s="12"/>
      <c r="Q3" s="12"/>
      <c r="R3" s="12"/>
      <c r="S3" s="12"/>
      <c r="T3" s="12"/>
      <c r="U3" s="12"/>
      <c r="V3" s="12"/>
    </row>
    <row r="4" spans="1:22" x14ac:dyDescent="0.35">
      <c r="A4" s="12" t="s">
        <v>190</v>
      </c>
      <c r="B4" s="12">
        <v>18</v>
      </c>
      <c r="C4" s="12">
        <v>0.5</v>
      </c>
      <c r="D4" s="12">
        <v>4</v>
      </c>
      <c r="E4" s="12">
        <v>8.7100000000000009</v>
      </c>
      <c r="F4" s="17">
        <v>17.399999999999999</v>
      </c>
      <c r="G4" s="12">
        <f t="shared" si="1"/>
        <v>0.50057471264367825</v>
      </c>
      <c r="H4" s="17">
        <f t="shared" si="0"/>
        <v>40.019999999999996</v>
      </c>
      <c r="I4" s="12">
        <v>2.2999999999999998</v>
      </c>
      <c r="J4" s="12" t="s">
        <v>95</v>
      </c>
      <c r="K4" s="13" t="s">
        <v>219</v>
      </c>
      <c r="L4" s="13" t="s">
        <v>225</v>
      </c>
      <c r="M4" s="13" t="s">
        <v>221</v>
      </c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35">
      <c r="A5" s="12" t="s">
        <v>207</v>
      </c>
      <c r="B5" s="12">
        <v>18</v>
      </c>
      <c r="C5" s="12">
        <v>0.5</v>
      </c>
      <c r="D5" s="12">
        <v>4</v>
      </c>
      <c r="E5" s="12">
        <v>15.82</v>
      </c>
      <c r="F5" s="17">
        <v>37.299999999999997</v>
      </c>
      <c r="G5" s="12">
        <f t="shared" si="1"/>
        <v>0.42412868632707779</v>
      </c>
      <c r="H5" s="17">
        <f t="shared" si="0"/>
        <v>104.43999999999998</v>
      </c>
      <c r="I5" s="12">
        <v>2.8</v>
      </c>
      <c r="J5" s="12" t="s">
        <v>95</v>
      </c>
      <c r="K5" s="13" t="s">
        <v>220</v>
      </c>
      <c r="L5" s="13" t="s">
        <v>222</v>
      </c>
      <c r="M5" s="13" t="s">
        <v>223</v>
      </c>
      <c r="N5" s="13" t="s">
        <v>224</v>
      </c>
      <c r="O5" s="13" t="s">
        <v>287</v>
      </c>
      <c r="P5" s="12"/>
      <c r="Q5" s="12"/>
      <c r="R5" s="12"/>
      <c r="S5" s="12"/>
      <c r="T5" s="12"/>
      <c r="U5" s="12"/>
      <c r="V5" s="12"/>
    </row>
    <row r="6" spans="1:22" x14ac:dyDescent="0.35">
      <c r="A6" s="12" t="s">
        <v>194</v>
      </c>
      <c r="B6" s="12">
        <v>18</v>
      </c>
      <c r="C6" s="12">
        <v>0.5</v>
      </c>
      <c r="D6" s="12">
        <v>4</v>
      </c>
      <c r="E6" s="12">
        <v>6.25</v>
      </c>
      <c r="F6" s="17">
        <v>36.200000000000003</v>
      </c>
      <c r="G6" s="12">
        <f t="shared" si="1"/>
        <v>0.17265193370165743</v>
      </c>
      <c r="H6" s="17">
        <f t="shared" si="0"/>
        <v>86.88000000000001</v>
      </c>
      <c r="I6" s="12">
        <v>2.4</v>
      </c>
      <c r="J6" s="12" t="s">
        <v>95</v>
      </c>
      <c r="K6" s="13" t="s">
        <v>226</v>
      </c>
      <c r="L6" s="13" t="s">
        <v>228</v>
      </c>
      <c r="M6" s="13" t="s">
        <v>288</v>
      </c>
      <c r="N6" s="13" t="s">
        <v>239</v>
      </c>
      <c r="O6" s="12"/>
      <c r="P6" s="12"/>
      <c r="Q6" s="12"/>
      <c r="R6" s="12"/>
      <c r="S6" s="12"/>
      <c r="T6" s="12"/>
      <c r="U6" s="12"/>
      <c r="V6" s="12"/>
    </row>
    <row r="7" spans="1:22" x14ac:dyDescent="0.35">
      <c r="A7" s="12" t="s">
        <v>192</v>
      </c>
      <c r="B7" s="12">
        <v>18</v>
      </c>
      <c r="C7" s="12">
        <v>0.5</v>
      </c>
      <c r="D7" s="12">
        <v>4</v>
      </c>
      <c r="E7" s="12">
        <v>2.42</v>
      </c>
      <c r="F7" s="17">
        <v>5.5</v>
      </c>
      <c r="G7" s="12">
        <f t="shared" si="1"/>
        <v>0.44</v>
      </c>
      <c r="H7" s="17">
        <f t="shared" si="0"/>
        <v>12.649999999999999</v>
      </c>
      <c r="I7" s="12">
        <v>2.2999999999999998</v>
      </c>
      <c r="J7" s="12" t="s">
        <v>95</v>
      </c>
      <c r="K7" s="13" t="s">
        <v>271</v>
      </c>
      <c r="L7" s="13" t="s">
        <v>270</v>
      </c>
      <c r="M7" s="13" t="s">
        <v>291</v>
      </c>
      <c r="N7" s="12"/>
      <c r="O7" s="12"/>
      <c r="P7" s="12"/>
      <c r="Q7" s="12"/>
      <c r="R7" s="12"/>
      <c r="S7" s="12"/>
      <c r="T7" s="12"/>
      <c r="U7" s="12"/>
      <c r="V7" s="12"/>
    </row>
    <row r="8" spans="1:22" x14ac:dyDescent="0.35">
      <c r="A8" s="12" t="s">
        <v>189</v>
      </c>
      <c r="B8" s="12">
        <v>18</v>
      </c>
      <c r="C8" s="12">
        <v>0.5</v>
      </c>
      <c r="D8" s="12">
        <v>4</v>
      </c>
      <c r="E8" s="12" t="s">
        <v>103</v>
      </c>
      <c r="F8" s="17">
        <v>4.3</v>
      </c>
      <c r="G8" s="12" t="s">
        <v>103</v>
      </c>
      <c r="H8" s="17">
        <f t="shared" si="0"/>
        <v>9.8899999999999988</v>
      </c>
      <c r="I8" s="12">
        <v>2.2999999999999998</v>
      </c>
      <c r="J8" s="12" t="s">
        <v>95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x14ac:dyDescent="0.35">
      <c r="A9" s="12" t="s">
        <v>196</v>
      </c>
      <c r="B9" s="12">
        <v>18</v>
      </c>
      <c r="C9" s="12">
        <v>0.5</v>
      </c>
      <c r="D9" s="12">
        <v>4</v>
      </c>
      <c r="E9" s="12">
        <v>11.24</v>
      </c>
      <c r="F9" s="17">
        <v>28.6</v>
      </c>
      <c r="G9" s="12">
        <f t="shared" si="1"/>
        <v>0.39300699300699299</v>
      </c>
      <c r="H9" s="17">
        <f t="shared" si="0"/>
        <v>77.220000000000013</v>
      </c>
      <c r="I9" s="12">
        <v>2.7</v>
      </c>
      <c r="J9" s="12" t="s">
        <v>95</v>
      </c>
      <c r="K9" s="13" t="s">
        <v>227</v>
      </c>
      <c r="L9" s="13" t="s">
        <v>231</v>
      </c>
      <c r="M9" s="13" t="s">
        <v>229</v>
      </c>
      <c r="N9" s="13" t="s">
        <v>292</v>
      </c>
      <c r="O9" s="13" t="s">
        <v>230</v>
      </c>
      <c r="P9" s="12"/>
      <c r="Q9" s="12"/>
      <c r="R9" s="12"/>
      <c r="S9" s="12"/>
      <c r="T9" s="12"/>
      <c r="U9" s="12"/>
      <c r="V9" s="12"/>
    </row>
    <row r="10" spans="1:22" x14ac:dyDescent="0.35">
      <c r="A10" s="12" t="s">
        <v>195</v>
      </c>
      <c r="B10" s="12">
        <v>18</v>
      </c>
      <c r="C10" s="12">
        <v>1.5</v>
      </c>
      <c r="D10" s="12">
        <v>4</v>
      </c>
      <c r="E10" s="12" t="s">
        <v>103</v>
      </c>
      <c r="F10" s="17">
        <v>7</v>
      </c>
      <c r="G10" s="12" t="s">
        <v>103</v>
      </c>
      <c r="H10" s="17">
        <f t="shared" si="0"/>
        <v>16.099999999999998</v>
      </c>
      <c r="I10" s="12">
        <v>2.2999999999999998</v>
      </c>
      <c r="J10" s="12" t="s">
        <v>95</v>
      </c>
      <c r="K10" s="13" t="s">
        <v>295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x14ac:dyDescent="0.35">
      <c r="A11" s="12" t="s">
        <v>293</v>
      </c>
      <c r="B11" s="12">
        <v>18</v>
      </c>
      <c r="C11" s="12">
        <v>0.5</v>
      </c>
      <c r="D11" s="12">
        <v>4</v>
      </c>
      <c r="E11" s="12" t="s">
        <v>103</v>
      </c>
      <c r="F11" s="17">
        <v>2.4</v>
      </c>
      <c r="G11" s="12" t="s">
        <v>103</v>
      </c>
      <c r="H11" s="17">
        <f>I11*F11</f>
        <v>6.48</v>
      </c>
      <c r="I11" s="17">
        <v>2.7</v>
      </c>
      <c r="J11" s="12" t="s">
        <v>95</v>
      </c>
      <c r="K11" s="12" t="s">
        <v>294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x14ac:dyDescent="0.35">
      <c r="A12" s="12" t="s">
        <v>188</v>
      </c>
      <c r="B12" s="12">
        <v>18</v>
      </c>
      <c r="C12" s="12">
        <v>0.5</v>
      </c>
      <c r="D12" s="12">
        <v>4</v>
      </c>
      <c r="E12" s="12" t="s">
        <v>103</v>
      </c>
      <c r="F12" s="17">
        <v>1.1000000000000001</v>
      </c>
      <c r="G12" s="12" t="s">
        <v>103</v>
      </c>
      <c r="H12" s="17">
        <f t="shared" ref="H12:H20" si="2">F12*I12</f>
        <v>2.5299999999999998</v>
      </c>
      <c r="I12" s="12">
        <v>2.2999999999999998</v>
      </c>
      <c r="J12" s="12" t="s">
        <v>95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x14ac:dyDescent="0.35">
      <c r="A13" s="12" t="s">
        <v>193</v>
      </c>
      <c r="B13" s="12" t="s">
        <v>95</v>
      </c>
      <c r="C13" s="12" t="s">
        <v>95</v>
      </c>
      <c r="D13" s="12">
        <v>4</v>
      </c>
      <c r="E13" s="12">
        <v>11.3</v>
      </c>
      <c r="F13" s="17">
        <v>27.4</v>
      </c>
      <c r="G13" s="12">
        <f t="shared" si="1"/>
        <v>0.41240875912408764</v>
      </c>
      <c r="H13" s="17">
        <f>F13*I13</f>
        <v>69.86999999999999</v>
      </c>
      <c r="I13" s="12">
        <v>2.5499999999999998</v>
      </c>
      <c r="J13" s="12" t="s">
        <v>95</v>
      </c>
      <c r="K13" s="13" t="s">
        <v>209</v>
      </c>
      <c r="L13" s="13" t="s">
        <v>311</v>
      </c>
      <c r="M13" s="13" t="s">
        <v>211</v>
      </c>
      <c r="N13" s="13" t="s">
        <v>213</v>
      </c>
      <c r="O13" s="13" t="s">
        <v>214</v>
      </c>
      <c r="P13" s="12"/>
      <c r="Q13" s="12"/>
      <c r="R13" s="12"/>
      <c r="S13" s="12"/>
      <c r="T13" s="12"/>
      <c r="U13" s="12"/>
      <c r="V13" s="12"/>
    </row>
    <row r="14" spans="1:22" x14ac:dyDescent="0.35">
      <c r="A14" s="12" t="s">
        <v>197</v>
      </c>
      <c r="B14" s="12">
        <v>18</v>
      </c>
      <c r="C14" s="12">
        <v>0.5</v>
      </c>
      <c r="D14" s="12">
        <v>4</v>
      </c>
      <c r="E14" s="12">
        <v>1.38</v>
      </c>
      <c r="F14" s="17">
        <v>1.5</v>
      </c>
      <c r="G14" s="12">
        <f t="shared" si="1"/>
        <v>0.91999999999999993</v>
      </c>
      <c r="H14" s="17">
        <f t="shared" si="2"/>
        <v>4.0500000000000007</v>
      </c>
      <c r="I14" s="12">
        <v>2.7</v>
      </c>
      <c r="J14" s="12" t="s">
        <v>95</v>
      </c>
      <c r="K14" s="13" t="s">
        <v>268</v>
      </c>
      <c r="L14" s="13" t="s">
        <v>232</v>
      </c>
      <c r="M14" s="13" t="s">
        <v>285</v>
      </c>
      <c r="N14" s="13" t="s">
        <v>286</v>
      </c>
      <c r="O14" s="12"/>
      <c r="P14" s="12"/>
      <c r="Q14" s="12"/>
      <c r="R14" s="12"/>
      <c r="S14" s="12"/>
      <c r="T14" s="12"/>
      <c r="U14" s="12"/>
      <c r="V14" s="12"/>
    </row>
    <row r="15" spans="1:22" x14ac:dyDescent="0.35">
      <c r="A15" s="12" t="s">
        <v>200</v>
      </c>
      <c r="B15" s="12">
        <v>18</v>
      </c>
      <c r="C15" s="12">
        <v>0.5</v>
      </c>
      <c r="D15" s="12">
        <v>4</v>
      </c>
      <c r="E15" s="12">
        <v>4</v>
      </c>
      <c r="F15" s="17">
        <f>5.96+1.35+4.47+5.03+1.21</f>
        <v>18.020000000000003</v>
      </c>
      <c r="G15" s="12">
        <f t="shared" si="1"/>
        <v>0.2219755826859045</v>
      </c>
      <c r="H15" s="17">
        <f>17.85*2.9+3.8*I15</f>
        <v>60.504999999999995</v>
      </c>
      <c r="I15" s="12">
        <v>2.2999999999999998</v>
      </c>
      <c r="J15" s="12" t="s">
        <v>95</v>
      </c>
      <c r="K15" s="13" t="s">
        <v>239</v>
      </c>
      <c r="L15" s="13" t="s">
        <v>274</v>
      </c>
      <c r="M15" s="13" t="s">
        <v>245</v>
      </c>
      <c r="N15" s="13" t="s">
        <v>296</v>
      </c>
      <c r="O15" s="13" t="s">
        <v>298</v>
      </c>
      <c r="P15" s="12"/>
      <c r="Q15" s="12"/>
      <c r="R15" s="12"/>
      <c r="S15" s="12"/>
      <c r="T15" s="12"/>
      <c r="U15" s="12"/>
      <c r="V15" s="12"/>
    </row>
    <row r="16" spans="1:22" x14ac:dyDescent="0.35">
      <c r="A16" s="12" t="s">
        <v>201</v>
      </c>
      <c r="B16" s="12">
        <v>18</v>
      </c>
      <c r="C16" s="12">
        <v>0.5</v>
      </c>
      <c r="D16" s="12">
        <v>4</v>
      </c>
      <c r="E16" s="12">
        <v>6.9</v>
      </c>
      <c r="F16" s="17">
        <v>11.7</v>
      </c>
      <c r="G16" s="12">
        <f t="shared" si="1"/>
        <v>0.58974358974358976</v>
      </c>
      <c r="H16" s="17">
        <f t="shared" si="2"/>
        <v>26.909999999999997</v>
      </c>
      <c r="I16" s="12">
        <v>2.2999999999999998</v>
      </c>
      <c r="J16" s="12" t="s">
        <v>95</v>
      </c>
      <c r="K16" s="13" t="s">
        <v>275</v>
      </c>
      <c r="L16" s="13" t="s">
        <v>240</v>
      </c>
      <c r="M16" s="13" t="s">
        <v>300</v>
      </c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35">
      <c r="A17" s="12" t="s">
        <v>202</v>
      </c>
      <c r="B17" s="12">
        <v>18</v>
      </c>
      <c r="C17" s="12">
        <v>0.5</v>
      </c>
      <c r="D17" s="12">
        <v>4</v>
      </c>
      <c r="E17" s="12">
        <v>7.5</v>
      </c>
      <c r="F17" s="17">
        <v>15.9</v>
      </c>
      <c r="G17" s="12">
        <f t="shared" si="1"/>
        <v>0.47169811320754718</v>
      </c>
      <c r="H17" s="17">
        <f t="shared" si="2"/>
        <v>36.57</v>
      </c>
      <c r="I17" s="12">
        <v>2.2999999999999998</v>
      </c>
      <c r="J17" s="12" t="s">
        <v>95</v>
      </c>
      <c r="K17" s="13" t="s">
        <v>276</v>
      </c>
      <c r="L17" s="13" t="s">
        <v>241</v>
      </c>
      <c r="M17" s="13" t="s">
        <v>301</v>
      </c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35">
      <c r="A18" s="12" t="s">
        <v>203</v>
      </c>
      <c r="B18" s="12">
        <v>22</v>
      </c>
      <c r="C18" s="12">
        <v>0.5</v>
      </c>
      <c r="D18" s="12">
        <v>4</v>
      </c>
      <c r="E18" s="12">
        <v>3.18</v>
      </c>
      <c r="F18" s="17">
        <v>8.6999999999999993</v>
      </c>
      <c r="G18" s="12">
        <f t="shared" si="1"/>
        <v>0.36551724137931041</v>
      </c>
      <c r="H18" s="17">
        <f t="shared" si="2"/>
        <v>20.009999999999998</v>
      </c>
      <c r="I18" s="12">
        <v>2.2999999999999998</v>
      </c>
      <c r="J18" s="12" t="s">
        <v>95</v>
      </c>
      <c r="K18" s="13" t="s">
        <v>277</v>
      </c>
      <c r="L18" s="13" t="s">
        <v>243</v>
      </c>
      <c r="M18" s="13" t="s">
        <v>302</v>
      </c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35">
      <c r="A19" s="12" t="s">
        <v>198</v>
      </c>
      <c r="B19" s="12">
        <v>18</v>
      </c>
      <c r="C19" s="12">
        <v>0.5</v>
      </c>
      <c r="D19" s="12">
        <v>4</v>
      </c>
      <c r="E19" s="12">
        <v>7.42</v>
      </c>
      <c r="F19" s="17">
        <v>13.7</v>
      </c>
      <c r="G19" s="12">
        <f t="shared" si="1"/>
        <v>0.54160583941605844</v>
      </c>
      <c r="H19" s="17">
        <f t="shared" si="2"/>
        <v>31.509999999999994</v>
      </c>
      <c r="I19" s="12">
        <v>2.2999999999999998</v>
      </c>
      <c r="J19" s="12" t="s">
        <v>95</v>
      </c>
      <c r="K19" s="13" t="s">
        <v>278</v>
      </c>
      <c r="L19" s="13" t="s">
        <v>244</v>
      </c>
      <c r="M19" s="13" t="s">
        <v>304</v>
      </c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35">
      <c r="A20" s="12" t="s">
        <v>204</v>
      </c>
      <c r="B20" s="12">
        <v>18</v>
      </c>
      <c r="C20" s="12">
        <v>0.5</v>
      </c>
      <c r="D20" s="12">
        <v>4</v>
      </c>
      <c r="E20" s="12">
        <v>2.78</v>
      </c>
      <c r="F20" s="17">
        <v>8.8000000000000007</v>
      </c>
      <c r="G20" s="12">
        <f t="shared" si="1"/>
        <v>0.31590909090909086</v>
      </c>
      <c r="H20" s="17">
        <f t="shared" si="2"/>
        <v>20.239999999999998</v>
      </c>
      <c r="I20" s="12">
        <v>2.2999999999999998</v>
      </c>
      <c r="J20" s="12" t="s">
        <v>95</v>
      </c>
      <c r="K20" s="13" t="s">
        <v>279</v>
      </c>
      <c r="L20" s="13" t="s">
        <v>242</v>
      </c>
      <c r="M20" s="13" t="s">
        <v>303</v>
      </c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35">
      <c r="A21" s="12" t="s">
        <v>199</v>
      </c>
      <c r="B21" s="12">
        <v>18</v>
      </c>
      <c r="C21" s="12">
        <v>0.5</v>
      </c>
      <c r="D21" s="12">
        <v>4</v>
      </c>
      <c r="E21" s="12">
        <f>5.66+2.55</f>
        <v>8.2100000000000009</v>
      </c>
      <c r="F21" s="17">
        <v>17.600000000000001</v>
      </c>
      <c r="G21" s="12">
        <f t="shared" si="1"/>
        <v>0.46647727272727274</v>
      </c>
      <c r="H21" s="17">
        <v>32.319000000000003</v>
      </c>
      <c r="I21" s="12">
        <v>2.2999999999999998</v>
      </c>
      <c r="J21" s="12">
        <v>2.2999999999999998</v>
      </c>
      <c r="K21" s="13" t="s">
        <v>280</v>
      </c>
      <c r="L21" s="13" t="s">
        <v>248</v>
      </c>
      <c r="M21" s="13" t="s">
        <v>307</v>
      </c>
      <c r="N21" s="13" t="s">
        <v>246</v>
      </c>
      <c r="O21" s="13" t="s">
        <v>305</v>
      </c>
      <c r="P21" s="13" t="s">
        <v>306</v>
      </c>
      <c r="Q21" s="12"/>
      <c r="R21" s="12"/>
      <c r="S21" s="12"/>
      <c r="T21" s="12"/>
      <c r="U21" s="12"/>
      <c r="V21" s="12"/>
    </row>
    <row r="22" spans="1:22" x14ac:dyDescent="0.35">
      <c r="A22" s="12" t="s">
        <v>205</v>
      </c>
      <c r="B22" s="12">
        <v>18</v>
      </c>
      <c r="C22" s="12">
        <v>0.5</v>
      </c>
      <c r="D22" s="12">
        <v>4</v>
      </c>
      <c r="E22" s="12">
        <v>1.7</v>
      </c>
      <c r="F22" s="17">
        <v>7.1</v>
      </c>
      <c r="G22" s="12">
        <f t="shared" si="1"/>
        <v>0.23943661971830987</v>
      </c>
      <c r="H22" s="17">
        <f>(0.5*(1.13+3.93)*2.33)*1.74</f>
        <v>10.257126000000001</v>
      </c>
      <c r="I22" s="12">
        <v>2.2999999999999998</v>
      </c>
      <c r="J22" s="12">
        <v>2.2999999999999998</v>
      </c>
      <c r="K22" s="13" t="s">
        <v>251</v>
      </c>
      <c r="L22" s="13" t="s">
        <v>247</v>
      </c>
      <c r="M22" s="13" t="s">
        <v>308</v>
      </c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35">
      <c r="A23" s="12" t="s">
        <v>206</v>
      </c>
      <c r="B23" s="12">
        <v>21</v>
      </c>
      <c r="C23" s="12">
        <v>0.5</v>
      </c>
      <c r="D23" s="12">
        <v>4</v>
      </c>
      <c r="E23" s="12">
        <v>2.38</v>
      </c>
      <c r="F23" s="17">
        <v>7.4</v>
      </c>
      <c r="G23" s="12">
        <f t="shared" si="1"/>
        <v>0.32162162162162161</v>
      </c>
      <c r="H23" s="17">
        <f>F23*I23</f>
        <v>17.02</v>
      </c>
      <c r="I23" s="12">
        <v>2.2999999999999998</v>
      </c>
      <c r="J23" s="12" t="s">
        <v>95</v>
      </c>
      <c r="K23" s="13" t="s">
        <v>281</v>
      </c>
      <c r="L23" s="13" t="s">
        <v>249</v>
      </c>
      <c r="M23" s="13" t="s">
        <v>309</v>
      </c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35">
      <c r="A24" s="12" t="s">
        <v>250</v>
      </c>
      <c r="B24" s="12" t="s">
        <v>95</v>
      </c>
      <c r="C24" s="12" t="s">
        <v>95</v>
      </c>
      <c r="D24" s="12">
        <v>4</v>
      </c>
      <c r="E24" s="12">
        <v>8.36</v>
      </c>
      <c r="F24" s="17">
        <v>14.5</v>
      </c>
      <c r="G24" s="12">
        <f t="shared" si="1"/>
        <v>0.57655172413793099</v>
      </c>
      <c r="H24" s="17">
        <f>0.5*3.07*2.38*4.66</f>
        <v>17.024377999999999</v>
      </c>
      <c r="I24" s="12">
        <v>2.2999999999999998</v>
      </c>
      <c r="J24" s="12" t="s">
        <v>95</v>
      </c>
      <c r="K24" s="13" t="s">
        <v>282</v>
      </c>
      <c r="L24" s="13" t="s">
        <v>310</v>
      </c>
      <c r="M24" s="13" t="s">
        <v>266</v>
      </c>
      <c r="N24" s="13" t="s">
        <v>252</v>
      </c>
      <c r="O24" s="12"/>
      <c r="P24" s="12"/>
      <c r="Q24" s="12"/>
      <c r="R24" s="12"/>
      <c r="S24" s="12"/>
      <c r="T24" s="12"/>
      <c r="U24" s="12"/>
      <c r="V24" s="12"/>
    </row>
  </sheetData>
  <sortState xmlns:xlrd2="http://schemas.microsoft.com/office/spreadsheetml/2017/richdata2" ref="A4:V4">
    <sortCondition ref="A4"/>
  </sortState>
  <phoneticPr fontId="3" type="noConversion"/>
  <pageMargins left="0.7" right="0.7" top="0.75" bottom="0.75" header="0.3" footer="0.3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O25"/>
  <sheetViews>
    <sheetView topLeftCell="A19" workbookViewId="0">
      <selection activeCell="D26" sqref="D26"/>
    </sheetView>
  </sheetViews>
  <sheetFormatPr defaultRowHeight="14.5" x14ac:dyDescent="0.35"/>
  <cols>
    <col min="1" max="1" width="25.6328125" style="9" bestFit="1" customWidth="1"/>
    <col min="2" max="2" width="7.1796875" style="9" bestFit="1" customWidth="1"/>
    <col min="3" max="3" width="11.453125" style="9" bestFit="1" customWidth="1"/>
    <col min="4" max="4" width="11.1796875" style="9" bestFit="1" customWidth="1"/>
    <col min="5" max="5" width="12.54296875" style="9" bestFit="1" customWidth="1"/>
    <col min="6" max="6" width="16.81640625" style="9" bestFit="1" customWidth="1"/>
    <col min="7" max="7" width="14.81640625" style="9" bestFit="1" customWidth="1"/>
    <col min="8" max="8" width="6.81640625" style="9" bestFit="1" customWidth="1"/>
    <col min="12" max="12" width="16.54296875" bestFit="1" customWidth="1"/>
  </cols>
  <sheetData>
    <row r="1" spans="1:13" x14ac:dyDescent="0.35">
      <c r="A1" s="8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8" t="s">
        <v>90</v>
      </c>
      <c r="G1" s="8" t="s">
        <v>91</v>
      </c>
      <c r="H1" s="8" t="s">
        <v>92</v>
      </c>
      <c r="L1" s="1" t="s">
        <v>93</v>
      </c>
      <c r="M1" s="1" t="s">
        <v>94</v>
      </c>
    </row>
    <row r="2" spans="1:13" x14ac:dyDescent="0.35">
      <c r="A2" s="9" t="s">
        <v>95</v>
      </c>
      <c r="B2" s="9" t="s">
        <v>95</v>
      </c>
      <c r="C2" s="9" t="s">
        <v>95</v>
      </c>
      <c r="D2" s="9" t="s">
        <v>95</v>
      </c>
      <c r="E2" s="9" t="s">
        <v>95</v>
      </c>
      <c r="F2" s="9" t="s">
        <v>95</v>
      </c>
      <c r="G2" s="9" t="s">
        <v>95</v>
      </c>
      <c r="H2" s="9" t="s">
        <v>95</v>
      </c>
      <c r="L2" t="s">
        <v>86</v>
      </c>
      <c r="M2" t="s">
        <v>96</v>
      </c>
    </row>
    <row r="3" spans="1:13" x14ac:dyDescent="0.35">
      <c r="A3" s="9" t="s">
        <v>97</v>
      </c>
      <c r="B3" s="9">
        <v>2300</v>
      </c>
      <c r="C3" s="9">
        <v>880</v>
      </c>
      <c r="D3" s="9">
        <v>1.4</v>
      </c>
      <c r="E3" s="9">
        <v>0.9</v>
      </c>
      <c r="F3" s="9">
        <v>0</v>
      </c>
      <c r="G3" s="9">
        <v>0.25</v>
      </c>
      <c r="H3" s="9">
        <v>0.75</v>
      </c>
      <c r="L3" t="s">
        <v>98</v>
      </c>
      <c r="M3" t="s">
        <v>99</v>
      </c>
    </row>
    <row r="4" spans="1:13" x14ac:dyDescent="0.35">
      <c r="A4" s="9" t="s">
        <v>100</v>
      </c>
      <c r="B4" s="9">
        <v>2500</v>
      </c>
      <c r="C4" s="9">
        <v>750</v>
      </c>
      <c r="D4" s="9">
        <v>1.4</v>
      </c>
      <c r="E4" s="9">
        <v>0.9</v>
      </c>
      <c r="F4" s="9">
        <v>0.83</v>
      </c>
      <c r="G4" s="9">
        <v>0.1</v>
      </c>
      <c r="H4" s="9">
        <v>7.0000000000000007E-2</v>
      </c>
      <c r="L4" t="s">
        <v>88</v>
      </c>
      <c r="M4" t="s">
        <v>101</v>
      </c>
    </row>
    <row r="5" spans="1:13" x14ac:dyDescent="0.35">
      <c r="A5" s="9" t="s">
        <v>102</v>
      </c>
      <c r="B5" s="9">
        <v>1.2</v>
      </c>
      <c r="C5" s="9">
        <v>1000</v>
      </c>
      <c r="D5" s="9">
        <v>0.25719999999999998</v>
      </c>
      <c r="E5" s="9">
        <v>0</v>
      </c>
      <c r="F5" s="9">
        <v>1</v>
      </c>
      <c r="G5" s="9">
        <v>0</v>
      </c>
      <c r="H5" s="9">
        <v>0</v>
      </c>
      <c r="L5" t="s">
        <v>89</v>
      </c>
      <c r="M5" s="10" t="s">
        <v>103</v>
      </c>
    </row>
    <row r="6" spans="1:13" x14ac:dyDescent="0.35">
      <c r="A6" s="9" t="s">
        <v>104</v>
      </c>
      <c r="B6" s="9">
        <v>130</v>
      </c>
      <c r="C6" s="9">
        <v>2100</v>
      </c>
      <c r="D6" s="9">
        <v>3.9E-2</v>
      </c>
      <c r="E6" s="9">
        <v>0.95</v>
      </c>
      <c r="F6" s="9">
        <v>0</v>
      </c>
      <c r="G6" s="9">
        <v>0.3</v>
      </c>
      <c r="H6" s="9">
        <v>0.7</v>
      </c>
      <c r="L6" t="s">
        <v>90</v>
      </c>
      <c r="M6" s="10" t="s">
        <v>103</v>
      </c>
    </row>
    <row r="7" spans="1:13" x14ac:dyDescent="0.35">
      <c r="A7" s="9" t="s">
        <v>159</v>
      </c>
      <c r="D7" s="9">
        <v>3.7999999999999999E-2</v>
      </c>
      <c r="L7" t="s">
        <v>91</v>
      </c>
      <c r="M7" s="10" t="s">
        <v>103</v>
      </c>
    </row>
    <row r="8" spans="1:13" x14ac:dyDescent="0.35">
      <c r="A8" s="9" t="s">
        <v>160</v>
      </c>
      <c r="D8" s="9">
        <v>3.5000000000000003E-2</v>
      </c>
      <c r="L8" t="s">
        <v>92</v>
      </c>
      <c r="M8" s="10" t="s">
        <v>103</v>
      </c>
    </row>
    <row r="9" spans="1:13" x14ac:dyDescent="0.35">
      <c r="A9" s="9" t="s">
        <v>158</v>
      </c>
      <c r="D9" s="9">
        <v>0.17</v>
      </c>
    </row>
    <row r="10" spans="1:13" x14ac:dyDescent="0.35">
      <c r="A10" s="9" t="s">
        <v>167</v>
      </c>
      <c r="D10" s="9">
        <v>1.26</v>
      </c>
      <c r="L10" t="s">
        <v>105</v>
      </c>
    </row>
    <row r="11" spans="1:13" x14ac:dyDescent="0.35">
      <c r="A11" s="9" t="s">
        <v>168</v>
      </c>
      <c r="D11" s="9">
        <v>2.1999999999999999E-2</v>
      </c>
      <c r="L11" t="s">
        <v>106</v>
      </c>
      <c r="M11" s="11" t="s">
        <v>107</v>
      </c>
    </row>
    <row r="12" spans="1:13" x14ac:dyDescent="0.35">
      <c r="A12" s="9" t="s">
        <v>169</v>
      </c>
      <c r="D12" s="9">
        <v>2.1999999999999999E-2</v>
      </c>
      <c r="L12" t="s">
        <v>108</v>
      </c>
      <c r="M12" s="11" t="s">
        <v>109</v>
      </c>
    </row>
    <row r="13" spans="1:13" x14ac:dyDescent="0.35">
      <c r="A13" s="9" t="s">
        <v>172</v>
      </c>
      <c r="D13" s="9">
        <v>4.3999999999999997E-2</v>
      </c>
    </row>
    <row r="14" spans="1:13" x14ac:dyDescent="0.35">
      <c r="A14" s="9" t="s">
        <v>178</v>
      </c>
      <c r="B14" s="9">
        <v>130</v>
      </c>
      <c r="C14" s="9">
        <v>2100</v>
      </c>
      <c r="D14" s="9">
        <v>3.9E-2</v>
      </c>
    </row>
    <row r="15" spans="1:13" x14ac:dyDescent="0.35">
      <c r="A15" s="9" t="s">
        <v>255</v>
      </c>
      <c r="B15" s="9">
        <v>140</v>
      </c>
      <c r="C15" s="9">
        <v>2100</v>
      </c>
      <c r="D15" s="9">
        <v>4.2000000000000003E-2</v>
      </c>
    </row>
    <row r="16" spans="1:13" x14ac:dyDescent="0.35">
      <c r="A16" s="9" t="s">
        <v>254</v>
      </c>
      <c r="B16" s="9">
        <v>760</v>
      </c>
      <c r="C16" s="9">
        <v>1050</v>
      </c>
      <c r="D16" s="9">
        <v>0.19</v>
      </c>
    </row>
    <row r="17" spans="1:15" x14ac:dyDescent="0.35">
      <c r="A17" s="9" t="s">
        <v>259</v>
      </c>
      <c r="D17" s="9">
        <v>1</v>
      </c>
      <c r="L17" s="9" t="s">
        <v>253</v>
      </c>
      <c r="O17" s="27" t="s">
        <v>256</v>
      </c>
    </row>
    <row r="18" spans="1:15" x14ac:dyDescent="0.35">
      <c r="A18" s="9" t="s">
        <v>260</v>
      </c>
      <c r="D18" s="9">
        <v>0.95</v>
      </c>
    </row>
    <row r="19" spans="1:15" x14ac:dyDescent="0.35">
      <c r="A19" s="9" t="s">
        <v>261</v>
      </c>
      <c r="B19" s="9">
        <v>1500</v>
      </c>
      <c r="D19" s="9">
        <v>0.32</v>
      </c>
      <c r="L19" t="s">
        <v>258</v>
      </c>
      <c r="M19" t="s">
        <v>257</v>
      </c>
    </row>
    <row r="20" spans="1:15" x14ac:dyDescent="0.35">
      <c r="A20" s="9" t="s">
        <v>262</v>
      </c>
      <c r="D20" s="9">
        <v>0.8</v>
      </c>
      <c r="L20" s="9"/>
    </row>
    <row r="21" spans="1:15" x14ac:dyDescent="0.35">
      <c r="A21" s="9" t="s">
        <v>263</v>
      </c>
      <c r="D21" s="9">
        <v>2.1999999999999999E-2</v>
      </c>
    </row>
    <row r="22" spans="1:15" x14ac:dyDescent="0.35">
      <c r="A22" s="9" t="s">
        <v>264</v>
      </c>
      <c r="D22" s="9">
        <v>2.1999999999999999E-2</v>
      </c>
    </row>
    <row r="23" spans="1:15" x14ac:dyDescent="0.35">
      <c r="A23" s="9" t="s">
        <v>265</v>
      </c>
      <c r="D23" s="9">
        <v>0.24</v>
      </c>
    </row>
    <row r="24" spans="1:15" x14ac:dyDescent="0.35">
      <c r="A24" s="9" t="s">
        <v>313</v>
      </c>
      <c r="D24" s="9">
        <v>0.08</v>
      </c>
    </row>
    <row r="25" spans="1:15" x14ac:dyDescent="0.35">
      <c r="A25" s="9" t="s">
        <v>314</v>
      </c>
      <c r="D25" s="9">
        <v>0.2</v>
      </c>
    </row>
  </sheetData>
  <hyperlinks>
    <hyperlink ref="M11" r:id="rId1" xr:uid="{83FF8812-AD8B-4B56-B533-66B78516B298}"/>
    <hyperlink ref="O17" r:id="rId2" xr:uid="{C7A92A8B-CA69-4CBA-A429-95B14E6B93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A24"/>
  <sheetViews>
    <sheetView workbookViewId="0">
      <selection activeCell="A7" sqref="A7"/>
    </sheetView>
  </sheetViews>
  <sheetFormatPr defaultRowHeight="14.5" x14ac:dyDescent="0.35"/>
  <cols>
    <col min="1" max="1" width="14.81640625" bestFit="1" customWidth="1"/>
    <col min="2" max="2" width="10.1796875" bestFit="1" customWidth="1"/>
  </cols>
  <sheetData>
    <row r="1" spans="1:1" x14ac:dyDescent="0.35">
      <c r="A1" s="1" t="s">
        <v>110</v>
      </c>
    </row>
    <row r="2" spans="1:1" x14ac:dyDescent="0.35">
      <c r="A2" t="s">
        <v>111</v>
      </c>
    </row>
    <row r="3" spans="1:1" x14ac:dyDescent="0.35">
      <c r="A3" t="s">
        <v>112</v>
      </c>
    </row>
    <row r="4" spans="1:1" x14ac:dyDescent="0.35">
      <c r="A4" t="s">
        <v>113</v>
      </c>
    </row>
    <row r="5" spans="1:1" x14ac:dyDescent="0.35">
      <c r="A5" t="s">
        <v>114</v>
      </c>
    </row>
    <row r="6" spans="1:1" x14ac:dyDescent="0.35">
      <c r="A6" t="s">
        <v>269</v>
      </c>
    </row>
    <row r="7" spans="1:1" x14ac:dyDescent="0.35">
      <c r="A7" t="s">
        <v>115</v>
      </c>
    </row>
    <row r="8" spans="1:1" x14ac:dyDescent="0.35">
      <c r="A8" t="s">
        <v>116</v>
      </c>
    </row>
    <row r="9" spans="1:1" x14ac:dyDescent="0.35">
      <c r="A9" t="s">
        <v>117</v>
      </c>
    </row>
    <row r="10" spans="1:1" x14ac:dyDescent="0.35">
      <c r="A10" t="s">
        <v>118</v>
      </c>
    </row>
    <row r="11" spans="1:1" x14ac:dyDescent="0.35">
      <c r="A11" t="s">
        <v>119</v>
      </c>
    </row>
    <row r="12" spans="1:1" x14ac:dyDescent="0.35">
      <c r="A12" t="s">
        <v>120</v>
      </c>
    </row>
    <row r="13" spans="1:1" x14ac:dyDescent="0.35">
      <c r="A13" t="s">
        <v>121</v>
      </c>
    </row>
    <row r="14" spans="1:1" x14ac:dyDescent="0.35">
      <c r="A14" t="s">
        <v>122</v>
      </c>
    </row>
    <row r="15" spans="1:1" x14ac:dyDescent="0.35">
      <c r="A15" t="s">
        <v>123</v>
      </c>
    </row>
    <row r="16" spans="1:1" x14ac:dyDescent="0.35">
      <c r="A16" t="s">
        <v>124</v>
      </c>
    </row>
    <row r="17" spans="1:1" x14ac:dyDescent="0.35">
      <c r="A17" t="s">
        <v>125</v>
      </c>
    </row>
    <row r="18" spans="1:1" x14ac:dyDescent="0.35">
      <c r="A18" t="s">
        <v>126</v>
      </c>
    </row>
    <row r="19" spans="1:1" x14ac:dyDescent="0.35">
      <c r="A19" t="s">
        <v>127</v>
      </c>
    </row>
    <row r="20" spans="1:1" x14ac:dyDescent="0.35">
      <c r="A20" t="s">
        <v>128</v>
      </c>
    </row>
    <row r="21" spans="1:1" x14ac:dyDescent="0.35">
      <c r="A21" t="s">
        <v>129</v>
      </c>
    </row>
    <row r="22" spans="1:1" x14ac:dyDescent="0.35">
      <c r="A22" t="s">
        <v>130</v>
      </c>
    </row>
    <row r="23" spans="1:1" x14ac:dyDescent="0.35">
      <c r="A23" t="s">
        <v>131</v>
      </c>
    </row>
    <row r="24" spans="1:1" x14ac:dyDescent="0.35">
      <c r="A24" t="s">
        <v>132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6"/>
  <sheetViews>
    <sheetView topLeftCell="A7" workbookViewId="0">
      <selection activeCell="B20" sqref="B20"/>
    </sheetView>
  </sheetViews>
  <sheetFormatPr defaultRowHeight="14.5" x14ac:dyDescent="0.35"/>
  <cols>
    <col min="1" max="1" width="7.1796875" bestFit="1" customWidth="1"/>
    <col min="2" max="2" width="9.36328125" bestFit="1" customWidth="1"/>
    <col min="3" max="3" width="6.1796875" bestFit="1" customWidth="1"/>
    <col min="4" max="4" width="9.453125" bestFit="1" customWidth="1"/>
    <col min="5" max="5" width="8.453125" customWidth="1"/>
    <col min="6" max="6" width="9.453125" bestFit="1" customWidth="1"/>
    <col min="7" max="7" width="8.453125" customWidth="1"/>
    <col min="8" max="8" width="9.453125" bestFit="1" customWidth="1"/>
    <col min="9" max="9" width="6.81640625" customWidth="1"/>
    <col min="10" max="10" width="9.453125" bestFit="1" customWidth="1"/>
    <col min="11" max="11" width="8" customWidth="1"/>
    <col min="12" max="12" width="9.453125" bestFit="1" customWidth="1"/>
    <col min="13" max="13" width="25.1796875" bestFit="1" customWidth="1"/>
  </cols>
  <sheetData>
    <row r="1" spans="1:13" x14ac:dyDescent="0.35">
      <c r="A1" s="28" t="s">
        <v>133</v>
      </c>
      <c r="B1" s="28"/>
      <c r="C1" s="28" t="s">
        <v>134</v>
      </c>
      <c r="D1" s="28"/>
      <c r="E1" s="28"/>
      <c r="F1" s="28"/>
      <c r="G1" s="28"/>
      <c r="H1" s="28"/>
      <c r="I1" s="28"/>
      <c r="J1" s="28"/>
      <c r="K1" s="28"/>
      <c r="L1" s="28"/>
      <c r="M1" s="29" t="s">
        <v>135</v>
      </c>
    </row>
    <row r="2" spans="1:13" x14ac:dyDescent="0.35">
      <c r="A2" t="s">
        <v>136</v>
      </c>
      <c r="B2" t="s">
        <v>137</v>
      </c>
      <c r="C2" t="s">
        <v>136</v>
      </c>
      <c r="D2" t="s">
        <v>137</v>
      </c>
      <c r="E2" t="s">
        <v>136</v>
      </c>
      <c r="F2" t="s">
        <v>137</v>
      </c>
      <c r="G2" t="s">
        <v>136</v>
      </c>
      <c r="H2" t="s">
        <v>137</v>
      </c>
      <c r="I2" t="s">
        <v>136</v>
      </c>
      <c r="J2" t="s">
        <v>137</v>
      </c>
      <c r="K2" t="s">
        <v>136</v>
      </c>
      <c r="L2" t="s">
        <v>137</v>
      </c>
      <c r="M2" s="29"/>
    </row>
    <row r="3" spans="1:13" x14ac:dyDescent="0.35">
      <c r="A3" s="13" t="s">
        <v>209</v>
      </c>
      <c r="B3" s="2">
        <f>11.3*'Room Key'!I13</f>
        <v>28.815000000000001</v>
      </c>
      <c r="C3" s="13" t="s">
        <v>211</v>
      </c>
      <c r="D3" s="2">
        <f>Elements!Q4</f>
        <v>7</v>
      </c>
      <c r="E3" s="19"/>
      <c r="F3" s="20"/>
      <c r="G3" s="2"/>
      <c r="H3" s="2"/>
      <c r="I3" s="2"/>
      <c r="J3" s="2"/>
      <c r="K3" s="2"/>
      <c r="L3" s="2"/>
      <c r="M3">
        <f>B3-D3-F3-H3-J3-L3</f>
        <v>21.815000000000001</v>
      </c>
    </row>
    <row r="4" spans="1:13" x14ac:dyDescent="0.35">
      <c r="A4" s="13" t="s">
        <v>215</v>
      </c>
      <c r="B4" s="2">
        <f>'Room Key'!E3*'Room Key'!I3</f>
        <v>14.628</v>
      </c>
      <c r="C4" s="13" t="s">
        <v>216</v>
      </c>
      <c r="D4" s="20">
        <f>Elements!Q9</f>
        <v>0.96</v>
      </c>
      <c r="E4" s="2"/>
      <c r="F4" s="2"/>
      <c r="G4" s="2"/>
      <c r="H4" s="2"/>
      <c r="I4" s="2"/>
      <c r="J4" s="2"/>
      <c r="K4" s="2"/>
      <c r="L4" s="2"/>
      <c r="M4">
        <f t="shared" ref="M4:M28" si="0">B4-D4-F4-H4-J4-L4</f>
        <v>13.667999999999999</v>
      </c>
    </row>
    <row r="5" spans="1:13" x14ac:dyDescent="0.35">
      <c r="A5" s="13" t="s">
        <v>219</v>
      </c>
      <c r="B5" s="2">
        <f>'Room Key'!E4*'Room Key'!I4</f>
        <v>20.033000000000001</v>
      </c>
      <c r="C5" s="13" t="s">
        <v>221</v>
      </c>
      <c r="D5" s="2">
        <f>Elements!Q13</f>
        <v>3.1999999999999997</v>
      </c>
      <c r="E5" s="2"/>
      <c r="F5" s="2"/>
      <c r="G5" s="2"/>
      <c r="H5" s="2"/>
      <c r="I5" s="2"/>
      <c r="J5" s="2"/>
      <c r="K5" s="2"/>
      <c r="L5" s="2"/>
      <c r="M5">
        <f t="shared" si="0"/>
        <v>16.833000000000002</v>
      </c>
    </row>
    <row r="6" spans="1:13" x14ac:dyDescent="0.35">
      <c r="A6" s="13" t="s">
        <v>220</v>
      </c>
      <c r="B6" s="2">
        <f>'Room Key'!E5*'Room Key'!I5</f>
        <v>44.295999999999999</v>
      </c>
      <c r="C6" s="2" t="s">
        <v>222</v>
      </c>
      <c r="D6" s="2">
        <f>Elements!Q15</f>
        <v>15.45</v>
      </c>
      <c r="E6" s="2" t="s">
        <v>224</v>
      </c>
      <c r="F6" s="2">
        <f>Elements!Q17</f>
        <v>12</v>
      </c>
      <c r="G6" s="2"/>
      <c r="H6" s="2"/>
      <c r="I6" s="2"/>
      <c r="J6" s="2"/>
      <c r="K6" s="2"/>
      <c r="L6" s="2"/>
      <c r="M6">
        <f t="shared" si="0"/>
        <v>16.846</v>
      </c>
    </row>
    <row r="7" spans="1:13" x14ac:dyDescent="0.35">
      <c r="A7" s="13" t="s">
        <v>227</v>
      </c>
      <c r="B7" s="2">
        <f>7.36*'Room Key'!I9</f>
        <v>19.872000000000003</v>
      </c>
      <c r="C7" s="13" t="s">
        <v>229</v>
      </c>
      <c r="D7" s="2">
        <f>Elements!Q28</f>
        <v>6.5</v>
      </c>
      <c r="E7" s="2"/>
      <c r="F7" s="2"/>
      <c r="G7" s="2"/>
      <c r="H7" s="2"/>
      <c r="I7" s="2"/>
      <c r="J7" s="2"/>
      <c r="K7" s="2"/>
      <c r="L7" s="2"/>
      <c r="M7">
        <f t="shared" si="0"/>
        <v>13.372000000000003</v>
      </c>
    </row>
    <row r="8" spans="1:13" x14ac:dyDescent="0.35">
      <c r="A8" s="13" t="s">
        <v>286</v>
      </c>
      <c r="B8" s="2">
        <f>2.1*'Room Key'!I14</f>
        <v>5.6700000000000008</v>
      </c>
      <c r="C8" s="13" t="s">
        <v>232</v>
      </c>
      <c r="D8" s="20">
        <f>Elements!Q32</f>
        <v>3.2429999999999999</v>
      </c>
      <c r="E8" s="2"/>
      <c r="F8" s="2"/>
      <c r="G8" s="2"/>
      <c r="H8" s="2"/>
      <c r="I8" s="2"/>
      <c r="J8" s="2"/>
      <c r="K8" s="2"/>
      <c r="L8" s="2"/>
      <c r="M8">
        <f t="shared" ref="M8" si="1">B8-D8-F8-H8-J8-L8</f>
        <v>2.4270000000000009</v>
      </c>
    </row>
    <row r="9" spans="1:13" x14ac:dyDescent="0.35">
      <c r="A9" s="13" t="s">
        <v>235</v>
      </c>
      <c r="B9" s="2">
        <f>5.42*'Room Key'!I9</f>
        <v>14.634</v>
      </c>
      <c r="C9" s="2" t="s">
        <v>237</v>
      </c>
      <c r="D9" s="2">
        <f>Elements!Q40</f>
        <v>2.4840000000000004</v>
      </c>
      <c r="E9" s="2"/>
      <c r="F9" s="2"/>
      <c r="G9" s="2"/>
      <c r="H9" s="2"/>
      <c r="I9" s="2"/>
      <c r="J9" s="2"/>
      <c r="K9" s="2"/>
      <c r="L9" s="2"/>
      <c r="M9">
        <f t="shared" si="0"/>
        <v>12.15</v>
      </c>
    </row>
    <row r="10" spans="1:13" x14ac:dyDescent="0.35">
      <c r="A10" s="13" t="s">
        <v>245</v>
      </c>
      <c r="B10" s="2">
        <f>2.9*7.3</f>
        <v>21.169999999999998</v>
      </c>
      <c r="C10" s="2" t="s">
        <v>239</v>
      </c>
      <c r="D10" s="2">
        <f>Elements!Q45</f>
        <v>9.5399999999999991</v>
      </c>
      <c r="E10" s="2"/>
      <c r="F10" s="2"/>
      <c r="G10" s="2"/>
      <c r="H10" s="2"/>
      <c r="I10" s="2"/>
      <c r="J10" s="2"/>
      <c r="K10" s="2"/>
      <c r="L10" s="2"/>
      <c r="M10">
        <f>B10-D10-F10-H10-J10-L10</f>
        <v>11.629999999999999</v>
      </c>
    </row>
    <row r="11" spans="1:13" x14ac:dyDescent="0.35">
      <c r="A11" s="13" t="s">
        <v>275</v>
      </c>
      <c r="B11" s="2">
        <f>'Room Key'!E16*'Room Key'!I16</f>
        <v>15.87</v>
      </c>
      <c r="C11" s="13" t="s">
        <v>240</v>
      </c>
      <c r="D11" s="2">
        <f>Elements!Q51</f>
        <v>2.33</v>
      </c>
      <c r="E11" s="2"/>
      <c r="F11" s="2"/>
      <c r="G11" s="2"/>
      <c r="H11" s="2"/>
      <c r="I11" s="2"/>
      <c r="J11" s="2"/>
      <c r="K11" s="2"/>
      <c r="L11" s="2"/>
      <c r="M11">
        <f t="shared" si="0"/>
        <v>13.54</v>
      </c>
    </row>
    <row r="12" spans="1:13" x14ac:dyDescent="0.35">
      <c r="A12" s="13" t="s">
        <v>276</v>
      </c>
      <c r="B12" s="2">
        <f>'Room Key'!E17*'Room Key'!I17</f>
        <v>17.25</v>
      </c>
      <c r="C12" s="2" t="s">
        <v>241</v>
      </c>
      <c r="D12" s="2">
        <f>Elements!Q54</f>
        <v>3.6</v>
      </c>
      <c r="E12" s="2"/>
      <c r="F12" s="2"/>
      <c r="G12" s="2"/>
      <c r="H12" s="2"/>
      <c r="I12" s="2"/>
      <c r="J12" s="2"/>
      <c r="K12" s="2"/>
      <c r="L12" s="2"/>
      <c r="M12">
        <f t="shared" si="0"/>
        <v>13.65</v>
      </c>
    </row>
    <row r="13" spans="1:13" x14ac:dyDescent="0.35">
      <c r="A13" s="13" t="s">
        <v>277</v>
      </c>
      <c r="B13" s="2">
        <f>'Room Key'!E18*'Room Key'!I18</f>
        <v>7.3140000000000001</v>
      </c>
      <c r="C13" s="2" t="s">
        <v>243</v>
      </c>
      <c r="D13" s="2">
        <f>Elements!Q57</f>
        <v>2.4700000000000002</v>
      </c>
      <c r="E13" s="2"/>
      <c r="F13" s="2"/>
      <c r="G13" s="2"/>
      <c r="H13" s="2"/>
      <c r="I13" s="2"/>
      <c r="J13" s="2"/>
      <c r="K13" s="2"/>
      <c r="L13" s="2"/>
      <c r="M13">
        <f t="shared" si="0"/>
        <v>4.8439999999999994</v>
      </c>
    </row>
    <row r="14" spans="1:13" x14ac:dyDescent="0.35">
      <c r="A14" s="13" t="s">
        <v>278</v>
      </c>
      <c r="B14" s="2">
        <f>'Room Key'!E19*'Room Key'!I19</f>
        <v>17.065999999999999</v>
      </c>
      <c r="C14" s="13" t="s">
        <v>244</v>
      </c>
      <c r="D14" s="2">
        <f>Elements!Q60</f>
        <v>3.7</v>
      </c>
      <c r="E14" s="2"/>
      <c r="F14" s="2"/>
      <c r="G14" s="2"/>
      <c r="H14" s="2"/>
      <c r="I14" s="2"/>
      <c r="J14" s="2"/>
      <c r="K14" s="2"/>
      <c r="L14" s="2"/>
      <c r="M14">
        <f t="shared" si="0"/>
        <v>13.366</v>
      </c>
    </row>
    <row r="15" spans="1:13" x14ac:dyDescent="0.35">
      <c r="A15" s="13" t="s">
        <v>279</v>
      </c>
      <c r="B15" s="2">
        <f>'Room Key'!E20*'Room Key'!I20</f>
        <v>6.3939999999999992</v>
      </c>
      <c r="C15" s="2" t="s">
        <v>242</v>
      </c>
      <c r="D15" s="2">
        <f>Elements!Q63</f>
        <v>0.96</v>
      </c>
      <c r="E15" s="2"/>
      <c r="F15" s="2"/>
      <c r="G15" s="2"/>
      <c r="H15" s="2"/>
      <c r="I15" s="2"/>
      <c r="J15" s="2"/>
      <c r="K15" s="2"/>
      <c r="L15" s="2"/>
      <c r="M15">
        <f t="shared" si="0"/>
        <v>5.4339999999999993</v>
      </c>
    </row>
    <row r="16" spans="1:13" x14ac:dyDescent="0.35">
      <c r="A16" s="13" t="s">
        <v>307</v>
      </c>
      <c r="B16" s="13">
        <f>3.6*5.7</f>
        <v>20.52</v>
      </c>
      <c r="C16" s="13" t="s">
        <v>246</v>
      </c>
      <c r="D16" s="2">
        <f>Elements!Q68</f>
        <v>3.4499999999999997</v>
      </c>
      <c r="E16" s="2"/>
      <c r="F16" s="2"/>
      <c r="G16" s="2"/>
      <c r="H16" s="2"/>
      <c r="I16" s="2"/>
      <c r="J16" s="2"/>
      <c r="K16" s="2"/>
      <c r="L16" s="2"/>
      <c r="M16">
        <f t="shared" si="0"/>
        <v>17.07</v>
      </c>
    </row>
    <row r="17" spans="1:13" x14ac:dyDescent="0.35">
      <c r="A17" s="13" t="s">
        <v>251</v>
      </c>
      <c r="B17" s="2">
        <f>3.6*1.8</f>
        <v>6.48</v>
      </c>
      <c r="C17" s="2" t="s">
        <v>247</v>
      </c>
      <c r="D17" s="2">
        <f>1.5*1.15</f>
        <v>1.7249999999999999</v>
      </c>
      <c r="E17" s="2"/>
      <c r="F17" s="2"/>
      <c r="G17" s="2"/>
      <c r="H17" s="2"/>
      <c r="I17" s="2"/>
      <c r="J17" s="2"/>
      <c r="K17" s="2"/>
      <c r="L17" s="2"/>
      <c r="M17">
        <f t="shared" si="0"/>
        <v>4.7550000000000008</v>
      </c>
    </row>
    <row r="18" spans="1:13" x14ac:dyDescent="0.35">
      <c r="A18" s="13" t="s">
        <v>281</v>
      </c>
      <c r="B18" s="2">
        <f>'Room Key'!E23*'Room Key'!I23</f>
        <v>5.4739999999999993</v>
      </c>
      <c r="C18" s="2" t="s">
        <v>249</v>
      </c>
      <c r="D18" s="2">
        <f>Elements!Q75</f>
        <v>0.78</v>
      </c>
      <c r="E18" s="2"/>
      <c r="F18" s="2"/>
      <c r="G18" s="2"/>
      <c r="H18" s="2"/>
      <c r="I18" s="2"/>
      <c r="J18" s="2"/>
      <c r="K18" s="2"/>
      <c r="L18" s="2"/>
      <c r="M18">
        <f t="shared" si="0"/>
        <v>4.6939999999999991</v>
      </c>
    </row>
    <row r="19" spans="1:13" x14ac:dyDescent="0.35">
      <c r="A19" s="13" t="s">
        <v>282</v>
      </c>
      <c r="B19" s="2">
        <f>9.9</f>
        <v>9.9</v>
      </c>
      <c r="C19" s="2" t="s">
        <v>252</v>
      </c>
      <c r="D19" s="2">
        <f>Elements!Q80</f>
        <v>0.45</v>
      </c>
      <c r="E19" s="2"/>
      <c r="F19" s="2"/>
      <c r="G19" s="2"/>
      <c r="H19" s="2"/>
      <c r="I19" s="2"/>
      <c r="J19" s="2"/>
      <c r="K19" s="2"/>
      <c r="L19" s="2"/>
      <c r="M19">
        <f t="shared" si="0"/>
        <v>9.4500000000000011</v>
      </c>
    </row>
    <row r="20" spans="1:13" x14ac:dyDescent="0.35">
      <c r="A20" s="13" t="s">
        <v>288</v>
      </c>
      <c r="B20" s="2">
        <v>21.58</v>
      </c>
      <c r="C20" s="2" t="s">
        <v>289</v>
      </c>
      <c r="D20" s="2">
        <f>Elements!Q22</f>
        <v>6.12</v>
      </c>
      <c r="E20" s="2"/>
      <c r="F20" s="2"/>
      <c r="G20" s="2"/>
      <c r="H20" s="2"/>
      <c r="I20" s="2"/>
      <c r="J20" s="2"/>
      <c r="K20" s="2"/>
      <c r="L20" s="2"/>
      <c r="M20">
        <f t="shared" si="0"/>
        <v>15.459999999999997</v>
      </c>
    </row>
    <row r="21" spans="1:13" x14ac:dyDescent="0.35">
      <c r="A21" s="13"/>
      <c r="B21" s="13"/>
      <c r="C21" s="2"/>
      <c r="D21" s="2"/>
      <c r="E21" s="2"/>
      <c r="F21" s="2"/>
      <c r="G21" s="2"/>
      <c r="H21" s="2"/>
      <c r="I21" s="2"/>
      <c r="J21" s="2"/>
      <c r="K21" s="2"/>
      <c r="L21" s="2"/>
      <c r="M21">
        <f t="shared" si="0"/>
        <v>0</v>
      </c>
    </row>
    <row r="22" spans="1:13" x14ac:dyDescent="0.35">
      <c r="A22" s="1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>
        <f t="shared" si="0"/>
        <v>0</v>
      </c>
    </row>
    <row r="23" spans="1:13" x14ac:dyDescent="0.35">
      <c r="A23" s="1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>
        <f t="shared" si="0"/>
        <v>0</v>
      </c>
    </row>
    <row r="24" spans="1:13" x14ac:dyDescent="0.35">
      <c r="A24" s="1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>
        <f t="shared" si="0"/>
        <v>0</v>
      </c>
    </row>
    <row r="25" spans="1:13" x14ac:dyDescent="0.35">
      <c r="A25" s="1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>
        <f t="shared" si="0"/>
        <v>0</v>
      </c>
    </row>
    <row r="26" spans="1:13" x14ac:dyDescent="0.35">
      <c r="A26" s="1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>
        <f t="shared" si="0"/>
        <v>0</v>
      </c>
    </row>
    <row r="27" spans="1:13" x14ac:dyDescent="0.35">
      <c r="A27" s="1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>
        <f t="shared" si="0"/>
        <v>0</v>
      </c>
    </row>
    <row r="28" spans="1:13" x14ac:dyDescent="0.35">
      <c r="A28" s="1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>
        <f t="shared" si="0"/>
        <v>0</v>
      </c>
    </row>
    <row r="29" spans="1:13" x14ac:dyDescent="0.35">
      <c r="A29" s="1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>
        <f t="shared" ref="M29:M36" si="2">B29-D29-F29-H29-J29-L29</f>
        <v>0</v>
      </c>
    </row>
    <row r="30" spans="1:13" x14ac:dyDescent="0.35">
      <c r="A30" s="1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>
        <f t="shared" si="2"/>
        <v>0</v>
      </c>
    </row>
    <row r="31" spans="1:13" x14ac:dyDescent="0.35">
      <c r="A31" s="1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>
        <f t="shared" si="2"/>
        <v>0</v>
      </c>
    </row>
    <row r="32" spans="1:13" x14ac:dyDescent="0.35">
      <c r="A32" s="1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>
        <f>B32-D32-F32-H32-J32-L32</f>
        <v>0</v>
      </c>
    </row>
    <row r="33" spans="1:13" x14ac:dyDescent="0.35">
      <c r="A33" s="1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>
        <f t="shared" si="2"/>
        <v>0</v>
      </c>
    </row>
    <row r="34" spans="1:13" x14ac:dyDescent="0.35">
      <c r="A34" s="1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>
        <f t="shared" si="2"/>
        <v>0</v>
      </c>
    </row>
    <row r="35" spans="1:13" x14ac:dyDescent="0.35">
      <c r="A35" s="1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>
        <f t="shared" si="2"/>
        <v>0</v>
      </c>
    </row>
    <row r="36" spans="1:13" x14ac:dyDescent="0.35">
      <c r="A36" s="1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>
        <f t="shared" si="2"/>
        <v>0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406F-8E0F-4D2D-B4D1-587DEC48D535}">
  <dimension ref="A1:A31"/>
  <sheetViews>
    <sheetView topLeftCell="A15" workbookViewId="0">
      <selection activeCell="A32" sqref="A32"/>
    </sheetView>
  </sheetViews>
  <sheetFormatPr defaultRowHeight="14.5" x14ac:dyDescent="0.35"/>
  <cols>
    <col min="1" max="1" width="14" bestFit="1" customWidth="1"/>
  </cols>
  <sheetData>
    <row r="1" spans="1:1" x14ac:dyDescent="0.35">
      <c r="A1" s="1" t="s">
        <v>138</v>
      </c>
    </row>
    <row r="2" spans="1:1" x14ac:dyDescent="0.35">
      <c r="A2" t="s">
        <v>95</v>
      </c>
    </row>
    <row r="3" spans="1:1" x14ac:dyDescent="0.35">
      <c r="A3" t="s">
        <v>139</v>
      </c>
    </row>
    <row r="4" spans="1:1" x14ac:dyDescent="0.35">
      <c r="A4" t="s">
        <v>140</v>
      </c>
    </row>
    <row r="5" spans="1:1" x14ac:dyDescent="0.35">
      <c r="A5" t="s">
        <v>141</v>
      </c>
    </row>
    <row r="6" spans="1:1" x14ac:dyDescent="0.35">
      <c r="A6" t="s">
        <v>142</v>
      </c>
    </row>
    <row r="7" spans="1:1" x14ac:dyDescent="0.35">
      <c r="A7" t="s">
        <v>143</v>
      </c>
    </row>
    <row r="8" spans="1:1" x14ac:dyDescent="0.35">
      <c r="A8" t="s">
        <v>144</v>
      </c>
    </row>
    <row r="9" spans="1:1" x14ac:dyDescent="0.35">
      <c r="A9" t="s">
        <v>145</v>
      </c>
    </row>
    <row r="10" spans="1:1" x14ac:dyDescent="0.35">
      <c r="A10" t="s">
        <v>146</v>
      </c>
    </row>
    <row r="11" spans="1:1" x14ac:dyDescent="0.35">
      <c r="A11" t="s">
        <v>155</v>
      </c>
    </row>
    <row r="12" spans="1:1" x14ac:dyDescent="0.35">
      <c r="A12" t="s">
        <v>297</v>
      </c>
    </row>
    <row r="13" spans="1:1" x14ac:dyDescent="0.35">
      <c r="A13" t="s">
        <v>161</v>
      </c>
    </row>
    <row r="14" spans="1:1" x14ac:dyDescent="0.35">
      <c r="A14" t="s">
        <v>162</v>
      </c>
    </row>
    <row r="15" spans="1:1" x14ac:dyDescent="0.35">
      <c r="A15" t="s">
        <v>163</v>
      </c>
    </row>
    <row r="16" spans="1:1" x14ac:dyDescent="0.35">
      <c r="A16" t="s">
        <v>164</v>
      </c>
    </row>
    <row r="17" spans="1:1" x14ac:dyDescent="0.35">
      <c r="A17" t="s">
        <v>165</v>
      </c>
    </row>
    <row r="18" spans="1:1" x14ac:dyDescent="0.35">
      <c r="A18" t="s">
        <v>166</v>
      </c>
    </row>
    <row r="19" spans="1:1" x14ac:dyDescent="0.35">
      <c r="A19" t="s">
        <v>156</v>
      </c>
    </row>
    <row r="20" spans="1:1" x14ac:dyDescent="0.35">
      <c r="A20" t="s">
        <v>157</v>
      </c>
    </row>
    <row r="21" spans="1:1" x14ac:dyDescent="0.35">
      <c r="A21" t="s">
        <v>272</v>
      </c>
    </row>
    <row r="22" spans="1:1" x14ac:dyDescent="0.35">
      <c r="A22" t="s">
        <v>283</v>
      </c>
    </row>
    <row r="23" spans="1:1" x14ac:dyDescent="0.35">
      <c r="A23" t="s">
        <v>170</v>
      </c>
    </row>
    <row r="24" spans="1:1" x14ac:dyDescent="0.35">
      <c r="A24" t="s">
        <v>212</v>
      </c>
    </row>
    <row r="25" spans="1:1" x14ac:dyDescent="0.35">
      <c r="A25" t="s">
        <v>175</v>
      </c>
    </row>
    <row r="26" spans="1:1" x14ac:dyDescent="0.35">
      <c r="A26" t="s">
        <v>210</v>
      </c>
    </row>
    <row r="27" spans="1:1" x14ac:dyDescent="0.35">
      <c r="A27" t="s">
        <v>273</v>
      </c>
    </row>
    <row r="28" spans="1:1" x14ac:dyDescent="0.35">
      <c r="A28" t="s">
        <v>290</v>
      </c>
    </row>
    <row r="29" spans="1:1" x14ac:dyDescent="0.35">
      <c r="A29" t="s">
        <v>299</v>
      </c>
    </row>
    <row r="30" spans="1:1" x14ac:dyDescent="0.35">
      <c r="A30" t="s">
        <v>315</v>
      </c>
    </row>
    <row r="31" spans="1:1" x14ac:dyDescent="0.35">
      <c r="A31" t="s">
        <v>316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AC05-43EE-4F90-92D7-0F7DFFBDA076}">
  <dimension ref="A1:G6"/>
  <sheetViews>
    <sheetView workbookViewId="0">
      <selection activeCell="A19" sqref="A19:XFD19"/>
    </sheetView>
  </sheetViews>
  <sheetFormatPr defaultRowHeight="14.5" x14ac:dyDescent="0.35"/>
  <cols>
    <col min="1" max="1" width="13.90625" bestFit="1" customWidth="1"/>
    <col min="2" max="2" width="21.81640625" bestFit="1" customWidth="1"/>
    <col min="3" max="3" width="19.1796875" bestFit="1" customWidth="1"/>
    <col min="4" max="4" width="14.1796875" bestFit="1" customWidth="1"/>
    <col min="5" max="5" width="23.453125" bestFit="1" customWidth="1"/>
    <col min="6" max="6" width="13.81640625" bestFit="1" customWidth="1"/>
    <col min="7" max="7" width="16.453125" bestFit="1" customWidth="1"/>
  </cols>
  <sheetData>
    <row r="1" spans="1:7" x14ac:dyDescent="0.35">
      <c r="A1" s="21" t="s">
        <v>72</v>
      </c>
      <c r="B1" s="21" t="s">
        <v>180</v>
      </c>
      <c r="C1" s="1" t="s">
        <v>179</v>
      </c>
      <c r="D1" s="1" t="s">
        <v>171</v>
      </c>
      <c r="E1" s="1" t="s">
        <v>182</v>
      </c>
      <c r="F1" s="1" t="s">
        <v>184</v>
      </c>
      <c r="G1" s="1" t="s">
        <v>185</v>
      </c>
    </row>
    <row r="2" spans="1:7" x14ac:dyDescent="0.35">
      <c r="D2" s="22"/>
      <c r="F2" s="25"/>
    </row>
    <row r="3" spans="1:7" x14ac:dyDescent="0.35">
      <c r="A3" s="1" t="s">
        <v>181</v>
      </c>
      <c r="E3" s="22">
        <f>SUM(E2:E2)</f>
        <v>0</v>
      </c>
      <c r="F3" s="22">
        <f>SUM(F2:F2)</f>
        <v>0</v>
      </c>
      <c r="G3">
        <f>SUM(G2:G2)</f>
        <v>0</v>
      </c>
    </row>
    <row r="4" spans="1:7" x14ac:dyDescent="0.35">
      <c r="D4" s="23" t="s">
        <v>183</v>
      </c>
      <c r="E4" s="24">
        <f>((SUM('Room Key'!F4:F4)-Insulation!E3)-SUM('Room Key'!F4:F4))/SUM('Room Key'!F4:F4)</f>
        <v>0</v>
      </c>
    </row>
    <row r="6" spans="1:7" x14ac:dyDescent="0.35">
      <c r="D6" s="23" t="s">
        <v>186</v>
      </c>
      <c r="E6">
        <v>50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1C59AB-0E27-49B6-AB24-0A12EB5B5F81}">
          <x14:formula1>
            <xm:f>'Room Key'!$A$4:$A$4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5"/>
  <sheetViews>
    <sheetView workbookViewId="0">
      <selection activeCell="A26" sqref="A26"/>
    </sheetView>
  </sheetViews>
  <sheetFormatPr defaultRowHeight="14.5" x14ac:dyDescent="0.35"/>
  <cols>
    <col min="1" max="1" width="13.1796875" bestFit="1" customWidth="1"/>
    <col min="2" max="2" width="15.54296875" bestFit="1" customWidth="1"/>
    <col min="3" max="3" width="10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s="2">
        <v>300</v>
      </c>
      <c r="C2" t="s">
        <v>4</v>
      </c>
    </row>
    <row r="3" spans="1:3" x14ac:dyDescent="0.35">
      <c r="A3" t="s">
        <v>5</v>
      </c>
      <c r="B3" s="3">
        <v>1E-3</v>
      </c>
      <c r="C3" t="s">
        <v>6</v>
      </c>
    </row>
    <row r="4" spans="1:3" x14ac:dyDescent="0.35">
      <c r="A4" t="s">
        <v>7</v>
      </c>
      <c r="B4" s="3">
        <v>10000</v>
      </c>
      <c r="C4" t="s">
        <v>8</v>
      </c>
    </row>
    <row r="5" spans="1:3" x14ac:dyDescent="0.35">
      <c r="A5" t="s">
        <v>9</v>
      </c>
      <c r="B5" s="2">
        <v>40</v>
      </c>
      <c r="C5" t="s">
        <v>10</v>
      </c>
    </row>
    <row r="6" spans="1:3" x14ac:dyDescent="0.35">
      <c r="A6" t="s">
        <v>11</v>
      </c>
      <c r="B6" s="2">
        <v>26</v>
      </c>
      <c r="C6" t="s">
        <v>12</v>
      </c>
    </row>
    <row r="7" spans="1:3" x14ac:dyDescent="0.35">
      <c r="A7" t="s">
        <v>13</v>
      </c>
      <c r="B7" s="2">
        <v>20</v>
      </c>
      <c r="C7" t="s">
        <v>14</v>
      </c>
    </row>
    <row r="8" spans="1:3" x14ac:dyDescent="0.35">
      <c r="A8" t="s">
        <v>15</v>
      </c>
      <c r="B8" s="2">
        <f>20+273.15</f>
        <v>293.14999999999998</v>
      </c>
      <c r="C8" t="s">
        <v>16</v>
      </c>
    </row>
    <row r="9" spans="1:3" x14ac:dyDescent="0.35">
      <c r="A9" t="s">
        <v>17</v>
      </c>
      <c r="B9" s="2">
        <v>1</v>
      </c>
      <c r="C9" t="s">
        <v>18</v>
      </c>
    </row>
    <row r="10" spans="1:3" x14ac:dyDescent="0.35">
      <c r="A10" t="s">
        <v>19</v>
      </c>
      <c r="B10" s="2">
        <v>4</v>
      </c>
      <c r="C10" t="s">
        <v>20</v>
      </c>
    </row>
    <row r="11" spans="1:3" x14ac:dyDescent="0.35">
      <c r="A11" t="s">
        <v>21</v>
      </c>
      <c r="B11" s="2">
        <v>10</v>
      </c>
      <c r="C11" t="s">
        <v>22</v>
      </c>
    </row>
    <row r="12" spans="1:3" x14ac:dyDescent="0.35">
      <c r="A12" t="s">
        <v>23</v>
      </c>
      <c r="B12" s="2">
        <v>0.2</v>
      </c>
      <c r="C12" t="s">
        <v>24</v>
      </c>
    </row>
    <row r="13" spans="1:3" x14ac:dyDescent="0.35">
      <c r="A13" t="s">
        <v>25</v>
      </c>
      <c r="B13" s="2">
        <v>51</v>
      </c>
      <c r="C13" t="s">
        <v>26</v>
      </c>
    </row>
    <row r="14" spans="1:3" x14ac:dyDescent="0.35">
      <c r="A14" t="s">
        <v>27</v>
      </c>
      <c r="B14" s="2">
        <v>100</v>
      </c>
      <c r="C14" t="s">
        <v>28</v>
      </c>
    </row>
    <row r="15" spans="1:3" x14ac:dyDescent="0.35">
      <c r="A15" t="s">
        <v>29</v>
      </c>
      <c r="B15" s="2">
        <v>20</v>
      </c>
      <c r="C15" t="s">
        <v>30</v>
      </c>
    </row>
    <row r="16" spans="1:3" x14ac:dyDescent="0.35">
      <c r="A16" t="s">
        <v>31</v>
      </c>
      <c r="B16" s="2">
        <v>-1</v>
      </c>
      <c r="C16" t="s">
        <v>32</v>
      </c>
    </row>
    <row r="17" spans="1:3" x14ac:dyDescent="0.35">
      <c r="A17" t="s">
        <v>33</v>
      </c>
      <c r="B17" s="4" t="s">
        <v>34</v>
      </c>
      <c r="C17" t="s">
        <v>35</v>
      </c>
    </row>
    <row r="18" spans="1:3" x14ac:dyDescent="0.35">
      <c r="A18" t="s">
        <v>36</v>
      </c>
      <c r="B18" s="5">
        <v>36527.5</v>
      </c>
      <c r="C18" t="s">
        <v>37</v>
      </c>
    </row>
    <row r="19" spans="1:3" x14ac:dyDescent="0.35">
      <c r="A19" t="s">
        <v>38</v>
      </c>
      <c r="B19" s="5">
        <v>36529.75</v>
      </c>
      <c r="C19" t="s">
        <v>39</v>
      </c>
    </row>
    <row r="20" spans="1:3" x14ac:dyDescent="0.35">
      <c r="A20" t="s">
        <v>40</v>
      </c>
      <c r="B20" s="2">
        <v>10</v>
      </c>
      <c r="C20" t="s">
        <v>41</v>
      </c>
    </row>
    <row r="21" spans="1:3" x14ac:dyDescent="0.35">
      <c r="A21" t="s">
        <v>42</v>
      </c>
      <c r="B21" s="2">
        <f>SUM('Room Key'!H:H)</f>
        <v>776.94650399999989</v>
      </c>
      <c r="C21" t="s">
        <v>43</v>
      </c>
    </row>
    <row r="22" spans="1:3" x14ac:dyDescent="0.35">
      <c r="A22" t="s">
        <v>147</v>
      </c>
      <c r="B22" s="2">
        <v>1500</v>
      </c>
      <c r="C22" t="s">
        <v>44</v>
      </c>
    </row>
    <row r="23" spans="1:3" x14ac:dyDescent="0.35">
      <c r="A23" t="s">
        <v>148</v>
      </c>
      <c r="B23" s="2">
        <v>1900</v>
      </c>
      <c r="C23" t="s">
        <v>45</v>
      </c>
    </row>
    <row r="24" spans="1:3" x14ac:dyDescent="0.35">
      <c r="A24" t="s">
        <v>149</v>
      </c>
      <c r="B24" s="2">
        <v>0.3</v>
      </c>
      <c r="C24" t="s">
        <v>46</v>
      </c>
    </row>
    <row r="25" spans="1:3" x14ac:dyDescent="0.35">
      <c r="A25" t="s">
        <v>150</v>
      </c>
      <c r="B25" s="2">
        <v>10</v>
      </c>
      <c r="C25" t="s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Props1.xml><?xml version="1.0" encoding="utf-8"?>
<ds:datastoreItem xmlns:ds="http://schemas.openxmlformats.org/officeDocument/2006/customXml" ds:itemID="{7A0A17FF-D506-49DC-BFB6-9F5490446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  <ds:schemaRef ds:uri="9da34839-94b1-4adb-9ce9-2bf1180dd981"/>
    <ds:schemaRef ds:uri="e21e7998-6f05-4771-9945-6b2b40d9b8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Elements</vt:lpstr>
      <vt:lpstr>IW</vt:lpstr>
      <vt:lpstr>Room Key</vt:lpstr>
      <vt:lpstr>Materials</vt:lpstr>
      <vt:lpstr>Element Types</vt:lpstr>
      <vt:lpstr>Effective Area</vt:lpstr>
      <vt:lpstr>U-Value Type</vt:lpstr>
      <vt:lpstr>Insulation</vt:lpstr>
      <vt:lpstr>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</dc:creator>
  <cp:keywords/>
  <dc:description/>
  <cp:lastModifiedBy>Charlie</cp:lastModifiedBy>
  <cp:revision/>
  <dcterms:created xsi:type="dcterms:W3CDTF">2022-04-01T17:24:56Z</dcterms:created>
  <dcterms:modified xsi:type="dcterms:W3CDTF">2022-09-13T08:30:18Z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