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a.angeli\Downloads\"/>
    </mc:Choice>
  </mc:AlternateContent>
  <xr:revisionPtr revIDLastSave="0" documentId="13_ncr:1_{548E9B7D-A1A6-4B70-B7EB-85A01D8BD4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º Quadrimestre22" sheetId="111" r:id="rId1"/>
    <sheet name="Balanço Orçamentário" sheetId="113" r:id="rId2"/>
    <sheet name="Primário e nominal" sheetId="114" r:id="rId3"/>
    <sheet name="Restos a pagar" sheetId="115" r:id="rId4"/>
    <sheet name="Gestão fical" sheetId="116" r:id="rId5"/>
    <sheet name="Receita Corrente Líquida" sheetId="117" r:id="rId6"/>
    <sheet name="Despesa de pessoal" sheetId="118" r:id="rId7"/>
  </sheets>
  <definedNames>
    <definedName name="_xlnm.Print_Area" localSheetId="0">'2º Quadrimestre22'!$A$2:$L$99</definedName>
  </definedNames>
  <calcPr calcId="191029"/>
</workbook>
</file>

<file path=xl/calcChain.xml><?xml version="1.0" encoding="utf-8"?>
<calcChain xmlns="http://schemas.openxmlformats.org/spreadsheetml/2006/main">
  <c r="B28" i="118" l="1"/>
  <c r="N27" i="118"/>
  <c r="M27" i="118"/>
  <c r="L27" i="118"/>
  <c r="K27" i="118"/>
  <c r="J27" i="118"/>
  <c r="I27" i="118"/>
  <c r="H27" i="118"/>
  <c r="G27" i="118"/>
  <c r="F27" i="118"/>
  <c r="E27" i="118"/>
  <c r="D27" i="118"/>
  <c r="C27" i="118"/>
  <c r="B27" i="118"/>
  <c r="N26" i="118"/>
  <c r="N25" i="118"/>
  <c r="N24" i="118"/>
  <c r="N23" i="118"/>
  <c r="M22" i="118"/>
  <c r="M28" i="118" s="1"/>
  <c r="G22" i="118"/>
  <c r="G28" i="118" s="1"/>
  <c r="B22" i="118"/>
  <c r="L21" i="118"/>
  <c r="K21" i="118"/>
  <c r="J21" i="118"/>
  <c r="I21" i="118"/>
  <c r="H21" i="118"/>
  <c r="G21" i="118"/>
  <c r="F21" i="118"/>
  <c r="F22" i="118" s="1"/>
  <c r="F28" i="118" s="1"/>
  <c r="E21" i="118"/>
  <c r="D21" i="118"/>
  <c r="C21" i="118"/>
  <c r="N21" i="118" s="1"/>
  <c r="N20" i="118"/>
  <c r="N19" i="118"/>
  <c r="N18" i="118"/>
  <c r="M17" i="118"/>
  <c r="L17" i="118"/>
  <c r="K17" i="118"/>
  <c r="J17" i="118"/>
  <c r="J22" i="118" s="1"/>
  <c r="J28" i="118" s="1"/>
  <c r="I17" i="118"/>
  <c r="I22" i="118" s="1"/>
  <c r="I28" i="118" s="1"/>
  <c r="H17" i="118"/>
  <c r="H22" i="118" s="1"/>
  <c r="H28" i="118" s="1"/>
  <c r="G17" i="118"/>
  <c r="E17" i="118"/>
  <c r="D17" i="118"/>
  <c r="C17" i="118"/>
  <c r="N17" i="118" s="1"/>
  <c r="M16" i="118"/>
  <c r="L16" i="118"/>
  <c r="L22" i="118" s="1"/>
  <c r="L28" i="118" s="1"/>
  <c r="K16" i="118"/>
  <c r="K22" i="118" s="1"/>
  <c r="K28" i="118" s="1"/>
  <c r="J16" i="118"/>
  <c r="I16" i="118"/>
  <c r="H16" i="118"/>
  <c r="G16" i="118"/>
  <c r="E16" i="118"/>
  <c r="E22" i="118" s="1"/>
  <c r="E28" i="118" s="1"/>
  <c r="D16" i="118"/>
  <c r="D22" i="118" s="1"/>
  <c r="D28" i="118" s="1"/>
  <c r="C16" i="118"/>
  <c r="N16" i="118" s="1"/>
  <c r="N15" i="118"/>
  <c r="N14" i="118"/>
  <c r="C22" i="118" l="1"/>
  <c r="N22" i="118" l="1"/>
  <c r="C28" i="118"/>
  <c r="N28" i="118" s="1"/>
  <c r="O45" i="117" l="1"/>
  <c r="N45" i="117"/>
  <c r="O43" i="117"/>
  <c r="N43" i="117"/>
  <c r="N41" i="117"/>
  <c r="N40" i="117"/>
  <c r="O39" i="117"/>
  <c r="N39" i="117"/>
  <c r="N38" i="117"/>
  <c r="N37" i="117" s="1"/>
  <c r="O37" i="117"/>
  <c r="M37" i="117"/>
  <c r="L37" i="117"/>
  <c r="K37" i="117"/>
  <c r="J37" i="117"/>
  <c r="I37" i="117"/>
  <c r="H37" i="117"/>
  <c r="G37" i="117"/>
  <c r="F37" i="117"/>
  <c r="E37" i="117"/>
  <c r="D37" i="117"/>
  <c r="C37" i="117"/>
  <c r="B37" i="117"/>
  <c r="N36" i="117"/>
  <c r="N35" i="117"/>
  <c r="N34" i="117"/>
  <c r="N27" i="117" s="1"/>
  <c r="N33" i="117"/>
  <c r="N32" i="117"/>
  <c r="N31" i="117"/>
  <c r="N30" i="117"/>
  <c r="N29" i="117"/>
  <c r="N28" i="117"/>
  <c r="O27" i="117"/>
  <c r="M27" i="117"/>
  <c r="L27" i="117"/>
  <c r="K27" i="117"/>
  <c r="J27" i="117"/>
  <c r="J15" i="117" s="1"/>
  <c r="J42" i="117" s="1"/>
  <c r="J44" i="117" s="1"/>
  <c r="J46" i="117" s="1"/>
  <c r="I27" i="117"/>
  <c r="H27" i="117"/>
  <c r="G27" i="117"/>
  <c r="F27" i="117"/>
  <c r="E27" i="117"/>
  <c r="D27" i="117"/>
  <c r="C27" i="117"/>
  <c r="B27" i="117"/>
  <c r="N26" i="117"/>
  <c r="N25" i="117"/>
  <c r="N24" i="117"/>
  <c r="O23" i="117"/>
  <c r="N23" i="117"/>
  <c r="M23" i="117"/>
  <c r="L23" i="117"/>
  <c r="K23" i="117"/>
  <c r="J23" i="117"/>
  <c r="I23" i="117"/>
  <c r="H23" i="117"/>
  <c r="G23" i="117"/>
  <c r="F23" i="117"/>
  <c r="E23" i="117"/>
  <c r="D23" i="117"/>
  <c r="C23" i="117"/>
  <c r="B23" i="117"/>
  <c r="N22" i="117"/>
  <c r="N21" i="117"/>
  <c r="N20" i="117"/>
  <c r="N19" i="117"/>
  <c r="N18" i="117"/>
  <c r="N17" i="117"/>
  <c r="N16" i="117" s="1"/>
  <c r="O16" i="117"/>
  <c r="O15" i="117" s="1"/>
  <c r="O42" i="117" s="1"/>
  <c r="O44" i="117" s="1"/>
  <c r="O46" i="117" s="1"/>
  <c r="M16" i="117"/>
  <c r="L16" i="117"/>
  <c r="L15" i="117" s="1"/>
  <c r="L42" i="117" s="1"/>
  <c r="L44" i="117" s="1"/>
  <c r="L46" i="117" s="1"/>
  <c r="K16" i="117"/>
  <c r="K15" i="117" s="1"/>
  <c r="K42" i="117" s="1"/>
  <c r="K44" i="117" s="1"/>
  <c r="K46" i="117" s="1"/>
  <c r="J16" i="117"/>
  <c r="I16" i="117"/>
  <c r="H16" i="117"/>
  <c r="H15" i="117" s="1"/>
  <c r="H42" i="117" s="1"/>
  <c r="H44" i="117" s="1"/>
  <c r="H46" i="117" s="1"/>
  <c r="G16" i="117"/>
  <c r="G15" i="117" s="1"/>
  <c r="G42" i="117" s="1"/>
  <c r="G44" i="117" s="1"/>
  <c r="G46" i="117" s="1"/>
  <c r="F16" i="117"/>
  <c r="F15" i="117" s="1"/>
  <c r="F42" i="117" s="1"/>
  <c r="F44" i="117" s="1"/>
  <c r="F46" i="117" s="1"/>
  <c r="E16" i="117"/>
  <c r="E15" i="117" s="1"/>
  <c r="E42" i="117" s="1"/>
  <c r="E44" i="117" s="1"/>
  <c r="E46" i="117" s="1"/>
  <c r="D16" i="117"/>
  <c r="D15" i="117" s="1"/>
  <c r="D42" i="117" s="1"/>
  <c r="D44" i="117" s="1"/>
  <c r="D46" i="117" s="1"/>
  <c r="C16" i="117"/>
  <c r="C15" i="117" s="1"/>
  <c r="C42" i="117" s="1"/>
  <c r="C44" i="117" s="1"/>
  <c r="C46" i="117" s="1"/>
  <c r="B16" i="117"/>
  <c r="B15" i="117" s="1"/>
  <c r="B42" i="117" s="1"/>
  <c r="B44" i="117" s="1"/>
  <c r="M15" i="117"/>
  <c r="M42" i="117" s="1"/>
  <c r="M44" i="117" s="1"/>
  <c r="M46" i="117" s="1"/>
  <c r="I15" i="117"/>
  <c r="I42" i="117" s="1"/>
  <c r="I44" i="117" s="1"/>
  <c r="I46" i="117" s="1"/>
  <c r="N44" i="117" l="1"/>
  <c r="B46" i="117"/>
  <c r="N46" i="117" s="1"/>
  <c r="N15" i="117"/>
  <c r="N42" i="117" s="1"/>
  <c r="B36" i="116" l="1"/>
  <c r="B35" i="116"/>
  <c r="C34" i="116"/>
  <c r="B31" i="116"/>
  <c r="B30" i="116"/>
  <c r="C29" i="116"/>
  <c r="B26" i="116"/>
  <c r="B25" i="116"/>
  <c r="C24" i="116"/>
  <c r="B21" i="116"/>
  <c r="B20" i="116"/>
  <c r="C19" i="116"/>
  <c r="B16" i="116"/>
  <c r="B15" i="116"/>
  <c r="B14" i="116"/>
  <c r="C13" i="116"/>
  <c r="B10" i="116"/>
  <c r="L39" i="115"/>
  <c r="F39" i="115"/>
  <c r="M39" i="115" s="1"/>
  <c r="M38" i="115"/>
  <c r="L38" i="115"/>
  <c r="F38" i="115"/>
  <c r="K37" i="115"/>
  <c r="J37" i="115"/>
  <c r="I37" i="115"/>
  <c r="H37" i="115"/>
  <c r="G37" i="115"/>
  <c r="L37" i="115" s="1"/>
  <c r="E37" i="115"/>
  <c r="D37" i="115"/>
  <c r="C37" i="115"/>
  <c r="B37" i="115"/>
  <c r="F37" i="115" s="1"/>
  <c r="M37" i="115" s="1"/>
  <c r="L36" i="115"/>
  <c r="M36" i="115" s="1"/>
  <c r="F36" i="115"/>
  <c r="L35" i="115"/>
  <c r="M35" i="115" s="1"/>
  <c r="F35" i="115"/>
  <c r="M34" i="115"/>
  <c r="L34" i="115"/>
  <c r="F34" i="115"/>
  <c r="K33" i="115"/>
  <c r="K32" i="115" s="1"/>
  <c r="K40" i="115" s="1"/>
  <c r="J33" i="115"/>
  <c r="J32" i="115" s="1"/>
  <c r="J40" i="115" s="1"/>
  <c r="I33" i="115"/>
  <c r="I32" i="115" s="1"/>
  <c r="I40" i="115" s="1"/>
  <c r="H33" i="115"/>
  <c r="H32" i="115" s="1"/>
  <c r="H40" i="115" s="1"/>
  <c r="G33" i="115"/>
  <c r="G32" i="115" s="1"/>
  <c r="E33" i="115"/>
  <c r="E32" i="115" s="1"/>
  <c r="E40" i="115" s="1"/>
  <c r="D33" i="115"/>
  <c r="C33" i="115"/>
  <c r="B33" i="115"/>
  <c r="D32" i="115"/>
  <c r="D40" i="115" s="1"/>
  <c r="C32" i="115"/>
  <c r="C40" i="115" s="1"/>
  <c r="B32" i="115"/>
  <c r="L24" i="115"/>
  <c r="F24" i="115"/>
  <c r="M24" i="115" s="1"/>
  <c r="L23" i="115"/>
  <c r="M23" i="115" s="1"/>
  <c r="F23" i="115"/>
  <c r="K22" i="115"/>
  <c r="J22" i="115"/>
  <c r="L22" i="115" s="1"/>
  <c r="I22" i="115"/>
  <c r="H22" i="115"/>
  <c r="E22" i="115"/>
  <c r="D22" i="115"/>
  <c r="C22" i="115"/>
  <c r="B22" i="115"/>
  <c r="B17" i="115" s="1"/>
  <c r="L21" i="115"/>
  <c r="C21" i="115"/>
  <c r="C18" i="115" s="1"/>
  <c r="L20" i="115"/>
  <c r="F20" i="115"/>
  <c r="M20" i="115" s="1"/>
  <c r="L19" i="115"/>
  <c r="F19" i="115"/>
  <c r="M19" i="115" s="1"/>
  <c r="K18" i="115"/>
  <c r="J18" i="115"/>
  <c r="J17" i="115" s="1"/>
  <c r="J25" i="115" s="1"/>
  <c r="I18" i="115"/>
  <c r="I17" i="115" s="1"/>
  <c r="I25" i="115" s="1"/>
  <c r="H18" i="115"/>
  <c r="H17" i="115" s="1"/>
  <c r="H25" i="115" s="1"/>
  <c r="G18" i="115"/>
  <c r="G17" i="115" s="1"/>
  <c r="E18" i="115"/>
  <c r="E17" i="115" s="1"/>
  <c r="E25" i="115" s="1"/>
  <c r="D18" i="115"/>
  <c r="D17" i="115" s="1"/>
  <c r="D25" i="115" s="1"/>
  <c r="B18" i="115"/>
  <c r="K17" i="115"/>
  <c r="K25" i="115" s="1"/>
  <c r="C17" i="115" l="1"/>
  <c r="C25" i="115" s="1"/>
  <c r="F18" i="115"/>
  <c r="B25" i="115"/>
  <c r="F25" i="115" s="1"/>
  <c r="M25" i="115" s="1"/>
  <c r="L32" i="115"/>
  <c r="G40" i="115"/>
  <c r="L40" i="115" s="1"/>
  <c r="L17" i="115"/>
  <c r="G25" i="115"/>
  <c r="L25" i="115" s="1"/>
  <c r="F32" i="115"/>
  <c r="M32" i="115" s="1"/>
  <c r="F21" i="115"/>
  <c r="M21" i="115" s="1"/>
  <c r="F33" i="115"/>
  <c r="B40" i="115"/>
  <c r="F40" i="115" s="1"/>
  <c r="M40" i="115" s="1"/>
  <c r="L33" i="115"/>
  <c r="L18" i="115"/>
  <c r="F22" i="115"/>
  <c r="M22" i="115" s="1"/>
  <c r="M33" i="115" l="1"/>
  <c r="F17" i="115"/>
  <c r="M17" i="115" s="1"/>
  <c r="M18" i="115"/>
  <c r="F175" i="114" l="1"/>
  <c r="F143" i="114"/>
  <c r="C126" i="114"/>
  <c r="C124" i="114"/>
  <c r="B124" i="114"/>
  <c r="C123" i="114"/>
  <c r="C129" i="114" s="1"/>
  <c r="B123" i="114"/>
  <c r="B129" i="114" s="1"/>
  <c r="F100" i="114"/>
  <c r="D75" i="114"/>
  <c r="C75" i="114"/>
  <c r="B75" i="114"/>
  <c r="H69" i="114"/>
  <c r="H67" i="114" s="1"/>
  <c r="H75" i="114" s="1"/>
  <c r="H77" i="114" s="1"/>
  <c r="G69" i="114"/>
  <c r="G67" i="114" s="1"/>
  <c r="G75" i="114" s="1"/>
  <c r="F69" i="114"/>
  <c r="F67" i="114" s="1"/>
  <c r="F75" i="114" s="1"/>
  <c r="E69" i="114"/>
  <c r="E67" i="114" s="1"/>
  <c r="E75" i="114" s="1"/>
  <c r="D69" i="114"/>
  <c r="C69" i="114"/>
  <c r="B69" i="114"/>
  <c r="D67" i="114"/>
  <c r="C67" i="114"/>
  <c r="B67" i="114"/>
  <c r="H66" i="114"/>
  <c r="G66" i="114"/>
  <c r="F66" i="114"/>
  <c r="E66" i="114"/>
  <c r="D66" i="114"/>
  <c r="D77" i="114" s="1"/>
  <c r="H62" i="114"/>
  <c r="G62" i="114"/>
  <c r="F62" i="114"/>
  <c r="E62" i="114"/>
  <c r="D62" i="114"/>
  <c r="C62" i="114"/>
  <c r="C66" i="114" s="1"/>
  <c r="C77" i="114" s="1"/>
  <c r="B62" i="114"/>
  <c r="B66" i="114" s="1"/>
  <c r="B77" i="114" s="1"/>
  <c r="D49" i="114"/>
  <c r="B49" i="114"/>
  <c r="B39" i="114" s="1"/>
  <c r="B52" i="114" s="1"/>
  <c r="D46" i="114"/>
  <c r="D39" i="114" s="1"/>
  <c r="D52" i="114" s="1"/>
  <c r="B46" i="114"/>
  <c r="B42" i="114"/>
  <c r="D37" i="114"/>
  <c r="B37" i="114"/>
  <c r="D36" i="114"/>
  <c r="B36" i="114"/>
  <c r="D27" i="114"/>
  <c r="B27" i="114"/>
  <c r="D24" i="114"/>
  <c r="B24" i="114"/>
  <c r="D17" i="114"/>
  <c r="D16" i="114" s="1"/>
  <c r="D38" i="114" s="1"/>
  <c r="D53" i="114" s="1"/>
  <c r="B17" i="114"/>
  <c r="B16" i="114" s="1"/>
  <c r="B38" i="114" s="1"/>
  <c r="B53" i="114" s="1"/>
  <c r="E77" i="114" l="1"/>
  <c r="F80" i="114" s="1"/>
  <c r="F108" i="114" s="1"/>
  <c r="F77" i="114"/>
  <c r="G77" i="114"/>
  <c r="F136" i="114"/>
  <c r="F150" i="114" s="1"/>
  <c r="F157" i="114" s="1"/>
  <c r="I136" i="113" l="1"/>
  <c r="F136" i="113"/>
  <c r="K132" i="113"/>
  <c r="K130" i="113" s="1"/>
  <c r="I132" i="113"/>
  <c r="G132" i="113"/>
  <c r="F132" i="113"/>
  <c r="D132" i="113"/>
  <c r="K131" i="113"/>
  <c r="I131" i="113"/>
  <c r="G131" i="113"/>
  <c r="F131" i="113"/>
  <c r="D131" i="113"/>
  <c r="D130" i="113" s="1"/>
  <c r="J130" i="113"/>
  <c r="I130" i="113"/>
  <c r="H130" i="113"/>
  <c r="H126" i="113" s="1"/>
  <c r="G130" i="113"/>
  <c r="G126" i="113" s="1"/>
  <c r="F130" i="113"/>
  <c r="E130" i="113"/>
  <c r="E126" i="113" s="1"/>
  <c r="C130" i="113"/>
  <c r="B130" i="113"/>
  <c r="K129" i="113"/>
  <c r="I129" i="113"/>
  <c r="G129" i="113"/>
  <c r="F129" i="113"/>
  <c r="D129" i="113"/>
  <c r="K128" i="113"/>
  <c r="I128" i="113"/>
  <c r="G128" i="113"/>
  <c r="F128" i="113"/>
  <c r="F127" i="113" s="1"/>
  <c r="D128" i="113"/>
  <c r="D127" i="113" s="1"/>
  <c r="D126" i="113" s="1"/>
  <c r="K127" i="113"/>
  <c r="K126" i="113" s="1"/>
  <c r="J127" i="113"/>
  <c r="J126" i="113" s="1"/>
  <c r="I127" i="113"/>
  <c r="H127" i="113"/>
  <c r="G127" i="113"/>
  <c r="E127" i="113"/>
  <c r="C127" i="113"/>
  <c r="B127" i="113"/>
  <c r="B126" i="113" s="1"/>
  <c r="C126" i="113"/>
  <c r="F126" i="113" s="1"/>
  <c r="K124" i="113"/>
  <c r="I124" i="113"/>
  <c r="F124" i="113"/>
  <c r="K123" i="113"/>
  <c r="I123" i="113"/>
  <c r="G123" i="113"/>
  <c r="F123" i="113"/>
  <c r="D123" i="113"/>
  <c r="K122" i="113"/>
  <c r="G122" i="113"/>
  <c r="F122" i="113"/>
  <c r="D122" i="113"/>
  <c r="K121" i="113"/>
  <c r="I121" i="113"/>
  <c r="I119" i="113" s="1"/>
  <c r="G121" i="113"/>
  <c r="G119" i="113" s="1"/>
  <c r="F121" i="113"/>
  <c r="D121" i="113"/>
  <c r="D119" i="113" s="1"/>
  <c r="K120" i="113"/>
  <c r="F120" i="113"/>
  <c r="F119" i="113" s="1"/>
  <c r="K119" i="113"/>
  <c r="J119" i="113"/>
  <c r="J114" i="113" s="1"/>
  <c r="J125" i="113" s="1"/>
  <c r="H119" i="113"/>
  <c r="E119" i="113"/>
  <c r="C119" i="113"/>
  <c r="B119" i="113"/>
  <c r="K118" i="113"/>
  <c r="I118" i="113"/>
  <c r="F118" i="113"/>
  <c r="K117" i="113"/>
  <c r="I117" i="113"/>
  <c r="G117" i="113"/>
  <c r="G115" i="113" s="1"/>
  <c r="G114" i="113" s="1"/>
  <c r="G125" i="113" s="1"/>
  <c r="F117" i="113"/>
  <c r="F115" i="113" s="1"/>
  <c r="D117" i="113"/>
  <c r="D115" i="113" s="1"/>
  <c r="D114" i="113" s="1"/>
  <c r="D125" i="113" s="1"/>
  <c r="K116" i="113"/>
  <c r="K115" i="113" s="1"/>
  <c r="K114" i="113" s="1"/>
  <c r="K125" i="113" s="1"/>
  <c r="I116" i="113"/>
  <c r="I115" i="113" s="1"/>
  <c r="I114" i="113" s="1"/>
  <c r="I125" i="113" s="1"/>
  <c r="F116" i="113"/>
  <c r="J115" i="113"/>
  <c r="H115" i="113"/>
  <c r="H114" i="113" s="1"/>
  <c r="H125" i="113" s="1"/>
  <c r="H133" i="113" s="1"/>
  <c r="E115" i="113"/>
  <c r="E114" i="113" s="1"/>
  <c r="E125" i="113" s="1"/>
  <c r="E133" i="113" s="1"/>
  <c r="E135" i="113" s="1"/>
  <c r="C115" i="113"/>
  <c r="C114" i="113" s="1"/>
  <c r="C125" i="113" s="1"/>
  <c r="C133" i="113" s="1"/>
  <c r="B115" i="113"/>
  <c r="B114" i="113" s="1"/>
  <c r="B125" i="113" s="1"/>
  <c r="B133" i="113" s="1"/>
  <c r="B135" i="113" s="1"/>
  <c r="F65" i="113"/>
  <c r="C65" i="113"/>
  <c r="H61" i="113"/>
  <c r="G61" i="113"/>
  <c r="E61" i="113"/>
  <c r="D61" i="113"/>
  <c r="H60" i="113"/>
  <c r="G60" i="113"/>
  <c r="D60" i="113"/>
  <c r="E60" i="113" s="1"/>
  <c r="H59" i="113"/>
  <c r="F59" i="113"/>
  <c r="G59" i="113" s="1"/>
  <c r="C59" i="113"/>
  <c r="C55" i="113" s="1"/>
  <c r="H55" i="113" s="1"/>
  <c r="B59" i="113"/>
  <c r="H58" i="113"/>
  <c r="G58" i="113"/>
  <c r="D58" i="113"/>
  <c r="E58" i="113" s="1"/>
  <c r="H57" i="113"/>
  <c r="G57" i="113"/>
  <c r="D57" i="113"/>
  <c r="E57" i="113" s="1"/>
  <c r="H56" i="113"/>
  <c r="G56" i="113"/>
  <c r="F56" i="113"/>
  <c r="C56" i="113"/>
  <c r="B56" i="113"/>
  <c r="B55" i="113" s="1"/>
  <c r="F55" i="113"/>
  <c r="H53" i="113"/>
  <c r="G53" i="113"/>
  <c r="E53" i="113"/>
  <c r="H52" i="113"/>
  <c r="G52" i="113"/>
  <c r="E52" i="113"/>
  <c r="F51" i="113"/>
  <c r="G51" i="113" s="1"/>
  <c r="D51" i="113"/>
  <c r="E51" i="113" s="1"/>
  <c r="C51" i="113"/>
  <c r="C42" i="113" s="1"/>
  <c r="B51" i="113"/>
  <c r="H50" i="113"/>
  <c r="G50" i="113"/>
  <c r="E50" i="113"/>
  <c r="H49" i="113"/>
  <c r="G49" i="113"/>
  <c r="E49" i="113"/>
  <c r="B49" i="113"/>
  <c r="F48" i="113"/>
  <c r="H48" i="113" s="1"/>
  <c r="D48" i="113"/>
  <c r="E48" i="113" s="1"/>
  <c r="C48" i="113"/>
  <c r="B48" i="113"/>
  <c r="H47" i="113"/>
  <c r="G47" i="113"/>
  <c r="E47" i="113"/>
  <c r="H46" i="113"/>
  <c r="G46" i="113"/>
  <c r="E46" i="113"/>
  <c r="F45" i="113"/>
  <c r="D45" i="113"/>
  <c r="C45" i="113"/>
  <c r="H45" i="113" s="1"/>
  <c r="B45" i="113"/>
  <c r="H44" i="113"/>
  <c r="G44" i="113"/>
  <c r="E44" i="113"/>
  <c r="H43" i="113"/>
  <c r="G43" i="113"/>
  <c r="F43" i="113"/>
  <c r="C43" i="113"/>
  <c r="E43" i="113" s="1"/>
  <c r="B43" i="113"/>
  <c r="B42" i="113" s="1"/>
  <c r="F41" i="113"/>
  <c r="H41" i="113" s="1"/>
  <c r="E41" i="113"/>
  <c r="H40" i="113"/>
  <c r="G40" i="113"/>
  <c r="E40" i="113"/>
  <c r="H39" i="113"/>
  <c r="G39" i="113"/>
  <c r="E39" i="113"/>
  <c r="D38" i="113"/>
  <c r="E38" i="113" s="1"/>
  <c r="C38" i="113"/>
  <c r="B38" i="113"/>
  <c r="H37" i="113"/>
  <c r="G37" i="113"/>
  <c r="E37" i="113"/>
  <c r="H36" i="113"/>
  <c r="H34" i="113" s="1"/>
  <c r="G36" i="113"/>
  <c r="E36" i="113"/>
  <c r="H35" i="113"/>
  <c r="G35" i="113"/>
  <c r="E35" i="113"/>
  <c r="F34" i="113"/>
  <c r="G34" i="113" s="1"/>
  <c r="D34" i="113"/>
  <c r="E34" i="113" s="1"/>
  <c r="C34" i="113"/>
  <c r="B34" i="113"/>
  <c r="H33" i="113"/>
  <c r="G33" i="113"/>
  <c r="E33" i="113"/>
  <c r="H32" i="113"/>
  <c r="F32" i="113"/>
  <c r="G32" i="113" s="1"/>
  <c r="D32" i="113"/>
  <c r="C32" i="113"/>
  <c r="E32" i="113" s="1"/>
  <c r="B32" i="113"/>
  <c r="H31" i="113"/>
  <c r="G31" i="113"/>
  <c r="E31" i="113"/>
  <c r="H30" i="113"/>
  <c r="G30" i="113"/>
  <c r="E30" i="113"/>
  <c r="F29" i="113"/>
  <c r="H29" i="113" s="1"/>
  <c r="E29" i="113"/>
  <c r="D29" i="113"/>
  <c r="C29" i="113"/>
  <c r="B29" i="113"/>
  <c r="H28" i="113"/>
  <c r="G28" i="113"/>
  <c r="E28" i="113"/>
  <c r="H27" i="113"/>
  <c r="G27" i="113"/>
  <c r="E27" i="113"/>
  <c r="F26" i="113"/>
  <c r="G26" i="113" s="1"/>
  <c r="D26" i="113"/>
  <c r="E26" i="113" s="1"/>
  <c r="C26" i="113"/>
  <c r="H26" i="113" s="1"/>
  <c r="B26" i="113"/>
  <c r="H25" i="113"/>
  <c r="G25" i="113"/>
  <c r="E25" i="113"/>
  <c r="H24" i="113"/>
  <c r="G24" i="113"/>
  <c r="E24" i="113"/>
  <c r="H23" i="113"/>
  <c r="G23" i="113"/>
  <c r="E23" i="113"/>
  <c r="F22" i="113"/>
  <c r="G22" i="113" s="1"/>
  <c r="D22" i="113"/>
  <c r="E22" i="113" s="1"/>
  <c r="C22" i="113"/>
  <c r="C21" i="113" s="1"/>
  <c r="B22" i="113"/>
  <c r="B21" i="113" s="1"/>
  <c r="F133" i="113" l="1"/>
  <c r="C135" i="113"/>
  <c r="I133" i="113"/>
  <c r="G55" i="113"/>
  <c r="K133" i="113"/>
  <c r="K135" i="113" s="1"/>
  <c r="D133" i="113"/>
  <c r="D135" i="113" s="1"/>
  <c r="F114" i="113"/>
  <c r="F125" i="113" s="1"/>
  <c r="G133" i="113"/>
  <c r="G135" i="113" s="1"/>
  <c r="B20" i="113"/>
  <c r="B54" i="113" s="1"/>
  <c r="B62" i="113" s="1"/>
  <c r="B64" i="113" s="1"/>
  <c r="H42" i="113"/>
  <c r="J133" i="113"/>
  <c r="J135" i="113" s="1"/>
  <c r="C20" i="113"/>
  <c r="C54" i="113" s="1"/>
  <c r="H21" i="113"/>
  <c r="H20" i="113" s="1"/>
  <c r="H22" i="113"/>
  <c r="H51" i="113"/>
  <c r="I126" i="113"/>
  <c r="D42" i="113"/>
  <c r="E42" i="113" s="1"/>
  <c r="G48" i="113"/>
  <c r="F42" i="113"/>
  <c r="G42" i="113" s="1"/>
  <c r="G45" i="113"/>
  <c r="E45" i="113"/>
  <c r="D59" i="113"/>
  <c r="E59" i="113" s="1"/>
  <c r="F38" i="113"/>
  <c r="F21" i="113"/>
  <c r="D56" i="113"/>
  <c r="D21" i="113"/>
  <c r="G29" i="113"/>
  <c r="G41" i="113"/>
  <c r="D20" i="113" l="1"/>
  <c r="E21" i="113"/>
  <c r="C62" i="113"/>
  <c r="E56" i="113"/>
  <c r="D55" i="113"/>
  <c r="E55" i="113" s="1"/>
  <c r="G21" i="113"/>
  <c r="F20" i="113"/>
  <c r="H38" i="113"/>
  <c r="G38" i="113"/>
  <c r="F54" i="113" l="1"/>
  <c r="G20" i="113"/>
  <c r="C64" i="113"/>
  <c r="E20" i="113"/>
  <c r="D54" i="113"/>
  <c r="G54" i="113" l="1"/>
  <c r="F62" i="113"/>
  <c r="H54" i="113"/>
  <c r="D62" i="113"/>
  <c r="E54" i="113"/>
  <c r="D64" i="113" l="1"/>
  <c r="E64" i="113" s="1"/>
  <c r="E62" i="113"/>
  <c r="F64" i="113"/>
  <c r="G62" i="113"/>
  <c r="H62" i="113"/>
  <c r="G64" i="113" l="1"/>
  <c r="H134" i="113"/>
  <c r="H135" i="113" s="1"/>
  <c r="H64" i="113"/>
  <c r="C85" i="111" l="1"/>
  <c r="C68" i="111"/>
  <c r="H68" i="111" l="1"/>
  <c r="I68" i="111"/>
  <c r="E68" i="111"/>
  <c r="D68" i="111"/>
  <c r="B68" i="111"/>
  <c r="G68" i="111" l="1"/>
  <c r="G67" i="111"/>
  <c r="L85" i="111" l="1"/>
  <c r="L68" i="111" l="1"/>
  <c r="D65" i="111"/>
  <c r="L67" i="111" l="1"/>
  <c r="B65" i="111"/>
  <c r="G85" i="111" l="1"/>
  <c r="K85" i="111"/>
  <c r="H65" i="111" l="1"/>
  <c r="L66" i="111" l="1"/>
  <c r="L69" i="111"/>
  <c r="L73" i="111"/>
  <c r="L75" i="111"/>
  <c r="L77" i="111"/>
  <c r="L79" i="111"/>
  <c r="L81" i="111"/>
  <c r="B33" i="111"/>
  <c r="B57" i="111" l="1"/>
  <c r="B48" i="111"/>
  <c r="B18" i="111"/>
  <c r="L63" i="111"/>
  <c r="L60" i="111"/>
  <c r="L57" i="111"/>
  <c r="L48" i="111"/>
  <c r="L46" i="111"/>
  <c r="L37" i="111"/>
  <c r="L33" i="111"/>
  <c r="L27" i="111"/>
  <c r="L24" i="111"/>
  <c r="L20" i="111"/>
  <c r="L18" i="111"/>
  <c r="H84" i="111"/>
  <c r="H83" i="111"/>
  <c r="H82" i="111"/>
  <c r="I81" i="111"/>
  <c r="H80" i="111"/>
  <c r="H79" i="111" s="1"/>
  <c r="I79" i="111"/>
  <c r="H78" i="111"/>
  <c r="H77" i="111" s="1"/>
  <c r="I77" i="111"/>
  <c r="H76" i="111"/>
  <c r="H75" i="111" s="1"/>
  <c r="I75" i="111"/>
  <c r="H74" i="111"/>
  <c r="H73" i="111" s="1"/>
  <c r="I73" i="111"/>
  <c r="H72" i="111"/>
  <c r="H71" i="111"/>
  <c r="H70" i="111"/>
  <c r="I69" i="111"/>
  <c r="I65" i="111"/>
  <c r="H64" i="111"/>
  <c r="H63" i="111" s="1"/>
  <c r="I63" i="111"/>
  <c r="H62" i="111"/>
  <c r="H61" i="111"/>
  <c r="I60" i="111"/>
  <c r="H59" i="111"/>
  <c r="H58" i="111"/>
  <c r="I57" i="111"/>
  <c r="H56" i="111"/>
  <c r="H55" i="111"/>
  <c r="H54" i="111"/>
  <c r="H53" i="111"/>
  <c r="H52" i="111"/>
  <c r="H51" i="111"/>
  <c r="H50" i="111"/>
  <c r="H49" i="111"/>
  <c r="I48" i="111"/>
  <c r="H47" i="111"/>
  <c r="H46" i="111" s="1"/>
  <c r="I46" i="111"/>
  <c r="H45" i="111"/>
  <c r="H44" i="111"/>
  <c r="H43" i="111"/>
  <c r="H42" i="111"/>
  <c r="H41" i="111"/>
  <c r="H40" i="111"/>
  <c r="H39" i="111"/>
  <c r="H38" i="111"/>
  <c r="I37" i="111"/>
  <c r="H36" i="111"/>
  <c r="H35" i="111"/>
  <c r="H34" i="111"/>
  <c r="I33" i="111"/>
  <c r="H32" i="111"/>
  <c r="H31" i="111"/>
  <c r="H30" i="111"/>
  <c r="H29" i="111"/>
  <c r="H28" i="111"/>
  <c r="I27" i="111"/>
  <c r="H26" i="111"/>
  <c r="H25" i="111"/>
  <c r="I24" i="111"/>
  <c r="H23" i="111"/>
  <c r="H22" i="111"/>
  <c r="H21" i="111"/>
  <c r="I20" i="111"/>
  <c r="H19" i="111"/>
  <c r="H18" i="111" s="1"/>
  <c r="I18" i="111"/>
  <c r="D84" i="111"/>
  <c r="D83" i="111"/>
  <c r="D82" i="111"/>
  <c r="D80" i="111"/>
  <c r="D79" i="111" s="1"/>
  <c r="D78" i="111"/>
  <c r="D77" i="111" s="1"/>
  <c r="D76" i="111"/>
  <c r="D74" i="111"/>
  <c r="D73" i="111" s="1"/>
  <c r="D72" i="111"/>
  <c r="D71" i="111"/>
  <c r="D70" i="111"/>
  <c r="D64" i="111"/>
  <c r="D63" i="111" s="1"/>
  <c r="D62" i="111"/>
  <c r="D61" i="111"/>
  <c r="D59" i="111"/>
  <c r="D58" i="111"/>
  <c r="D56" i="111"/>
  <c r="D55" i="111"/>
  <c r="D54" i="111"/>
  <c r="D53" i="111"/>
  <c r="D52" i="111"/>
  <c r="D51" i="111"/>
  <c r="D50" i="111"/>
  <c r="D49" i="111"/>
  <c r="D47" i="111"/>
  <c r="D46" i="111" s="1"/>
  <c r="D45" i="111"/>
  <c r="D44" i="111"/>
  <c r="D43" i="111"/>
  <c r="D42" i="111"/>
  <c r="D41" i="111"/>
  <c r="D40" i="111"/>
  <c r="D39" i="111"/>
  <c r="D38" i="111"/>
  <c r="D36" i="111"/>
  <c r="D35" i="111"/>
  <c r="D34" i="111"/>
  <c r="D32" i="111"/>
  <c r="D31" i="111"/>
  <c r="D30" i="111"/>
  <c r="D29" i="111"/>
  <c r="D28" i="111"/>
  <c r="D26" i="111"/>
  <c r="D25" i="111"/>
  <c r="D23" i="111"/>
  <c r="D22" i="111"/>
  <c r="D21" i="111"/>
  <c r="D19" i="111"/>
  <c r="C81" i="111"/>
  <c r="C79" i="111"/>
  <c r="C77" i="111"/>
  <c r="C75" i="111"/>
  <c r="C73" i="111"/>
  <c r="C69" i="111"/>
  <c r="C65" i="111"/>
  <c r="C63" i="111"/>
  <c r="C60" i="111"/>
  <c r="C57" i="111"/>
  <c r="C48" i="111"/>
  <c r="C46" i="111"/>
  <c r="C37" i="111"/>
  <c r="C33" i="111"/>
  <c r="C27" i="111"/>
  <c r="C24" i="111"/>
  <c r="C20" i="111"/>
  <c r="C18" i="111"/>
  <c r="K84" i="111"/>
  <c r="G84" i="111"/>
  <c r="K83" i="111"/>
  <c r="G83" i="111"/>
  <c r="K82" i="111"/>
  <c r="G82" i="111"/>
  <c r="E81" i="111"/>
  <c r="B81" i="111"/>
  <c r="K80" i="111"/>
  <c r="G80" i="111"/>
  <c r="E79" i="111"/>
  <c r="B79" i="111"/>
  <c r="K78" i="111"/>
  <c r="G78" i="111"/>
  <c r="E77" i="111"/>
  <c r="B77" i="111"/>
  <c r="K76" i="111"/>
  <c r="G76" i="111"/>
  <c r="D75" i="111"/>
  <c r="E75" i="111"/>
  <c r="B75" i="111"/>
  <c r="K74" i="111"/>
  <c r="G74" i="111"/>
  <c r="E73" i="111"/>
  <c r="B73" i="111"/>
  <c r="K72" i="111"/>
  <c r="G72" i="111"/>
  <c r="K71" i="111"/>
  <c r="G71" i="111"/>
  <c r="K70" i="111"/>
  <c r="G70" i="111"/>
  <c r="E69" i="111"/>
  <c r="B69" i="111"/>
  <c r="K68" i="111"/>
  <c r="K67" i="111"/>
  <c r="G66" i="111"/>
  <c r="G65" i="111" s="1"/>
  <c r="E65" i="111"/>
  <c r="K64" i="111"/>
  <c r="G64" i="111"/>
  <c r="E63" i="111"/>
  <c r="B63" i="111"/>
  <c r="K62" i="111"/>
  <c r="G62" i="111"/>
  <c r="K61" i="111"/>
  <c r="G61" i="111"/>
  <c r="E60" i="111"/>
  <c r="B60" i="111"/>
  <c r="K59" i="111"/>
  <c r="G59" i="111"/>
  <c r="K58" i="111"/>
  <c r="G58" i="111"/>
  <c r="E57" i="111"/>
  <c r="G56" i="111"/>
  <c r="K55" i="111"/>
  <c r="G55" i="111"/>
  <c r="K54" i="111"/>
  <c r="G54" i="111"/>
  <c r="K53" i="111"/>
  <c r="G53" i="111"/>
  <c r="K52" i="111"/>
  <c r="G52" i="111"/>
  <c r="K51" i="111"/>
  <c r="G51" i="111"/>
  <c r="K50" i="111"/>
  <c r="G50" i="111"/>
  <c r="K49" i="111"/>
  <c r="G49" i="111"/>
  <c r="K47" i="111"/>
  <c r="G47" i="111"/>
  <c r="E46" i="111"/>
  <c r="B46" i="111"/>
  <c r="K45" i="111"/>
  <c r="K44" i="111"/>
  <c r="G44" i="111"/>
  <c r="K43" i="111"/>
  <c r="G43" i="111"/>
  <c r="K42" i="111"/>
  <c r="G42" i="111"/>
  <c r="K41" i="111"/>
  <c r="G41" i="111"/>
  <c r="K40" i="111"/>
  <c r="G40" i="111"/>
  <c r="K39" i="111"/>
  <c r="G39" i="111"/>
  <c r="K38" i="111"/>
  <c r="G38" i="111"/>
  <c r="E37" i="111"/>
  <c r="B37" i="111"/>
  <c r="K36" i="111"/>
  <c r="G36" i="111"/>
  <c r="K35" i="111"/>
  <c r="G35" i="111"/>
  <c r="K34" i="111"/>
  <c r="G34" i="111"/>
  <c r="E33" i="111"/>
  <c r="K32" i="111"/>
  <c r="G32" i="111"/>
  <c r="K31" i="111"/>
  <c r="G31" i="111"/>
  <c r="K30" i="111"/>
  <c r="G30" i="111"/>
  <c r="K29" i="111"/>
  <c r="G29" i="111"/>
  <c r="K28" i="111"/>
  <c r="G28" i="111"/>
  <c r="E27" i="111"/>
  <c r="B27" i="111"/>
  <c r="K26" i="111"/>
  <c r="G26" i="111"/>
  <c r="K25" i="111"/>
  <c r="G25" i="111"/>
  <c r="E24" i="111"/>
  <c r="B24" i="111"/>
  <c r="K23" i="111"/>
  <c r="G23" i="111"/>
  <c r="K22" i="111"/>
  <c r="G22" i="111"/>
  <c r="K21" i="111"/>
  <c r="G21" i="111"/>
  <c r="E20" i="111"/>
  <c r="B20" i="111"/>
  <c r="K19" i="111"/>
  <c r="G19" i="111"/>
  <c r="D18" i="111"/>
  <c r="E18" i="111"/>
  <c r="B17" i="111" l="1"/>
  <c r="B86" i="111" s="1"/>
  <c r="G79" i="111"/>
  <c r="K77" i="111"/>
  <c r="H24" i="111"/>
  <c r="G60" i="111"/>
  <c r="D57" i="111"/>
  <c r="H81" i="111"/>
  <c r="K69" i="111"/>
  <c r="L65" i="111"/>
  <c r="L17" i="111" s="1"/>
  <c r="L86" i="111" s="1"/>
  <c r="G18" i="111"/>
  <c r="H57" i="111"/>
  <c r="H69" i="111"/>
  <c r="H48" i="111"/>
  <c r="G33" i="111"/>
  <c r="H60" i="111"/>
  <c r="C17" i="111"/>
  <c r="C86" i="111" s="1"/>
  <c r="H20" i="111"/>
  <c r="H27" i="111"/>
  <c r="D27" i="111"/>
  <c r="H37" i="111"/>
  <c r="I17" i="111"/>
  <c r="I86" i="111" s="1"/>
  <c r="G27" i="111"/>
  <c r="G63" i="111"/>
  <c r="D24" i="111"/>
  <c r="H33" i="111"/>
  <c r="K20" i="111"/>
  <c r="D33" i="111"/>
  <c r="D20" i="111"/>
  <c r="G20" i="111"/>
  <c r="K57" i="111"/>
  <c r="K63" i="111"/>
  <c r="D60" i="111"/>
  <c r="D69" i="111"/>
  <c r="G24" i="111"/>
  <c r="D81" i="111"/>
  <c r="K37" i="111"/>
  <c r="G69" i="111"/>
  <c r="G45" i="111"/>
  <c r="G37" i="111" s="1"/>
  <c r="G57" i="111"/>
  <c r="K24" i="111"/>
  <c r="K66" i="111"/>
  <c r="K65" i="111" s="1"/>
  <c r="K75" i="111"/>
  <c r="K81" i="111"/>
  <c r="K27" i="111"/>
  <c r="D37" i="111"/>
  <c r="D48" i="111"/>
  <c r="G75" i="111"/>
  <c r="K79" i="111"/>
  <c r="G46" i="111"/>
  <c r="K73" i="111"/>
  <c r="G48" i="111"/>
  <c r="K33" i="111"/>
  <c r="K18" i="111"/>
  <c r="E48" i="111"/>
  <c r="E17" i="111" s="1"/>
  <c r="E86" i="111" s="1"/>
  <c r="G73" i="111"/>
  <c r="G77" i="111"/>
  <c r="G81" i="111"/>
  <c r="K46" i="111"/>
  <c r="K56" i="111"/>
  <c r="K48" i="111" s="1"/>
  <c r="K60" i="111"/>
  <c r="D17" i="111" l="1"/>
  <c r="D86" i="111" s="1"/>
  <c r="J27" i="111"/>
  <c r="H17" i="111"/>
  <c r="H86" i="111" s="1"/>
  <c r="J85" i="111"/>
  <c r="J18" i="111"/>
  <c r="J57" i="111"/>
  <c r="J33" i="111"/>
  <c r="J17" i="111"/>
  <c r="J63" i="111"/>
  <c r="J44" i="111"/>
  <c r="J41" i="111"/>
  <c r="J38" i="111"/>
  <c r="J31" i="111"/>
  <c r="J23" i="111"/>
  <c r="J82" i="111"/>
  <c r="J81" i="111"/>
  <c r="J78" i="111"/>
  <c r="J73" i="111"/>
  <c r="J62" i="111"/>
  <c r="J47" i="111"/>
  <c r="J59" i="111"/>
  <c r="J58" i="111"/>
  <c r="J55" i="111"/>
  <c r="J54" i="111"/>
  <c r="J53" i="111"/>
  <c r="J52" i="111"/>
  <c r="J51" i="111"/>
  <c r="J50" i="111"/>
  <c r="J49" i="111"/>
  <c r="J45" i="111"/>
  <c r="J84" i="111"/>
  <c r="J64" i="111"/>
  <c r="J43" i="111"/>
  <c r="J39" i="111"/>
  <c r="J32" i="111"/>
  <c r="J28" i="111"/>
  <c r="J21" i="111"/>
  <c r="J61" i="111"/>
  <c r="J46" i="111"/>
  <c r="J86" i="111"/>
  <c r="J67" i="111"/>
  <c r="J66" i="111"/>
  <c r="J60" i="111"/>
  <c r="J56" i="111"/>
  <c r="J36" i="111"/>
  <c r="J35" i="111"/>
  <c r="J34" i="111"/>
  <c r="J26" i="111"/>
  <c r="J25" i="111"/>
  <c r="J19" i="111"/>
  <c r="J40" i="111"/>
  <c r="J29" i="111"/>
  <c r="J68" i="111"/>
  <c r="J80" i="111"/>
  <c r="J79" i="111"/>
  <c r="J76" i="111"/>
  <c r="J75" i="111"/>
  <c r="J72" i="111"/>
  <c r="J71" i="111"/>
  <c r="J70" i="111"/>
  <c r="J42" i="111"/>
  <c r="J30" i="111"/>
  <c r="J22" i="111"/>
  <c r="J83" i="111"/>
  <c r="J77" i="111"/>
  <c r="J74" i="111"/>
  <c r="J24" i="111" l="1"/>
  <c r="J69" i="111"/>
  <c r="J37" i="111"/>
  <c r="K17" i="111"/>
  <c r="K86" i="111" s="1"/>
  <c r="G17" i="111"/>
  <c r="F62" i="111"/>
  <c r="F61" i="111"/>
  <c r="F47" i="111"/>
  <c r="F72" i="111"/>
  <c r="F70" i="111"/>
  <c r="F44" i="111"/>
  <c r="F41" i="111"/>
  <c r="F30" i="111"/>
  <c r="F36" i="111"/>
  <c r="F35" i="111"/>
  <c r="F34" i="111"/>
  <c r="F26" i="111"/>
  <c r="F25" i="111"/>
  <c r="F19" i="111"/>
  <c r="F80" i="111"/>
  <c r="F76" i="111"/>
  <c r="F71" i="111"/>
  <c r="F79" i="111"/>
  <c r="F57" i="111"/>
  <c r="F42" i="111"/>
  <c r="F32" i="111"/>
  <c r="F21" i="111"/>
  <c r="F59" i="111"/>
  <c r="F58" i="111"/>
  <c r="F55" i="111"/>
  <c r="F54" i="111"/>
  <c r="F53" i="111"/>
  <c r="F52" i="111"/>
  <c r="F51" i="111"/>
  <c r="F50" i="111"/>
  <c r="F49" i="111"/>
  <c r="F45" i="111"/>
  <c r="F84" i="111"/>
  <c r="F40" i="111"/>
  <c r="F23" i="111"/>
  <c r="F86" i="111"/>
  <c r="F83" i="111"/>
  <c r="F82" i="111"/>
  <c r="F78" i="111"/>
  <c r="F74" i="111"/>
  <c r="F68" i="111"/>
  <c r="F75" i="111"/>
  <c r="F64" i="111"/>
  <c r="F39" i="111"/>
  <c r="F31" i="111"/>
  <c r="F28" i="111"/>
  <c r="F22" i="111"/>
  <c r="F81" i="111"/>
  <c r="F77" i="111"/>
  <c r="F73" i="111"/>
  <c r="F67" i="111"/>
  <c r="F66" i="111"/>
  <c r="F63" i="111"/>
  <c r="F43" i="111"/>
  <c r="F38" i="111"/>
  <c r="F29" i="111"/>
  <c r="F27" i="111"/>
  <c r="F60" i="111"/>
  <c r="F46" i="111"/>
  <c r="F85" i="111"/>
  <c r="F33" i="111"/>
  <c r="F56" i="111"/>
  <c r="F18" i="111"/>
  <c r="J65" i="111"/>
  <c r="J20" i="111"/>
  <c r="J48" i="111"/>
  <c r="F17" i="111"/>
  <c r="F65" i="111" l="1"/>
  <c r="F48" i="111"/>
  <c r="F20" i="111"/>
  <c r="F37" i="111"/>
  <c r="F24" i="111"/>
  <c r="F69" i="111"/>
  <c r="G86" i="111"/>
</calcChain>
</file>

<file path=xl/sharedStrings.xml><?xml version="1.0" encoding="utf-8"?>
<sst xmlns="http://schemas.openxmlformats.org/spreadsheetml/2006/main" count="740" uniqueCount="442">
  <si>
    <t>RELATÓRIO RESUMIDO DA EXECUÇÃO ORÇAMENTÁRIA</t>
  </si>
  <si>
    <t>DOTAÇÃO</t>
  </si>
  <si>
    <t>DESPESAS EMPENHADAS</t>
  </si>
  <si>
    <t>DESPESAS LIQUIDADAS</t>
  </si>
  <si>
    <t>INICIAL</t>
  </si>
  <si>
    <t>ATUALIZADA</t>
  </si>
  <si>
    <t>%</t>
  </si>
  <si>
    <t>SALDO</t>
  </si>
  <si>
    <t>(a)</t>
  </si>
  <si>
    <t>(b)</t>
  </si>
  <si>
    <t xml:space="preserve">DESPESAS (EXCETO INTRA-ORÇAMENTÁRIAS) ( I )            </t>
  </si>
  <si>
    <t xml:space="preserve">DESPESAS (INTRA-ORÇAMENTÁRIAS) ( II )                  </t>
  </si>
  <si>
    <t>EXECUÇÃO DA DESPESA</t>
  </si>
  <si>
    <t>(b/total b)</t>
  </si>
  <si>
    <t>Saldo</t>
  </si>
  <si>
    <t>(c)=(a-b)</t>
  </si>
  <si>
    <t>(d/total d)</t>
  </si>
  <si>
    <t>(e)=(a-d)</t>
  </si>
  <si>
    <t>INSCRITAS EM</t>
  </si>
  <si>
    <t>RESTOS A PAGAR</t>
  </si>
  <si>
    <t>NÃO PROCESSADOS</t>
  </si>
  <si>
    <t>(f)</t>
  </si>
  <si>
    <t xml:space="preserve">       Demais Subfunções</t>
  </si>
  <si>
    <t xml:space="preserve">TOTAL ( III ) =  (I + II)                                                 </t>
  </si>
  <si>
    <t xml:space="preserve">1- LEGISLATIVA                                         </t>
  </si>
  <si>
    <t xml:space="preserve">4- ADMINISTRAÇÃO                                       </t>
  </si>
  <si>
    <t xml:space="preserve">6- SEGURANÇA PÚBLICA                                   </t>
  </si>
  <si>
    <t xml:space="preserve">8- ASSISTÊNCIA SOCIAL                                  </t>
  </si>
  <si>
    <t xml:space="preserve">9- PREVIDÊNCIA SOCIAL                                  </t>
  </si>
  <si>
    <t xml:space="preserve">10-SAÚDE                                               </t>
  </si>
  <si>
    <t xml:space="preserve">11-TRABALHO                                            </t>
  </si>
  <si>
    <t xml:space="preserve">12-EDUCAÇÃO                                            </t>
  </si>
  <si>
    <t xml:space="preserve">13-CULTURA                                             </t>
  </si>
  <si>
    <t xml:space="preserve">15-URBANISMO                                           </t>
  </si>
  <si>
    <t xml:space="preserve">16-HABITAÇÃO                                           </t>
  </si>
  <si>
    <t xml:space="preserve">17-SANEAMENTO                                          </t>
  </si>
  <si>
    <t xml:space="preserve">18-GESTÃO AMBIENTAL                                    </t>
  </si>
  <si>
    <t>20-AGRICULTURA</t>
  </si>
  <si>
    <t xml:space="preserve">23-COMÉRCIO E SERVIÇOS                                 </t>
  </si>
  <si>
    <t xml:space="preserve">26-TRANSPORTE                                          </t>
  </si>
  <si>
    <t xml:space="preserve">27-DESPORTO E LAZER                                    </t>
  </si>
  <si>
    <t xml:space="preserve">28-ENCARGOS ESPECIAIS                                  </t>
  </si>
  <si>
    <t xml:space="preserve">99-RESERVA DE CONTINGÊNCIA                             </t>
  </si>
  <si>
    <t xml:space="preserve">       31-Ação Legislativa                                </t>
  </si>
  <si>
    <t xml:space="preserve">       122-Administração Geral                             </t>
  </si>
  <si>
    <t xml:space="preserve">       123-Administração Financeira                        </t>
  </si>
  <si>
    <t xml:space="preserve">       126-Tecnologia da Informação</t>
  </si>
  <si>
    <t xml:space="preserve">       181-Policiamento                                    </t>
  </si>
  <si>
    <t xml:space="preserve">       182-Defesa Civil</t>
  </si>
  <si>
    <t xml:space="preserve">       241-Assistência ao Idoso                            </t>
  </si>
  <si>
    <t xml:space="preserve">       242-Assistência ao Portador de Deficiência          </t>
  </si>
  <si>
    <t xml:space="preserve">       243-Assistência à Criança e ao Adolescente          </t>
  </si>
  <si>
    <t xml:space="preserve">       244-Assistência Comunitária                         </t>
  </si>
  <si>
    <t xml:space="preserve">       122-Administração Geral                                        </t>
  </si>
  <si>
    <t xml:space="preserve">       272-Previdência do Regime Estatutário               </t>
  </si>
  <si>
    <t xml:space="preserve">       273-Previdência Complementar                     </t>
  </si>
  <si>
    <t xml:space="preserve">       301-Atenção Básica                                  </t>
  </si>
  <si>
    <t xml:space="preserve">       302-Assistência Hospitalar e Ambulatorial           </t>
  </si>
  <si>
    <t xml:space="preserve">       303-Suporte Profilático e Terapêutico</t>
  </si>
  <si>
    <t xml:space="preserve">       304-Vigilância Sanitária</t>
  </si>
  <si>
    <t xml:space="preserve">       305-Vigilância Epidemiológica                       </t>
  </si>
  <si>
    <t xml:space="preserve">       306-Alimentação e Nutrição                          </t>
  </si>
  <si>
    <t xml:space="preserve">       331-Proteção e Benefícios ao Trabalhador            </t>
  </si>
  <si>
    <t xml:space="preserve">       361-Ensino Fundamental                              </t>
  </si>
  <si>
    <t xml:space="preserve">       364-Ensino Superior                                 </t>
  </si>
  <si>
    <t xml:space="preserve">       365-Educação Infantil                               </t>
  </si>
  <si>
    <t xml:space="preserve">       366-Educação de Jovens e Adultos                    </t>
  </si>
  <si>
    <t xml:space="preserve">       367-Educação Especial                               </t>
  </si>
  <si>
    <t xml:space="preserve">       368-Educação Básica</t>
  </si>
  <si>
    <t xml:space="preserve">       392-Difusão Cultural                                </t>
  </si>
  <si>
    <t xml:space="preserve">       451-Infra-Estrutura Urbana                          </t>
  </si>
  <si>
    <t xml:space="preserve">       452-Serviços Urbanos                                </t>
  </si>
  <si>
    <t xml:space="preserve">       482-Habitação Urbana                                </t>
  </si>
  <si>
    <t xml:space="preserve">       512-Saneamento Básico Urbano                        </t>
  </si>
  <si>
    <t xml:space="preserve">       122-Administração Geral                                       </t>
  </si>
  <si>
    <t xml:space="preserve">       541-Preservação e Conservação Ambiental             </t>
  </si>
  <si>
    <t xml:space="preserve">       542-Controle Ambiental             </t>
  </si>
  <si>
    <t xml:space="preserve">       605-Abastecimento</t>
  </si>
  <si>
    <t xml:space="preserve">       695-Turismo                                         </t>
  </si>
  <si>
    <t xml:space="preserve">       782-Transporte Rodoviário                           </t>
  </si>
  <si>
    <t xml:space="preserve">       812-Desporto Comunitário                            </t>
  </si>
  <si>
    <t xml:space="preserve">       841-Refinanciamento da Dívida Interna               </t>
  </si>
  <si>
    <t xml:space="preserve">       846-Outros Encargos Especiais                       </t>
  </si>
  <si>
    <t>RREO-Anexo 02 - Tabela 2.0 - Demonstrativo da Execução das Despesas por Função/Subfunção - Total das Despesas Exceto Intra-Orçamentárias</t>
  </si>
  <si>
    <t>Função / Subfunção</t>
  </si>
  <si>
    <t>DEPARTAMENTO DE ÁGUAS E ESGOTOS DE VALINHOS</t>
  </si>
  <si>
    <t>Autarquia Municipal</t>
  </si>
  <si>
    <t>DEMONSTRATIVO DAS DESPESAS POR FUNÇÃO E SUBFUNÇÃO</t>
  </si>
  <si>
    <t>RENATO CARDOSO</t>
  </si>
  <si>
    <t>Divisão de Contabilidade e Orçamento</t>
  </si>
  <si>
    <t>Diretor</t>
  </si>
  <si>
    <t>CRC1SP192311/O-9</t>
  </si>
  <si>
    <t>CHRISTIAN MOLL</t>
  </si>
  <si>
    <t>Agente de Controle Interno</t>
  </si>
  <si>
    <t>Presidente do D.A.E.V.</t>
  </si>
  <si>
    <t>JOEL MARCELO SABALLO</t>
  </si>
  <si>
    <t>Departamento Financeiro</t>
  </si>
  <si>
    <t>WALTER GASI</t>
  </si>
  <si>
    <t>No Bimestre</t>
  </si>
  <si>
    <t>Até o Bimestre</t>
  </si>
  <si>
    <t>2º QUADRIMESTRE/2022</t>
  </si>
  <si>
    <t>RELATÓRIO RESUMIDO DA EXECUÇÃO ORÇAMENTÁRIA - RREO</t>
  </si>
  <si>
    <t>BALANÇO ORÇAMENTÁRIO</t>
  </si>
  <si>
    <t>ORÇAMENTOS FISCAL E DA SEGURIDADE SOCIAL</t>
  </si>
  <si>
    <t>RREO-Anexo 01 - Tabela 1.0 - Balanço Orçamentário</t>
  </si>
  <si>
    <t xml:space="preserve">Receitas Orçamentárias                                             </t>
  </si>
  <si>
    <t>Estágios da Receita Orçamentária</t>
  </si>
  <si>
    <t>PREVISÃO</t>
  </si>
  <si>
    <t>RECEITAS REALIZADAS</t>
  </si>
  <si>
    <t>(b/a)</t>
  </si>
  <si>
    <t>(c)</t>
  </si>
  <si>
    <t>(c/a)</t>
  </si>
  <si>
    <t>(a-c)</t>
  </si>
  <si>
    <t>-</t>
  </si>
  <si>
    <t xml:space="preserve">RECEITAS (EXCETO INTRA-ORÇAMENTÁRIAS) (I)                                                           </t>
  </si>
  <si>
    <t xml:space="preserve">   RECEITAS CORRENTES                                                                               </t>
  </si>
  <si>
    <t xml:space="preserve">     IMPOSTOS, TAXAS E CONTRIBUIÇÕES DE MELHORIA</t>
  </si>
  <si>
    <t xml:space="preserve">        Impostos                                                                                    </t>
  </si>
  <si>
    <t xml:space="preserve">        Taxas                                                                                       </t>
  </si>
  <si>
    <t xml:space="preserve">        Contribuição de Melhoria                                                                   </t>
  </si>
  <si>
    <t xml:space="preserve">    CONTRIBUIÇÕES                                                                        </t>
  </si>
  <si>
    <t xml:space="preserve">        Contribuições Sociais</t>
  </si>
  <si>
    <t xml:space="preserve">        Contribuição para o Custeio do Serviço de Iluminação Pública</t>
  </si>
  <si>
    <t xml:space="preserve">    RECEITA PATRIMONIAL                                                                             </t>
  </si>
  <si>
    <t xml:space="preserve">        Valores Mobiliários                                                             </t>
  </si>
  <si>
    <t xml:space="preserve">        Delegação de Serviços Públicos Mediante Concessão, Permissão, Autorização ou Licença</t>
  </si>
  <si>
    <t xml:space="preserve">    RECEITA DE SERVIÇOS                                                                             </t>
  </si>
  <si>
    <t xml:space="preserve">        Serviços Administrativos e Comerciais Gerais</t>
  </si>
  <si>
    <t xml:space="preserve">    TRANSFERÊNCIAS CORRENTES                                                                        </t>
  </si>
  <si>
    <t xml:space="preserve">        Transferências da União e de suas Entidades</t>
  </si>
  <si>
    <t xml:space="preserve">        Transferências dos Estados e do Distrito Federal e de suas Entidades</t>
  </si>
  <si>
    <t xml:space="preserve">        Transferências de Outras Instituições Públicas</t>
  </si>
  <si>
    <t xml:space="preserve">    OUTRAS RECEITAS CORRENTES                                                                       </t>
  </si>
  <si>
    <t xml:space="preserve">        Multas Administrativas, Contratuais e Judiciais</t>
  </si>
  <si>
    <t xml:space="preserve">        Indenizações, Restituições e Ressarcimentos                                                               </t>
  </si>
  <si>
    <t xml:space="preserve">        Demais Receitas Correntes</t>
  </si>
  <si>
    <t xml:space="preserve">   RECEITAS DE CAPITAL                                                                              </t>
  </si>
  <si>
    <t xml:space="preserve">    OPERAÇÕES DE CRÉDITO                                                                            </t>
  </si>
  <si>
    <t xml:space="preserve">        Operações de Crédito-Mercado Interno                                                               </t>
  </si>
  <si>
    <t xml:space="preserve">    ALIENAÇÃO DE BENS                                                                               </t>
  </si>
  <si>
    <t xml:space="preserve">        Alienação de Bens Móveis                                                                    </t>
  </si>
  <si>
    <t xml:space="preserve">        Alienação de Bens Imóveis                                                                   </t>
  </si>
  <si>
    <t xml:space="preserve">    TRANSFERÊNCIAS DE CAPITAL                                                                       </t>
  </si>
  <si>
    <t xml:space="preserve">    OUTRAS RECEITAS DE CAPITAL                                                                      </t>
  </si>
  <si>
    <t xml:space="preserve">        Demais Receitas de Capital                                                                </t>
  </si>
  <si>
    <t xml:space="preserve">RECEITAS (INTRA - ORÇAMENTÁRIAS) ( II )                                                               </t>
  </si>
  <si>
    <t xml:space="preserve">SUBTOTAL DAS RECEITAS (III) = (I + II)                                                              </t>
  </si>
  <si>
    <t xml:space="preserve">OPERAÇÕES DE CRÉDITO/REFINANCIAMENTO ( IV )                                                             </t>
  </si>
  <si>
    <t xml:space="preserve">   Operações de Crédito - Mercado Interno</t>
  </si>
  <si>
    <t xml:space="preserve">      Mobiliária                                                                                    </t>
  </si>
  <si>
    <t xml:space="preserve">      Contratual                                                                                    </t>
  </si>
  <si>
    <t xml:space="preserve">   Operações de Crédito - Mercado Externo</t>
  </si>
  <si>
    <t>TOTAL DAS RECEITAS (V) = (III + IV)</t>
  </si>
  <si>
    <t>DÉFICIT (VI)</t>
  </si>
  <si>
    <t/>
  </si>
  <si>
    <t>TOTAL  COM DÉFICIT (VII) = (V + VI)</t>
  </si>
  <si>
    <t>SALDOS DE EXERCÍCIOS ANTERIORES</t>
  </si>
  <si>
    <t xml:space="preserve">      Recursos Arrecadados em Exercícios Anteriores-RPPS</t>
  </si>
  <si>
    <t xml:space="preserve">      Superávit Financeiro Utilizado p/Créditos Adicionais</t>
  </si>
  <si>
    <t xml:space="preserve"> </t>
  </si>
  <si>
    <t>RREO-Anexo 01/Tabela 1.0 - Balanço Orçamentário</t>
  </si>
  <si>
    <t>Estágios da Despesa Orçamentária</t>
  </si>
  <si>
    <t>DESPESAS</t>
  </si>
  <si>
    <t xml:space="preserve">Despesas Orçamentárias              </t>
  </si>
  <si>
    <t>Até o bimestre</t>
  </si>
  <si>
    <t>PAGAS ATÉ</t>
  </si>
  <si>
    <t>O BIMESTRE</t>
  </si>
  <si>
    <t>(d)</t>
  </si>
  <si>
    <t>(e)</t>
  </si>
  <si>
    <t>(g)=(e-f)</t>
  </si>
  <si>
    <t>(h)</t>
  </si>
  <si>
    <t>(i)=(e-h)</t>
  </si>
  <si>
    <t>(j)</t>
  </si>
  <si>
    <t>(k)</t>
  </si>
  <si>
    <r>
      <t xml:space="preserve">DESPESAS  </t>
    </r>
    <r>
      <rPr>
        <b/>
        <sz val="6"/>
        <color indexed="8"/>
        <rFont val="Arial"/>
        <family val="2"/>
      </rPr>
      <t xml:space="preserve">(EXCETO INTRA-ORÇAMENTÁRIAS)(VIII)                                                     </t>
    </r>
  </si>
  <si>
    <t xml:space="preserve">DESPESAS CORRENTES                                                                                  </t>
  </si>
  <si>
    <t xml:space="preserve">    Pessoal e Encargos Sociais                                                                      </t>
  </si>
  <si>
    <t xml:space="preserve">    Juros e Encargos da Dívida</t>
  </si>
  <si>
    <t xml:space="preserve">    Outras Despesas Correntes                                                                       </t>
  </si>
  <si>
    <t xml:space="preserve">DESPESAS DE CAPITAL                                                                                 </t>
  </si>
  <si>
    <t xml:space="preserve">    Investimentos                                                                                   </t>
  </si>
  <si>
    <t xml:space="preserve">    Inversões Financeiras</t>
  </si>
  <si>
    <t xml:space="preserve">    Amortização da Dívida                                                                           </t>
  </si>
  <si>
    <t xml:space="preserve">RESERVA DE CONTINGÊNCIA                                                                             </t>
  </si>
  <si>
    <t xml:space="preserve">DESPESAS (INTRA-ORÇAMENTÁRIAS) (IX)                                                                 </t>
  </si>
  <si>
    <t xml:space="preserve">SUBTOTAL DAS DESPESAS (X) = (VIII + IX)                                                         </t>
  </si>
  <si>
    <t xml:space="preserve">AMORTIZAÇÃO DA DÍV./REFINANCIAMENTO (XI)                                                            </t>
  </si>
  <si>
    <t xml:space="preserve">   Amortização da Dívida Interna                                                                    </t>
  </si>
  <si>
    <t xml:space="preserve">      Dívida Mobiliária                                                                             </t>
  </si>
  <si>
    <t xml:space="preserve">      Dívida Contratual                                                                               </t>
  </si>
  <si>
    <t xml:space="preserve">   Amortização da Dívida Externa                                                                    </t>
  </si>
  <si>
    <t>TOTAL DAS DESPESAS (XII)= (X + XI)</t>
  </si>
  <si>
    <t>SUPERÁVIT (XIII)</t>
  </si>
  <si>
    <t>TOTAL COM SUPERÁVIT (XIV)= (XII + XIII)</t>
  </si>
  <si>
    <t xml:space="preserve">RESERVA DO RPPS                                                                                     </t>
  </si>
  <si>
    <t>DEMONSTRATIVO DO RESULTADO PRIMÁRIO E NOMINAL</t>
  </si>
  <si>
    <t>RREO-Anexo 06 - Tabela 6.3 - Demonstrativo dos Resultados Primário e Nominal</t>
  </si>
  <si>
    <t>Receita Orçamentária</t>
  </si>
  <si>
    <t>Cálculo Acima da Linha - Receitas Primárias</t>
  </si>
  <si>
    <t>Até o Quadrimestre/2022</t>
  </si>
  <si>
    <t>PREVISÃO ATUALIZADA</t>
  </si>
  <si>
    <t>RECEITAS REALIZADAS (a)</t>
  </si>
  <si>
    <t xml:space="preserve">RECEITAS CORRENTES (I)                                                                    </t>
  </si>
  <si>
    <t xml:space="preserve">    Impostos, Taxas e Contribuições de Melhoria</t>
  </si>
  <si>
    <t xml:space="preserve">        IPTU                                                                                        </t>
  </si>
  <si>
    <t xml:space="preserve">        ISS                                                                                         </t>
  </si>
  <si>
    <t xml:space="preserve">        ITBI                                                                                        </t>
  </si>
  <si>
    <t xml:space="preserve">        IRRF                                                                                        </t>
  </si>
  <si>
    <t xml:space="preserve">        Outros Impostos, Taxas e Contribuições de Melhoria</t>
  </si>
  <si>
    <t xml:space="preserve">    Contribuições                                                                        </t>
  </si>
  <si>
    <t xml:space="preserve">    Receita Patrimonial </t>
  </si>
  <si>
    <t xml:space="preserve">        Aplicações Financeiras (II)</t>
  </si>
  <si>
    <t xml:space="preserve">        Outras Receitas Patrimoniais</t>
  </si>
  <si>
    <t xml:space="preserve">    Transferências Correntes                                                                        </t>
  </si>
  <si>
    <t xml:space="preserve">        Cota-Parte do FPM                                                                              </t>
  </si>
  <si>
    <t xml:space="preserve">        Cota-Parte do ICMS                                                                             </t>
  </si>
  <si>
    <t xml:space="preserve">        Cota-Parte do IPVA</t>
  </si>
  <si>
    <t xml:space="preserve">        Cota-Parte do ITR</t>
  </si>
  <si>
    <t xml:space="preserve">        Transferências da LC 87/1996</t>
  </si>
  <si>
    <t xml:space="preserve">        Transferências da LC nº 61/1989</t>
  </si>
  <si>
    <t xml:space="preserve">        Transferências do FUNDEB</t>
  </si>
  <si>
    <t xml:space="preserve">        Outras Transferências Correntes                                                             </t>
  </si>
  <si>
    <t xml:space="preserve">    Demais Receitas Correntes                                                                       </t>
  </si>
  <si>
    <t xml:space="preserve">        Receitas Correntes Restantes</t>
  </si>
  <si>
    <t>RECEITAS PRIMÁRIAS CORRENTES (IV) = (I - II)</t>
  </si>
  <si>
    <t xml:space="preserve">RECEITAS DE CAPITAL (V)                                                                            </t>
  </si>
  <si>
    <t xml:space="preserve">    Operações de Crédito (VI)                                                                      </t>
  </si>
  <si>
    <t xml:space="preserve">    Amortização de Empréstimos (VII)                                                                 </t>
  </si>
  <si>
    <t xml:space="preserve">    Alienação de Bens</t>
  </si>
  <si>
    <t xml:space="preserve">      Receitas de Alienação de Investimentos Temporários (VIII) </t>
  </si>
  <si>
    <t xml:space="preserve">      Receitas de Alienação de Investimentos Permanentes (IX) </t>
  </si>
  <si>
    <t xml:space="preserve">      Outras Alienações de Bens </t>
  </si>
  <si>
    <t xml:space="preserve">    Transferências de Capital                                                                       </t>
  </si>
  <si>
    <t xml:space="preserve">        Convênios</t>
  </si>
  <si>
    <t xml:space="preserve">        Outras Transferências de Capital                                                            </t>
  </si>
  <si>
    <t xml:space="preserve">    Outras Receitas de Capital </t>
  </si>
  <si>
    <t xml:space="preserve">      Outras Receitas de Capital Não Primárias (X) </t>
  </si>
  <si>
    <t xml:space="preserve">      Outras Receitas de Capital Primárias </t>
  </si>
  <si>
    <t xml:space="preserve">RECEITAS PRIMÁRIAS DE CAPITAL (XI) = (V-VI -VII-VIII-IX-X)                                                  </t>
  </si>
  <si>
    <t>RECEITA PRIMÁRIA TOTAL (XII) = (IV + XI)</t>
  </si>
  <si>
    <t>Despesa Orçamentária Até o Quadrimestre / 2022</t>
  </si>
  <si>
    <t>RESTOS A PAGAR NÃO PROCESSADOS</t>
  </si>
  <si>
    <t>Cálculo Acima da Linha - Despesas Primárias</t>
  </si>
  <si>
    <t xml:space="preserve">DEPESAS </t>
  </si>
  <si>
    <t>PROCESSADOS PAGOS</t>
  </si>
  <si>
    <t>LIQUIDADOS</t>
  </si>
  <si>
    <t>PAGOS</t>
  </si>
  <si>
    <t>EMPENHADAS</t>
  </si>
  <si>
    <t>LIQUIDADAS</t>
  </si>
  <si>
    <t>PAGAS (a)</t>
  </si>
  <si>
    <t xml:space="preserve">DESPESAS CORRENTES (XIII)                                                                           </t>
  </si>
  <si>
    <t xml:space="preserve">    Pessoal e Encargos Socias                                                                       </t>
  </si>
  <si>
    <t xml:space="preserve">    Juros e Encargos da Dívida (XIV)                                                                 </t>
  </si>
  <si>
    <t xml:space="preserve">DESPESAS PRIMÁRIAS CORRENTES (XV) = (XIII - XIV)                                                      </t>
  </si>
  <si>
    <t xml:space="preserve">DESPESAS DE CAPITAL (XVI)                                                                            </t>
  </si>
  <si>
    <t xml:space="preserve">    Inversões Financeiras                                                                           </t>
  </si>
  <si>
    <t xml:space="preserve">        Concessão de Empréstimos e Financiamentos (XVII)                                                              </t>
  </si>
  <si>
    <t xml:space="preserve">        Aq.de Título de Capital Integralizado (XVIII)                                </t>
  </si>
  <si>
    <t xml:space="preserve">        Aq.de Título de Crédito (XIX)                                </t>
  </si>
  <si>
    <t xml:space="preserve">        Demais Inversões Financeiras                                                                </t>
  </si>
  <si>
    <t xml:space="preserve">    Amortização da Dívida (XX)                                                                     </t>
  </si>
  <si>
    <t xml:space="preserve">DESP. PRIMÁRIAS DE CAPITAL (XXI) = (XVI - XVII - XVIII - XIX - XX)                                                  </t>
  </si>
  <si>
    <t xml:space="preserve">RESERVA DE CONTINGÊNCIA (XXII)                                                                       </t>
  </si>
  <si>
    <t>DESPESA PRIMÁRIA TOTAL (XXIII) = (XV + XXI + XXII)</t>
  </si>
  <si>
    <t>RESULTADO PRIMÁRIO - Acima da Linha (XXIV)=(XIIa-(XXIIIa+XXIIIb+XXIIIc))</t>
  </si>
  <si>
    <t>VALOR CORRENTE</t>
  </si>
  <si>
    <t>Meta Fiscal para o Resultado Primário</t>
  </si>
  <si>
    <t xml:space="preserve">   Meta fixada no Anexo de Metas Fiscais da LDO para o exercício de referência</t>
  </si>
  <si>
    <t>Até o Bimestre 2022</t>
  </si>
  <si>
    <t>Juros Nominais</t>
  </si>
  <si>
    <t xml:space="preserve">VALOR </t>
  </si>
  <si>
    <t xml:space="preserve">  Juros, Encargos e Variações Monetárias Ativos (XXV) </t>
  </si>
  <si>
    <t xml:space="preserve">  Juros, Encargos e Variações Monetárias Passivos (XXVI) </t>
  </si>
  <si>
    <t>Até o Quadrimestre / 2022</t>
  </si>
  <si>
    <t>Resultado Nominal - Acima da Linha</t>
  </si>
  <si>
    <t>VALOR</t>
  </si>
  <si>
    <t>RESULTADO NOMINAL - ACIMA DA LINHA (XXVII) = XXIV + (XXV - XXVI)</t>
  </si>
  <si>
    <t>Meta Fiscal para o Resultado Nominal</t>
  </si>
  <si>
    <t>Cálculo Abaixo da linha - Resultado Nominal</t>
  </si>
  <si>
    <t>Em 31/12/2021</t>
  </si>
  <si>
    <t>Até o Quad.</t>
  </si>
  <si>
    <t>DÍVIDA CONSOLIDADA (XXVIII)</t>
  </si>
  <si>
    <t xml:space="preserve">DEDUÇÕES (XXIX)                                                                             </t>
  </si>
  <si>
    <t xml:space="preserve">    Disponibilidade de Caixa </t>
  </si>
  <si>
    <t xml:space="preserve">      Disponibilidade de Caixa Bruta</t>
  </si>
  <si>
    <t xml:space="preserve">      ( - ) Restos a Pagar Processados (XXX)</t>
  </si>
  <si>
    <t xml:space="preserve">      ( - ) Depósitos Restituíveis e Valores Vinculados</t>
  </si>
  <si>
    <t xml:space="preserve">    Demais Haveres Financeiros</t>
  </si>
  <si>
    <t>DÍVIDA CONSOLIDADA LÍQUIDA (XXXI) = (XXVIII - XXIX)</t>
  </si>
  <si>
    <t>Até o  Quadrimestre</t>
  </si>
  <si>
    <t>Resultado Nominal - Abaixo da Linha</t>
  </si>
  <si>
    <t>RESULTADO NOMINAL - ABAIXO DA LINHA (XXII) = XXIV + (XXXIa - XXXIb)</t>
  </si>
  <si>
    <t>Até o Quadrimestre 2022</t>
  </si>
  <si>
    <t>Ajuste Metodológico</t>
  </si>
  <si>
    <t>VARIAÇÃO SALDO RPP = (XXXIII) = (XXXa - XXXb)</t>
  </si>
  <si>
    <t>RECEITA DE ALIENAÇÃO DE INVESTIMENTOS PERMANENTES (IX)</t>
  </si>
  <si>
    <t>PASSIVOS RECONHECIDOS NA DC (XXXIV)</t>
  </si>
  <si>
    <t>VARIAÇÃO CAMBIAL (XXXV)</t>
  </si>
  <si>
    <t>PAGAMENTO DE PRECATÓRIOS INTEGRANTES DA DC (XXXVI)</t>
  </si>
  <si>
    <t>AJUSTES RELATIVOS AO RPPS (XXXVII)</t>
  </si>
  <si>
    <t>OUTROS AJUSTES (XXXVIII)</t>
  </si>
  <si>
    <t xml:space="preserve">RESULTADO NOMINAL AJUSTADO - Abaixo da Linha (XXXIX) = (XXXII - XXXIII - IX + XXXIV + XXXV - XXXVI + XXXVII + XXXVIII) 
  </t>
  </si>
  <si>
    <t>RESULTADO PRIMÁRIO - ABAIXO DA LINHA</t>
  </si>
  <si>
    <t>ATÉ O BIMESTRE / 2022</t>
  </si>
  <si>
    <t>Resultado Primário - Abaixo da Linha</t>
  </si>
  <si>
    <t xml:space="preserve">RESULTADO PRIMÁRIO - Abaixo da Linha (XL) = XXXIX - (XXV - XXVI) </t>
  </si>
  <si>
    <t>Informações Adicionais</t>
  </si>
  <si>
    <t>PREVISÃO ORÇAMENTÁRIA</t>
  </si>
  <si>
    <t>SALDO DE EXERCÍCIOS ANTERIORES</t>
  </si>
  <si>
    <t xml:space="preserve">  Recursos Arrecadados em Exercícios Anteriores - RPPS</t>
  </si>
  <si>
    <t xml:space="preserve">  Superávit Financeiro Utilizado para Abertura e Reabertura de Créditos Adicionais</t>
  </si>
  <si>
    <t>RESERVA ORÇAMENTÁRIA DO RPPS</t>
  </si>
  <si>
    <t>RELATÓRIO RESUMIDO DE EXECUÇÃO ORÇAMENTÁRIA</t>
  </si>
  <si>
    <t>DEMONSTRATIVO DOS RESTOS A PAGAR POR PODER E ÓRGÃO</t>
  </si>
  <si>
    <t>RREO-Anexo 07 - Tabela 7.0 - Demonstrativo dos Restos à Pagar por Poder e Órgão</t>
  </si>
  <si>
    <t>RESTOS A PAGAR PROCESSADOS</t>
  </si>
  <si>
    <t>Poder / Órgão</t>
  </si>
  <si>
    <t>Em exercícios</t>
  </si>
  <si>
    <t>Em 31 de Dez</t>
  </si>
  <si>
    <t xml:space="preserve">Saldo </t>
  </si>
  <si>
    <t>Anteriores (a)</t>
  </si>
  <si>
    <t>2021 (b)</t>
  </si>
  <si>
    <t>Pagos (c)</t>
  </si>
  <si>
    <t>Cancelados (d)</t>
  </si>
  <si>
    <t>e=(a+b)-(c+d)</t>
  </si>
  <si>
    <t>Anteriores (f)</t>
  </si>
  <si>
    <t>2021 (g)</t>
  </si>
  <si>
    <t>Liquidados (h)</t>
  </si>
  <si>
    <t>Pagos (i)</t>
  </si>
  <si>
    <t>Cancelados (j)</t>
  </si>
  <si>
    <t>k=(f+g)-(i+j)</t>
  </si>
  <si>
    <t>l=(e+k)</t>
  </si>
  <si>
    <t>RESTOS A PAGAR (EXCETO INTRA-ORÇAMENTÁRIOS) (I)</t>
  </si>
  <si>
    <t xml:space="preserve"> PODER EXECUTIVO</t>
  </si>
  <si>
    <t xml:space="preserve">   PREFEITURA</t>
  </si>
  <si>
    <t xml:space="preserve">   DAEV</t>
  </si>
  <si>
    <t xml:space="preserve">   INSTITUTO DE PREVIDÊNCIA</t>
  </si>
  <si>
    <t xml:space="preserve"> PODER LEGISLATIVO</t>
  </si>
  <si>
    <t xml:space="preserve">   CÂMARA MUNICIPAL</t>
  </si>
  <si>
    <t>RESTOS A PAGAR (INTRA-ORÇAMENTÁRIOS) (II)</t>
  </si>
  <si>
    <t>TOTAL (III) = (I + II)</t>
  </si>
  <si>
    <t>RESTOS A PAGAR (INTRA-ORÇAMENTÁRIOS) (I)</t>
  </si>
  <si>
    <t>RELATÓRIO DE GESTÃO FISCAL - PODER EXECUTIVO</t>
  </si>
  <si>
    <t>ATÉ O 2º QUADRIMESTRE DE 2022</t>
  </si>
  <si>
    <t>LRF, art.48</t>
  </si>
  <si>
    <t>QUADRO COMPARATIVO COM OS LIMITES DA LRF:</t>
  </si>
  <si>
    <t>2º Quadrimestre/2022</t>
  </si>
  <si>
    <t>Receita Corrente Líquida Ajustada para Cálculo dos Limites de Endividamento</t>
  </si>
  <si>
    <t>Receita Corrente Líquida Ajustada para Cálculo dos Limites da Despesa com Pessoal</t>
  </si>
  <si>
    <t>R$</t>
  </si>
  <si>
    <t xml:space="preserve">% </t>
  </si>
  <si>
    <t>Despesas Totais com Pessoal</t>
  </si>
  <si>
    <t>Limite Máximo (art. 20 LRF)</t>
  </si>
  <si>
    <t>Limite Prudencial 95% (par.ún.art.22 LRF)</t>
  </si>
  <si>
    <t>Excesso a Regularizar</t>
  </si>
  <si>
    <t>Dívida Consolidada Líquida</t>
  </si>
  <si>
    <t>Saldo Devedor</t>
  </si>
  <si>
    <t>Limite Legal (art.3º e 4º Res.nº 40 Senado)</t>
  </si>
  <si>
    <t>Concessões de Garantia</t>
  </si>
  <si>
    <t>Montante</t>
  </si>
  <si>
    <t>Limite Legal (art. 9º Res.nº  43 Senado)</t>
  </si>
  <si>
    <t>Operações de Crédito (exceto ARO)</t>
  </si>
  <si>
    <t>Realizadas no Período</t>
  </si>
  <si>
    <t>Limite Legal (Inc. I art. 7º Res.nº 43 Senado)</t>
  </si>
  <si>
    <t>Antecipação de Rec. Orçamentárias</t>
  </si>
  <si>
    <t>Limite legal (art. 10 Res.nº 43 Senado)</t>
  </si>
  <si>
    <t>CRC 1SP192311/o-9</t>
  </si>
  <si>
    <t>RREO-Anexo 03/Tabela 3.2 - Demonstrativo da Receita Corrente Líquida - Municípios</t>
  </si>
  <si>
    <t>TOTAL</t>
  </si>
  <si>
    <t>Especificação</t>
  </si>
  <si>
    <t>SETEMBRO/21</t>
  </si>
  <si>
    <t>OUTUBRO/21</t>
  </si>
  <si>
    <t>NOVEMBRO/21</t>
  </si>
  <si>
    <t>DEZEMBRO/21</t>
  </si>
  <si>
    <t>JANEIRO/22</t>
  </si>
  <si>
    <t>FEVEREIRO/22</t>
  </si>
  <si>
    <t>MARÇO/22</t>
  </si>
  <si>
    <t>ABRIL/22</t>
  </si>
  <si>
    <t>MAIO/23</t>
  </si>
  <si>
    <t>JUNHO/22</t>
  </si>
  <si>
    <t>JULHO/22</t>
  </si>
  <si>
    <t>AGOSTO/22</t>
  </si>
  <si>
    <t>(ÚLTIMOS 12 MESES)</t>
  </si>
  <si>
    <t>ATUALIZADA 2022</t>
  </si>
  <si>
    <t xml:space="preserve">RECEITAS CORRENTES (I)                                                                              </t>
  </si>
  <si>
    <t xml:space="preserve">      IPTU                                                                                          </t>
  </si>
  <si>
    <t xml:space="preserve">      ISS                                                                                           </t>
  </si>
  <si>
    <t xml:space="preserve">      ITBI                                                                                          </t>
  </si>
  <si>
    <t xml:space="preserve">      IRRF                                                                   </t>
  </si>
  <si>
    <t xml:space="preserve">      Outros Impostos, Taxas e Contribuições de Melhoria</t>
  </si>
  <si>
    <t xml:space="preserve">    Receita Patrimonial                                                                             </t>
  </si>
  <si>
    <t xml:space="preserve">      Rendimentos de Aplicação Financeira</t>
  </si>
  <si>
    <t xml:space="preserve">      Outras Receitas Patrimoniais</t>
  </si>
  <si>
    <t xml:space="preserve">    Receita de Serviços                                                                             </t>
  </si>
  <si>
    <t xml:space="preserve">      Cota-Parte do FPM                                                                                </t>
  </si>
  <si>
    <t xml:space="preserve">      Cota-Parte do ICMS                                                                               </t>
  </si>
  <si>
    <t xml:space="preserve">      Cota-Parte do IPVA                                                                               </t>
  </si>
  <si>
    <t xml:space="preserve">      Cota-Parte do ITR                                                                                </t>
  </si>
  <si>
    <t xml:space="preserve">      Transferências da LC 87/1996                                                                  </t>
  </si>
  <si>
    <t xml:space="preserve">      Transferências da LC 61/1989                                               </t>
  </si>
  <si>
    <t xml:space="preserve">      Transferências do FUNDEB                                                                      </t>
  </si>
  <si>
    <t xml:space="preserve">      Outras  Transferências Correntes                                                              </t>
  </si>
  <si>
    <t xml:space="preserve">    Outras Receitas Correntes                                                                       </t>
  </si>
  <si>
    <t xml:space="preserve">DEDUÇÕES (II)                                                                                       </t>
  </si>
  <si>
    <t xml:space="preserve">    Contribuição do Servidor a R.P.P.S.</t>
  </si>
  <si>
    <t xml:space="preserve">    Receitas de Compensação Previdenciária</t>
  </si>
  <si>
    <t xml:space="preserve">    Ganhos com Aplicação Financeira do RPPS</t>
  </si>
  <si>
    <t xml:space="preserve">    Dedução de Receita para Formação do FUNDEB                                                      </t>
  </si>
  <si>
    <t>RECEITA CORRENTE LÍQUIDA ( III ) =  (I - II)</t>
  </si>
  <si>
    <t xml:space="preserve">  (-) Transferências obrigatórias da União relativas às emendas individuais (art. 166-A, § 1º, da CF) (IV) </t>
  </si>
  <si>
    <t xml:space="preserve">  RECEITA CORRENTE LÍQUIDA AJUSTADA PARA CÁLCULO DOS LIMITES DE ENDIVIDAMENTO 
  (V) = (III - IV) </t>
  </si>
  <si>
    <t xml:space="preserve">  (-) Transferências obrigatórias da União relativas às emendas de bancada (art. 166, § 16, da CF) (VI) </t>
  </si>
  <si>
    <t xml:space="preserve">  RECEITA CORRENTE LÍQUIDA AJUSTADA PARA CÁLCULO DOS LIMITES DA DESPESA COM 
  PESSOAL (VII) = (V - VI) </t>
  </si>
  <si>
    <t>AUTARQUIA MUNICIPAL</t>
  </si>
  <si>
    <t>DEMONSTRATIVO DA DESPESAS COM PESSOAL</t>
  </si>
  <si>
    <t>SETEMBRO/2021 A AGOSTO/2022</t>
  </si>
  <si>
    <t>DESPESAS COM PESSOAL</t>
  </si>
  <si>
    <t>SETEMBRO/2021</t>
  </si>
  <si>
    <t>NOVEMBRO/2021</t>
  </si>
  <si>
    <t>DEZEMBRO/2021</t>
  </si>
  <si>
    <t>JANEIRO/2022</t>
  </si>
  <si>
    <t>FEVEREIRO/2022</t>
  </si>
  <si>
    <t>MARÇO/2022</t>
  </si>
  <si>
    <t>ABRIL/2022</t>
  </si>
  <si>
    <t>MAIO/2022</t>
  </si>
  <si>
    <t>JUNHO/2022</t>
  </si>
  <si>
    <t>JULHO/2022</t>
  </si>
  <si>
    <t>AGOSTO/2022</t>
  </si>
  <si>
    <t>Totais:</t>
  </si>
  <si>
    <t>Despesas com Pessoal Ativo</t>
  </si>
  <si>
    <t>Mão-de-obra terceirizada</t>
  </si>
  <si>
    <t>Encargos Sociais</t>
  </si>
  <si>
    <t>Inativos/Pens</t>
  </si>
  <si>
    <t>Pensionistas</t>
  </si>
  <si>
    <t>Outros Benef. Prev.(S.Fam.)</t>
  </si>
  <si>
    <t>Sentenças Judiciais do período</t>
  </si>
  <si>
    <t>Outras despesas com pessoal</t>
  </si>
  <si>
    <t>Subtotal</t>
  </si>
  <si>
    <t>Indenização por demissão</t>
  </si>
  <si>
    <t>Incentivos à demissão voluntária</t>
  </si>
  <si>
    <t>Decisão Judicial de compet. Anterior</t>
  </si>
  <si>
    <t>Inativos (custeio recursos)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</si>
</sst>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0,000,000.00"/>
    <numFmt numFmtId="165" formatCode="_(* #,##0.00_);_(* \(#,##0.00\);_(* &quot;-&quot;??_);_(@_)"/>
    <numFmt numFmtId="166" formatCode="_-* #,##0.00_-;\-* #,##0.00_-;_-* &quot;-&quot;??_-;_-@"/>
  </numFmts>
  <fonts count="45" x14ac:knownFonts="1">
    <font>
      <sz val="10"/>
      <color indexed="8"/>
      <name val="Arial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b/>
      <i/>
      <sz val="12"/>
      <name val="Bookman Old Style"/>
      <family val="1"/>
    </font>
    <font>
      <b/>
      <sz val="11"/>
      <name val="Bookman Old Style"/>
      <family val="1"/>
    </font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4"/>
      <color theme="1"/>
      <name val="Garamond"/>
      <family val="1"/>
    </font>
    <font>
      <sz val="10"/>
      <color indexed="8"/>
      <name val="Arial"/>
    </font>
    <font>
      <b/>
      <sz val="12"/>
      <color theme="1"/>
      <name val="Garamond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6"/>
      <color indexed="8"/>
      <name val="Arial"/>
      <family val="2"/>
    </font>
    <font>
      <sz val="12"/>
      <name val="Times New Roman"/>
      <family val="1"/>
    </font>
    <font>
      <b/>
      <sz val="13"/>
      <color theme="1"/>
      <name val="Garamond"/>
      <family val="1"/>
    </font>
    <font>
      <b/>
      <sz val="8"/>
      <name val="Times New Roman"/>
      <family val="1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9"/>
      <color indexed="8"/>
      <name val="Arial"/>
      <family val="2"/>
    </font>
    <font>
      <sz val="8"/>
      <name val="Times New Roman"/>
      <family val="1"/>
    </font>
    <font>
      <b/>
      <sz val="10"/>
      <color rgb="FFFF0000"/>
      <name val="Arial"/>
      <family val="2"/>
    </font>
    <font>
      <b/>
      <sz val="9"/>
      <color indexed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366092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366092"/>
      <name val="Times New Roman"/>
      <family val="1"/>
    </font>
    <font>
      <sz val="6"/>
      <color theme="1"/>
      <name val="Times New Roman"/>
      <family val="1"/>
    </font>
    <font>
      <b/>
      <sz val="6"/>
      <color theme="1"/>
      <name val="Times New Roman"/>
      <family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 applyNumberFormat="0" applyFill="0" applyBorder="0" applyAlignment="0" applyProtection="0"/>
    <xf numFmtId="43" fontId="1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72">
    <xf numFmtId="0" fontId="0" fillId="0" borderId="0" xfId="0"/>
    <xf numFmtId="0" fontId="1" fillId="0" borderId="0" xfId="0" applyFont="1"/>
    <xf numFmtId="0" fontId="3" fillId="0" borderId="0" xfId="0" applyFont="1" applyAlignment="1" applyProtection="1">
      <alignment horizontal="left" vertical="top"/>
      <protection locked="0"/>
    </xf>
    <xf numFmtId="0" fontId="5" fillId="0" borderId="0" xfId="0" applyFont="1"/>
    <xf numFmtId="0" fontId="7" fillId="0" borderId="0" xfId="0" applyFont="1"/>
    <xf numFmtId="4" fontId="5" fillId="0" borderId="0" xfId="0" applyNumberFormat="1" applyFont="1"/>
    <xf numFmtId="4" fontId="0" fillId="0" borderId="0" xfId="0" applyNumberFormat="1"/>
    <xf numFmtId="0" fontId="8" fillId="0" borderId="0" xfId="0" applyFont="1" applyAlignment="1"/>
    <xf numFmtId="0" fontId="9" fillId="0" borderId="0" xfId="0" applyFont="1"/>
    <xf numFmtId="0" fontId="12" fillId="0" borderId="0" xfId="0" applyFont="1"/>
    <xf numFmtId="0" fontId="1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164" fontId="6" fillId="0" borderId="0" xfId="0" applyNumberFormat="1" applyFont="1" applyAlignment="1" applyProtection="1">
      <alignment horizontal="center" vertical="top"/>
      <protection locked="0"/>
    </xf>
    <xf numFmtId="0" fontId="6" fillId="0" borderId="0" xfId="0" applyFont="1" applyAlignment="1" applyProtection="1">
      <alignment horizontal="center" vertical="top"/>
      <protection locked="0"/>
    </xf>
    <xf numFmtId="4" fontId="1" fillId="0" borderId="0" xfId="0" applyNumberFormat="1" applyFont="1"/>
    <xf numFmtId="4" fontId="5" fillId="0" borderId="0" xfId="0" applyNumberFormat="1" applyFont="1" applyAlignment="1" applyProtection="1">
      <alignment horizontal="center" vertical="top"/>
      <protection locked="0"/>
    </xf>
    <xf numFmtId="4" fontId="7" fillId="0" borderId="0" xfId="0" applyNumberFormat="1" applyFont="1"/>
    <xf numFmtId="43" fontId="5" fillId="0" borderId="0" xfId="1" applyFont="1" applyAlignment="1" applyProtection="1">
      <alignment horizontal="center" vertical="top"/>
      <protection locked="0"/>
    </xf>
    <xf numFmtId="43" fontId="0" fillId="0" borderId="0" xfId="1" applyFont="1"/>
    <xf numFmtId="43" fontId="0" fillId="0" borderId="0" xfId="0" applyNumberFormat="1"/>
    <xf numFmtId="0" fontId="4" fillId="0" borderId="0" xfId="0" applyFont="1" applyAlignment="1" applyProtection="1">
      <alignment horizontal="left" vertical="top"/>
    </xf>
    <xf numFmtId="0" fontId="1" fillId="0" borderId="0" xfId="0" applyFont="1" applyAlignment="1" applyProtection="1">
      <alignment horizontal="center" vertical="top"/>
    </xf>
    <xf numFmtId="0" fontId="1" fillId="0" borderId="0" xfId="0" applyFont="1" applyProtection="1"/>
    <xf numFmtId="0" fontId="3" fillId="0" borderId="0" xfId="0" applyFont="1" applyAlignment="1" applyProtection="1">
      <alignment horizontal="right" vertical="top"/>
    </xf>
    <xf numFmtId="0" fontId="3" fillId="2" borderId="1" xfId="0" applyFont="1" applyFill="1" applyBorder="1" applyAlignment="1" applyProtection="1">
      <alignment horizontal="left" vertical="top"/>
    </xf>
    <xf numFmtId="0" fontId="3" fillId="2" borderId="2" xfId="0" applyFont="1" applyFill="1" applyBorder="1" applyAlignment="1" applyProtection="1">
      <alignment horizontal="left" vertical="top"/>
    </xf>
    <xf numFmtId="0" fontId="5" fillId="0" borderId="15" xfId="0" applyFont="1" applyBorder="1" applyAlignment="1" applyProtection="1">
      <alignment vertical="top"/>
    </xf>
    <xf numFmtId="0" fontId="5" fillId="2" borderId="15" xfId="0" applyFont="1" applyFill="1" applyBorder="1" applyAlignment="1" applyProtection="1">
      <alignment vertical="top"/>
    </xf>
    <xf numFmtId="0" fontId="5" fillId="2" borderId="12" xfId="0" applyFont="1" applyFill="1" applyBorder="1" applyAlignment="1" applyProtection="1">
      <alignment vertical="top"/>
    </xf>
    <xf numFmtId="0" fontId="5" fillId="2" borderId="8" xfId="0" applyFont="1" applyFill="1" applyBorder="1" applyAlignment="1" applyProtection="1">
      <alignment vertical="top"/>
    </xf>
    <xf numFmtId="0" fontId="5" fillId="2" borderId="1" xfId="0" applyFont="1" applyFill="1" applyBorder="1" applyAlignment="1" applyProtection="1">
      <alignment horizontal="center" vertical="top"/>
    </xf>
    <xf numFmtId="0" fontId="5" fillId="2" borderId="2" xfId="0" applyFont="1" applyFill="1" applyBorder="1" applyAlignment="1" applyProtection="1">
      <alignment horizontal="center" vertical="top"/>
    </xf>
    <xf numFmtId="0" fontId="5" fillId="2" borderId="9" xfId="0" applyFont="1" applyFill="1" applyBorder="1" applyAlignment="1" applyProtection="1">
      <alignment horizontal="center" vertical="top"/>
    </xf>
    <xf numFmtId="0" fontId="5" fillId="2" borderId="2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 vertical="top"/>
    </xf>
    <xf numFmtId="0" fontId="5" fillId="2" borderId="3" xfId="0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left" vertical="top"/>
    </xf>
    <xf numFmtId="4" fontId="6" fillId="0" borderId="2" xfId="0" applyNumberFormat="1" applyFont="1" applyBorder="1" applyAlignment="1" applyProtection="1">
      <alignment horizontal="right" vertical="top"/>
    </xf>
    <xf numFmtId="4" fontId="6" fillId="0" borderId="1" xfId="0" applyNumberFormat="1" applyFont="1" applyBorder="1" applyAlignment="1" applyProtection="1">
      <alignment horizontal="right" vertical="top"/>
    </xf>
    <xf numFmtId="4" fontId="6" fillId="0" borderId="0" xfId="0" applyNumberFormat="1" applyFont="1" applyBorder="1" applyAlignment="1" applyProtection="1">
      <alignment horizontal="right" vertical="top"/>
    </xf>
    <xf numFmtId="4" fontId="5" fillId="0" borderId="2" xfId="0" applyNumberFormat="1" applyFont="1" applyBorder="1" applyAlignment="1" applyProtection="1">
      <alignment horizontal="right" vertical="top"/>
    </xf>
    <xf numFmtId="4" fontId="5" fillId="0" borderId="0" xfId="0" applyNumberFormat="1" applyFont="1" applyBorder="1" applyAlignment="1" applyProtection="1">
      <alignment horizontal="right" vertical="top"/>
    </xf>
    <xf numFmtId="0" fontId="3" fillId="0" borderId="3" xfId="0" applyFont="1" applyBorder="1" applyAlignment="1" applyProtection="1">
      <alignment horizontal="left" vertical="top"/>
    </xf>
    <xf numFmtId="4" fontId="6" fillId="0" borderId="3" xfId="0" applyNumberFormat="1" applyFont="1" applyBorder="1" applyAlignment="1" applyProtection="1">
      <alignment horizontal="right" vertical="top"/>
    </xf>
    <xf numFmtId="0" fontId="3" fillId="0" borderId="0" xfId="0" applyFont="1" applyAlignment="1" applyProtection="1">
      <alignment horizontal="left" vertical="top"/>
    </xf>
    <xf numFmtId="0" fontId="5" fillId="0" borderId="12" xfId="0" applyFont="1" applyBorder="1" applyAlignment="1" applyProtection="1">
      <alignment vertical="top"/>
    </xf>
    <xf numFmtId="0" fontId="5" fillId="2" borderId="0" xfId="0" applyFont="1" applyFill="1" applyBorder="1" applyAlignment="1" applyProtection="1">
      <alignment horizontal="center" vertical="top"/>
    </xf>
    <xf numFmtId="0" fontId="5" fillId="2" borderId="13" xfId="0" applyFont="1" applyFill="1" applyBorder="1" applyAlignment="1" applyProtection="1">
      <alignment horizontal="center" vertical="top"/>
    </xf>
    <xf numFmtId="0" fontId="5" fillId="2" borderId="11" xfId="0" applyFont="1" applyFill="1" applyBorder="1" applyAlignment="1" applyProtection="1">
      <alignment horizontal="center" vertical="top"/>
    </xf>
    <xf numFmtId="0" fontId="5" fillId="2" borderId="14" xfId="0" applyFont="1" applyFill="1" applyBorder="1" applyAlignment="1" applyProtection="1">
      <alignment horizontal="center" vertical="top"/>
    </xf>
    <xf numFmtId="0" fontId="11" fillId="0" borderId="2" xfId="0" applyFont="1" applyBorder="1" applyAlignment="1" applyProtection="1">
      <alignment horizontal="left" vertical="top"/>
    </xf>
    <xf numFmtId="4" fontId="10" fillId="0" borderId="2" xfId="0" applyNumberFormat="1" applyFont="1" applyBorder="1" applyAlignment="1" applyProtection="1">
      <alignment horizontal="right" vertical="top"/>
    </xf>
    <xf numFmtId="4" fontId="10" fillId="0" borderId="0" xfId="0" applyNumberFormat="1" applyFont="1" applyBorder="1" applyAlignment="1" applyProtection="1">
      <alignment horizontal="right" vertical="top"/>
    </xf>
    <xf numFmtId="4" fontId="6" fillId="0" borderId="11" xfId="0" applyNumberFormat="1" applyFont="1" applyBorder="1" applyAlignment="1" applyProtection="1">
      <alignment horizontal="right" vertical="top"/>
    </xf>
    <xf numFmtId="0" fontId="4" fillId="0" borderId="5" xfId="0" applyFont="1" applyBorder="1" applyAlignment="1" applyProtection="1">
      <alignment horizontal="left" vertical="top"/>
    </xf>
    <xf numFmtId="4" fontId="6" fillId="0" borderId="10" xfId="0" applyNumberFormat="1" applyFont="1" applyBorder="1" applyAlignment="1" applyProtection="1">
      <alignment horizontal="right" vertical="top"/>
    </xf>
    <xf numFmtId="0" fontId="13" fillId="0" borderId="0" xfId="0" applyFont="1" applyAlignment="1"/>
    <xf numFmtId="0" fontId="1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" fontId="5" fillId="0" borderId="2" xfId="0" applyNumberFormat="1" applyFont="1" applyFill="1" applyBorder="1" applyAlignment="1" applyProtection="1">
      <alignment horizontal="right" vertical="top"/>
    </xf>
    <xf numFmtId="4" fontId="5" fillId="0" borderId="0" xfId="0" applyNumberFormat="1" applyFont="1" applyFill="1" applyBorder="1" applyAlignment="1" applyProtection="1">
      <alignment horizontal="right" vertical="top"/>
    </xf>
    <xf numFmtId="4" fontId="6" fillId="0" borderId="2" xfId="0" applyNumberFormat="1" applyFont="1" applyFill="1" applyBorder="1" applyAlignment="1" applyProtection="1">
      <alignment horizontal="right" vertical="top"/>
    </xf>
    <xf numFmtId="0" fontId="6" fillId="0" borderId="0" xfId="0" applyFont="1" applyAlignment="1" applyProtection="1">
      <alignment horizontal="center" vertical="center"/>
      <protection locked="0"/>
    </xf>
    <xf numFmtId="4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4" fontId="5" fillId="0" borderId="0" xfId="0" applyNumberFormat="1" applyFont="1" applyAlignment="1">
      <alignment horizontal="center"/>
    </xf>
    <xf numFmtId="0" fontId="5" fillId="0" borderId="5" xfId="0" applyFont="1" applyBorder="1" applyAlignment="1" applyProtection="1">
      <alignment horizontal="center" vertical="top"/>
    </xf>
    <xf numFmtId="0" fontId="5" fillId="0" borderId="7" xfId="0" applyFont="1" applyBorder="1" applyAlignment="1" applyProtection="1">
      <alignment horizontal="center" vertical="top"/>
    </xf>
    <xf numFmtId="0" fontId="5" fillId="0" borderId="6" xfId="0" applyFont="1" applyBorder="1" applyAlignment="1" applyProtection="1">
      <alignment horizontal="center" vertical="top"/>
    </xf>
    <xf numFmtId="0" fontId="5" fillId="2" borderId="4" xfId="0" applyFont="1" applyFill="1" applyBorder="1" applyAlignment="1" applyProtection="1">
      <alignment horizontal="center" vertical="top"/>
    </xf>
    <xf numFmtId="0" fontId="5" fillId="2" borderId="11" xfId="0" applyFont="1" applyFill="1" applyBorder="1" applyAlignment="1" applyProtection="1">
      <alignment horizontal="center" vertical="top"/>
    </xf>
    <xf numFmtId="0" fontId="5" fillId="2" borderId="14" xfId="0" applyFont="1" applyFill="1" applyBorder="1" applyAlignment="1" applyProtection="1">
      <alignment horizontal="center" vertical="top"/>
    </xf>
    <xf numFmtId="0" fontId="13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6" fillId="0" borderId="0" xfId="0" applyFont="1" applyAlignment="1" applyProtection="1">
      <alignment horizontal="center" vertical="top"/>
      <protection locked="0"/>
    </xf>
    <xf numFmtId="4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49" fontId="4" fillId="2" borderId="1" xfId="0" applyNumberFormat="1" applyFont="1" applyFill="1" applyBorder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center"/>
    </xf>
    <xf numFmtId="0" fontId="6" fillId="2" borderId="7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49" fontId="4" fillId="2" borderId="2" xfId="0" applyNumberFormat="1" applyFont="1" applyFill="1" applyBorder="1" applyAlignment="1" applyProtection="1">
      <alignment horizontal="center" vertical="center"/>
    </xf>
    <xf numFmtId="0" fontId="6" fillId="2" borderId="13" xfId="0" applyFont="1" applyFill="1" applyBorder="1" applyAlignment="1" applyProtection="1">
      <alignment horizontal="center" vertical="top"/>
    </xf>
    <xf numFmtId="0" fontId="6" fillId="2" borderId="2" xfId="0" applyFont="1" applyFill="1" applyBorder="1" applyAlignment="1" applyProtection="1">
      <alignment horizontal="center" vertical="top"/>
    </xf>
    <xf numFmtId="0" fontId="6" fillId="2" borderId="4" xfId="0" applyFont="1" applyFill="1" applyBorder="1" applyAlignment="1" applyProtection="1">
      <alignment horizontal="center" vertical="top"/>
    </xf>
    <xf numFmtId="0" fontId="6" fillId="2" borderId="11" xfId="0" applyFont="1" applyFill="1" applyBorder="1" applyAlignment="1" applyProtection="1">
      <alignment horizontal="center" vertical="top"/>
    </xf>
    <xf numFmtId="0" fontId="6" fillId="2" borderId="14" xfId="0" applyFont="1" applyFill="1" applyBorder="1" applyAlignment="1" applyProtection="1">
      <alignment horizontal="center" vertical="top"/>
    </xf>
    <xf numFmtId="0" fontId="6" fillId="2" borderId="0" xfId="0" applyFont="1" applyFill="1" applyBorder="1" applyAlignment="1" applyProtection="1">
      <alignment horizontal="center" vertical="top"/>
    </xf>
    <xf numFmtId="49" fontId="4" fillId="2" borderId="3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 vertical="top"/>
    </xf>
    <xf numFmtId="0" fontId="6" fillId="2" borderId="11" xfId="0" applyFont="1" applyFill="1" applyBorder="1" applyAlignment="1" applyProtection="1">
      <alignment horizontal="center" vertical="top"/>
    </xf>
    <xf numFmtId="0" fontId="4" fillId="2" borderId="2" xfId="0" applyFont="1" applyFill="1" applyBorder="1" applyAlignment="1" applyProtection="1">
      <alignment horizontal="left" vertical="top"/>
    </xf>
    <xf numFmtId="4" fontId="6" fillId="0" borderId="1" xfId="0" applyNumberFormat="1" applyFont="1" applyFill="1" applyBorder="1" applyAlignment="1" applyProtection="1">
      <alignment horizontal="center" vertical="top"/>
    </xf>
    <xf numFmtId="4" fontId="16" fillId="0" borderId="2" xfId="0" applyNumberFormat="1" applyFont="1" applyFill="1" applyBorder="1" applyAlignment="1" applyProtection="1">
      <alignment horizontal="right" vertical="top"/>
    </xf>
    <xf numFmtId="4" fontId="16" fillId="0" borderId="0" xfId="0" applyNumberFormat="1" applyFont="1" applyFill="1" applyBorder="1" applyAlignment="1" applyProtection="1">
      <alignment horizontal="right" vertical="top"/>
    </xf>
    <xf numFmtId="4" fontId="6" fillId="0" borderId="0" xfId="0" applyNumberFormat="1" applyFont="1" applyFill="1" applyBorder="1" applyAlignment="1" applyProtection="1">
      <alignment horizontal="right" vertical="top"/>
    </xf>
    <xf numFmtId="4" fontId="6" fillId="0" borderId="13" xfId="0" applyNumberFormat="1" applyFont="1" applyFill="1" applyBorder="1" applyAlignment="1" applyProtection="1">
      <alignment horizontal="right" vertical="top"/>
    </xf>
    <xf numFmtId="4" fontId="5" fillId="0" borderId="13" xfId="0" applyNumberFormat="1" applyFont="1" applyFill="1" applyBorder="1" applyAlignment="1" applyProtection="1">
      <alignment horizontal="right" vertical="top"/>
    </xf>
    <xf numFmtId="4" fontId="10" fillId="0" borderId="0" xfId="0" applyNumberFormat="1" applyFont="1" applyFill="1" applyBorder="1" applyAlignment="1" applyProtection="1">
      <alignment horizontal="right" vertical="top"/>
    </xf>
    <xf numFmtId="43" fontId="5" fillId="0" borderId="0" xfId="1" applyFont="1"/>
    <xf numFmtId="4" fontId="5" fillId="0" borderId="2" xfId="0" applyNumberFormat="1" applyFont="1" applyFill="1" applyBorder="1" applyProtection="1"/>
    <xf numFmtId="4" fontId="5" fillId="0" borderId="0" xfId="0" applyNumberFormat="1" applyFont="1" applyFill="1" applyProtection="1"/>
    <xf numFmtId="0" fontId="11" fillId="2" borderId="2" xfId="0" applyFont="1" applyFill="1" applyBorder="1" applyAlignment="1" applyProtection="1">
      <alignment horizontal="left" vertical="top"/>
    </xf>
    <xf numFmtId="4" fontId="10" fillId="0" borderId="2" xfId="0" applyNumberFormat="1" applyFont="1" applyFill="1" applyBorder="1" applyAlignment="1" applyProtection="1">
      <alignment horizontal="right" vertical="top"/>
    </xf>
    <xf numFmtId="4" fontId="16" fillId="0" borderId="13" xfId="0" applyNumberFormat="1" applyFont="1" applyFill="1" applyBorder="1" applyAlignment="1" applyProtection="1">
      <alignment horizontal="right" vertical="top"/>
    </xf>
    <xf numFmtId="4" fontId="10" fillId="0" borderId="13" xfId="0" applyNumberFormat="1" applyFont="1" applyFill="1" applyBorder="1" applyAlignment="1" applyProtection="1">
      <alignment horizontal="right" vertical="top"/>
    </xf>
    <xf numFmtId="0" fontId="17" fillId="2" borderId="2" xfId="0" applyFont="1" applyFill="1" applyBorder="1" applyAlignment="1" applyProtection="1">
      <alignment horizontal="left" vertical="top"/>
    </xf>
    <xf numFmtId="0" fontId="17" fillId="2" borderId="10" xfId="0" applyFont="1" applyFill="1" applyBorder="1" applyAlignment="1" applyProtection="1">
      <alignment horizontal="left" vertical="top"/>
    </xf>
    <xf numFmtId="4" fontId="16" fillId="0" borderId="10" xfId="0" applyNumberFormat="1" applyFont="1" applyFill="1" applyBorder="1" applyAlignment="1" applyProtection="1">
      <alignment horizontal="right" vertical="top"/>
    </xf>
    <xf numFmtId="4" fontId="16" fillId="0" borderId="5" xfId="0" applyNumberFormat="1" applyFont="1" applyFill="1" applyBorder="1" applyAlignment="1" applyProtection="1">
      <alignment horizontal="right" vertical="top"/>
    </xf>
    <xf numFmtId="4" fontId="16" fillId="2" borderId="10" xfId="0" applyNumberFormat="1" applyFont="1" applyFill="1" applyBorder="1" applyAlignment="1" applyProtection="1">
      <alignment horizontal="right" vertical="top"/>
    </xf>
    <xf numFmtId="4" fontId="16" fillId="0" borderId="10" xfId="0" applyNumberFormat="1" applyFont="1" applyBorder="1" applyAlignment="1" applyProtection="1">
      <alignment horizontal="right" vertical="top"/>
    </xf>
    <xf numFmtId="0" fontId="17" fillId="0" borderId="10" xfId="0" applyFont="1" applyBorder="1" applyAlignment="1" applyProtection="1">
      <alignment horizontal="left" vertical="top"/>
    </xf>
    <xf numFmtId="4" fontId="10" fillId="3" borderId="10" xfId="0" applyNumberFormat="1" applyFont="1" applyFill="1" applyBorder="1" applyAlignment="1" applyProtection="1">
      <alignment horizontal="right" vertical="top"/>
    </xf>
    <xf numFmtId="4" fontId="10" fillId="3" borderId="5" xfId="0" applyNumberFormat="1" applyFont="1" applyFill="1" applyBorder="1" applyProtection="1"/>
    <xf numFmtId="4" fontId="10" fillId="3" borderId="10" xfId="0" applyNumberFormat="1" applyFont="1" applyFill="1" applyBorder="1" applyProtection="1"/>
    <xf numFmtId="4" fontId="16" fillId="3" borderId="10" xfId="0" applyNumberFormat="1" applyFont="1" applyFill="1" applyBorder="1" applyAlignment="1" applyProtection="1">
      <alignment horizontal="right" vertical="top"/>
    </xf>
    <xf numFmtId="4" fontId="16" fillId="0" borderId="10" xfId="0" applyNumberFormat="1" applyFont="1" applyBorder="1" applyProtection="1"/>
    <xf numFmtId="0" fontId="5" fillId="0" borderId="0" xfId="0" applyFont="1" applyAlignment="1" applyProtection="1">
      <alignment horizontal="right" vertical="top"/>
      <protection locked="0"/>
    </xf>
    <xf numFmtId="4" fontId="16" fillId="0" borderId="5" xfId="0" applyNumberFormat="1" applyFont="1" applyBorder="1" applyAlignment="1" applyProtection="1">
      <alignment horizontal="right" vertical="top"/>
    </xf>
    <xf numFmtId="4" fontId="16" fillId="0" borderId="0" xfId="0" applyNumberFormat="1" applyFont="1" applyBorder="1" applyAlignment="1" applyProtection="1">
      <alignment horizontal="right" vertical="top"/>
    </xf>
    <xf numFmtId="0" fontId="6" fillId="0" borderId="0" xfId="0" applyFont="1" applyAlignment="1" applyProtection="1">
      <alignment horizontal="left" vertical="top"/>
      <protection locked="0"/>
    </xf>
    <xf numFmtId="0" fontId="17" fillId="0" borderId="1" xfId="0" applyFont="1" applyBorder="1" applyAlignment="1" applyProtection="1">
      <alignment horizontal="left" vertical="top"/>
    </xf>
    <xf numFmtId="4" fontId="16" fillId="3" borderId="10" xfId="0" applyNumberFormat="1" applyFont="1" applyFill="1" applyBorder="1" applyAlignment="1" applyProtection="1">
      <alignment horizontal="left" vertical="top"/>
    </xf>
    <xf numFmtId="4" fontId="16" fillId="0" borderId="10" xfId="0" applyNumberFormat="1" applyFont="1" applyFill="1" applyBorder="1" applyProtection="1"/>
    <xf numFmtId="0" fontId="11" fillId="2" borderId="10" xfId="0" applyFont="1" applyFill="1" applyBorder="1" applyAlignment="1" applyProtection="1">
      <alignment horizontal="left" vertical="top"/>
    </xf>
    <xf numFmtId="4" fontId="10" fillId="2" borderId="5" xfId="0" applyNumberFormat="1" applyFont="1" applyFill="1" applyBorder="1" applyAlignment="1" applyProtection="1">
      <alignment horizontal="right" vertical="top"/>
    </xf>
    <xf numFmtId="4" fontId="10" fillId="2" borderId="7" xfId="0" applyNumberFormat="1" applyFont="1" applyFill="1" applyBorder="1" applyAlignment="1" applyProtection="1">
      <alignment horizontal="right" vertical="top"/>
    </xf>
    <xf numFmtId="4" fontId="10" fillId="3" borderId="6" xfId="0" applyNumberFormat="1" applyFont="1" applyFill="1" applyBorder="1" applyAlignment="1" applyProtection="1">
      <alignment horizontal="right" vertical="top"/>
    </xf>
    <xf numFmtId="0" fontId="11" fillId="2" borderId="3" xfId="0" applyFont="1" applyFill="1" applyBorder="1" applyAlignment="1" applyProtection="1">
      <alignment horizontal="left" vertical="top"/>
    </xf>
    <xf numFmtId="4" fontId="10" fillId="0" borderId="7" xfId="0" applyNumberFormat="1" applyFont="1" applyFill="1" applyBorder="1" applyAlignment="1" applyProtection="1">
      <alignment horizontal="right" vertical="top"/>
    </xf>
    <xf numFmtId="0" fontId="17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164" fontId="16" fillId="0" borderId="0" xfId="0" applyNumberFormat="1" applyFon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right" vertical="top"/>
      <protection locked="0"/>
    </xf>
    <xf numFmtId="4" fontId="10" fillId="0" borderId="0" xfId="0" applyNumberFormat="1" applyFont="1"/>
    <xf numFmtId="0" fontId="10" fillId="0" borderId="0" xfId="0" applyFont="1"/>
    <xf numFmtId="4" fontId="5" fillId="0" borderId="0" xfId="0" applyNumberFormat="1" applyFont="1" applyAlignment="1" applyProtection="1">
      <alignment horizontal="right" vertical="top"/>
      <protection locked="0"/>
    </xf>
    <xf numFmtId="4" fontId="4" fillId="0" borderId="0" xfId="0" applyNumberFormat="1" applyFont="1" applyAlignment="1" applyProtection="1">
      <alignment horizontal="left" vertical="top"/>
      <protection locked="0"/>
    </xf>
    <xf numFmtId="4" fontId="6" fillId="0" borderId="0" xfId="0" applyNumberFormat="1" applyFont="1" applyAlignment="1" applyProtection="1">
      <alignment horizontal="left" vertical="top"/>
      <protection locked="0"/>
    </xf>
    <xf numFmtId="4" fontId="6" fillId="0" borderId="0" xfId="0" applyNumberFormat="1" applyFont="1" applyAlignment="1"/>
    <xf numFmtId="4" fontId="5" fillId="0" borderId="0" xfId="0" applyNumberFormat="1" applyFont="1" applyAlignment="1"/>
    <xf numFmtId="164" fontId="6" fillId="0" borderId="0" xfId="0" applyNumberFormat="1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164" fontId="6" fillId="0" borderId="0" xfId="0" applyNumberFormat="1" applyFont="1" applyAlignment="1" applyProtection="1">
      <alignment horizontal="right" vertical="top"/>
      <protection locked="0"/>
    </xf>
    <xf numFmtId="0" fontId="3" fillId="2" borderId="15" xfId="0" applyFont="1" applyFill="1" applyBorder="1" applyAlignment="1" applyProtection="1">
      <alignment horizontal="left" vertical="top"/>
    </xf>
    <xf numFmtId="0" fontId="3" fillId="2" borderId="2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 vertical="top"/>
    </xf>
    <xf numFmtId="0" fontId="6" fillId="0" borderId="1" xfId="0" applyFont="1" applyFill="1" applyBorder="1" applyAlignment="1" applyProtection="1">
      <alignment horizontal="center" vertical="top"/>
    </xf>
    <xf numFmtId="0" fontId="4" fillId="2" borderId="2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 vertical="top"/>
    </xf>
    <xf numFmtId="0" fontId="6" fillId="2" borderId="8" xfId="0" applyFont="1" applyFill="1" applyBorder="1" applyAlignment="1" applyProtection="1">
      <alignment horizontal="center" vertical="top"/>
    </xf>
    <xf numFmtId="0" fontId="6" fillId="0" borderId="2" xfId="0" applyFont="1" applyFill="1" applyBorder="1" applyAlignment="1" applyProtection="1">
      <alignment horizontal="center" vertical="top"/>
    </xf>
    <xf numFmtId="0" fontId="3" fillId="2" borderId="3" xfId="0" applyFont="1" applyFill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center" vertical="top"/>
    </xf>
    <xf numFmtId="0" fontId="16" fillId="0" borderId="11" xfId="0" applyFont="1" applyFill="1" applyBorder="1" applyAlignment="1" applyProtection="1">
      <alignment horizontal="center" vertical="top"/>
    </xf>
    <xf numFmtId="0" fontId="6" fillId="0" borderId="3" xfId="0" applyFont="1" applyFill="1" applyBorder="1" applyAlignment="1" applyProtection="1">
      <alignment horizontal="center" vertical="top"/>
    </xf>
    <xf numFmtId="0" fontId="4" fillId="2" borderId="1" xfId="0" applyFont="1" applyFill="1" applyBorder="1" applyAlignment="1" applyProtection="1">
      <alignment horizontal="left" vertical="top"/>
    </xf>
    <xf numFmtId="0" fontId="6" fillId="2" borderId="1" xfId="0" quotePrefix="1" applyFont="1" applyFill="1" applyBorder="1" applyAlignment="1" applyProtection="1">
      <alignment horizontal="center" vertical="top"/>
    </xf>
    <xf numFmtId="0" fontId="6" fillId="0" borderId="1" xfId="0" quotePrefix="1" applyFont="1" applyFill="1" applyBorder="1" applyAlignment="1" applyProtection="1">
      <alignment horizontal="center" vertical="top"/>
    </xf>
    <xf numFmtId="0" fontId="4" fillId="2" borderId="3" xfId="0" applyFont="1" applyFill="1" applyBorder="1" applyAlignment="1" applyProtection="1">
      <alignment horizontal="left" vertical="top"/>
    </xf>
    <xf numFmtId="4" fontId="16" fillId="0" borderId="3" xfId="0" applyNumberFormat="1" applyFont="1" applyFill="1" applyBorder="1" applyAlignment="1" applyProtection="1">
      <alignment horizontal="right" vertical="top"/>
    </xf>
    <xf numFmtId="0" fontId="4" fillId="2" borderId="10" xfId="0" applyFont="1" applyFill="1" applyBorder="1" applyAlignment="1" applyProtection="1">
      <alignment horizontal="left" vertical="top"/>
    </xf>
    <xf numFmtId="4" fontId="6" fillId="0" borderId="10" xfId="0" applyNumberFormat="1" applyFont="1" applyFill="1" applyBorder="1" applyAlignment="1" applyProtection="1">
      <alignment horizontal="right" vertical="top"/>
    </xf>
    <xf numFmtId="0" fontId="4" fillId="2" borderId="9" xfId="0" applyFont="1" applyFill="1" applyBorder="1" applyAlignment="1" applyProtection="1">
      <alignment horizontal="left" vertical="top"/>
    </xf>
    <xf numFmtId="0" fontId="3" fillId="2" borderId="9" xfId="0" applyFont="1" applyFill="1" applyBorder="1" applyAlignment="1" applyProtection="1">
      <alignment horizontal="left" vertical="top"/>
    </xf>
    <xf numFmtId="0" fontId="2" fillId="0" borderId="0" xfId="0" applyFont="1"/>
    <xf numFmtId="4" fontId="10" fillId="0" borderId="3" xfId="0" applyNumberFormat="1" applyFont="1" applyFill="1" applyBorder="1" applyAlignment="1" applyProtection="1">
      <alignment horizontal="right" vertical="top"/>
    </xf>
    <xf numFmtId="4" fontId="5" fillId="0" borderId="3" xfId="0" applyNumberFormat="1" applyFont="1" applyFill="1" applyBorder="1" applyAlignment="1" applyProtection="1">
      <alignment horizontal="right" vertical="top"/>
    </xf>
    <xf numFmtId="4" fontId="5" fillId="0" borderId="11" xfId="0" applyNumberFormat="1" applyFont="1" applyFill="1" applyBorder="1" applyAlignment="1" applyProtection="1">
      <alignment horizontal="right" vertical="top"/>
    </xf>
    <xf numFmtId="0" fontId="4" fillId="0" borderId="10" xfId="0" applyFont="1" applyBorder="1" applyAlignment="1" applyProtection="1">
      <alignment horizontal="left" vertical="top"/>
    </xf>
    <xf numFmtId="4" fontId="6" fillId="0" borderId="7" xfId="0" applyNumberFormat="1" applyFont="1" applyFill="1" applyBorder="1" applyAlignment="1" applyProtection="1">
      <alignment horizontal="right" vertical="top"/>
    </xf>
    <xf numFmtId="4" fontId="5" fillId="3" borderId="10" xfId="0" applyNumberFormat="1" applyFont="1" applyFill="1" applyBorder="1" applyAlignment="1" applyProtection="1">
      <alignment horizontal="right" vertical="top"/>
    </xf>
    <xf numFmtId="4" fontId="5" fillId="3" borderId="10" xfId="0" applyNumberFormat="1" applyFont="1" applyFill="1" applyBorder="1" applyProtection="1"/>
    <xf numFmtId="4" fontId="5" fillId="3" borderId="7" xfId="0" applyNumberFormat="1" applyFont="1" applyFill="1" applyBorder="1" applyAlignment="1" applyProtection="1">
      <alignment horizontal="right" vertical="top"/>
    </xf>
    <xf numFmtId="4" fontId="6" fillId="0" borderId="7" xfId="0" applyNumberFormat="1" applyFont="1" applyBorder="1" applyAlignment="1" applyProtection="1">
      <alignment horizontal="right" vertical="top"/>
    </xf>
    <xf numFmtId="4" fontId="6" fillId="2" borderId="10" xfId="0" applyNumberFormat="1" applyFont="1" applyFill="1" applyBorder="1" applyAlignment="1" applyProtection="1">
      <alignment horizontal="right" vertical="top"/>
    </xf>
    <xf numFmtId="0" fontId="19" fillId="0" borderId="0" xfId="0" applyFont="1"/>
    <xf numFmtId="0" fontId="20" fillId="0" borderId="0" xfId="0" applyFont="1" applyAlignment="1">
      <alignment horizontal="center"/>
    </xf>
    <xf numFmtId="4" fontId="9" fillId="0" borderId="0" xfId="0" applyNumberFormat="1" applyFont="1"/>
    <xf numFmtId="0" fontId="3" fillId="0" borderId="0" xfId="0" applyFont="1" applyAlignment="1" applyProtection="1">
      <alignment horizontal="right" vertical="top"/>
      <protection locked="0"/>
    </xf>
    <xf numFmtId="0" fontId="16" fillId="2" borderId="15" xfId="0" applyFont="1" applyFill="1" applyBorder="1" applyProtection="1"/>
    <xf numFmtId="0" fontId="16" fillId="2" borderId="5" xfId="0" applyFont="1" applyFill="1" applyBorder="1" applyAlignment="1" applyProtection="1">
      <alignment horizontal="center" vertical="top"/>
    </xf>
    <xf numFmtId="0" fontId="16" fillId="2" borderId="7" xfId="0" applyFont="1" applyFill="1" applyBorder="1" applyAlignment="1" applyProtection="1">
      <alignment horizontal="center" vertical="top"/>
    </xf>
    <xf numFmtId="0" fontId="16" fillId="2" borderId="6" xfId="0" applyFont="1" applyFill="1" applyBorder="1" applyAlignment="1" applyProtection="1">
      <alignment horizontal="center" vertical="top"/>
    </xf>
    <xf numFmtId="4" fontId="12" fillId="0" borderId="0" xfId="0" applyNumberFormat="1" applyFont="1"/>
    <xf numFmtId="0" fontId="16" fillId="2" borderId="9" xfId="0" applyFont="1" applyFill="1" applyBorder="1" applyAlignment="1" applyProtection="1">
      <alignment horizontal="center"/>
    </xf>
    <xf numFmtId="0" fontId="16" fillId="2" borderId="9" xfId="0" applyFont="1" applyFill="1" applyBorder="1" applyAlignment="1" applyProtection="1">
      <alignment vertical="top"/>
    </xf>
    <xf numFmtId="0" fontId="16" fillId="2" borderId="13" xfId="0" applyFont="1" applyFill="1" applyBorder="1" applyAlignment="1" applyProtection="1">
      <alignment vertical="top"/>
    </xf>
    <xf numFmtId="0" fontId="16" fillId="2" borderId="9" xfId="0" applyFont="1" applyFill="1" applyBorder="1" applyAlignment="1" applyProtection="1">
      <alignment horizontal="center" vertical="top"/>
    </xf>
    <xf numFmtId="0" fontId="16" fillId="2" borderId="13" xfId="0" applyFont="1" applyFill="1" applyBorder="1" applyAlignment="1" applyProtection="1">
      <alignment horizontal="center" vertical="top"/>
    </xf>
    <xf numFmtId="0" fontId="16" fillId="2" borderId="4" xfId="0" applyFont="1" applyFill="1" applyBorder="1" applyAlignment="1" applyProtection="1">
      <alignment horizontal="center"/>
    </xf>
    <xf numFmtId="0" fontId="16" fillId="2" borderId="4" xfId="0" applyFont="1" applyFill="1" applyBorder="1" applyAlignment="1" applyProtection="1">
      <alignment horizontal="center" vertical="top"/>
    </xf>
    <xf numFmtId="0" fontId="16" fillId="2" borderId="14" xfId="0" applyFont="1" applyFill="1" applyBorder="1" applyAlignment="1" applyProtection="1">
      <alignment horizontal="center" vertical="top"/>
    </xf>
    <xf numFmtId="0" fontId="21" fillId="2" borderId="15" xfId="0" applyFont="1" applyFill="1" applyBorder="1" applyAlignment="1" applyProtection="1">
      <alignment horizontal="left"/>
    </xf>
    <xf numFmtId="0" fontId="16" fillId="0" borderId="15" xfId="0" quotePrefix="1" applyFont="1" applyFill="1" applyBorder="1" applyAlignment="1" applyProtection="1">
      <alignment horizontal="center" vertical="top"/>
    </xf>
    <xf numFmtId="0" fontId="16" fillId="0" borderId="8" xfId="0" quotePrefix="1" applyFont="1" applyFill="1" applyBorder="1" applyAlignment="1" applyProtection="1">
      <alignment horizontal="center" vertical="top"/>
    </xf>
    <xf numFmtId="4" fontId="16" fillId="0" borderId="9" xfId="0" applyNumberFormat="1" applyFont="1" applyFill="1" applyBorder="1" applyAlignment="1" applyProtection="1">
      <alignment horizontal="right" vertical="top"/>
    </xf>
    <xf numFmtId="4" fontId="16" fillId="0" borderId="13" xfId="0" applyNumberFormat="1" applyFont="1" applyFill="1" applyBorder="1" applyAlignment="1" applyProtection="1">
      <alignment horizontal="right" vertical="top"/>
    </xf>
    <xf numFmtId="4" fontId="10" fillId="0" borderId="9" xfId="0" applyNumberFormat="1" applyFont="1" applyFill="1" applyBorder="1" applyAlignment="1" applyProtection="1">
      <alignment horizontal="right" vertical="top"/>
    </xf>
    <xf numFmtId="4" fontId="10" fillId="0" borderId="13" xfId="0" applyNumberFormat="1" applyFont="1" applyFill="1" applyBorder="1" applyAlignment="1" applyProtection="1">
      <alignment horizontal="right" vertical="top"/>
    </xf>
    <xf numFmtId="4" fontId="22" fillId="0" borderId="0" xfId="0" applyNumberFormat="1" applyFont="1"/>
    <xf numFmtId="0" fontId="23" fillId="2" borderId="0" xfId="0" applyFont="1" applyFill="1"/>
    <xf numFmtId="43" fontId="12" fillId="0" borderId="0" xfId="1" applyFont="1"/>
    <xf numFmtId="0" fontId="3" fillId="2" borderId="16" xfId="0" applyFont="1" applyFill="1" applyBorder="1" applyAlignment="1" applyProtection="1">
      <alignment vertical="center" wrapText="1"/>
    </xf>
    <xf numFmtId="4" fontId="16" fillId="0" borderId="9" xfId="0" applyNumberFormat="1" applyFont="1" applyFill="1" applyBorder="1" applyAlignment="1" applyProtection="1">
      <alignment horizontal="right" vertical="top"/>
    </xf>
    <xf numFmtId="4" fontId="10" fillId="0" borderId="9" xfId="0" applyNumberFormat="1" applyFont="1" applyFill="1" applyBorder="1" applyAlignment="1" applyProtection="1">
      <alignment horizontal="right" vertical="top"/>
    </xf>
    <xf numFmtId="0" fontId="17" fillId="2" borderId="3" xfId="0" applyFont="1" applyFill="1" applyBorder="1" applyAlignment="1" applyProtection="1">
      <alignment horizontal="left" vertical="top"/>
    </xf>
    <xf numFmtId="4" fontId="16" fillId="0" borderId="5" xfId="0" applyNumberFormat="1" applyFont="1" applyFill="1" applyBorder="1" applyAlignment="1" applyProtection="1">
      <alignment horizontal="right" vertical="top"/>
    </xf>
    <xf numFmtId="4" fontId="16" fillId="0" borderId="6" xfId="0" applyNumberFormat="1" applyFont="1" applyFill="1" applyBorder="1" applyAlignment="1" applyProtection="1">
      <alignment horizontal="right" vertical="top"/>
    </xf>
    <xf numFmtId="0" fontId="17" fillId="2" borderId="0" xfId="0" applyFont="1" applyFill="1" applyBorder="1" applyAlignment="1" applyProtection="1">
      <alignment horizontal="left" vertical="top"/>
      <protection locked="0"/>
    </xf>
    <xf numFmtId="4" fontId="16" fillId="2" borderId="0" xfId="0" applyNumberFormat="1" applyFont="1" applyFill="1" applyBorder="1" applyAlignment="1" applyProtection="1">
      <alignment horizontal="right" vertical="top"/>
      <protection locked="0"/>
    </xf>
    <xf numFmtId="4" fontId="12" fillId="2" borderId="0" xfId="0" applyNumberFormat="1" applyFont="1" applyFill="1"/>
    <xf numFmtId="0" fontId="12" fillId="2" borderId="0" xfId="0" applyFont="1" applyFill="1"/>
    <xf numFmtId="0" fontId="11" fillId="2" borderId="0" xfId="0" applyFont="1" applyFill="1" applyAlignment="1" applyProtection="1">
      <alignment horizontal="left" vertical="top"/>
      <protection locked="0"/>
    </xf>
    <xf numFmtId="0" fontId="19" fillId="2" borderId="0" xfId="0" applyFont="1" applyFill="1" applyAlignment="1" applyProtection="1">
      <alignment horizontal="center" vertical="top"/>
      <protection locked="0"/>
    </xf>
    <xf numFmtId="4" fontId="19" fillId="2" borderId="0" xfId="0" applyNumberFormat="1" applyFont="1" applyFill="1" applyAlignment="1" applyProtection="1">
      <alignment horizontal="center" vertical="top"/>
      <protection locked="0"/>
    </xf>
    <xf numFmtId="4" fontId="19" fillId="2" borderId="0" xfId="0" applyNumberFormat="1" applyFont="1" applyFill="1"/>
    <xf numFmtId="0" fontId="19" fillId="2" borderId="0" xfId="0" applyFont="1" applyFill="1"/>
    <xf numFmtId="0" fontId="1" fillId="0" borderId="1" xfId="0" applyFont="1" applyBorder="1" applyProtection="1"/>
    <xf numFmtId="0" fontId="16" fillId="2" borderId="12" xfId="0" applyFont="1" applyFill="1" applyBorder="1" applyAlignment="1" applyProtection="1">
      <alignment horizontal="center"/>
    </xf>
    <xf numFmtId="0" fontId="16" fillId="2" borderId="7" xfId="0" applyFont="1" applyFill="1" applyBorder="1" applyAlignment="1" applyProtection="1">
      <alignment horizontal="center"/>
    </xf>
    <xf numFmtId="0" fontId="16" fillId="2" borderId="6" xfId="0" applyFont="1" applyFill="1" applyBorder="1" applyAlignment="1" applyProtection="1">
      <alignment horizontal="center"/>
    </xf>
    <xf numFmtId="0" fontId="1" fillId="0" borderId="0" xfId="0" applyFont="1" applyFill="1"/>
    <xf numFmtId="0" fontId="16" fillId="2" borderId="2" xfId="0" applyFont="1" applyFill="1" applyBorder="1" applyAlignment="1" applyProtection="1">
      <alignment horizontal="center"/>
    </xf>
    <xf numFmtId="0" fontId="16" fillId="2" borderId="8" xfId="0" applyFont="1" applyFill="1" applyBorder="1" applyAlignment="1" applyProtection="1"/>
    <xf numFmtId="0" fontId="16" fillId="0" borderId="7" xfId="0" applyFont="1" applyFill="1" applyBorder="1" applyAlignment="1" applyProtection="1">
      <alignment horizontal="center"/>
    </xf>
    <xf numFmtId="0" fontId="16" fillId="0" borderId="6" xfId="0" applyFont="1" applyFill="1" applyBorder="1" applyAlignment="1" applyProtection="1">
      <alignment horizontal="center"/>
    </xf>
    <xf numFmtId="0" fontId="24" fillId="0" borderId="0" xfId="0" applyFont="1"/>
    <xf numFmtId="0" fontId="24" fillId="0" borderId="0" xfId="0" applyFont="1" applyFill="1"/>
    <xf numFmtId="0" fontId="16" fillId="2" borderId="13" xfId="0" applyFont="1" applyFill="1" applyBorder="1" applyAlignment="1" applyProtection="1">
      <alignment horizontal="center" vertical="top"/>
    </xf>
    <xf numFmtId="4" fontId="16" fillId="2" borderId="13" xfId="0" applyNumberFormat="1" applyFont="1" applyFill="1" applyBorder="1" applyAlignment="1" applyProtection="1">
      <alignment horizontal="center" vertical="top"/>
    </xf>
    <xf numFmtId="0" fontId="16" fillId="0" borderId="13" xfId="0" applyFont="1" applyFill="1" applyBorder="1" applyAlignment="1" applyProtection="1">
      <alignment horizontal="center" vertical="top"/>
    </xf>
    <xf numFmtId="0" fontId="16" fillId="0" borderId="2" xfId="0" applyFont="1" applyFill="1" applyBorder="1" applyAlignment="1" applyProtection="1">
      <alignment horizontal="center" vertical="top"/>
    </xf>
    <xf numFmtId="0" fontId="16" fillId="2" borderId="3" xfId="0" applyFont="1" applyFill="1" applyBorder="1" applyAlignment="1" applyProtection="1">
      <alignment horizontal="center"/>
    </xf>
    <xf numFmtId="0" fontId="16" fillId="2" borderId="14" xfId="0" applyFont="1" applyFill="1" applyBorder="1" applyAlignment="1" applyProtection="1">
      <alignment horizontal="center" vertical="top"/>
    </xf>
    <xf numFmtId="4" fontId="16" fillId="2" borderId="14" xfId="0" applyNumberFormat="1" applyFont="1" applyFill="1" applyBorder="1" applyAlignment="1" applyProtection="1">
      <alignment horizontal="center" vertical="top"/>
    </xf>
    <xf numFmtId="0" fontId="16" fillId="0" borderId="14" xfId="0" applyFont="1" applyFill="1" applyBorder="1" applyAlignment="1" applyProtection="1">
      <alignment horizontal="center" vertical="top"/>
    </xf>
    <xf numFmtId="0" fontId="16" fillId="0" borderId="3" xfId="0" applyFont="1" applyFill="1" applyBorder="1" applyAlignment="1" applyProtection="1">
      <alignment horizontal="center" vertical="top"/>
    </xf>
    <xf numFmtId="0" fontId="17" fillId="2" borderId="9" xfId="0" applyFont="1" applyFill="1" applyBorder="1" applyAlignment="1" applyProtection="1">
      <alignment horizontal="left"/>
    </xf>
    <xf numFmtId="0" fontId="25" fillId="2" borderId="1" xfId="0" applyFont="1" applyFill="1" applyBorder="1" applyAlignment="1" applyProtection="1">
      <alignment horizontal="center" vertical="top"/>
    </xf>
    <xf numFmtId="0" fontId="16" fillId="2" borderId="2" xfId="0" applyFont="1" applyFill="1" applyBorder="1" applyAlignment="1" applyProtection="1">
      <alignment horizontal="center" vertical="top"/>
    </xf>
    <xf numFmtId="0" fontId="25" fillId="2" borderId="2" xfId="0" applyFont="1" applyFill="1" applyBorder="1" applyAlignment="1" applyProtection="1">
      <alignment horizontal="center" vertical="top"/>
    </xf>
    <xf numFmtId="4" fontId="16" fillId="0" borderId="2" xfId="0" applyNumberFormat="1" applyFont="1" applyFill="1" applyBorder="1" applyAlignment="1" applyProtection="1">
      <alignment horizontal="center" vertical="top"/>
    </xf>
    <xf numFmtId="0" fontId="17" fillId="2" borderId="9" xfId="0" applyFont="1" applyFill="1" applyBorder="1" applyAlignment="1" applyProtection="1">
      <alignment horizontal="left" vertical="top"/>
    </xf>
    <xf numFmtId="4" fontId="26" fillId="0" borderId="2" xfId="0" applyNumberFormat="1" applyFont="1" applyFill="1" applyBorder="1" applyAlignment="1" applyProtection="1">
      <alignment horizontal="right" vertical="top"/>
    </xf>
    <xf numFmtId="0" fontId="0" fillId="0" borderId="0" xfId="0" applyFill="1"/>
    <xf numFmtId="0" fontId="11" fillId="2" borderId="9" xfId="0" applyFont="1" applyFill="1" applyBorder="1" applyAlignment="1" applyProtection="1">
      <alignment horizontal="left" vertical="top"/>
    </xf>
    <xf numFmtId="4" fontId="0" fillId="0" borderId="0" xfId="0" applyNumberFormat="1" applyFill="1"/>
    <xf numFmtId="4" fontId="27" fillId="0" borderId="2" xfId="0" applyNumberFormat="1" applyFont="1" applyFill="1" applyBorder="1" applyAlignment="1" applyProtection="1">
      <alignment horizontal="right" vertical="top"/>
    </xf>
    <xf numFmtId="0" fontId="17" fillId="0" borderId="5" xfId="0" applyFont="1" applyBorder="1" applyAlignment="1" applyProtection="1">
      <alignment horizontal="left" vertical="top"/>
    </xf>
    <xf numFmtId="4" fontId="26" fillId="0" borderId="10" xfId="0" applyNumberFormat="1" applyFont="1" applyFill="1" applyBorder="1" applyAlignment="1" applyProtection="1">
      <alignment horizontal="right" vertical="top"/>
    </xf>
    <xf numFmtId="0" fontId="17" fillId="2" borderId="0" xfId="0" applyFont="1" applyFill="1" applyBorder="1" applyAlignment="1" applyProtection="1">
      <alignment horizontal="left" vertical="top"/>
    </xf>
    <xf numFmtId="4" fontId="16" fillId="2" borderId="0" xfId="0" applyNumberFormat="1" applyFont="1" applyFill="1" applyBorder="1" applyAlignment="1" applyProtection="1">
      <alignment horizontal="right" vertical="top"/>
    </xf>
    <xf numFmtId="4" fontId="12" fillId="2" borderId="0" xfId="0" applyNumberFormat="1" applyFont="1" applyFill="1" applyProtection="1"/>
    <xf numFmtId="0" fontId="12" fillId="2" borderId="0" xfId="0" applyFont="1" applyFill="1" applyProtection="1"/>
    <xf numFmtId="0" fontId="16" fillId="0" borderId="5" xfId="0" applyFont="1" applyBorder="1" applyAlignment="1" applyProtection="1">
      <alignment horizontal="center"/>
    </xf>
    <xf numFmtId="0" fontId="16" fillId="0" borderId="7" xfId="0" applyFont="1" applyBorder="1" applyAlignment="1" applyProtection="1">
      <alignment horizontal="center"/>
    </xf>
    <xf numFmtId="0" fontId="16" fillId="0" borderId="6" xfId="0" applyFont="1" applyBorder="1" applyAlignment="1" applyProtection="1">
      <alignment horizontal="center"/>
    </xf>
    <xf numFmtId="4" fontId="16" fillId="2" borderId="5" xfId="0" applyNumberFormat="1" applyFont="1" applyFill="1" applyBorder="1" applyAlignment="1" applyProtection="1">
      <alignment horizontal="center"/>
    </xf>
    <xf numFmtId="4" fontId="16" fillId="2" borderId="7" xfId="0" applyNumberFormat="1" applyFont="1" applyFill="1" applyBorder="1" applyAlignment="1" applyProtection="1">
      <alignment horizontal="center"/>
    </xf>
    <xf numFmtId="4" fontId="16" fillId="2" borderId="6" xfId="0" applyNumberFormat="1" applyFont="1" applyFill="1" applyBorder="1" applyAlignment="1" applyProtection="1">
      <alignment horizontal="center"/>
    </xf>
    <xf numFmtId="0" fontId="16" fillId="2" borderId="15" xfId="0" applyFont="1" applyFill="1" applyBorder="1" applyAlignment="1" applyProtection="1">
      <alignment horizontal="center"/>
    </xf>
    <xf numFmtId="0" fontId="12" fillId="2" borderId="12" xfId="0" applyFont="1" applyFill="1" applyBorder="1" applyProtection="1"/>
    <xf numFmtId="0" fontId="16" fillId="2" borderId="8" xfId="0" applyFont="1" applyFill="1" applyBorder="1" applyAlignment="1" applyProtection="1">
      <alignment horizontal="center"/>
    </xf>
    <xf numFmtId="0" fontId="16" fillId="2" borderId="4" xfId="0" applyFont="1" applyFill="1" applyBorder="1" applyAlignment="1" applyProtection="1">
      <alignment horizontal="center"/>
    </xf>
    <xf numFmtId="0" fontId="16" fillId="2" borderId="11" xfId="0" applyFont="1" applyFill="1" applyBorder="1" applyAlignment="1" applyProtection="1">
      <alignment horizontal="center"/>
    </xf>
    <xf numFmtId="0" fontId="16" fillId="2" borderId="14" xfId="0" applyFont="1" applyFill="1" applyBorder="1" applyAlignment="1" applyProtection="1">
      <alignment horizontal="center"/>
    </xf>
    <xf numFmtId="0" fontId="17" fillId="2" borderId="5" xfId="0" applyFont="1" applyFill="1" applyBorder="1" applyAlignment="1" applyProtection="1">
      <alignment horizontal="center"/>
    </xf>
    <xf numFmtId="0" fontId="17" fillId="2" borderId="7" xfId="0" applyFont="1" applyFill="1" applyBorder="1" applyAlignment="1" applyProtection="1">
      <alignment horizontal="center"/>
    </xf>
    <xf numFmtId="0" fontId="17" fillId="2" borderId="6" xfId="0" applyFont="1" applyFill="1" applyBorder="1" applyAlignment="1" applyProtection="1">
      <alignment horizontal="center"/>
    </xf>
    <xf numFmtId="4" fontId="16" fillId="2" borderId="5" xfId="0" applyNumberFormat="1" applyFont="1" applyFill="1" applyBorder="1" applyAlignment="1" applyProtection="1">
      <alignment horizontal="right"/>
    </xf>
    <xf numFmtId="4" fontId="16" fillId="2" borderId="7" xfId="0" applyNumberFormat="1" applyFont="1" applyFill="1" applyBorder="1" applyAlignment="1" applyProtection="1">
      <alignment horizontal="right"/>
    </xf>
    <xf numFmtId="4" fontId="16" fillId="2" borderId="6" xfId="0" applyNumberFormat="1" applyFont="1" applyFill="1" applyBorder="1" applyAlignment="1" applyProtection="1">
      <alignment horizontal="right"/>
    </xf>
    <xf numFmtId="0" fontId="19" fillId="0" borderId="0" xfId="0" applyFont="1" applyAlignment="1" applyProtection="1">
      <alignment horizontal="center" vertical="top"/>
      <protection locked="0"/>
    </xf>
    <xf numFmtId="0" fontId="19" fillId="0" borderId="0" xfId="0" applyFont="1" applyAlignment="1" applyProtection="1">
      <alignment horizontal="center" vertical="top"/>
      <protection locked="0"/>
    </xf>
    <xf numFmtId="4" fontId="19" fillId="0" borderId="0" xfId="0" applyNumberFormat="1" applyFont="1"/>
    <xf numFmtId="0" fontId="16" fillId="2" borderId="5" xfId="0" applyFont="1" applyFill="1" applyBorder="1" applyAlignment="1" applyProtection="1">
      <alignment horizontal="center"/>
    </xf>
    <xf numFmtId="0" fontId="17" fillId="2" borderId="5" xfId="0" applyFont="1" applyFill="1" applyBorder="1" applyAlignment="1" applyProtection="1">
      <alignment horizontal="left"/>
    </xf>
    <xf numFmtId="0" fontId="17" fillId="2" borderId="7" xfId="0" applyFont="1" applyFill="1" applyBorder="1" applyAlignment="1" applyProtection="1">
      <alignment horizontal="left"/>
    </xf>
    <xf numFmtId="0" fontId="17" fillId="2" borderId="6" xfId="0" applyFont="1" applyFill="1" applyBorder="1" applyAlignment="1" applyProtection="1">
      <alignment horizontal="left"/>
    </xf>
    <xf numFmtId="0" fontId="4" fillId="2" borderId="5" xfId="0" applyFont="1" applyFill="1" applyBorder="1" applyAlignment="1" applyProtection="1">
      <alignment horizontal="left" vertical="center" wrapText="1"/>
    </xf>
    <xf numFmtId="0" fontId="4" fillId="2" borderId="7" xfId="0" applyFont="1" applyFill="1" applyBorder="1" applyAlignment="1" applyProtection="1">
      <alignment horizontal="left" vertical="center" wrapText="1"/>
    </xf>
    <xf numFmtId="0" fontId="4" fillId="2" borderId="6" xfId="0" applyFont="1" applyFill="1" applyBorder="1" applyAlignment="1" applyProtection="1">
      <alignment horizontal="left" vertical="center" wrapText="1"/>
    </xf>
    <xf numFmtId="4" fontId="16" fillId="0" borderId="5" xfId="0" applyNumberFormat="1" applyFont="1" applyFill="1" applyBorder="1" applyAlignment="1" applyProtection="1">
      <alignment horizontal="right"/>
    </xf>
    <xf numFmtId="4" fontId="16" fillId="0" borderId="7" xfId="0" applyNumberFormat="1" applyFont="1" applyFill="1" applyBorder="1" applyAlignment="1" applyProtection="1">
      <alignment horizontal="right"/>
    </xf>
    <xf numFmtId="4" fontId="16" fillId="0" borderId="6" xfId="0" applyNumberFormat="1" applyFont="1" applyFill="1" applyBorder="1" applyAlignment="1" applyProtection="1">
      <alignment horizontal="right"/>
    </xf>
    <xf numFmtId="2" fontId="1" fillId="0" borderId="0" xfId="0" applyNumberFormat="1" applyFont="1"/>
    <xf numFmtId="0" fontId="4" fillId="2" borderId="0" xfId="0" applyFont="1" applyFill="1" applyBorder="1" applyAlignment="1" applyProtection="1">
      <alignment horizontal="left" vertical="center" wrapText="1"/>
    </xf>
    <xf numFmtId="4" fontId="16" fillId="2" borderId="0" xfId="0" applyNumberFormat="1" applyFont="1" applyFill="1" applyBorder="1" applyAlignment="1" applyProtection="1">
      <alignment horizontal="right"/>
    </xf>
    <xf numFmtId="0" fontId="11" fillId="2" borderId="0" xfId="0" applyFont="1" applyFill="1" applyAlignment="1" applyProtection="1">
      <alignment horizontal="left" vertical="top"/>
    </xf>
    <xf numFmtId="0" fontId="10" fillId="2" borderId="0" xfId="0" applyFont="1" applyFill="1" applyProtection="1"/>
    <xf numFmtId="4" fontId="19" fillId="2" borderId="0" xfId="0" applyNumberFormat="1" applyFont="1" applyFill="1" applyProtection="1"/>
    <xf numFmtId="0" fontId="19" fillId="2" borderId="0" xfId="0" applyFont="1" applyFill="1" applyProtection="1"/>
    <xf numFmtId="0" fontId="17" fillId="2" borderId="0" xfId="0" applyFont="1" applyFill="1" applyBorder="1" applyAlignment="1" applyProtection="1">
      <alignment horizontal="center"/>
      <protection locked="0"/>
    </xf>
    <xf numFmtId="4" fontId="16" fillId="2" borderId="0" xfId="0" applyNumberFormat="1" applyFont="1" applyFill="1" applyBorder="1" applyAlignment="1">
      <alignment horizontal="right"/>
    </xf>
    <xf numFmtId="0" fontId="10" fillId="2" borderId="0" xfId="0" applyFont="1" applyFill="1"/>
    <xf numFmtId="0" fontId="28" fillId="2" borderId="1" xfId="2" applyFont="1" applyFill="1" applyBorder="1" applyAlignment="1" applyProtection="1">
      <alignment horizontal="center"/>
    </xf>
    <xf numFmtId="0" fontId="16" fillId="2" borderId="5" xfId="2" applyFont="1" applyFill="1" applyBorder="1" applyAlignment="1" applyProtection="1">
      <alignment horizontal="center" vertical="top"/>
    </xf>
    <xf numFmtId="0" fontId="16" fillId="2" borderId="6" xfId="2" applyFont="1" applyFill="1" applyBorder="1" applyAlignment="1" applyProtection="1">
      <alignment horizontal="center" vertical="top"/>
    </xf>
    <xf numFmtId="0" fontId="28" fillId="2" borderId="2" xfId="2" applyFont="1" applyFill="1" applyBorder="1" applyAlignment="1" applyProtection="1">
      <alignment horizontal="center" vertical="top"/>
    </xf>
    <xf numFmtId="0" fontId="16" fillId="0" borderId="13" xfId="2" applyFont="1" applyFill="1" applyBorder="1" applyAlignment="1" applyProtection="1">
      <alignment horizontal="center" vertical="top"/>
    </xf>
    <xf numFmtId="0" fontId="12" fillId="2" borderId="2" xfId="2" applyFont="1" applyFill="1" applyBorder="1" applyProtection="1"/>
    <xf numFmtId="0" fontId="16" fillId="0" borderId="14" xfId="2" applyFont="1" applyFill="1" applyBorder="1" applyAlignment="1" applyProtection="1">
      <alignment horizontal="center" vertical="top"/>
    </xf>
    <xf numFmtId="0" fontId="17" fillId="2" borderId="1" xfId="2" applyFont="1" applyFill="1" applyBorder="1" applyAlignment="1" applyProtection="1">
      <alignment horizontal="left" vertical="top"/>
    </xf>
    <xf numFmtId="4" fontId="16" fillId="2" borderId="1" xfId="2" quotePrefix="1" applyNumberFormat="1" applyFont="1" applyFill="1" applyBorder="1" applyAlignment="1" applyProtection="1">
      <alignment horizontal="center" vertical="top"/>
    </xf>
    <xf numFmtId="4" fontId="16" fillId="0" borderId="1" xfId="2" quotePrefix="1" applyNumberFormat="1" applyFont="1" applyFill="1" applyBorder="1" applyAlignment="1" applyProtection="1">
      <alignment horizontal="center" vertical="top"/>
    </xf>
    <xf numFmtId="0" fontId="17" fillId="2" borderId="2" xfId="2" applyFont="1" applyFill="1" applyBorder="1" applyAlignment="1" applyProtection="1">
      <alignment horizontal="left" vertical="top"/>
    </xf>
    <xf numFmtId="4" fontId="16" fillId="0" borderId="2" xfId="2" applyNumberFormat="1" applyFont="1" applyFill="1" applyBorder="1" applyAlignment="1" applyProtection="1">
      <alignment horizontal="right" vertical="top"/>
    </xf>
    <xf numFmtId="0" fontId="11" fillId="2" borderId="2" xfId="2" applyFont="1" applyFill="1" applyBorder="1" applyAlignment="1" applyProtection="1">
      <alignment horizontal="left" vertical="top"/>
    </xf>
    <xf numFmtId="4" fontId="16" fillId="0" borderId="13" xfId="2" applyNumberFormat="1" applyFont="1" applyFill="1" applyBorder="1" applyAlignment="1" applyProtection="1">
      <alignment horizontal="right" vertical="top"/>
    </xf>
    <xf numFmtId="4" fontId="10" fillId="0" borderId="13" xfId="2" applyNumberFormat="1" applyFont="1" applyFill="1" applyBorder="1" applyAlignment="1" applyProtection="1">
      <alignment horizontal="right" vertical="top"/>
    </xf>
    <xf numFmtId="4" fontId="27" fillId="0" borderId="13" xfId="2" applyNumberFormat="1" applyFont="1" applyFill="1" applyBorder="1" applyAlignment="1" applyProtection="1">
      <alignment horizontal="right" vertical="top"/>
    </xf>
    <xf numFmtId="0" fontId="10" fillId="0" borderId="0" xfId="0" applyFont="1" applyFill="1"/>
    <xf numFmtId="4" fontId="10" fillId="2" borderId="13" xfId="2" applyNumberFormat="1" applyFont="1" applyFill="1" applyBorder="1" applyAlignment="1" applyProtection="1">
      <alignment horizontal="right" vertical="top"/>
    </xf>
    <xf numFmtId="0" fontId="17" fillId="2" borderId="3" xfId="2" applyFont="1" applyFill="1" applyBorder="1" applyAlignment="1" applyProtection="1">
      <alignment horizontal="left" vertical="top"/>
    </xf>
    <xf numFmtId="4" fontId="16" fillId="0" borderId="3" xfId="2" applyNumberFormat="1" applyFont="1" applyFill="1" applyBorder="1" applyAlignment="1" applyProtection="1">
      <alignment horizontal="right" vertical="top"/>
    </xf>
    <xf numFmtId="0" fontId="4" fillId="2" borderId="0" xfId="2" applyFont="1" applyFill="1" applyBorder="1" applyAlignment="1" applyProtection="1">
      <alignment horizontal="left" vertical="top"/>
      <protection locked="0"/>
    </xf>
    <xf numFmtId="4" fontId="6" fillId="2" borderId="0" xfId="2" applyNumberFormat="1" applyFont="1" applyFill="1" applyBorder="1" applyAlignment="1" applyProtection="1">
      <alignment horizontal="right" vertical="top"/>
      <protection locked="0"/>
    </xf>
    <xf numFmtId="4" fontId="10" fillId="2" borderId="0" xfId="0" applyNumberFormat="1" applyFont="1" applyFill="1"/>
    <xf numFmtId="4" fontId="10" fillId="2" borderId="0" xfId="0" applyNumberFormat="1" applyFont="1" applyFill="1" applyProtection="1"/>
    <xf numFmtId="0" fontId="4" fillId="2" borderId="5" xfId="0" applyFont="1" applyFill="1" applyBorder="1" applyAlignment="1" applyProtection="1">
      <alignment horizontal="left" vertical="center"/>
    </xf>
    <xf numFmtId="0" fontId="4" fillId="2" borderId="7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29" fillId="2" borderId="5" xfId="0" applyFont="1" applyFill="1" applyBorder="1" applyAlignment="1" applyProtection="1">
      <alignment horizontal="left" vertical="center" wrapText="1"/>
    </xf>
    <xf numFmtId="0" fontId="29" fillId="2" borderId="7" xfId="0" applyFont="1" applyFill="1" applyBorder="1" applyAlignment="1" applyProtection="1">
      <alignment horizontal="left" vertical="center" wrapText="1"/>
    </xf>
    <xf numFmtId="0" fontId="29" fillId="2" borderId="6" xfId="0" applyFont="1" applyFill="1" applyBorder="1" applyAlignment="1" applyProtection="1">
      <alignment horizontal="left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6" fillId="2" borderId="15" xfId="0" applyFont="1" applyFill="1" applyBorder="1" applyAlignment="1" applyProtection="1">
      <alignment horizontal="center" vertical="center"/>
    </xf>
    <xf numFmtId="0" fontId="16" fillId="2" borderId="12" xfId="0" applyFont="1" applyFill="1" applyBorder="1" applyAlignment="1" applyProtection="1">
      <alignment horizontal="center" vertical="center"/>
    </xf>
    <xf numFmtId="0" fontId="16" fillId="2" borderId="8" xfId="0" applyFont="1" applyFill="1" applyBorder="1" applyAlignment="1" applyProtection="1">
      <alignment horizontal="center" vertical="center"/>
    </xf>
    <xf numFmtId="0" fontId="16" fillId="2" borderId="4" xfId="0" applyFont="1" applyFill="1" applyBorder="1" applyAlignment="1" applyProtection="1">
      <alignment horizontal="center" vertical="center"/>
    </xf>
    <xf numFmtId="0" fontId="16" fillId="2" borderId="11" xfId="0" applyFont="1" applyFill="1" applyBorder="1" applyAlignment="1" applyProtection="1">
      <alignment horizontal="center" vertical="center"/>
    </xf>
    <xf numFmtId="0" fontId="16" fillId="2" borderId="14" xfId="0" applyFont="1" applyFill="1" applyBorder="1" applyAlignment="1" applyProtection="1">
      <alignment horizontal="center" vertical="center"/>
    </xf>
    <xf numFmtId="4" fontId="10" fillId="2" borderId="5" xfId="0" applyNumberFormat="1" applyFont="1" applyFill="1" applyBorder="1" applyAlignment="1" applyProtection="1">
      <alignment horizontal="right"/>
    </xf>
    <xf numFmtId="4" fontId="10" fillId="2" borderId="7" xfId="0" applyNumberFormat="1" applyFont="1" applyFill="1" applyBorder="1" applyAlignment="1" applyProtection="1">
      <alignment horizontal="right"/>
    </xf>
    <xf numFmtId="4" fontId="10" fillId="2" borderId="6" xfId="0" applyNumberFormat="1" applyFont="1" applyFill="1" applyBorder="1" applyAlignment="1" applyProtection="1">
      <alignment horizontal="right"/>
    </xf>
    <xf numFmtId="4" fontId="10" fillId="0" borderId="5" xfId="0" applyNumberFormat="1" applyFont="1" applyFill="1" applyBorder="1" applyAlignment="1" applyProtection="1">
      <alignment horizontal="right"/>
    </xf>
    <xf numFmtId="4" fontId="10" fillId="0" borderId="7" xfId="0" applyNumberFormat="1" applyFont="1" applyFill="1" applyBorder="1" applyAlignment="1" applyProtection="1">
      <alignment horizontal="right"/>
    </xf>
    <xf numFmtId="4" fontId="10" fillId="0" borderId="6" xfId="0" applyNumberFormat="1" applyFont="1" applyFill="1" applyBorder="1" applyAlignment="1" applyProtection="1">
      <alignment horizontal="right"/>
    </xf>
    <xf numFmtId="164" fontId="6" fillId="0" borderId="0" xfId="0" applyNumberFormat="1" applyFont="1" applyAlignment="1" applyProtection="1">
      <alignment vertical="top"/>
      <protection locked="0"/>
    </xf>
    <xf numFmtId="0" fontId="16" fillId="2" borderId="1" xfId="0" applyFont="1" applyFill="1" applyBorder="1" applyAlignment="1" applyProtection="1">
      <alignment horizontal="center" vertical="top"/>
    </xf>
    <xf numFmtId="0" fontId="0" fillId="0" borderId="1" xfId="0" applyBorder="1" applyProtection="1"/>
    <xf numFmtId="0" fontId="16" fillId="2" borderId="9" xfId="0" applyFont="1" applyFill="1" applyBorder="1" applyAlignment="1" applyProtection="1">
      <alignment horizontal="center" vertical="top"/>
    </xf>
    <xf numFmtId="0" fontId="16" fillId="2" borderId="15" xfId="0" applyFont="1" applyFill="1" applyBorder="1" applyAlignment="1" applyProtection="1">
      <alignment horizontal="center" vertical="top"/>
    </xf>
    <xf numFmtId="0" fontId="16" fillId="2" borderId="3" xfId="0" applyFont="1" applyFill="1" applyBorder="1" applyProtection="1"/>
    <xf numFmtId="0" fontId="16" fillId="2" borderId="4" xfId="0" applyFont="1" applyFill="1" applyBorder="1" applyAlignment="1" applyProtection="1">
      <alignment horizontal="center" vertical="top"/>
    </xf>
    <xf numFmtId="0" fontId="16" fillId="2" borderId="3" xfId="0" applyFont="1" applyFill="1" applyBorder="1" applyAlignment="1" applyProtection="1">
      <alignment horizontal="center" vertical="top"/>
    </xf>
    <xf numFmtId="0" fontId="21" fillId="2" borderId="9" xfId="0" applyFont="1" applyFill="1" applyBorder="1" applyProtection="1"/>
    <xf numFmtId="4" fontId="21" fillId="2" borderId="9" xfId="0" applyNumberFormat="1" applyFont="1" applyFill="1" applyBorder="1" applyAlignment="1" applyProtection="1">
      <alignment horizontal="right"/>
    </xf>
    <xf numFmtId="4" fontId="21" fillId="2" borderId="1" xfId="0" applyNumberFormat="1" applyFont="1" applyFill="1" applyBorder="1" applyAlignment="1" applyProtection="1">
      <alignment horizontal="right" vertical="top"/>
    </xf>
    <xf numFmtId="4" fontId="21" fillId="2" borderId="2" xfId="0" applyNumberFormat="1" applyFont="1" applyFill="1" applyBorder="1" applyAlignment="1" applyProtection="1">
      <alignment horizontal="right" vertical="top"/>
    </xf>
    <xf numFmtId="0" fontId="30" fillId="2" borderId="9" xfId="0" applyFont="1" applyFill="1" applyBorder="1" applyAlignment="1" applyProtection="1">
      <alignment horizontal="left" vertical="top"/>
    </xf>
    <xf numFmtId="4" fontId="30" fillId="2" borderId="9" xfId="0" applyNumberFormat="1" applyFont="1" applyFill="1" applyBorder="1" applyAlignment="1" applyProtection="1">
      <alignment horizontal="right" vertical="top"/>
    </xf>
    <xf numFmtId="165" fontId="12" fillId="0" borderId="0" xfId="0" applyNumberFormat="1" applyFont="1"/>
    <xf numFmtId="4" fontId="30" fillId="0" borderId="9" xfId="0" applyNumberFormat="1" applyFont="1" applyFill="1" applyBorder="1" applyAlignment="1" applyProtection="1">
      <alignment horizontal="right" vertical="top"/>
    </xf>
    <xf numFmtId="0" fontId="21" fillId="2" borderId="10" xfId="0" applyFont="1" applyFill="1" applyBorder="1" applyAlignment="1" applyProtection="1">
      <alignment horizontal="left" vertical="top"/>
    </xf>
    <xf numFmtId="4" fontId="21" fillId="2" borderId="10" xfId="0" applyNumberFormat="1" applyFont="1" applyFill="1" applyBorder="1" applyAlignment="1" applyProtection="1">
      <alignment horizontal="right" vertical="top"/>
    </xf>
    <xf numFmtId="0" fontId="31" fillId="0" borderId="0" xfId="0" applyFont="1"/>
    <xf numFmtId="43" fontId="31" fillId="0" borderId="0" xfId="1" applyFont="1"/>
    <xf numFmtId="0" fontId="11" fillId="0" borderId="0" xfId="0" applyFont="1" applyAlignment="1" applyProtection="1">
      <alignment horizontal="left" vertical="top"/>
    </xf>
    <xf numFmtId="0" fontId="12" fillId="0" borderId="0" xfId="0" applyFont="1" applyProtection="1"/>
    <xf numFmtId="4" fontId="12" fillId="0" borderId="0" xfId="0" applyNumberFormat="1" applyFont="1" applyProtection="1"/>
    <xf numFmtId="165" fontId="12" fillId="0" borderId="0" xfId="0" applyNumberFormat="1" applyFont="1" applyProtection="1"/>
    <xf numFmtId="43" fontId="1" fillId="0" borderId="0" xfId="1" applyFont="1"/>
    <xf numFmtId="165" fontId="0" fillId="0" borderId="0" xfId="0" applyNumberFormat="1"/>
    <xf numFmtId="0" fontId="11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4" fontId="2" fillId="0" borderId="0" xfId="0" applyNumberFormat="1" applyFont="1"/>
    <xf numFmtId="0" fontId="6" fillId="2" borderId="10" xfId="0" applyFont="1" applyFill="1" applyBorder="1" applyAlignment="1" applyProtection="1">
      <alignment horizontal="left" vertical="top"/>
    </xf>
    <xf numFmtId="0" fontId="6" fillId="2" borderId="5" xfId="0" applyFont="1" applyFill="1" applyBorder="1" applyAlignment="1" applyProtection="1">
      <alignment horizontal="center" vertical="top"/>
    </xf>
    <xf numFmtId="0" fontId="6" fillId="2" borderId="6" xfId="0" applyFont="1" applyFill="1" applyBorder="1" applyAlignment="1" applyProtection="1">
      <alignment horizontal="center" vertical="top"/>
    </xf>
    <xf numFmtId="4" fontId="24" fillId="0" borderId="0" xfId="0" applyNumberFormat="1" applyFont="1"/>
    <xf numFmtId="0" fontId="6" fillId="2" borderId="1" xfId="0" applyFont="1" applyFill="1" applyBorder="1" applyAlignment="1" applyProtection="1">
      <alignment horizontal="left" vertical="top"/>
    </xf>
    <xf numFmtId="4" fontId="6" fillId="2" borderId="5" xfId="0" applyNumberFormat="1" applyFont="1" applyFill="1" applyBorder="1" applyAlignment="1" applyProtection="1">
      <alignment horizontal="center"/>
    </xf>
    <xf numFmtId="4" fontId="6" fillId="2" borderId="6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left" vertical="top"/>
    </xf>
    <xf numFmtId="4" fontId="6" fillId="2" borderId="0" xfId="0" applyNumberFormat="1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left" vertical="top"/>
    </xf>
    <xf numFmtId="0" fontId="6" fillId="2" borderId="5" xfId="0" applyFont="1" applyFill="1" applyBorder="1" applyAlignment="1" applyProtection="1">
      <alignment horizontal="center" vertical="top"/>
    </xf>
    <xf numFmtId="0" fontId="6" fillId="2" borderId="10" xfId="0" applyFont="1" applyFill="1" applyBorder="1" applyAlignment="1" applyProtection="1">
      <alignment horizontal="center" vertical="top"/>
    </xf>
    <xf numFmtId="0" fontId="6" fillId="2" borderId="5" xfId="0" applyFont="1" applyFill="1" applyBorder="1" applyAlignment="1" applyProtection="1">
      <alignment horizontal="left" vertical="center"/>
    </xf>
    <xf numFmtId="4" fontId="6" fillId="2" borderId="3" xfId="0" applyNumberFormat="1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left" vertical="top"/>
    </xf>
    <xf numFmtId="4" fontId="5" fillId="2" borderId="10" xfId="0" applyNumberFormat="1" applyFont="1" applyFill="1" applyBorder="1" applyProtection="1"/>
    <xf numFmtId="0" fontId="3" fillId="2" borderId="0" xfId="0" applyFont="1" applyFill="1" applyBorder="1" applyAlignment="1" applyProtection="1">
      <alignment horizontal="left" vertical="top"/>
    </xf>
    <xf numFmtId="4" fontId="5" fillId="2" borderId="0" xfId="0" applyNumberFormat="1" applyFont="1" applyFill="1" applyBorder="1" applyProtection="1"/>
    <xf numFmtId="0" fontId="6" fillId="4" borderId="10" xfId="0" applyFont="1" applyFill="1" applyBorder="1" applyAlignment="1" applyProtection="1">
      <alignment horizontal="center" vertical="top"/>
    </xf>
    <xf numFmtId="0" fontId="4" fillId="0" borderId="10" xfId="0" applyFont="1" applyBorder="1" applyAlignment="1" applyProtection="1">
      <alignment horizontal="left" vertical="center"/>
    </xf>
    <xf numFmtId="4" fontId="6" fillId="0" borderId="10" xfId="0" applyNumberFormat="1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top"/>
    </xf>
    <xf numFmtId="4" fontId="5" fillId="0" borderId="10" xfId="0" applyNumberFormat="1" applyFont="1" applyBorder="1" applyProtection="1"/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 applyProtection="1">
      <alignment horizontal="center" vertical="top"/>
      <protection locked="0"/>
    </xf>
    <xf numFmtId="0" fontId="32" fillId="0" borderId="0" xfId="0" applyFont="1" applyAlignment="1">
      <alignment horizontal="center"/>
    </xf>
    <xf numFmtId="0" fontId="32" fillId="0" borderId="0" xfId="0" applyFont="1" applyAlignment="1"/>
    <xf numFmtId="0" fontId="20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 vertical="top"/>
      <protection locked="0"/>
    </xf>
    <xf numFmtId="0" fontId="1" fillId="2" borderId="0" xfId="0" applyFont="1" applyFill="1"/>
    <xf numFmtId="0" fontId="1" fillId="2" borderId="0" xfId="0" applyFont="1" applyFill="1" applyAlignment="1" applyProtection="1">
      <alignment horizontal="center" vertical="top"/>
      <protection locked="0"/>
    </xf>
    <xf numFmtId="0" fontId="4" fillId="2" borderId="0" xfId="0" applyFont="1" applyFill="1" applyAlignment="1" applyProtection="1">
      <alignment horizontal="left" vertical="top"/>
    </xf>
    <xf numFmtId="0" fontId="1" fillId="2" borderId="0" xfId="0" applyFont="1" applyFill="1" applyProtection="1"/>
    <xf numFmtId="0" fontId="4" fillId="2" borderId="15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0" fillId="2" borderId="2" xfId="0" applyFill="1" applyBorder="1" applyProtection="1"/>
    <xf numFmtId="0" fontId="5" fillId="2" borderId="12" xfId="0" applyFont="1" applyFill="1" applyBorder="1" applyAlignment="1" applyProtection="1">
      <alignment horizontal="center" vertical="top"/>
    </xf>
    <xf numFmtId="0" fontId="5" fillId="2" borderId="8" xfId="0" applyFont="1" applyFill="1" applyBorder="1" applyAlignment="1" applyProtection="1">
      <alignment horizontal="center" vertical="top"/>
    </xf>
    <xf numFmtId="17" fontId="5" fillId="2" borderId="4" xfId="0" quotePrefix="1" applyNumberFormat="1" applyFont="1" applyFill="1" applyBorder="1" applyAlignment="1" applyProtection="1">
      <alignment horizontal="center" vertical="top"/>
    </xf>
    <xf numFmtId="17" fontId="5" fillId="2" borderId="3" xfId="0" quotePrefix="1" applyNumberFormat="1" applyFont="1" applyFill="1" applyBorder="1" applyAlignment="1" applyProtection="1">
      <alignment horizontal="center" vertical="top"/>
    </xf>
    <xf numFmtId="0" fontId="6" fillId="2" borderId="2" xfId="0" applyFont="1" applyFill="1" applyBorder="1" applyAlignment="1" applyProtection="1">
      <alignment horizontal="left"/>
    </xf>
    <xf numFmtId="17" fontId="6" fillId="2" borderId="1" xfId="0" applyNumberFormat="1" applyFont="1" applyFill="1" applyBorder="1" applyAlignment="1" applyProtection="1">
      <alignment horizontal="center" vertical="top"/>
    </xf>
    <xf numFmtId="17" fontId="6" fillId="2" borderId="2" xfId="0" applyNumberFormat="1" applyFont="1" applyFill="1" applyBorder="1" applyAlignment="1" applyProtection="1">
      <alignment horizontal="center" vertical="top"/>
    </xf>
    <xf numFmtId="4" fontId="16" fillId="2" borderId="2" xfId="0" applyNumberFormat="1" applyFont="1" applyFill="1" applyBorder="1" applyAlignment="1" applyProtection="1">
      <alignment horizontal="right" vertical="top"/>
    </xf>
    <xf numFmtId="4" fontId="6" fillId="2" borderId="2" xfId="0" applyNumberFormat="1" applyFont="1" applyFill="1" applyBorder="1" applyAlignment="1" applyProtection="1">
      <alignment horizontal="right" vertical="top"/>
    </xf>
    <xf numFmtId="4" fontId="10" fillId="2" borderId="2" xfId="0" applyNumberFormat="1" applyFont="1" applyFill="1" applyBorder="1" applyAlignment="1" applyProtection="1">
      <alignment horizontal="right" vertical="top"/>
    </xf>
    <xf numFmtId="4" fontId="5" fillId="2" borderId="2" xfId="0" applyNumberFormat="1" applyFont="1" applyFill="1" applyBorder="1" applyAlignment="1" applyProtection="1">
      <alignment horizontal="right" vertical="top"/>
    </xf>
    <xf numFmtId="4" fontId="33" fillId="2" borderId="10" xfId="0" applyNumberFormat="1" applyFont="1" applyFill="1" applyBorder="1" applyAlignment="1" applyProtection="1">
      <alignment horizontal="right" vertical="top"/>
    </xf>
    <xf numFmtId="4" fontId="34" fillId="2" borderId="10" xfId="0" applyNumberFormat="1" applyFont="1" applyFill="1" applyBorder="1" applyAlignment="1" applyProtection="1">
      <alignment horizontal="right" vertical="top"/>
    </xf>
    <xf numFmtId="4" fontId="10" fillId="2" borderId="3" xfId="0" applyNumberFormat="1" applyFont="1" applyFill="1" applyBorder="1" applyAlignment="1" applyProtection="1">
      <alignment horizontal="right" vertical="top"/>
    </xf>
    <xf numFmtId="0" fontId="3" fillId="2" borderId="10" xfId="0" applyFont="1" applyFill="1" applyBorder="1" applyAlignment="1" applyProtection="1">
      <alignment vertical="center" wrapText="1"/>
    </xf>
    <xf numFmtId="4" fontId="10" fillId="2" borderId="10" xfId="0" applyNumberFormat="1" applyFont="1" applyFill="1" applyBorder="1" applyAlignment="1" applyProtection="1">
      <alignment horizontal="right" vertical="top"/>
    </xf>
    <xf numFmtId="4" fontId="5" fillId="2" borderId="10" xfId="0" applyNumberFormat="1" applyFont="1" applyFill="1" applyBorder="1" applyAlignment="1" applyProtection="1">
      <alignment horizontal="right" vertical="top"/>
    </xf>
    <xf numFmtId="0" fontId="4" fillId="2" borderId="10" xfId="0" applyFont="1" applyFill="1" applyBorder="1" applyAlignment="1" applyProtection="1">
      <alignment vertical="center" wrapText="1"/>
    </xf>
    <xf numFmtId="4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center" vertical="top"/>
    </xf>
    <xf numFmtId="0" fontId="35" fillId="0" borderId="0" xfId="0" applyFont="1" applyAlignment="1">
      <alignment horizontal="center" vertical="top"/>
    </xf>
    <xf numFmtId="0" fontId="35" fillId="0" borderId="0" xfId="0" applyFont="1" applyAlignment="1">
      <alignment horizontal="center" vertical="top"/>
    </xf>
    <xf numFmtId="0" fontId="36" fillId="0" borderId="0" xfId="0" applyFont="1"/>
    <xf numFmtId="0" fontId="39" fillId="0" borderId="0" xfId="0" applyFont="1"/>
    <xf numFmtId="0" fontId="10" fillId="0" borderId="17" xfId="0" applyFont="1" applyBorder="1"/>
    <xf numFmtId="0" fontId="40" fillId="5" borderId="18" xfId="0" applyFont="1" applyFill="1" applyBorder="1" applyAlignment="1">
      <alignment horizontal="center" vertical="center"/>
    </xf>
    <xf numFmtId="17" fontId="41" fillId="5" borderId="18" xfId="0" quotePrefix="1" applyNumberFormat="1" applyFont="1" applyFill="1" applyBorder="1" applyAlignment="1">
      <alignment horizontal="center" vertical="center"/>
    </xf>
    <xf numFmtId="0" fontId="41" fillId="5" borderId="18" xfId="0" applyFont="1" applyFill="1" applyBorder="1" applyAlignment="1">
      <alignment horizontal="center" vertical="center"/>
    </xf>
    <xf numFmtId="0" fontId="40" fillId="5" borderId="19" xfId="0" applyFont="1" applyFill="1" applyBorder="1" applyAlignment="1">
      <alignment horizontal="center" vertical="center"/>
    </xf>
    <xf numFmtId="17" fontId="41" fillId="5" borderId="19" xfId="0" quotePrefix="1" applyNumberFormat="1" applyFont="1" applyFill="1" applyBorder="1" applyAlignment="1">
      <alignment horizontal="center" vertical="center"/>
    </xf>
    <xf numFmtId="0" fontId="41" fillId="5" borderId="19" xfId="0" applyFont="1" applyFill="1" applyBorder="1" applyAlignment="1">
      <alignment horizontal="center" vertical="center"/>
    </xf>
    <xf numFmtId="0" fontId="39" fillId="0" borderId="20" xfId="0" applyFont="1" applyBorder="1"/>
    <xf numFmtId="4" fontId="42" fillId="0" borderId="20" xfId="0" applyNumberFormat="1" applyFont="1" applyBorder="1"/>
    <xf numFmtId="166" fontId="37" fillId="0" borderId="0" xfId="0" applyNumberFormat="1" applyFont="1"/>
    <xf numFmtId="4" fontId="42" fillId="5" borderId="20" xfId="0" applyNumberFormat="1" applyFont="1" applyFill="1" applyBorder="1"/>
    <xf numFmtId="165" fontId="37" fillId="0" borderId="0" xfId="0" applyNumberFormat="1" applyFont="1"/>
    <xf numFmtId="4" fontId="37" fillId="0" borderId="0" xfId="0" applyNumberFormat="1" applyFont="1"/>
    <xf numFmtId="0" fontId="40" fillId="0" borderId="20" xfId="0" applyFont="1" applyBorder="1" applyAlignment="1">
      <alignment horizontal="center"/>
    </xf>
    <xf numFmtId="4" fontId="41" fillId="0" borderId="20" xfId="0" applyNumberFormat="1" applyFont="1" applyBorder="1"/>
    <xf numFmtId="0" fontId="40" fillId="0" borderId="20" xfId="0" applyFont="1" applyBorder="1"/>
    <xf numFmtId="4" fontId="41" fillId="6" borderId="20" xfId="0" applyNumberFormat="1" applyFont="1" applyFill="1" applyBorder="1"/>
    <xf numFmtId="4" fontId="41" fillId="7" borderId="20" xfId="0" applyNumberFormat="1" applyFont="1" applyFill="1" applyBorder="1"/>
    <xf numFmtId="0" fontId="40" fillId="0" borderId="0" xfId="0" applyFont="1"/>
    <xf numFmtId="4" fontId="41" fillId="0" borderId="0" xfId="0" applyNumberFormat="1" applyFont="1"/>
    <xf numFmtId="0" fontId="43" fillId="0" borderId="0" xfId="2" applyFont="1" applyAlignment="1" applyProtection="1">
      <alignment horizontal="center" vertical="center"/>
      <protection locked="0"/>
    </xf>
    <xf numFmtId="4" fontId="43" fillId="0" borderId="0" xfId="2" applyNumberFormat="1" applyFont="1" applyAlignment="1">
      <alignment horizontal="center" vertical="center"/>
    </xf>
    <xf numFmtId="4" fontId="43" fillId="0" borderId="0" xfId="2" applyNumberFormat="1" applyFont="1" applyAlignment="1">
      <alignment vertical="center"/>
    </xf>
    <xf numFmtId="4" fontId="43" fillId="0" borderId="0" xfId="2" applyNumberFormat="1" applyFont="1" applyAlignment="1">
      <alignment horizontal="center" vertical="center"/>
    </xf>
    <xf numFmtId="0" fontId="44" fillId="0" borderId="0" xfId="2" applyFont="1" applyAlignment="1">
      <alignment vertical="center"/>
    </xf>
    <xf numFmtId="4" fontId="44" fillId="0" borderId="0" xfId="2" applyNumberFormat="1" applyFont="1" applyAlignment="1"/>
    <xf numFmtId="0" fontId="44" fillId="0" borderId="0" xfId="2" applyFont="1"/>
    <xf numFmtId="4" fontId="43" fillId="0" borderId="0" xfId="2" applyNumberFormat="1" applyFont="1" applyAlignment="1"/>
    <xf numFmtId="4" fontId="43" fillId="0" borderId="0" xfId="2" applyNumberFormat="1" applyFont="1" applyAlignment="1">
      <alignment horizontal="center"/>
    </xf>
  </cellXfs>
  <cellStyles count="3">
    <cellStyle name="Normal" xfId="0" builtinId="0"/>
    <cellStyle name="Normal 2" xfId="2" xr:uid="{668D535D-E1AD-4F28-9A4B-CBA0A4B48690}"/>
    <cellStyle name="Vírgula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00FF"/>
      <rgbColor rgb="00808080"/>
      <rgbColor rgb="00FF00FF"/>
      <rgbColor rgb="00008000"/>
      <rgbColor rgb="0000FF00"/>
      <rgbColor rgb="00C0C0C0"/>
      <rgbColor rgb="00800000"/>
      <rgbColor rgb="00800080"/>
      <rgbColor rgb="00000080"/>
      <rgbColor rgb="00FFFF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FF99"/>
      <color rgb="FFCC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107156</xdr:colOff>
      <xdr:row>1</xdr:row>
      <xdr:rowOff>71438</xdr:rowOff>
    </xdr:from>
    <xdr:ext cx="2393156" cy="740833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233363"/>
          <a:ext cx="2393156" cy="740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118535</xdr:colOff>
      <xdr:row>1</xdr:row>
      <xdr:rowOff>0</xdr:rowOff>
    </xdr:from>
    <xdr:to>
      <xdr:col>0</xdr:col>
      <xdr:colOff>1988821</xdr:colOff>
      <xdr:row>5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E4E40C-EC5B-4240-911C-2A7871B65F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5" y="198120"/>
          <a:ext cx="1824566" cy="73723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118535</xdr:colOff>
      <xdr:row>97</xdr:row>
      <xdr:rowOff>0</xdr:rowOff>
    </xdr:from>
    <xdr:ext cx="1824566" cy="742950"/>
    <xdr:pic>
      <xdr:nvPicPr>
        <xdr:cNvPr id="3" name="Imagem 2">
          <a:extLst>
            <a:ext uri="{FF2B5EF4-FFF2-40B4-BE49-F238E27FC236}">
              <a16:creationId xmlns:a16="http://schemas.microsoft.com/office/drawing/2014/main" id="{5E2EF027-EE69-4562-9C20-69565F82A6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5" y="19126200"/>
          <a:ext cx="1824566" cy="7429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</xdr:colOff>
      <xdr:row>1</xdr:row>
      <xdr:rowOff>28575</xdr:rowOff>
    </xdr:from>
    <xdr:to>
      <xdr:col>0</xdr:col>
      <xdr:colOff>1090612</xdr:colOff>
      <xdr:row>4</xdr:row>
      <xdr:rowOff>112395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D7611B-138C-45FA-829F-CB882CC569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226695"/>
          <a:ext cx="1047750" cy="58674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42862</xdr:colOff>
      <xdr:row>87</xdr:row>
      <xdr:rowOff>28575</xdr:rowOff>
    </xdr:from>
    <xdr:ext cx="1047750" cy="592455"/>
    <xdr:pic>
      <xdr:nvPicPr>
        <xdr:cNvPr id="3" name="Imagem 2">
          <a:extLst>
            <a:ext uri="{FF2B5EF4-FFF2-40B4-BE49-F238E27FC236}">
              <a16:creationId xmlns:a16="http://schemas.microsoft.com/office/drawing/2014/main" id="{1255BC3E-3516-4879-897C-4C36B9E36E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15436215"/>
          <a:ext cx="1047750" cy="59245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42862</xdr:colOff>
      <xdr:row>162</xdr:row>
      <xdr:rowOff>28575</xdr:rowOff>
    </xdr:from>
    <xdr:ext cx="1047750" cy="592455"/>
    <xdr:pic>
      <xdr:nvPicPr>
        <xdr:cNvPr id="4" name="Imagem 3">
          <a:extLst>
            <a:ext uri="{FF2B5EF4-FFF2-40B4-BE49-F238E27FC236}">
              <a16:creationId xmlns:a16="http://schemas.microsoft.com/office/drawing/2014/main" id="{E19ED1F1-A408-41C5-A484-E549F45A8A6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30401895"/>
          <a:ext cx="1047750" cy="59245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142875</xdr:rowOff>
    </xdr:from>
    <xdr:ext cx="1295400" cy="592455"/>
    <xdr:pic>
      <xdr:nvPicPr>
        <xdr:cNvPr id="2" name="Imagem 1">
          <a:extLst>
            <a:ext uri="{FF2B5EF4-FFF2-40B4-BE49-F238E27FC236}">
              <a16:creationId xmlns:a16="http://schemas.microsoft.com/office/drawing/2014/main" id="{D68650B4-415F-4739-92BC-0E38C83F5D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40995"/>
          <a:ext cx="1295400" cy="59245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180975</xdr:rowOff>
    </xdr:from>
    <xdr:to>
      <xdr:col>0</xdr:col>
      <xdr:colOff>2152650</xdr:colOff>
      <xdr:row>3</xdr:row>
      <xdr:rowOff>60960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AEBE516-92F6-401C-A00C-B353C768E35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80975"/>
          <a:ext cx="1047750" cy="3981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</xdr:colOff>
      <xdr:row>1</xdr:row>
      <xdr:rowOff>28575</xdr:rowOff>
    </xdr:from>
    <xdr:to>
      <xdr:col>0</xdr:col>
      <xdr:colOff>1090612</xdr:colOff>
      <xdr:row>4</xdr:row>
      <xdr:rowOff>112395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1DB78F-D010-43FD-AFDB-AA7308DC78A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226695"/>
          <a:ext cx="1047750" cy="5867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1</xdr:row>
          <xdr:rowOff>0</xdr:rowOff>
        </xdr:from>
        <xdr:to>
          <xdr:col>1</xdr:col>
          <xdr:colOff>228600</xdr:colOff>
          <xdr:row>3</xdr:row>
          <xdr:rowOff>15240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D1585636-68DA-41AA-B33A-92C9D03B9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Relationship Id="rId4" Type="http://schemas.openxmlformats.org/officeDocument/2006/relationships/image" Target="../media/image4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S99"/>
  <sheetViews>
    <sheetView tabSelected="1" topLeftCell="A2" zoomScale="90" zoomScaleNormal="90" workbookViewId="0">
      <pane xSplit="1" ySplit="15" topLeftCell="B17" activePane="bottomRight" state="frozen"/>
      <selection activeCell="A2" sqref="A2"/>
      <selection pane="topRight" activeCell="B2" sqref="B2"/>
      <selection pane="bottomLeft" activeCell="A17" sqref="A17"/>
      <selection pane="bottomRight" activeCell="G20" sqref="G20"/>
    </sheetView>
  </sheetViews>
  <sheetFormatPr defaultRowHeight="13.2" x14ac:dyDescent="0.25"/>
  <cols>
    <col min="1" max="1" width="36.6640625" customWidth="1"/>
    <col min="2" max="2" width="13.6640625" customWidth="1"/>
    <col min="3" max="3" width="14.33203125" customWidth="1"/>
    <col min="4" max="4" width="14.33203125" bestFit="1" customWidth="1"/>
    <col min="5" max="5" width="13.6640625" customWidth="1"/>
    <col min="6" max="6" width="8.6640625" customWidth="1"/>
    <col min="7" max="7" width="14.109375" customWidth="1"/>
    <col min="8" max="9" width="13.6640625" customWidth="1"/>
    <col min="10" max="10" width="13.109375" bestFit="1" customWidth="1"/>
    <col min="11" max="11" width="13.6640625" customWidth="1"/>
    <col min="12" max="12" width="17.6640625" customWidth="1"/>
    <col min="14" max="15" width="14.33203125" customWidth="1"/>
    <col min="16" max="16" width="12.88671875" bestFit="1" customWidth="1"/>
    <col min="17" max="17" width="15.109375" customWidth="1"/>
    <col min="18" max="18" width="12.88671875" bestFit="1" customWidth="1"/>
    <col min="19" max="19" width="13.88671875" bestFit="1" customWidth="1"/>
  </cols>
  <sheetData>
    <row r="1" spans="1:13" ht="15.75" customHeight="1" x14ac:dyDescent="0.25"/>
    <row r="2" spans="1:13" ht="15.75" customHeight="1" x14ac:dyDescent="0.25"/>
    <row r="3" spans="1:13" ht="15.75" customHeight="1" x14ac:dyDescent="0.35">
      <c r="A3" s="73" t="s">
        <v>85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56"/>
    </row>
    <row r="4" spans="1:13" ht="15.75" customHeight="1" x14ac:dyDescent="0.35">
      <c r="A4" s="56" t="s">
        <v>86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.75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8"/>
      <c r="L5" s="8"/>
      <c r="M5" s="8"/>
    </row>
    <row r="6" spans="1:13" ht="15.7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8"/>
      <c r="L6" s="8"/>
      <c r="M6" s="8"/>
    </row>
    <row r="7" spans="1:13" ht="15.75" customHeight="1" x14ac:dyDescent="0.25">
      <c r="A7" s="74" t="s">
        <v>0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57"/>
    </row>
    <row r="8" spans="1:13" ht="15.75" customHeight="1" x14ac:dyDescent="0.25">
      <c r="A8" s="75" t="s">
        <v>87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58"/>
    </row>
    <row r="9" spans="1:13" s="1" customFormat="1" ht="15.6" x14ac:dyDescent="0.3">
      <c r="A9" s="74" t="s">
        <v>100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57"/>
    </row>
    <row r="10" spans="1:13" s="1" customFormat="1" ht="15.6" x14ac:dyDescent="0.3">
      <c r="A10" s="10"/>
      <c r="B10" s="10"/>
      <c r="C10" s="10"/>
      <c r="D10" s="10"/>
      <c r="E10" s="10"/>
      <c r="F10" s="10"/>
      <c r="G10" s="10"/>
      <c r="H10" s="10"/>
      <c r="I10" s="17"/>
    </row>
    <row r="11" spans="1:13" s="1" customFormat="1" ht="15.6" x14ac:dyDescent="0.3">
      <c r="A11" s="20" t="s">
        <v>83</v>
      </c>
      <c r="B11" s="21"/>
      <c r="C11" s="21"/>
      <c r="D11" s="21"/>
      <c r="E11" s="21"/>
      <c r="F11" s="21"/>
      <c r="G11" s="21"/>
      <c r="H11" s="22"/>
      <c r="I11" s="22"/>
      <c r="J11" s="22"/>
      <c r="K11" s="23"/>
      <c r="L11" s="22"/>
    </row>
    <row r="12" spans="1:13" s="1" customFormat="1" ht="15.6" x14ac:dyDescent="0.3">
      <c r="A12" s="24"/>
      <c r="B12" s="67" t="s">
        <v>12</v>
      </c>
      <c r="C12" s="68"/>
      <c r="D12" s="68"/>
      <c r="E12" s="68"/>
      <c r="F12" s="68"/>
      <c r="G12" s="68"/>
      <c r="H12" s="68"/>
      <c r="I12" s="68"/>
      <c r="J12" s="68"/>
      <c r="K12" s="68"/>
      <c r="L12" s="69"/>
    </row>
    <row r="13" spans="1:13" s="1" customFormat="1" ht="15.6" x14ac:dyDescent="0.3">
      <c r="A13" s="25"/>
      <c r="B13" s="45"/>
      <c r="C13" s="26"/>
      <c r="D13" s="27"/>
      <c r="E13" s="28"/>
      <c r="F13" s="28"/>
      <c r="G13" s="28"/>
      <c r="H13" s="27"/>
      <c r="I13" s="28"/>
      <c r="J13" s="28"/>
      <c r="K13" s="29"/>
      <c r="L13" s="30" t="s">
        <v>18</v>
      </c>
    </row>
    <row r="14" spans="1:13" s="3" customFormat="1" x14ac:dyDescent="0.25">
      <c r="A14" s="31" t="s">
        <v>84</v>
      </c>
      <c r="B14" s="46" t="s">
        <v>1</v>
      </c>
      <c r="C14" s="32" t="s">
        <v>1</v>
      </c>
      <c r="D14" s="70" t="s">
        <v>2</v>
      </c>
      <c r="E14" s="71"/>
      <c r="F14" s="71"/>
      <c r="G14" s="71"/>
      <c r="H14" s="70" t="s">
        <v>3</v>
      </c>
      <c r="I14" s="71"/>
      <c r="J14" s="71"/>
      <c r="K14" s="72"/>
      <c r="L14" s="31" t="s">
        <v>19</v>
      </c>
    </row>
    <row r="15" spans="1:13" s="3" customFormat="1" x14ac:dyDescent="0.25">
      <c r="A15" s="31"/>
      <c r="B15" s="46" t="s">
        <v>4</v>
      </c>
      <c r="C15" s="31" t="s">
        <v>5</v>
      </c>
      <c r="D15" s="47" t="s">
        <v>98</v>
      </c>
      <c r="E15" s="31" t="s">
        <v>99</v>
      </c>
      <c r="F15" s="33" t="s">
        <v>6</v>
      </c>
      <c r="G15" s="33" t="s">
        <v>14</v>
      </c>
      <c r="H15" s="47" t="s">
        <v>98</v>
      </c>
      <c r="I15" s="31" t="s">
        <v>99</v>
      </c>
      <c r="J15" s="33" t="s">
        <v>6</v>
      </c>
      <c r="K15" s="33" t="s">
        <v>7</v>
      </c>
      <c r="L15" s="31" t="s">
        <v>20</v>
      </c>
    </row>
    <row r="16" spans="1:13" s="3" customFormat="1" x14ac:dyDescent="0.25">
      <c r="A16" s="34"/>
      <c r="B16" s="48"/>
      <c r="C16" s="34" t="s">
        <v>8</v>
      </c>
      <c r="D16" s="49"/>
      <c r="E16" s="34" t="s">
        <v>9</v>
      </c>
      <c r="F16" s="35" t="s">
        <v>13</v>
      </c>
      <c r="G16" s="35" t="s">
        <v>15</v>
      </c>
      <c r="H16" s="49"/>
      <c r="I16" s="34" t="s">
        <v>9</v>
      </c>
      <c r="J16" s="35" t="s">
        <v>16</v>
      </c>
      <c r="K16" s="35" t="s">
        <v>17</v>
      </c>
      <c r="L16" s="34" t="s">
        <v>21</v>
      </c>
    </row>
    <row r="17" spans="1:12" s="4" customFormat="1" x14ac:dyDescent="0.25">
      <c r="A17" s="36" t="s">
        <v>10</v>
      </c>
      <c r="B17" s="37">
        <f>B18+B20+B24+B27+B33+B37+B46+B48+B57+B60+B63+B65+B69+B73+B75+B77+B79+B81+B84</f>
        <v>63860000</v>
      </c>
      <c r="C17" s="37">
        <f>C18+C20+C24+C27+C33+C37+C46+C48+C57+C60+C63+C65+C69+C73+C75+C77+C79+C81+C84</f>
        <v>77483394.310000002</v>
      </c>
      <c r="D17" s="37">
        <f>D18+D20+D24+D27+D33+D37+D46+D48+D57+D60+D63+D65+D69+D73+D75+D77+D79+D81+D84</f>
        <v>11946818.469999999</v>
      </c>
      <c r="E17" s="37">
        <f>E18+E20+E24+E27+E33+E37+E46+E48+E57+E60+E63+E65+E69+E73+E75+E77+E79+E81+E84</f>
        <v>52296988.490000002</v>
      </c>
      <c r="F17" s="38">
        <f>E17/$E$86*100</f>
        <v>97.880521042221645</v>
      </c>
      <c r="G17" s="38">
        <f>C17-E17</f>
        <v>25186405.82</v>
      </c>
      <c r="H17" s="37">
        <f>H18+H20+H24+H27+H33+H37+H46+H48+H57+H60+H63+H65+H69+H73+H75+H77+H79+H81+H84</f>
        <v>11982518.65</v>
      </c>
      <c r="I17" s="37">
        <f>I18+I20+I24+I27+I33+I37+I46+I48+I57+I60+I63+I65+I69+I73+I75+I77+I79+I81+I84</f>
        <v>40032583.540000007</v>
      </c>
      <c r="J17" s="38">
        <f>I17/$I$86*100</f>
        <v>97.249058811811182</v>
      </c>
      <c r="K17" s="38">
        <f>C17-I17</f>
        <v>37450810.769999996</v>
      </c>
      <c r="L17" s="38">
        <f>L18+L20+L24+L27+L33+L37+L46+L48+L57+L60+L63+L65+L69+L73+L75+L77+L79+L81+L84</f>
        <v>12264404.949999996</v>
      </c>
    </row>
    <row r="18" spans="1:12" s="4" customFormat="1" x14ac:dyDescent="0.25">
      <c r="A18" s="36" t="s">
        <v>24</v>
      </c>
      <c r="B18" s="37">
        <f>B19</f>
        <v>0</v>
      </c>
      <c r="C18" s="37">
        <f>C19</f>
        <v>0</v>
      </c>
      <c r="D18" s="37">
        <f>D19</f>
        <v>0</v>
      </c>
      <c r="E18" s="39">
        <f t="shared" ref="E18:I18" si="0">E19</f>
        <v>0</v>
      </c>
      <c r="F18" s="37">
        <f>E18/$E$86*100</f>
        <v>0</v>
      </c>
      <c r="G18" s="37">
        <f>C18-E18</f>
        <v>0</v>
      </c>
      <c r="H18" s="37">
        <f>H19</f>
        <v>0</v>
      </c>
      <c r="I18" s="39">
        <f t="shared" si="0"/>
        <v>0</v>
      </c>
      <c r="J18" s="37">
        <f>I18/$I$86*100</f>
        <v>0</v>
      </c>
      <c r="K18" s="37">
        <f>C18-I18</f>
        <v>0</v>
      </c>
      <c r="L18" s="37">
        <f t="shared" ref="L18" si="1">L19</f>
        <v>0</v>
      </c>
    </row>
    <row r="19" spans="1:12" s="4" customFormat="1" x14ac:dyDescent="0.25">
      <c r="A19" s="36" t="s">
        <v>43</v>
      </c>
      <c r="B19" s="40">
        <v>0</v>
      </c>
      <c r="C19" s="40">
        <v>0</v>
      </c>
      <c r="D19" s="40">
        <f>E19</f>
        <v>0</v>
      </c>
      <c r="E19" s="41">
        <v>0</v>
      </c>
      <c r="F19" s="40">
        <f>E19/$E$86*100</f>
        <v>0</v>
      </c>
      <c r="G19" s="40">
        <f t="shared" ref="G19:G86" si="2">C19-E19</f>
        <v>0</v>
      </c>
      <c r="H19" s="40">
        <f>I19</f>
        <v>0</v>
      </c>
      <c r="I19" s="41">
        <v>0</v>
      </c>
      <c r="J19" s="40">
        <f>I19/$I$86*100</f>
        <v>0</v>
      </c>
      <c r="K19" s="40">
        <f>C19-I19</f>
        <v>0</v>
      </c>
      <c r="L19" s="40">
        <v>0</v>
      </c>
    </row>
    <row r="20" spans="1:12" s="4" customFormat="1" x14ac:dyDescent="0.25">
      <c r="A20" s="36" t="s">
        <v>25</v>
      </c>
      <c r="B20" s="37">
        <f>B21+B22+B23</f>
        <v>0</v>
      </c>
      <c r="C20" s="37">
        <f>C21+C22+C23</f>
        <v>0</v>
      </c>
      <c r="D20" s="37">
        <f t="shared" ref="D20:L20" si="3">D21+D22+D23</f>
        <v>0</v>
      </c>
      <c r="E20" s="37">
        <f t="shared" si="3"/>
        <v>0</v>
      </c>
      <c r="F20" s="37">
        <f t="shared" si="3"/>
        <v>0</v>
      </c>
      <c r="G20" s="37">
        <f t="shared" si="3"/>
        <v>0</v>
      </c>
      <c r="H20" s="37">
        <f t="shared" ref="H20:I20" si="4">H21+H22+H23</f>
        <v>0</v>
      </c>
      <c r="I20" s="37">
        <f t="shared" si="4"/>
        <v>0</v>
      </c>
      <c r="J20" s="37">
        <f t="shared" si="3"/>
        <v>0</v>
      </c>
      <c r="K20" s="37">
        <f t="shared" si="3"/>
        <v>0</v>
      </c>
      <c r="L20" s="37">
        <f t="shared" si="3"/>
        <v>0</v>
      </c>
    </row>
    <row r="21" spans="1:12" s="4" customFormat="1" x14ac:dyDescent="0.25">
      <c r="A21" s="36" t="s">
        <v>44</v>
      </c>
      <c r="B21" s="40">
        <v>0</v>
      </c>
      <c r="C21" s="40">
        <v>0</v>
      </c>
      <c r="D21" s="40">
        <f t="shared" ref="D21:D83" si="5">E21</f>
        <v>0</v>
      </c>
      <c r="E21" s="41">
        <v>0</v>
      </c>
      <c r="F21" s="40">
        <f>E21/$E$86*100</f>
        <v>0</v>
      </c>
      <c r="G21" s="40">
        <f t="shared" si="2"/>
        <v>0</v>
      </c>
      <c r="H21" s="40">
        <f t="shared" ref="H21:H83" si="6">I21</f>
        <v>0</v>
      </c>
      <c r="I21" s="41">
        <v>0</v>
      </c>
      <c r="J21" s="40">
        <f>I21/$I$86*100</f>
        <v>0</v>
      </c>
      <c r="K21" s="40">
        <f t="shared" ref="K21:K84" si="7">C21-I21</f>
        <v>0</v>
      </c>
      <c r="L21" s="40">
        <v>0</v>
      </c>
    </row>
    <row r="22" spans="1:12" s="4" customFormat="1" x14ac:dyDescent="0.25">
      <c r="A22" s="36" t="s">
        <v>45</v>
      </c>
      <c r="B22" s="40">
        <v>0</v>
      </c>
      <c r="C22" s="40">
        <v>0</v>
      </c>
      <c r="D22" s="40">
        <f t="shared" si="5"/>
        <v>0</v>
      </c>
      <c r="E22" s="41">
        <v>0</v>
      </c>
      <c r="F22" s="40">
        <f>E22/$E$86*100</f>
        <v>0</v>
      </c>
      <c r="G22" s="40">
        <f t="shared" si="2"/>
        <v>0</v>
      </c>
      <c r="H22" s="40">
        <f t="shared" si="6"/>
        <v>0</v>
      </c>
      <c r="I22" s="41">
        <v>0</v>
      </c>
      <c r="J22" s="40">
        <f>I22/$I$86*100</f>
        <v>0</v>
      </c>
      <c r="K22" s="40">
        <f t="shared" si="7"/>
        <v>0</v>
      </c>
      <c r="L22" s="40">
        <v>0</v>
      </c>
    </row>
    <row r="23" spans="1:12" s="4" customFormat="1" x14ac:dyDescent="0.25">
      <c r="A23" s="36" t="s">
        <v>46</v>
      </c>
      <c r="B23" s="40">
        <v>0</v>
      </c>
      <c r="C23" s="40">
        <v>0</v>
      </c>
      <c r="D23" s="40">
        <f t="shared" si="5"/>
        <v>0</v>
      </c>
      <c r="E23" s="41">
        <v>0</v>
      </c>
      <c r="F23" s="40">
        <f>E23/$E$86*100</f>
        <v>0</v>
      </c>
      <c r="G23" s="40">
        <f t="shared" si="2"/>
        <v>0</v>
      </c>
      <c r="H23" s="40">
        <f t="shared" si="6"/>
        <v>0</v>
      </c>
      <c r="I23" s="41">
        <v>0</v>
      </c>
      <c r="J23" s="40">
        <f>I23/$I$86*100</f>
        <v>0</v>
      </c>
      <c r="K23" s="40">
        <f t="shared" si="7"/>
        <v>0</v>
      </c>
      <c r="L23" s="40">
        <v>0</v>
      </c>
    </row>
    <row r="24" spans="1:12" s="4" customFormat="1" x14ac:dyDescent="0.25">
      <c r="A24" s="36" t="s">
        <v>26</v>
      </c>
      <c r="B24" s="37">
        <f>B25+B26</f>
        <v>0</v>
      </c>
      <c r="C24" s="37">
        <f>C25+C26</f>
        <v>0</v>
      </c>
      <c r="D24" s="37">
        <f t="shared" ref="D24:L24" si="8">D25+D26</f>
        <v>0</v>
      </c>
      <c r="E24" s="37">
        <f t="shared" si="8"/>
        <v>0</v>
      </c>
      <c r="F24" s="37">
        <f t="shared" si="8"/>
        <v>0</v>
      </c>
      <c r="G24" s="37">
        <f t="shared" si="8"/>
        <v>0</v>
      </c>
      <c r="H24" s="37">
        <f t="shared" ref="H24:I24" si="9">H25+H26</f>
        <v>0</v>
      </c>
      <c r="I24" s="37">
        <f t="shared" si="9"/>
        <v>0</v>
      </c>
      <c r="J24" s="37">
        <f t="shared" si="8"/>
        <v>0</v>
      </c>
      <c r="K24" s="37">
        <f t="shared" si="8"/>
        <v>0</v>
      </c>
      <c r="L24" s="37">
        <f t="shared" si="8"/>
        <v>0</v>
      </c>
    </row>
    <row r="25" spans="1:12" s="4" customFormat="1" x14ac:dyDescent="0.25">
      <c r="A25" s="36" t="s">
        <v>47</v>
      </c>
      <c r="B25" s="40">
        <v>0</v>
      </c>
      <c r="C25" s="40">
        <v>0</v>
      </c>
      <c r="D25" s="40">
        <f t="shared" si="5"/>
        <v>0</v>
      </c>
      <c r="E25" s="41">
        <v>0</v>
      </c>
      <c r="F25" s="40">
        <f t="shared" ref="F25:F36" si="10">E25/$E$86*100</f>
        <v>0</v>
      </c>
      <c r="G25" s="40">
        <f t="shared" si="2"/>
        <v>0</v>
      </c>
      <c r="H25" s="40">
        <f t="shared" si="6"/>
        <v>0</v>
      </c>
      <c r="I25" s="41">
        <v>0</v>
      </c>
      <c r="J25" s="40">
        <f t="shared" ref="J25:J36" si="11">I25/$I$86*100</f>
        <v>0</v>
      </c>
      <c r="K25" s="40">
        <f t="shared" si="7"/>
        <v>0</v>
      </c>
      <c r="L25" s="40">
        <v>0</v>
      </c>
    </row>
    <row r="26" spans="1:12" s="4" customFormat="1" x14ac:dyDescent="0.25">
      <c r="A26" s="36" t="s">
        <v>48</v>
      </c>
      <c r="B26" s="40">
        <v>0</v>
      </c>
      <c r="C26" s="40">
        <v>0</v>
      </c>
      <c r="D26" s="40">
        <f t="shared" si="5"/>
        <v>0</v>
      </c>
      <c r="E26" s="41">
        <v>0</v>
      </c>
      <c r="F26" s="40">
        <f t="shared" si="10"/>
        <v>0</v>
      </c>
      <c r="G26" s="40">
        <f t="shared" si="2"/>
        <v>0</v>
      </c>
      <c r="H26" s="40">
        <f t="shared" si="6"/>
        <v>0</v>
      </c>
      <c r="I26" s="41">
        <v>0</v>
      </c>
      <c r="J26" s="40">
        <f t="shared" si="11"/>
        <v>0</v>
      </c>
      <c r="K26" s="40">
        <f t="shared" si="7"/>
        <v>0</v>
      </c>
      <c r="L26" s="40">
        <v>0</v>
      </c>
    </row>
    <row r="27" spans="1:12" x14ac:dyDescent="0.25">
      <c r="A27" s="36" t="s">
        <v>27</v>
      </c>
      <c r="B27" s="37">
        <f>B28+B29+B30+B31+B32</f>
        <v>0</v>
      </c>
      <c r="C27" s="37">
        <f>C28+C29+C30+C31+C32</f>
        <v>0</v>
      </c>
      <c r="D27" s="37">
        <f>D28+D29+D30+D31+D32</f>
        <v>0</v>
      </c>
      <c r="E27" s="39">
        <f>E28+E29+E30+E31+E32</f>
        <v>0</v>
      </c>
      <c r="F27" s="37">
        <f t="shared" si="10"/>
        <v>0</v>
      </c>
      <c r="G27" s="37">
        <f t="shared" si="2"/>
        <v>0</v>
      </c>
      <c r="H27" s="37">
        <f>H28+H29+H30+H31+H32</f>
        <v>0</v>
      </c>
      <c r="I27" s="39">
        <f>I28+I29+I30+I31+I32</f>
        <v>0</v>
      </c>
      <c r="J27" s="37">
        <f t="shared" si="11"/>
        <v>0</v>
      </c>
      <c r="K27" s="37">
        <f t="shared" si="7"/>
        <v>0</v>
      </c>
      <c r="L27" s="37">
        <f>L28+L29+L30+L31+L32</f>
        <v>0</v>
      </c>
    </row>
    <row r="28" spans="1:12" x14ac:dyDescent="0.25">
      <c r="A28" s="36" t="s">
        <v>49</v>
      </c>
      <c r="B28" s="40">
        <v>0</v>
      </c>
      <c r="C28" s="40">
        <v>0</v>
      </c>
      <c r="D28" s="40">
        <f t="shared" si="5"/>
        <v>0</v>
      </c>
      <c r="E28" s="41">
        <v>0</v>
      </c>
      <c r="F28" s="40">
        <f t="shared" si="10"/>
        <v>0</v>
      </c>
      <c r="G28" s="40">
        <f>C28-E28</f>
        <v>0</v>
      </c>
      <c r="H28" s="40">
        <f t="shared" si="6"/>
        <v>0</v>
      </c>
      <c r="I28" s="41">
        <v>0</v>
      </c>
      <c r="J28" s="40">
        <f t="shared" si="11"/>
        <v>0</v>
      </c>
      <c r="K28" s="40">
        <f>C28-I28</f>
        <v>0</v>
      </c>
      <c r="L28" s="40">
        <v>0</v>
      </c>
    </row>
    <row r="29" spans="1:12" x14ac:dyDescent="0.25">
      <c r="A29" s="36" t="s">
        <v>50</v>
      </c>
      <c r="B29" s="40">
        <v>0</v>
      </c>
      <c r="C29" s="40">
        <v>0</v>
      </c>
      <c r="D29" s="40">
        <f t="shared" si="5"/>
        <v>0</v>
      </c>
      <c r="E29" s="41">
        <v>0</v>
      </c>
      <c r="F29" s="40">
        <f t="shared" si="10"/>
        <v>0</v>
      </c>
      <c r="G29" s="40">
        <f>C29-E29</f>
        <v>0</v>
      </c>
      <c r="H29" s="40">
        <f t="shared" si="6"/>
        <v>0</v>
      </c>
      <c r="I29" s="41">
        <v>0</v>
      </c>
      <c r="J29" s="40">
        <f t="shared" si="11"/>
        <v>0</v>
      </c>
      <c r="K29" s="40">
        <f>C29-I29</f>
        <v>0</v>
      </c>
      <c r="L29" s="40">
        <v>0</v>
      </c>
    </row>
    <row r="30" spans="1:12" x14ac:dyDescent="0.25">
      <c r="A30" s="36" t="s">
        <v>51</v>
      </c>
      <c r="B30" s="40">
        <v>0</v>
      </c>
      <c r="C30" s="40">
        <v>0</v>
      </c>
      <c r="D30" s="40">
        <f t="shared" si="5"/>
        <v>0</v>
      </c>
      <c r="E30" s="41">
        <v>0</v>
      </c>
      <c r="F30" s="40">
        <f t="shared" si="10"/>
        <v>0</v>
      </c>
      <c r="G30" s="40">
        <f>C30-E30</f>
        <v>0</v>
      </c>
      <c r="H30" s="40">
        <f t="shared" si="6"/>
        <v>0</v>
      </c>
      <c r="I30" s="41">
        <v>0</v>
      </c>
      <c r="J30" s="40">
        <f t="shared" si="11"/>
        <v>0</v>
      </c>
      <c r="K30" s="40">
        <f>C30-I30</f>
        <v>0</v>
      </c>
      <c r="L30" s="40">
        <v>0</v>
      </c>
    </row>
    <row r="31" spans="1:12" x14ac:dyDescent="0.25">
      <c r="A31" s="36" t="s">
        <v>52</v>
      </c>
      <c r="B31" s="40">
        <v>0</v>
      </c>
      <c r="C31" s="40">
        <v>0</v>
      </c>
      <c r="D31" s="40">
        <f t="shared" si="5"/>
        <v>0</v>
      </c>
      <c r="E31" s="41">
        <v>0</v>
      </c>
      <c r="F31" s="40">
        <f t="shared" si="10"/>
        <v>0</v>
      </c>
      <c r="G31" s="40">
        <f>C31-E31</f>
        <v>0</v>
      </c>
      <c r="H31" s="40">
        <f t="shared" si="6"/>
        <v>0</v>
      </c>
      <c r="I31" s="41">
        <v>0</v>
      </c>
      <c r="J31" s="40">
        <f t="shared" si="11"/>
        <v>0</v>
      </c>
      <c r="K31" s="40">
        <f>C31-I31</f>
        <v>0</v>
      </c>
      <c r="L31" s="40">
        <v>0</v>
      </c>
    </row>
    <row r="32" spans="1:12" x14ac:dyDescent="0.25">
      <c r="A32" s="36" t="s">
        <v>53</v>
      </c>
      <c r="B32" s="40">
        <v>0</v>
      </c>
      <c r="C32" s="40">
        <v>0</v>
      </c>
      <c r="D32" s="40">
        <f t="shared" si="5"/>
        <v>0</v>
      </c>
      <c r="E32" s="41">
        <v>0</v>
      </c>
      <c r="F32" s="40">
        <f t="shared" si="10"/>
        <v>0</v>
      </c>
      <c r="G32" s="40">
        <f t="shared" si="2"/>
        <v>0</v>
      </c>
      <c r="H32" s="40">
        <f t="shared" si="6"/>
        <v>0</v>
      </c>
      <c r="I32" s="41">
        <v>0</v>
      </c>
      <c r="J32" s="40">
        <f t="shared" si="11"/>
        <v>0</v>
      </c>
      <c r="K32" s="40">
        <f>C32-I32</f>
        <v>0</v>
      </c>
      <c r="L32" s="40">
        <v>0</v>
      </c>
    </row>
    <row r="33" spans="1:12" x14ac:dyDescent="0.25">
      <c r="A33" s="36" t="s">
        <v>28</v>
      </c>
      <c r="B33" s="37">
        <f>B34+B36+B35</f>
        <v>0</v>
      </c>
      <c r="C33" s="37">
        <f>C34+C36+C35</f>
        <v>0</v>
      </c>
      <c r="D33" s="37">
        <f>D34+D36+D35</f>
        <v>0</v>
      </c>
      <c r="E33" s="39">
        <f>E34+E36+E35</f>
        <v>0</v>
      </c>
      <c r="F33" s="37">
        <f t="shared" si="10"/>
        <v>0</v>
      </c>
      <c r="G33" s="37">
        <f t="shared" si="2"/>
        <v>0</v>
      </c>
      <c r="H33" s="37">
        <f>H34+H36+H35</f>
        <v>0</v>
      </c>
      <c r="I33" s="39">
        <f>I34+I36+I35</f>
        <v>0</v>
      </c>
      <c r="J33" s="37">
        <f t="shared" si="11"/>
        <v>0</v>
      </c>
      <c r="K33" s="37">
        <f t="shared" si="7"/>
        <v>0</v>
      </c>
      <c r="L33" s="37">
        <f>L34+L36+L35</f>
        <v>0</v>
      </c>
    </row>
    <row r="34" spans="1:12" s="9" customFormat="1" x14ac:dyDescent="0.25">
      <c r="A34" s="50" t="s">
        <v>54</v>
      </c>
      <c r="B34" s="51">
        <v>0</v>
      </c>
      <c r="C34" s="51">
        <v>0</v>
      </c>
      <c r="D34" s="40">
        <f t="shared" si="5"/>
        <v>0</v>
      </c>
      <c r="E34" s="52">
        <v>0</v>
      </c>
      <c r="F34" s="51">
        <f t="shared" si="10"/>
        <v>0</v>
      </c>
      <c r="G34" s="51">
        <f t="shared" si="2"/>
        <v>0</v>
      </c>
      <c r="H34" s="40">
        <f t="shared" si="6"/>
        <v>0</v>
      </c>
      <c r="I34" s="52">
        <v>0</v>
      </c>
      <c r="J34" s="51">
        <f t="shared" si="11"/>
        <v>0</v>
      </c>
      <c r="K34" s="51">
        <f t="shared" si="7"/>
        <v>0</v>
      </c>
      <c r="L34" s="51">
        <v>0</v>
      </c>
    </row>
    <row r="35" spans="1:12" s="9" customFormat="1" x14ac:dyDescent="0.25">
      <c r="A35" s="50" t="s">
        <v>55</v>
      </c>
      <c r="B35" s="51">
        <v>0</v>
      </c>
      <c r="C35" s="51">
        <v>0</v>
      </c>
      <c r="D35" s="40">
        <f t="shared" si="5"/>
        <v>0</v>
      </c>
      <c r="E35" s="52">
        <v>0</v>
      </c>
      <c r="F35" s="51">
        <f t="shared" si="10"/>
        <v>0</v>
      </c>
      <c r="G35" s="51">
        <f>C35-E35</f>
        <v>0</v>
      </c>
      <c r="H35" s="40">
        <f t="shared" si="6"/>
        <v>0</v>
      </c>
      <c r="I35" s="52">
        <v>0</v>
      </c>
      <c r="J35" s="51">
        <f t="shared" si="11"/>
        <v>0</v>
      </c>
      <c r="K35" s="51">
        <f>C35-I35</f>
        <v>0</v>
      </c>
      <c r="L35" s="51">
        <v>0</v>
      </c>
    </row>
    <row r="36" spans="1:12" s="9" customFormat="1" x14ac:dyDescent="0.25">
      <c r="A36" s="50" t="s">
        <v>44</v>
      </c>
      <c r="B36" s="51">
        <v>0</v>
      </c>
      <c r="C36" s="51">
        <v>0</v>
      </c>
      <c r="D36" s="40">
        <f t="shared" si="5"/>
        <v>0</v>
      </c>
      <c r="E36" s="52">
        <v>0</v>
      </c>
      <c r="F36" s="51">
        <f t="shared" si="10"/>
        <v>0</v>
      </c>
      <c r="G36" s="51">
        <f t="shared" si="2"/>
        <v>0</v>
      </c>
      <c r="H36" s="40">
        <f t="shared" si="6"/>
        <v>0</v>
      </c>
      <c r="I36" s="52">
        <v>0</v>
      </c>
      <c r="J36" s="51">
        <f t="shared" si="11"/>
        <v>0</v>
      </c>
      <c r="K36" s="51">
        <f t="shared" si="7"/>
        <v>0</v>
      </c>
      <c r="L36" s="51">
        <v>0</v>
      </c>
    </row>
    <row r="37" spans="1:12" x14ac:dyDescent="0.25">
      <c r="A37" s="36" t="s">
        <v>29</v>
      </c>
      <c r="B37" s="37">
        <f>B44+B45+B38+B39+B40+B41+B42+B43</f>
        <v>0</v>
      </c>
      <c r="C37" s="37">
        <f>C44+C45+C38+C39+C40+C41+C42+C43</f>
        <v>0</v>
      </c>
      <c r="D37" s="37">
        <f t="shared" ref="D37:L37" si="12">D44+D45+D38+D39+D40+D41+D42+D43</f>
        <v>0</v>
      </c>
      <c r="E37" s="37">
        <f t="shared" si="12"/>
        <v>0</v>
      </c>
      <c r="F37" s="37">
        <f t="shared" si="12"/>
        <v>0</v>
      </c>
      <c r="G37" s="37">
        <f t="shared" si="12"/>
        <v>0</v>
      </c>
      <c r="H37" s="37">
        <f t="shared" ref="H37:I37" si="13">H44+H45+H38+H39+H40+H41+H42+H43</f>
        <v>0</v>
      </c>
      <c r="I37" s="37">
        <f t="shared" si="13"/>
        <v>0</v>
      </c>
      <c r="J37" s="37">
        <f t="shared" si="12"/>
        <v>0</v>
      </c>
      <c r="K37" s="37">
        <f t="shared" si="12"/>
        <v>0</v>
      </c>
      <c r="L37" s="37">
        <f t="shared" si="12"/>
        <v>0</v>
      </c>
    </row>
    <row r="38" spans="1:12" x14ac:dyDescent="0.25">
      <c r="A38" s="36" t="s">
        <v>56</v>
      </c>
      <c r="B38" s="40">
        <v>0</v>
      </c>
      <c r="C38" s="40">
        <v>0</v>
      </c>
      <c r="D38" s="40">
        <f t="shared" si="5"/>
        <v>0</v>
      </c>
      <c r="E38" s="41">
        <v>0</v>
      </c>
      <c r="F38" s="40">
        <f t="shared" ref="F38:F47" si="14">E38/$E$86*100</f>
        <v>0</v>
      </c>
      <c r="G38" s="40">
        <f>C38-E38</f>
        <v>0</v>
      </c>
      <c r="H38" s="40">
        <f t="shared" si="6"/>
        <v>0</v>
      </c>
      <c r="I38" s="41">
        <v>0</v>
      </c>
      <c r="J38" s="40">
        <f t="shared" ref="J38:J47" si="15">I38/$I$86*100</f>
        <v>0</v>
      </c>
      <c r="K38" s="40">
        <f>C38-I38</f>
        <v>0</v>
      </c>
      <c r="L38" s="40">
        <v>0</v>
      </c>
    </row>
    <row r="39" spans="1:12" x14ac:dyDescent="0.25">
      <c r="A39" s="36" t="s">
        <v>57</v>
      </c>
      <c r="B39" s="40">
        <v>0</v>
      </c>
      <c r="C39" s="40">
        <v>0</v>
      </c>
      <c r="D39" s="40">
        <f t="shared" si="5"/>
        <v>0</v>
      </c>
      <c r="E39" s="41">
        <v>0</v>
      </c>
      <c r="F39" s="40">
        <f t="shared" si="14"/>
        <v>0</v>
      </c>
      <c r="G39" s="40">
        <f t="shared" si="2"/>
        <v>0</v>
      </c>
      <c r="H39" s="40">
        <f t="shared" si="6"/>
        <v>0</v>
      </c>
      <c r="I39" s="41">
        <v>0</v>
      </c>
      <c r="J39" s="40">
        <f t="shared" si="15"/>
        <v>0</v>
      </c>
      <c r="K39" s="40">
        <f t="shared" si="7"/>
        <v>0</v>
      </c>
      <c r="L39" s="40">
        <v>0</v>
      </c>
    </row>
    <row r="40" spans="1:12" x14ac:dyDescent="0.25">
      <c r="A40" s="36" t="s">
        <v>58</v>
      </c>
      <c r="B40" s="40">
        <v>0</v>
      </c>
      <c r="C40" s="40">
        <v>0</v>
      </c>
      <c r="D40" s="40">
        <f t="shared" si="5"/>
        <v>0</v>
      </c>
      <c r="E40" s="41">
        <v>0</v>
      </c>
      <c r="F40" s="40">
        <f t="shared" si="14"/>
        <v>0</v>
      </c>
      <c r="G40" s="40">
        <f t="shared" si="2"/>
        <v>0</v>
      </c>
      <c r="H40" s="40">
        <f t="shared" si="6"/>
        <v>0</v>
      </c>
      <c r="I40" s="41">
        <v>0</v>
      </c>
      <c r="J40" s="40">
        <f t="shared" si="15"/>
        <v>0</v>
      </c>
      <c r="K40" s="40">
        <f t="shared" si="7"/>
        <v>0</v>
      </c>
      <c r="L40" s="40">
        <v>0</v>
      </c>
    </row>
    <row r="41" spans="1:12" x14ac:dyDescent="0.25">
      <c r="A41" s="36" t="s">
        <v>59</v>
      </c>
      <c r="B41" s="40">
        <v>0</v>
      </c>
      <c r="C41" s="40">
        <v>0</v>
      </c>
      <c r="D41" s="40">
        <f t="shared" si="5"/>
        <v>0</v>
      </c>
      <c r="E41" s="41">
        <v>0</v>
      </c>
      <c r="F41" s="40">
        <f t="shared" si="14"/>
        <v>0</v>
      </c>
      <c r="G41" s="40">
        <f t="shared" si="2"/>
        <v>0</v>
      </c>
      <c r="H41" s="40">
        <f t="shared" si="6"/>
        <v>0</v>
      </c>
      <c r="I41" s="41">
        <v>0</v>
      </c>
      <c r="J41" s="40">
        <f t="shared" si="15"/>
        <v>0</v>
      </c>
      <c r="K41" s="40">
        <f t="shared" si="7"/>
        <v>0</v>
      </c>
      <c r="L41" s="40">
        <v>0</v>
      </c>
    </row>
    <row r="42" spans="1:12" x14ac:dyDescent="0.25">
      <c r="A42" s="36" t="s">
        <v>60</v>
      </c>
      <c r="B42" s="40">
        <v>0</v>
      </c>
      <c r="C42" s="40">
        <v>0</v>
      </c>
      <c r="D42" s="40">
        <f t="shared" si="5"/>
        <v>0</v>
      </c>
      <c r="E42" s="41">
        <v>0</v>
      </c>
      <c r="F42" s="40">
        <f t="shared" si="14"/>
        <v>0</v>
      </c>
      <c r="G42" s="40">
        <f t="shared" si="2"/>
        <v>0</v>
      </c>
      <c r="H42" s="40">
        <f t="shared" si="6"/>
        <v>0</v>
      </c>
      <c r="I42" s="41">
        <v>0</v>
      </c>
      <c r="J42" s="40">
        <f t="shared" si="15"/>
        <v>0</v>
      </c>
      <c r="K42" s="40">
        <f t="shared" si="7"/>
        <v>0</v>
      </c>
      <c r="L42" s="40">
        <v>0</v>
      </c>
    </row>
    <row r="43" spans="1:12" x14ac:dyDescent="0.25">
      <c r="A43" s="36" t="s">
        <v>61</v>
      </c>
      <c r="B43" s="40">
        <v>0</v>
      </c>
      <c r="C43" s="40">
        <v>0</v>
      </c>
      <c r="D43" s="40">
        <f t="shared" si="5"/>
        <v>0</v>
      </c>
      <c r="E43" s="41">
        <v>0</v>
      </c>
      <c r="F43" s="40">
        <f t="shared" si="14"/>
        <v>0</v>
      </c>
      <c r="G43" s="40">
        <f t="shared" si="2"/>
        <v>0</v>
      </c>
      <c r="H43" s="40">
        <f t="shared" si="6"/>
        <v>0</v>
      </c>
      <c r="I43" s="41">
        <v>0</v>
      </c>
      <c r="J43" s="40">
        <f t="shared" si="15"/>
        <v>0</v>
      </c>
      <c r="K43" s="40">
        <f t="shared" si="7"/>
        <v>0</v>
      </c>
      <c r="L43" s="40">
        <v>0</v>
      </c>
    </row>
    <row r="44" spans="1:12" s="4" customFormat="1" x14ac:dyDescent="0.25">
      <c r="A44" s="36" t="s">
        <v>44</v>
      </c>
      <c r="B44" s="40">
        <v>0</v>
      </c>
      <c r="C44" s="40">
        <v>0</v>
      </c>
      <c r="D44" s="40">
        <f t="shared" si="5"/>
        <v>0</v>
      </c>
      <c r="E44" s="41">
        <v>0</v>
      </c>
      <c r="F44" s="40">
        <f t="shared" si="14"/>
        <v>0</v>
      </c>
      <c r="G44" s="40">
        <f>C44-E44</f>
        <v>0</v>
      </c>
      <c r="H44" s="40">
        <f t="shared" si="6"/>
        <v>0</v>
      </c>
      <c r="I44" s="41">
        <v>0</v>
      </c>
      <c r="J44" s="40">
        <f t="shared" si="15"/>
        <v>0</v>
      </c>
      <c r="K44" s="40">
        <f>C44-I44</f>
        <v>0</v>
      </c>
      <c r="L44" s="40">
        <v>0</v>
      </c>
    </row>
    <row r="45" spans="1:12" x14ac:dyDescent="0.25">
      <c r="A45" s="36" t="s">
        <v>22</v>
      </c>
      <c r="B45" s="40">
        <v>0</v>
      </c>
      <c r="C45" s="40">
        <v>0</v>
      </c>
      <c r="D45" s="40">
        <f t="shared" si="5"/>
        <v>0</v>
      </c>
      <c r="E45" s="41">
        <v>0</v>
      </c>
      <c r="F45" s="40">
        <f t="shared" si="14"/>
        <v>0</v>
      </c>
      <c r="G45" s="40">
        <f>C45-E45</f>
        <v>0</v>
      </c>
      <c r="H45" s="40">
        <f t="shared" si="6"/>
        <v>0</v>
      </c>
      <c r="I45" s="41">
        <v>0</v>
      </c>
      <c r="J45" s="40">
        <f t="shared" si="15"/>
        <v>0</v>
      </c>
      <c r="K45" s="40">
        <f>C45-I45</f>
        <v>0</v>
      </c>
      <c r="L45" s="40">
        <v>0</v>
      </c>
    </row>
    <row r="46" spans="1:12" x14ac:dyDescent="0.25">
      <c r="A46" s="36" t="s">
        <v>30</v>
      </c>
      <c r="B46" s="37">
        <f>B47</f>
        <v>0</v>
      </c>
      <c r="C46" s="37">
        <f>C47</f>
        <v>0</v>
      </c>
      <c r="D46" s="37">
        <f t="shared" ref="D46:I46" si="16">D47</f>
        <v>0</v>
      </c>
      <c r="E46" s="39">
        <f t="shared" si="16"/>
        <v>0</v>
      </c>
      <c r="F46" s="37">
        <f t="shared" si="14"/>
        <v>0</v>
      </c>
      <c r="G46" s="37">
        <f t="shared" si="2"/>
        <v>0</v>
      </c>
      <c r="H46" s="37">
        <f t="shared" si="16"/>
        <v>0</v>
      </c>
      <c r="I46" s="39">
        <f t="shared" si="16"/>
        <v>0</v>
      </c>
      <c r="J46" s="37">
        <f t="shared" si="15"/>
        <v>0</v>
      </c>
      <c r="K46" s="37">
        <f t="shared" si="7"/>
        <v>0</v>
      </c>
      <c r="L46" s="37">
        <f t="shared" ref="L46" si="17">L47</f>
        <v>0</v>
      </c>
    </row>
    <row r="47" spans="1:12" x14ac:dyDescent="0.25">
      <c r="A47" s="36" t="s">
        <v>62</v>
      </c>
      <c r="B47" s="40">
        <v>0</v>
      </c>
      <c r="C47" s="40">
        <v>0</v>
      </c>
      <c r="D47" s="40">
        <f t="shared" si="5"/>
        <v>0</v>
      </c>
      <c r="E47" s="41">
        <v>0</v>
      </c>
      <c r="F47" s="40">
        <f t="shared" si="14"/>
        <v>0</v>
      </c>
      <c r="G47" s="40">
        <f t="shared" si="2"/>
        <v>0</v>
      </c>
      <c r="H47" s="40">
        <f t="shared" si="6"/>
        <v>0</v>
      </c>
      <c r="I47" s="41">
        <v>0</v>
      </c>
      <c r="J47" s="40">
        <f t="shared" si="15"/>
        <v>0</v>
      </c>
      <c r="K47" s="40">
        <f t="shared" si="7"/>
        <v>0</v>
      </c>
      <c r="L47" s="40">
        <v>0</v>
      </c>
    </row>
    <row r="48" spans="1:12" x14ac:dyDescent="0.25">
      <c r="A48" s="36" t="s">
        <v>31</v>
      </c>
      <c r="B48" s="37">
        <f>B49+B50+B51+B52+B53+B56+B54+B55</f>
        <v>0</v>
      </c>
      <c r="C48" s="37">
        <f>C49+C50+C51+C52+C53+C56+C54+C55</f>
        <v>0</v>
      </c>
      <c r="D48" s="37">
        <f t="shared" ref="D48:L48" si="18">D49+D50+D51+D52+D53+D56+D54+D55</f>
        <v>0</v>
      </c>
      <c r="E48" s="37">
        <f t="shared" si="18"/>
        <v>0</v>
      </c>
      <c r="F48" s="37">
        <f t="shared" si="18"/>
        <v>0</v>
      </c>
      <c r="G48" s="37">
        <f t="shared" si="18"/>
        <v>0</v>
      </c>
      <c r="H48" s="37">
        <f t="shared" ref="H48:I48" si="19">H49+H50+H51+H52+H53+H56+H54+H55</f>
        <v>0</v>
      </c>
      <c r="I48" s="37">
        <f t="shared" si="19"/>
        <v>0</v>
      </c>
      <c r="J48" s="37">
        <f t="shared" si="18"/>
        <v>0</v>
      </c>
      <c r="K48" s="37">
        <f t="shared" si="18"/>
        <v>0</v>
      </c>
      <c r="L48" s="37">
        <f t="shared" si="18"/>
        <v>0</v>
      </c>
    </row>
    <row r="49" spans="1:14" x14ac:dyDescent="0.25">
      <c r="A49" s="36" t="s">
        <v>63</v>
      </c>
      <c r="B49" s="40">
        <v>0</v>
      </c>
      <c r="C49" s="40">
        <v>0</v>
      </c>
      <c r="D49" s="40">
        <f t="shared" si="5"/>
        <v>0</v>
      </c>
      <c r="E49" s="41">
        <v>0</v>
      </c>
      <c r="F49" s="40">
        <f t="shared" ref="F49:F64" si="20">E49/$E$86*100</f>
        <v>0</v>
      </c>
      <c r="G49" s="40">
        <f t="shared" si="2"/>
        <v>0</v>
      </c>
      <c r="H49" s="40">
        <f t="shared" si="6"/>
        <v>0</v>
      </c>
      <c r="I49" s="41">
        <v>0</v>
      </c>
      <c r="J49" s="40">
        <f t="shared" ref="J49:J64" si="21">I49/$I$86*100</f>
        <v>0</v>
      </c>
      <c r="K49" s="40">
        <f t="shared" si="7"/>
        <v>0</v>
      </c>
      <c r="L49" s="40">
        <v>0</v>
      </c>
    </row>
    <row r="50" spans="1:14" x14ac:dyDescent="0.25">
      <c r="A50" s="36" t="s">
        <v>64</v>
      </c>
      <c r="B50" s="40">
        <v>0</v>
      </c>
      <c r="C50" s="40">
        <v>0</v>
      </c>
      <c r="D50" s="40">
        <f t="shared" si="5"/>
        <v>0</v>
      </c>
      <c r="E50" s="41">
        <v>0</v>
      </c>
      <c r="F50" s="40">
        <f t="shared" si="20"/>
        <v>0</v>
      </c>
      <c r="G50" s="40">
        <f t="shared" si="2"/>
        <v>0</v>
      </c>
      <c r="H50" s="40">
        <f t="shared" si="6"/>
        <v>0</v>
      </c>
      <c r="I50" s="41">
        <v>0</v>
      </c>
      <c r="J50" s="40">
        <f t="shared" si="21"/>
        <v>0</v>
      </c>
      <c r="K50" s="40">
        <f t="shared" si="7"/>
        <v>0</v>
      </c>
      <c r="L50" s="40">
        <v>0</v>
      </c>
    </row>
    <row r="51" spans="1:14" x14ac:dyDescent="0.25">
      <c r="A51" s="36" t="s">
        <v>65</v>
      </c>
      <c r="B51" s="40">
        <v>0</v>
      </c>
      <c r="C51" s="40">
        <v>0</v>
      </c>
      <c r="D51" s="40">
        <f t="shared" si="5"/>
        <v>0</v>
      </c>
      <c r="E51" s="41">
        <v>0</v>
      </c>
      <c r="F51" s="40">
        <f t="shared" si="20"/>
        <v>0</v>
      </c>
      <c r="G51" s="40">
        <f t="shared" si="2"/>
        <v>0</v>
      </c>
      <c r="H51" s="40">
        <f t="shared" si="6"/>
        <v>0</v>
      </c>
      <c r="I51" s="41">
        <v>0</v>
      </c>
      <c r="J51" s="40">
        <f t="shared" si="21"/>
        <v>0</v>
      </c>
      <c r="K51" s="40">
        <f t="shared" si="7"/>
        <v>0</v>
      </c>
      <c r="L51" s="40">
        <v>0</v>
      </c>
    </row>
    <row r="52" spans="1:14" x14ac:dyDescent="0.25">
      <c r="A52" s="36" t="s">
        <v>66</v>
      </c>
      <c r="B52" s="40">
        <v>0</v>
      </c>
      <c r="C52" s="40">
        <v>0</v>
      </c>
      <c r="D52" s="40">
        <f t="shared" si="5"/>
        <v>0</v>
      </c>
      <c r="E52" s="41">
        <v>0</v>
      </c>
      <c r="F52" s="40">
        <f t="shared" si="20"/>
        <v>0</v>
      </c>
      <c r="G52" s="40">
        <f t="shared" si="2"/>
        <v>0</v>
      </c>
      <c r="H52" s="40">
        <f t="shared" si="6"/>
        <v>0</v>
      </c>
      <c r="I52" s="41">
        <v>0</v>
      </c>
      <c r="J52" s="40">
        <f t="shared" si="21"/>
        <v>0</v>
      </c>
      <c r="K52" s="40">
        <f t="shared" si="7"/>
        <v>0</v>
      </c>
      <c r="L52" s="40">
        <v>0</v>
      </c>
    </row>
    <row r="53" spans="1:14" x14ac:dyDescent="0.25">
      <c r="A53" s="36" t="s">
        <v>67</v>
      </c>
      <c r="B53" s="40">
        <v>0</v>
      </c>
      <c r="C53" s="40">
        <v>0</v>
      </c>
      <c r="D53" s="40">
        <f t="shared" si="5"/>
        <v>0</v>
      </c>
      <c r="E53" s="41">
        <v>0</v>
      </c>
      <c r="F53" s="40">
        <f t="shared" si="20"/>
        <v>0</v>
      </c>
      <c r="G53" s="40">
        <f t="shared" si="2"/>
        <v>0</v>
      </c>
      <c r="H53" s="40">
        <f t="shared" si="6"/>
        <v>0</v>
      </c>
      <c r="I53" s="41">
        <v>0</v>
      </c>
      <c r="J53" s="40">
        <f t="shared" si="21"/>
        <v>0</v>
      </c>
      <c r="K53" s="40">
        <f t="shared" si="7"/>
        <v>0</v>
      </c>
      <c r="L53" s="40">
        <v>0</v>
      </c>
    </row>
    <row r="54" spans="1:14" x14ac:dyDescent="0.25">
      <c r="A54" s="36" t="s">
        <v>68</v>
      </c>
      <c r="B54" s="40">
        <v>0</v>
      </c>
      <c r="C54" s="40">
        <v>0</v>
      </c>
      <c r="D54" s="40">
        <f t="shared" si="5"/>
        <v>0</v>
      </c>
      <c r="E54" s="41">
        <v>0</v>
      </c>
      <c r="F54" s="40">
        <f t="shared" si="20"/>
        <v>0</v>
      </c>
      <c r="G54" s="40">
        <f t="shared" si="2"/>
        <v>0</v>
      </c>
      <c r="H54" s="40">
        <f t="shared" si="6"/>
        <v>0</v>
      </c>
      <c r="I54" s="41">
        <v>0</v>
      </c>
      <c r="J54" s="40">
        <f t="shared" si="21"/>
        <v>0</v>
      </c>
      <c r="K54" s="40">
        <f t="shared" si="7"/>
        <v>0</v>
      </c>
      <c r="L54" s="40">
        <v>0</v>
      </c>
    </row>
    <row r="55" spans="1:14" x14ac:dyDescent="0.25">
      <c r="A55" s="36" t="s">
        <v>44</v>
      </c>
      <c r="B55" s="40">
        <v>0</v>
      </c>
      <c r="C55" s="40">
        <v>0</v>
      </c>
      <c r="D55" s="40">
        <f t="shared" si="5"/>
        <v>0</v>
      </c>
      <c r="E55" s="41">
        <v>0</v>
      </c>
      <c r="F55" s="40">
        <f t="shared" si="20"/>
        <v>0</v>
      </c>
      <c r="G55" s="40">
        <f t="shared" si="2"/>
        <v>0</v>
      </c>
      <c r="H55" s="40">
        <f t="shared" si="6"/>
        <v>0</v>
      </c>
      <c r="I55" s="41">
        <v>0</v>
      </c>
      <c r="J55" s="40">
        <f t="shared" si="21"/>
        <v>0</v>
      </c>
      <c r="K55" s="40">
        <f t="shared" si="7"/>
        <v>0</v>
      </c>
      <c r="L55" s="40">
        <v>0</v>
      </c>
    </row>
    <row r="56" spans="1:14" x14ac:dyDescent="0.25">
      <c r="A56" s="36" t="s">
        <v>22</v>
      </c>
      <c r="B56" s="40">
        <v>0</v>
      </c>
      <c r="C56" s="40">
        <v>0</v>
      </c>
      <c r="D56" s="40">
        <f t="shared" si="5"/>
        <v>0</v>
      </c>
      <c r="E56" s="41">
        <v>0</v>
      </c>
      <c r="F56" s="40">
        <f t="shared" si="20"/>
        <v>0</v>
      </c>
      <c r="G56" s="40">
        <f>C56-E56</f>
        <v>0</v>
      </c>
      <c r="H56" s="40">
        <f t="shared" si="6"/>
        <v>0</v>
      </c>
      <c r="I56" s="41">
        <v>0</v>
      </c>
      <c r="J56" s="40">
        <f t="shared" si="21"/>
        <v>0</v>
      </c>
      <c r="K56" s="40">
        <f>C56-I56</f>
        <v>0</v>
      </c>
      <c r="L56" s="40">
        <v>0</v>
      </c>
    </row>
    <row r="57" spans="1:14" x14ac:dyDescent="0.25">
      <c r="A57" s="36" t="s">
        <v>32</v>
      </c>
      <c r="B57" s="37">
        <f>B58+B59</f>
        <v>0</v>
      </c>
      <c r="C57" s="37">
        <f>C58+C59</f>
        <v>0</v>
      </c>
      <c r="D57" s="37">
        <f t="shared" ref="D57:E57" si="22">D58+D59</f>
        <v>0</v>
      </c>
      <c r="E57" s="37">
        <f t="shared" si="22"/>
        <v>0</v>
      </c>
      <c r="F57" s="37">
        <f t="shared" si="20"/>
        <v>0</v>
      </c>
      <c r="G57" s="37">
        <f t="shared" si="2"/>
        <v>0</v>
      </c>
      <c r="H57" s="37">
        <f t="shared" ref="H57:I57" si="23">H58+H59</f>
        <v>0</v>
      </c>
      <c r="I57" s="37">
        <f t="shared" si="23"/>
        <v>0</v>
      </c>
      <c r="J57" s="37">
        <f t="shared" si="21"/>
        <v>0</v>
      </c>
      <c r="K57" s="37">
        <f t="shared" si="7"/>
        <v>0</v>
      </c>
      <c r="L57" s="37">
        <f t="shared" ref="L57" si="24">L58+L59</f>
        <v>0</v>
      </c>
    </row>
    <row r="58" spans="1:14" x14ac:dyDescent="0.25">
      <c r="A58" s="36" t="s">
        <v>69</v>
      </c>
      <c r="B58" s="40">
        <v>0</v>
      </c>
      <c r="C58" s="40">
        <v>0</v>
      </c>
      <c r="D58" s="40">
        <f t="shared" si="5"/>
        <v>0</v>
      </c>
      <c r="E58" s="41">
        <v>0</v>
      </c>
      <c r="F58" s="40">
        <f t="shared" si="20"/>
        <v>0</v>
      </c>
      <c r="G58" s="40">
        <f t="shared" si="2"/>
        <v>0</v>
      </c>
      <c r="H58" s="40">
        <f t="shared" si="6"/>
        <v>0</v>
      </c>
      <c r="I58" s="41">
        <v>0</v>
      </c>
      <c r="J58" s="40">
        <f t="shared" si="21"/>
        <v>0</v>
      </c>
      <c r="K58" s="40">
        <f t="shared" si="7"/>
        <v>0</v>
      </c>
      <c r="L58" s="40">
        <v>0</v>
      </c>
    </row>
    <row r="59" spans="1:14" x14ac:dyDescent="0.25">
      <c r="A59" s="36" t="s">
        <v>22</v>
      </c>
      <c r="B59" s="40">
        <v>0</v>
      </c>
      <c r="C59" s="40">
        <v>0</v>
      </c>
      <c r="D59" s="40">
        <f t="shared" si="5"/>
        <v>0</v>
      </c>
      <c r="E59" s="41">
        <v>0</v>
      </c>
      <c r="F59" s="40">
        <f t="shared" si="20"/>
        <v>0</v>
      </c>
      <c r="G59" s="40">
        <f t="shared" si="2"/>
        <v>0</v>
      </c>
      <c r="H59" s="40">
        <f t="shared" si="6"/>
        <v>0</v>
      </c>
      <c r="I59" s="41">
        <v>0</v>
      </c>
      <c r="J59" s="40">
        <f t="shared" si="21"/>
        <v>0</v>
      </c>
      <c r="K59" s="40">
        <f t="shared" si="7"/>
        <v>0</v>
      </c>
      <c r="L59" s="40">
        <v>0</v>
      </c>
    </row>
    <row r="60" spans="1:14" x14ac:dyDescent="0.25">
      <c r="A60" s="36" t="s">
        <v>33</v>
      </c>
      <c r="B60" s="37">
        <f>B61+B62</f>
        <v>0</v>
      </c>
      <c r="C60" s="37">
        <f>C61+C62</f>
        <v>0</v>
      </c>
      <c r="D60" s="37">
        <f t="shared" ref="D60:E60" si="25">D61+D62</f>
        <v>0</v>
      </c>
      <c r="E60" s="39">
        <f t="shared" si="25"/>
        <v>0</v>
      </c>
      <c r="F60" s="37">
        <f t="shared" si="20"/>
        <v>0</v>
      </c>
      <c r="G60" s="37">
        <f t="shared" si="2"/>
        <v>0</v>
      </c>
      <c r="H60" s="37">
        <f t="shared" ref="H60:I60" si="26">H61+H62</f>
        <v>0</v>
      </c>
      <c r="I60" s="39">
        <f t="shared" si="26"/>
        <v>0</v>
      </c>
      <c r="J60" s="37">
        <f t="shared" si="21"/>
        <v>0</v>
      </c>
      <c r="K60" s="37">
        <f t="shared" si="7"/>
        <v>0</v>
      </c>
      <c r="L60" s="37">
        <f t="shared" ref="L60" si="27">L61+L62</f>
        <v>0</v>
      </c>
    </row>
    <row r="61" spans="1:14" x14ac:dyDescent="0.25">
      <c r="A61" s="36" t="s">
        <v>70</v>
      </c>
      <c r="B61" s="40">
        <v>0</v>
      </c>
      <c r="C61" s="40">
        <v>0</v>
      </c>
      <c r="D61" s="40">
        <f t="shared" si="5"/>
        <v>0</v>
      </c>
      <c r="E61" s="41">
        <v>0</v>
      </c>
      <c r="F61" s="40">
        <f t="shared" si="20"/>
        <v>0</v>
      </c>
      <c r="G61" s="40">
        <f t="shared" si="2"/>
        <v>0</v>
      </c>
      <c r="H61" s="40">
        <f t="shared" si="6"/>
        <v>0</v>
      </c>
      <c r="I61" s="41">
        <v>0</v>
      </c>
      <c r="J61" s="40">
        <f t="shared" si="21"/>
        <v>0</v>
      </c>
      <c r="K61" s="40">
        <f t="shared" si="7"/>
        <v>0</v>
      </c>
      <c r="L61" s="40">
        <v>0</v>
      </c>
    </row>
    <row r="62" spans="1:14" x14ac:dyDescent="0.25">
      <c r="A62" s="36" t="s">
        <v>71</v>
      </c>
      <c r="B62" s="40">
        <v>0</v>
      </c>
      <c r="C62" s="40">
        <v>0</v>
      </c>
      <c r="D62" s="40">
        <f t="shared" si="5"/>
        <v>0</v>
      </c>
      <c r="E62" s="41">
        <v>0</v>
      </c>
      <c r="F62" s="40">
        <f t="shared" si="20"/>
        <v>0</v>
      </c>
      <c r="G62" s="40">
        <f t="shared" si="2"/>
        <v>0</v>
      </c>
      <c r="H62" s="40">
        <f t="shared" si="6"/>
        <v>0</v>
      </c>
      <c r="I62" s="41">
        <v>0</v>
      </c>
      <c r="J62" s="40">
        <f t="shared" si="21"/>
        <v>0</v>
      </c>
      <c r="K62" s="40">
        <f t="shared" si="7"/>
        <v>0</v>
      </c>
      <c r="L62" s="40">
        <v>0</v>
      </c>
    </row>
    <row r="63" spans="1:14" x14ac:dyDescent="0.25">
      <c r="A63" s="36" t="s">
        <v>34</v>
      </c>
      <c r="B63" s="37">
        <f>B64</f>
        <v>0</v>
      </c>
      <c r="C63" s="37">
        <f>C64</f>
        <v>0</v>
      </c>
      <c r="D63" s="37">
        <f t="shared" ref="D63:I63" si="28">D64</f>
        <v>0</v>
      </c>
      <c r="E63" s="39">
        <f t="shared" si="28"/>
        <v>0</v>
      </c>
      <c r="F63" s="37">
        <f t="shared" si="20"/>
        <v>0</v>
      </c>
      <c r="G63" s="37">
        <f t="shared" si="2"/>
        <v>0</v>
      </c>
      <c r="H63" s="37">
        <f t="shared" si="28"/>
        <v>0</v>
      </c>
      <c r="I63" s="39">
        <f t="shared" si="28"/>
        <v>0</v>
      </c>
      <c r="J63" s="37">
        <f t="shared" si="21"/>
        <v>0</v>
      </c>
      <c r="K63" s="37">
        <f t="shared" si="7"/>
        <v>0</v>
      </c>
      <c r="L63" s="37">
        <f t="shared" ref="L63" si="29">L64</f>
        <v>0</v>
      </c>
    </row>
    <row r="64" spans="1:14" x14ac:dyDescent="0.25">
      <c r="A64" s="36" t="s">
        <v>72</v>
      </c>
      <c r="B64" s="40">
        <v>0</v>
      </c>
      <c r="C64" s="40">
        <v>0</v>
      </c>
      <c r="D64" s="40">
        <f t="shared" si="5"/>
        <v>0</v>
      </c>
      <c r="E64" s="41">
        <v>0</v>
      </c>
      <c r="F64" s="40">
        <f t="shared" si="20"/>
        <v>0</v>
      </c>
      <c r="G64" s="40">
        <f t="shared" si="2"/>
        <v>0</v>
      </c>
      <c r="H64" s="40">
        <f t="shared" si="6"/>
        <v>0</v>
      </c>
      <c r="I64" s="41">
        <v>0</v>
      </c>
      <c r="J64" s="40">
        <f t="shared" si="21"/>
        <v>0</v>
      </c>
      <c r="K64" s="40">
        <f t="shared" si="7"/>
        <v>0</v>
      </c>
      <c r="L64" s="40">
        <v>0</v>
      </c>
      <c r="N64" s="18"/>
    </row>
    <row r="65" spans="1:19" x14ac:dyDescent="0.25">
      <c r="A65" s="36" t="s">
        <v>35</v>
      </c>
      <c r="B65" s="37">
        <f>B68+B67+B66</f>
        <v>63077000</v>
      </c>
      <c r="C65" s="37">
        <f>C68+C67+C66</f>
        <v>77483394.310000002</v>
      </c>
      <c r="D65" s="37">
        <f>D68+D67+D66</f>
        <v>11946818.469999999</v>
      </c>
      <c r="E65" s="37">
        <f t="shared" ref="E65:K65" si="30">E68+E67+E66</f>
        <v>52296988.490000002</v>
      </c>
      <c r="F65" s="37">
        <f t="shared" si="30"/>
        <v>97.880521042221659</v>
      </c>
      <c r="G65" s="37">
        <f t="shared" si="30"/>
        <v>25186405.82</v>
      </c>
      <c r="H65" s="37">
        <f>H68+H67+H66</f>
        <v>11982518.65</v>
      </c>
      <c r="I65" s="37">
        <f t="shared" ref="I65" si="31">I68+I67+I66</f>
        <v>40032583.540000007</v>
      </c>
      <c r="J65" s="37">
        <f t="shared" si="30"/>
        <v>97.249058811811167</v>
      </c>
      <c r="K65" s="37">
        <f t="shared" si="30"/>
        <v>37450810.769999996</v>
      </c>
      <c r="L65" s="37">
        <f>E65-I65</f>
        <v>12264404.949999996</v>
      </c>
      <c r="N65" s="18"/>
    </row>
    <row r="66" spans="1:19" x14ac:dyDescent="0.25">
      <c r="A66" s="36" t="s">
        <v>73</v>
      </c>
      <c r="B66" s="59">
        <v>40523000</v>
      </c>
      <c r="C66" s="59">
        <v>53114394.310000002</v>
      </c>
      <c r="D66" s="59">
        <v>8648225.7899999991</v>
      </c>
      <c r="E66" s="60">
        <v>36471593.840000004</v>
      </c>
      <c r="F66" s="59">
        <f>E66/$E$86*100</f>
        <v>68.261265349573506</v>
      </c>
      <c r="G66" s="59">
        <f>C66-E66</f>
        <v>16642800.469999999</v>
      </c>
      <c r="H66" s="59">
        <v>8276817.2400000002</v>
      </c>
      <c r="I66" s="60">
        <v>26110043.600000001</v>
      </c>
      <c r="J66" s="59">
        <f>I66/$I$86*100</f>
        <v>63.427761615690962</v>
      </c>
      <c r="K66" s="59">
        <f>C66-I66</f>
        <v>27004350.710000001</v>
      </c>
      <c r="L66" s="40">
        <f t="shared" ref="L66" si="32">E66-I66</f>
        <v>10361550.240000002</v>
      </c>
      <c r="N66" s="18"/>
    </row>
    <row r="67" spans="1:19" x14ac:dyDescent="0.25">
      <c r="A67" s="36" t="s">
        <v>74</v>
      </c>
      <c r="B67" s="59">
        <v>13344000</v>
      </c>
      <c r="C67" s="59">
        <v>14674000</v>
      </c>
      <c r="D67" s="59">
        <v>1812356.67</v>
      </c>
      <c r="E67" s="60">
        <v>9568545.7599999998</v>
      </c>
      <c r="F67" s="59">
        <f>E67/$E$86*100</f>
        <v>17.908760554811458</v>
      </c>
      <c r="G67" s="59">
        <f>C67-E67</f>
        <v>5105454.24</v>
      </c>
      <c r="H67" s="59">
        <v>2196672.4900000002</v>
      </c>
      <c r="I67" s="60">
        <v>7727867.3799999999</v>
      </c>
      <c r="J67" s="59">
        <f>I67/$I$86*100</f>
        <v>18.772903541850624</v>
      </c>
      <c r="K67" s="59">
        <f t="shared" si="7"/>
        <v>6946132.6200000001</v>
      </c>
      <c r="L67" s="40">
        <f>E67-I67</f>
        <v>1840678.38</v>
      </c>
      <c r="N67" s="18"/>
      <c r="O67" s="18"/>
      <c r="P67" s="18"/>
      <c r="Q67" s="18"/>
      <c r="R67" s="18"/>
      <c r="S67" s="18"/>
    </row>
    <row r="68" spans="1:19" x14ac:dyDescent="0.25">
      <c r="A68" s="36" t="s">
        <v>22</v>
      </c>
      <c r="B68" s="59">
        <f>62000+5105000+3170000+873000</f>
        <v>9210000</v>
      </c>
      <c r="C68" s="59">
        <f>222000+5326000+3240000+908000-1000</f>
        <v>9695000</v>
      </c>
      <c r="D68" s="59">
        <f>2482.73+803869.15+544799.62+135084.51</f>
        <v>1486236.01</v>
      </c>
      <c r="E68" s="60">
        <f>150758.83+3380930.79+2140897.58+584261.69</f>
        <v>6256848.8900000006</v>
      </c>
      <c r="F68" s="59">
        <f>E68/$E$86*100</f>
        <v>11.710495137836688</v>
      </c>
      <c r="G68" s="59">
        <f>C68-E68</f>
        <v>3438151.1099999994</v>
      </c>
      <c r="H68" s="59">
        <f>2482.73+808253.09+544799.62+153493.48</f>
        <v>1509028.92</v>
      </c>
      <c r="I68" s="60">
        <f>150758.83+3355810.49+2140897.58+547205.66</f>
        <v>6194672.5600000005</v>
      </c>
      <c r="J68" s="59">
        <f>I68/$I$86*100</f>
        <v>15.048393654269582</v>
      </c>
      <c r="K68" s="59">
        <f>C68-I68</f>
        <v>3500327.4399999995</v>
      </c>
      <c r="L68" s="40">
        <f>E68-I68</f>
        <v>62176.330000000075</v>
      </c>
      <c r="N68" s="18"/>
      <c r="O68" s="18"/>
      <c r="P68" s="18"/>
      <c r="Q68" s="18"/>
      <c r="R68" s="18"/>
      <c r="S68" s="18"/>
    </row>
    <row r="69" spans="1:19" x14ac:dyDescent="0.25">
      <c r="A69" s="36" t="s">
        <v>36</v>
      </c>
      <c r="B69" s="37">
        <f>B70+B71+B72</f>
        <v>0</v>
      </c>
      <c r="C69" s="37">
        <f>C70+C71+C72</f>
        <v>0</v>
      </c>
      <c r="D69" s="37">
        <f t="shared" ref="D69:K69" si="33">D70+D71+D72</f>
        <v>0</v>
      </c>
      <c r="E69" s="37">
        <f t="shared" si="33"/>
        <v>0</v>
      </c>
      <c r="F69" s="37">
        <f t="shared" si="33"/>
        <v>0</v>
      </c>
      <c r="G69" s="37">
        <f t="shared" si="33"/>
        <v>0</v>
      </c>
      <c r="H69" s="37">
        <f t="shared" ref="H69:I69" si="34">H70+H71+H72</f>
        <v>0</v>
      </c>
      <c r="I69" s="37">
        <f t="shared" si="34"/>
        <v>0</v>
      </c>
      <c r="J69" s="37">
        <f t="shared" si="33"/>
        <v>0</v>
      </c>
      <c r="K69" s="37">
        <f t="shared" si="33"/>
        <v>0</v>
      </c>
      <c r="L69" s="37">
        <f>L70+L71+L72</f>
        <v>0</v>
      </c>
      <c r="N69" s="18"/>
      <c r="O69" s="18"/>
      <c r="P69" s="18"/>
      <c r="Q69" s="18"/>
      <c r="R69" s="18"/>
      <c r="S69" s="18"/>
    </row>
    <row r="70" spans="1:19" x14ac:dyDescent="0.25">
      <c r="A70" s="36" t="s">
        <v>75</v>
      </c>
      <c r="B70" s="40">
        <v>0</v>
      </c>
      <c r="C70" s="40">
        <v>0</v>
      </c>
      <c r="D70" s="40">
        <f t="shared" si="5"/>
        <v>0</v>
      </c>
      <c r="E70" s="41">
        <v>0</v>
      </c>
      <c r="F70" s="40">
        <f t="shared" ref="F70:F86" si="35">E70/$E$86*100</f>
        <v>0</v>
      </c>
      <c r="G70" s="40">
        <f t="shared" si="2"/>
        <v>0</v>
      </c>
      <c r="H70" s="40">
        <f t="shared" si="6"/>
        <v>0</v>
      </c>
      <c r="I70" s="41">
        <v>0</v>
      </c>
      <c r="J70" s="40">
        <f t="shared" ref="J70:J86" si="36">I70/$I$86*100</f>
        <v>0</v>
      </c>
      <c r="K70" s="40">
        <f t="shared" si="7"/>
        <v>0</v>
      </c>
      <c r="L70" s="40">
        <v>0</v>
      </c>
      <c r="N70" s="18"/>
      <c r="O70" s="18"/>
      <c r="P70" s="18"/>
      <c r="Q70" s="18"/>
      <c r="R70" s="18"/>
      <c r="S70" s="18"/>
    </row>
    <row r="71" spans="1:19" x14ac:dyDescent="0.25">
      <c r="A71" s="36" t="s">
        <v>76</v>
      </c>
      <c r="B71" s="40">
        <v>0</v>
      </c>
      <c r="C71" s="40">
        <v>0</v>
      </c>
      <c r="D71" s="40">
        <f t="shared" si="5"/>
        <v>0</v>
      </c>
      <c r="E71" s="41">
        <v>0</v>
      </c>
      <c r="F71" s="40">
        <f t="shared" si="35"/>
        <v>0</v>
      </c>
      <c r="G71" s="40">
        <f t="shared" si="2"/>
        <v>0</v>
      </c>
      <c r="H71" s="40">
        <f t="shared" si="6"/>
        <v>0</v>
      </c>
      <c r="I71" s="41">
        <v>0</v>
      </c>
      <c r="J71" s="40">
        <f t="shared" si="36"/>
        <v>0</v>
      </c>
      <c r="K71" s="40">
        <f t="shared" si="7"/>
        <v>0</v>
      </c>
      <c r="L71" s="40">
        <v>0</v>
      </c>
      <c r="N71" s="18"/>
    </row>
    <row r="72" spans="1:19" x14ac:dyDescent="0.25">
      <c r="A72" s="36" t="s">
        <v>22</v>
      </c>
      <c r="B72" s="40">
        <v>0</v>
      </c>
      <c r="C72" s="40">
        <v>0</v>
      </c>
      <c r="D72" s="40">
        <f t="shared" si="5"/>
        <v>0</v>
      </c>
      <c r="E72" s="41">
        <v>0</v>
      </c>
      <c r="F72" s="40">
        <f t="shared" si="35"/>
        <v>0</v>
      </c>
      <c r="G72" s="40">
        <f>C72-E72</f>
        <v>0</v>
      </c>
      <c r="H72" s="40">
        <f t="shared" si="6"/>
        <v>0</v>
      </c>
      <c r="I72" s="41">
        <v>0</v>
      </c>
      <c r="J72" s="40">
        <f t="shared" si="36"/>
        <v>0</v>
      </c>
      <c r="K72" s="40">
        <f>C72-I72</f>
        <v>0</v>
      </c>
      <c r="L72" s="40">
        <v>0</v>
      </c>
      <c r="N72" s="19"/>
      <c r="O72" s="19"/>
      <c r="P72" s="19"/>
      <c r="Q72" s="19"/>
      <c r="R72" s="19"/>
      <c r="S72" s="19"/>
    </row>
    <row r="73" spans="1:19" x14ac:dyDescent="0.25">
      <c r="A73" s="36" t="s">
        <v>37</v>
      </c>
      <c r="B73" s="37">
        <f>B74</f>
        <v>0</v>
      </c>
      <c r="C73" s="37">
        <f>C74</f>
        <v>0</v>
      </c>
      <c r="D73" s="37">
        <f t="shared" ref="D73:I73" si="37">D74</f>
        <v>0</v>
      </c>
      <c r="E73" s="39">
        <f t="shared" si="37"/>
        <v>0</v>
      </c>
      <c r="F73" s="37">
        <f t="shared" si="35"/>
        <v>0</v>
      </c>
      <c r="G73" s="37">
        <f t="shared" si="2"/>
        <v>0</v>
      </c>
      <c r="H73" s="37">
        <f t="shared" si="37"/>
        <v>0</v>
      </c>
      <c r="I73" s="39">
        <f t="shared" si="37"/>
        <v>0</v>
      </c>
      <c r="J73" s="37">
        <f t="shared" si="36"/>
        <v>0</v>
      </c>
      <c r="K73" s="37">
        <f t="shared" si="7"/>
        <v>0</v>
      </c>
      <c r="L73" s="37">
        <f t="shared" ref="L73" si="38">L74</f>
        <v>0</v>
      </c>
      <c r="N73" s="19"/>
      <c r="O73" s="19"/>
      <c r="P73" s="19"/>
      <c r="Q73" s="19"/>
      <c r="R73" s="19"/>
    </row>
    <row r="74" spans="1:19" x14ac:dyDescent="0.25">
      <c r="A74" s="36" t="s">
        <v>77</v>
      </c>
      <c r="B74" s="40">
        <v>0</v>
      </c>
      <c r="C74" s="40">
        <v>0</v>
      </c>
      <c r="D74" s="40">
        <f t="shared" si="5"/>
        <v>0</v>
      </c>
      <c r="E74" s="41">
        <v>0</v>
      </c>
      <c r="F74" s="40">
        <f t="shared" si="35"/>
        <v>0</v>
      </c>
      <c r="G74" s="40">
        <f t="shared" si="2"/>
        <v>0</v>
      </c>
      <c r="H74" s="40">
        <f t="shared" si="6"/>
        <v>0</v>
      </c>
      <c r="I74" s="41">
        <v>0</v>
      </c>
      <c r="J74" s="40">
        <f t="shared" si="36"/>
        <v>0</v>
      </c>
      <c r="K74" s="40">
        <f t="shared" si="7"/>
        <v>0</v>
      </c>
      <c r="L74" s="40">
        <v>0</v>
      </c>
    </row>
    <row r="75" spans="1:19" x14ac:dyDescent="0.25">
      <c r="A75" s="36" t="s">
        <v>38</v>
      </c>
      <c r="B75" s="37">
        <f>B76</f>
        <v>0</v>
      </c>
      <c r="C75" s="37">
        <f>C76</f>
        <v>0</v>
      </c>
      <c r="D75" s="37">
        <f t="shared" ref="D75:I75" si="39">D76</f>
        <v>0</v>
      </c>
      <c r="E75" s="39">
        <f t="shared" si="39"/>
        <v>0</v>
      </c>
      <c r="F75" s="37">
        <f t="shared" si="35"/>
        <v>0</v>
      </c>
      <c r="G75" s="37">
        <f t="shared" si="2"/>
        <v>0</v>
      </c>
      <c r="H75" s="37">
        <f t="shared" si="39"/>
        <v>0</v>
      </c>
      <c r="I75" s="39">
        <f t="shared" si="39"/>
        <v>0</v>
      </c>
      <c r="J75" s="37">
        <f t="shared" si="36"/>
        <v>0</v>
      </c>
      <c r="K75" s="37">
        <f t="shared" si="7"/>
        <v>0</v>
      </c>
      <c r="L75" s="37">
        <f t="shared" ref="L75" si="40">L76</f>
        <v>0</v>
      </c>
    </row>
    <row r="76" spans="1:19" x14ac:dyDescent="0.25">
      <c r="A76" s="36" t="s">
        <v>78</v>
      </c>
      <c r="B76" s="40">
        <v>0</v>
      </c>
      <c r="C76" s="40">
        <v>0</v>
      </c>
      <c r="D76" s="40">
        <f t="shared" si="5"/>
        <v>0</v>
      </c>
      <c r="E76" s="41">
        <v>0</v>
      </c>
      <c r="F76" s="40">
        <f t="shared" si="35"/>
        <v>0</v>
      </c>
      <c r="G76" s="40">
        <f t="shared" si="2"/>
        <v>0</v>
      </c>
      <c r="H76" s="40">
        <f t="shared" si="6"/>
        <v>0</v>
      </c>
      <c r="I76" s="41">
        <v>0</v>
      </c>
      <c r="J76" s="40">
        <f t="shared" si="36"/>
        <v>0</v>
      </c>
      <c r="K76" s="40">
        <f t="shared" si="7"/>
        <v>0</v>
      </c>
      <c r="L76" s="40">
        <v>0</v>
      </c>
    </row>
    <row r="77" spans="1:19" x14ac:dyDescent="0.25">
      <c r="A77" s="36" t="s">
        <v>39</v>
      </c>
      <c r="B77" s="37">
        <f>B78</f>
        <v>0</v>
      </c>
      <c r="C77" s="37">
        <f>C78</f>
        <v>0</v>
      </c>
      <c r="D77" s="37">
        <f t="shared" ref="D77:I77" si="41">D78</f>
        <v>0</v>
      </c>
      <c r="E77" s="39">
        <f t="shared" si="41"/>
        <v>0</v>
      </c>
      <c r="F77" s="37">
        <f t="shared" si="35"/>
        <v>0</v>
      </c>
      <c r="G77" s="37">
        <f t="shared" si="2"/>
        <v>0</v>
      </c>
      <c r="H77" s="37">
        <f t="shared" si="41"/>
        <v>0</v>
      </c>
      <c r="I77" s="39">
        <f t="shared" si="41"/>
        <v>0</v>
      </c>
      <c r="J77" s="37">
        <f t="shared" si="36"/>
        <v>0</v>
      </c>
      <c r="K77" s="37">
        <f t="shared" si="7"/>
        <v>0</v>
      </c>
      <c r="L77" s="37">
        <f t="shared" ref="L77" si="42">L78</f>
        <v>0</v>
      </c>
      <c r="N77" s="6"/>
    </row>
    <row r="78" spans="1:19" x14ac:dyDescent="0.25">
      <c r="A78" s="36" t="s">
        <v>79</v>
      </c>
      <c r="B78" s="40">
        <v>0</v>
      </c>
      <c r="C78" s="40">
        <v>0</v>
      </c>
      <c r="D78" s="40">
        <f t="shared" si="5"/>
        <v>0</v>
      </c>
      <c r="E78" s="41">
        <v>0</v>
      </c>
      <c r="F78" s="40">
        <f t="shared" si="35"/>
        <v>0</v>
      </c>
      <c r="G78" s="40">
        <f t="shared" si="2"/>
        <v>0</v>
      </c>
      <c r="H78" s="40">
        <f t="shared" si="6"/>
        <v>0</v>
      </c>
      <c r="I78" s="41">
        <v>0</v>
      </c>
      <c r="J78" s="40">
        <f t="shared" si="36"/>
        <v>0</v>
      </c>
      <c r="K78" s="40">
        <f t="shared" si="7"/>
        <v>0</v>
      </c>
      <c r="L78" s="40">
        <v>0</v>
      </c>
    </row>
    <row r="79" spans="1:19" x14ac:dyDescent="0.25">
      <c r="A79" s="36" t="s">
        <v>40</v>
      </c>
      <c r="B79" s="37">
        <f>B80</f>
        <v>0</v>
      </c>
      <c r="C79" s="37">
        <f>C80</f>
        <v>0</v>
      </c>
      <c r="D79" s="37">
        <f t="shared" ref="D79:I79" si="43">D80</f>
        <v>0</v>
      </c>
      <c r="E79" s="39">
        <f t="shared" si="43"/>
        <v>0</v>
      </c>
      <c r="F79" s="37">
        <f t="shared" si="35"/>
        <v>0</v>
      </c>
      <c r="G79" s="37">
        <f t="shared" si="2"/>
        <v>0</v>
      </c>
      <c r="H79" s="37">
        <f t="shared" si="43"/>
        <v>0</v>
      </c>
      <c r="I79" s="39">
        <f t="shared" si="43"/>
        <v>0</v>
      </c>
      <c r="J79" s="37">
        <f t="shared" si="36"/>
        <v>0</v>
      </c>
      <c r="K79" s="37">
        <f t="shared" si="7"/>
        <v>0</v>
      </c>
      <c r="L79" s="37">
        <f t="shared" ref="L79" si="44">L80</f>
        <v>0</v>
      </c>
    </row>
    <row r="80" spans="1:19" x14ac:dyDescent="0.25">
      <c r="A80" s="36" t="s">
        <v>80</v>
      </c>
      <c r="B80" s="40">
        <v>0</v>
      </c>
      <c r="C80" s="40">
        <v>0</v>
      </c>
      <c r="D80" s="40">
        <f t="shared" si="5"/>
        <v>0</v>
      </c>
      <c r="E80" s="41">
        <v>0</v>
      </c>
      <c r="F80" s="40">
        <f t="shared" si="35"/>
        <v>0</v>
      </c>
      <c r="G80" s="40">
        <f t="shared" si="2"/>
        <v>0</v>
      </c>
      <c r="H80" s="40">
        <f t="shared" si="6"/>
        <v>0</v>
      </c>
      <c r="I80" s="41">
        <v>0</v>
      </c>
      <c r="J80" s="40">
        <f t="shared" si="36"/>
        <v>0</v>
      </c>
      <c r="K80" s="40">
        <f t="shared" si="7"/>
        <v>0</v>
      </c>
      <c r="L80" s="40">
        <v>0</v>
      </c>
    </row>
    <row r="81" spans="1:12" x14ac:dyDescent="0.25">
      <c r="A81" s="36" t="s">
        <v>41</v>
      </c>
      <c r="B81" s="37">
        <f>B82+B83</f>
        <v>0</v>
      </c>
      <c r="C81" s="37">
        <f>C82+C83</f>
        <v>0</v>
      </c>
      <c r="D81" s="37">
        <f t="shared" ref="D81:E81" si="45">D82+D83</f>
        <v>0</v>
      </c>
      <c r="E81" s="39">
        <f t="shared" si="45"/>
        <v>0</v>
      </c>
      <c r="F81" s="37">
        <f t="shared" si="35"/>
        <v>0</v>
      </c>
      <c r="G81" s="37">
        <f t="shared" si="2"/>
        <v>0</v>
      </c>
      <c r="H81" s="37">
        <f t="shared" ref="H81:I81" si="46">H82+H83</f>
        <v>0</v>
      </c>
      <c r="I81" s="39">
        <f t="shared" si="46"/>
        <v>0</v>
      </c>
      <c r="J81" s="37">
        <f t="shared" si="36"/>
        <v>0</v>
      </c>
      <c r="K81" s="37">
        <f t="shared" si="7"/>
        <v>0</v>
      </c>
      <c r="L81" s="37">
        <f t="shared" ref="L81" si="47">L82+L83</f>
        <v>0</v>
      </c>
    </row>
    <row r="82" spans="1:12" x14ac:dyDescent="0.25">
      <c r="A82" s="36" t="s">
        <v>81</v>
      </c>
      <c r="B82" s="40">
        <v>0</v>
      </c>
      <c r="C82" s="40">
        <v>0</v>
      </c>
      <c r="D82" s="40">
        <f t="shared" si="5"/>
        <v>0</v>
      </c>
      <c r="E82" s="41">
        <v>0</v>
      </c>
      <c r="F82" s="40">
        <f t="shared" si="35"/>
        <v>0</v>
      </c>
      <c r="G82" s="40">
        <f t="shared" si="2"/>
        <v>0</v>
      </c>
      <c r="H82" s="40">
        <f t="shared" si="6"/>
        <v>0</v>
      </c>
      <c r="I82" s="41">
        <v>0</v>
      </c>
      <c r="J82" s="40">
        <f t="shared" si="36"/>
        <v>0</v>
      </c>
      <c r="K82" s="40">
        <f t="shared" si="7"/>
        <v>0</v>
      </c>
      <c r="L82" s="40">
        <v>0</v>
      </c>
    </row>
    <row r="83" spans="1:12" x14ac:dyDescent="0.25">
      <c r="A83" s="36" t="s">
        <v>82</v>
      </c>
      <c r="B83" s="40">
        <v>0</v>
      </c>
      <c r="C83" s="40">
        <v>0</v>
      </c>
      <c r="D83" s="40">
        <f t="shared" si="5"/>
        <v>0</v>
      </c>
      <c r="E83" s="41">
        <v>0</v>
      </c>
      <c r="F83" s="40">
        <f t="shared" si="35"/>
        <v>0</v>
      </c>
      <c r="G83" s="40">
        <f t="shared" si="2"/>
        <v>0</v>
      </c>
      <c r="H83" s="40">
        <f t="shared" si="6"/>
        <v>0</v>
      </c>
      <c r="I83" s="41">
        <v>0</v>
      </c>
      <c r="J83" s="40">
        <f t="shared" si="36"/>
        <v>0</v>
      </c>
      <c r="K83" s="40">
        <f t="shared" si="7"/>
        <v>0</v>
      </c>
      <c r="L83" s="40">
        <v>0</v>
      </c>
    </row>
    <row r="84" spans="1:12" x14ac:dyDescent="0.25">
      <c r="A84" s="36" t="s">
        <v>42</v>
      </c>
      <c r="B84" s="37">
        <v>783000</v>
      </c>
      <c r="C84" s="37">
        <v>0</v>
      </c>
      <c r="D84" s="37">
        <f>E84</f>
        <v>0</v>
      </c>
      <c r="E84" s="39">
        <v>0</v>
      </c>
      <c r="F84" s="37">
        <f t="shared" si="35"/>
        <v>0</v>
      </c>
      <c r="G84" s="37">
        <f t="shared" si="2"/>
        <v>0</v>
      </c>
      <c r="H84" s="37">
        <f>I84</f>
        <v>0</v>
      </c>
      <c r="I84" s="39">
        <v>0</v>
      </c>
      <c r="J84" s="37">
        <f t="shared" si="36"/>
        <v>0</v>
      </c>
      <c r="K84" s="37">
        <f t="shared" si="7"/>
        <v>0</v>
      </c>
      <c r="L84" s="37">
        <v>0</v>
      </c>
    </row>
    <row r="85" spans="1:12" x14ac:dyDescent="0.25">
      <c r="A85" s="42" t="s">
        <v>11</v>
      </c>
      <c r="B85" s="43">
        <v>14440000</v>
      </c>
      <c r="C85" s="43">
        <f>3751000+1000</f>
        <v>3752000</v>
      </c>
      <c r="D85" s="37">
        <v>339534.46</v>
      </c>
      <c r="E85" s="53">
        <v>1132425.18</v>
      </c>
      <c r="F85" s="37">
        <f t="shared" si="35"/>
        <v>2.1194789577783513</v>
      </c>
      <c r="G85" s="37">
        <f>C85-E85</f>
        <v>2619574.8200000003</v>
      </c>
      <c r="H85" s="37">
        <v>339534.46</v>
      </c>
      <c r="I85" s="53">
        <v>1132425.18</v>
      </c>
      <c r="J85" s="37">
        <f t="shared" si="36"/>
        <v>2.7509411881888211</v>
      </c>
      <c r="K85" s="43">
        <f>C85-I85</f>
        <v>2619574.8200000003</v>
      </c>
      <c r="L85" s="43">
        <f>E85-I85</f>
        <v>0</v>
      </c>
    </row>
    <row r="86" spans="1:12" x14ac:dyDescent="0.25">
      <c r="A86" s="54" t="s">
        <v>23</v>
      </c>
      <c r="B86" s="55">
        <f>B17+B85</f>
        <v>78300000</v>
      </c>
      <c r="C86" s="55">
        <f>C17+C85</f>
        <v>81235394.310000002</v>
      </c>
      <c r="D86" s="55">
        <f>D17+D85</f>
        <v>12286352.93</v>
      </c>
      <c r="E86" s="55">
        <f>E17+E85</f>
        <v>53429413.670000002</v>
      </c>
      <c r="F86" s="55">
        <f t="shared" si="35"/>
        <v>100</v>
      </c>
      <c r="G86" s="55">
        <f t="shared" si="2"/>
        <v>27805980.640000001</v>
      </c>
      <c r="H86" s="55">
        <f>H17+H85</f>
        <v>12322053.110000001</v>
      </c>
      <c r="I86" s="55">
        <f>I17+I85</f>
        <v>41165008.720000006</v>
      </c>
      <c r="J86" s="55">
        <f t="shared" si="36"/>
        <v>100</v>
      </c>
      <c r="K86" s="55">
        <f>K17+K85</f>
        <v>40070385.589999996</v>
      </c>
      <c r="L86" s="55">
        <f>L17+L85</f>
        <v>12264404.949999996</v>
      </c>
    </row>
    <row r="87" spans="1:12" x14ac:dyDescent="0.25">
      <c r="A87" s="2"/>
      <c r="B87" s="3"/>
      <c r="C87" s="3"/>
      <c r="D87" s="5"/>
      <c r="E87" s="5"/>
      <c r="F87" s="5"/>
      <c r="G87" s="5"/>
      <c r="H87" s="5"/>
      <c r="I87" s="3"/>
      <c r="J87" s="3"/>
    </row>
    <row r="88" spans="1:12" s="6" customFormat="1" x14ac:dyDescent="0.25">
      <c r="C88" s="16"/>
    </row>
    <row r="89" spans="1:12" x14ac:dyDescent="0.25">
      <c r="D89" s="6"/>
      <c r="E89" s="6"/>
      <c r="F89" s="6"/>
      <c r="G89" s="6"/>
      <c r="H89" s="6"/>
      <c r="K89" s="6"/>
    </row>
    <row r="90" spans="1:12" ht="15.6" x14ac:dyDescent="0.3">
      <c r="A90" s="1"/>
      <c r="B90" s="1"/>
      <c r="C90" s="1"/>
      <c r="D90" s="14"/>
      <c r="E90" s="1"/>
      <c r="F90" s="1"/>
    </row>
    <row r="91" spans="1:12" x14ac:dyDescent="0.25">
      <c r="A91" s="65" t="s">
        <v>88</v>
      </c>
      <c r="B91" s="65"/>
      <c r="C91" s="65"/>
      <c r="D91" s="15"/>
      <c r="E91" s="12"/>
      <c r="F91" s="12"/>
      <c r="G91" s="64" t="s">
        <v>95</v>
      </c>
      <c r="H91" s="64"/>
      <c r="I91" s="64"/>
      <c r="J91" s="64"/>
      <c r="K91" s="64"/>
    </row>
    <row r="92" spans="1:12" ht="15.75" customHeight="1" x14ac:dyDescent="0.25">
      <c r="A92" s="65" t="s">
        <v>89</v>
      </c>
      <c r="B92" s="65"/>
      <c r="C92" s="65"/>
      <c r="D92" s="11"/>
      <c r="E92" s="12"/>
      <c r="F92" s="12"/>
      <c r="G92" s="64" t="s">
        <v>96</v>
      </c>
      <c r="H92" s="64"/>
      <c r="I92" s="64"/>
      <c r="J92" s="64"/>
      <c r="K92" s="64"/>
    </row>
    <row r="93" spans="1:12" x14ac:dyDescent="0.25">
      <c r="A93" s="65" t="s">
        <v>90</v>
      </c>
      <c r="B93" s="65"/>
      <c r="C93" s="65"/>
      <c r="D93" s="11"/>
      <c r="E93" s="12"/>
      <c r="F93" s="12"/>
      <c r="G93" s="64" t="s">
        <v>90</v>
      </c>
      <c r="H93" s="64"/>
      <c r="I93" s="64"/>
      <c r="J93" s="64"/>
      <c r="K93" s="64"/>
    </row>
    <row r="94" spans="1:12" s="1" customFormat="1" ht="15.6" x14ac:dyDescent="0.3">
      <c r="A94" s="65" t="s">
        <v>91</v>
      </c>
      <c r="B94" s="65"/>
      <c r="C94" s="65"/>
      <c r="D94" s="11"/>
      <c r="E94" s="12"/>
      <c r="F94" s="12"/>
      <c r="G94" s="66"/>
      <c r="H94" s="66"/>
      <c r="I94" s="66"/>
    </row>
    <row r="95" spans="1:12" s="1" customFormat="1" ht="15.6" x14ac:dyDescent="0.3">
      <c r="A95" s="13"/>
      <c r="B95" s="13"/>
      <c r="C95" s="12"/>
      <c r="D95" s="11"/>
      <c r="E95" s="12"/>
      <c r="F95" s="12"/>
      <c r="G95" s="66"/>
      <c r="H95" s="66"/>
      <c r="I95" s="66"/>
    </row>
    <row r="96" spans="1:12" s="1" customFormat="1" ht="15.6" x14ac:dyDescent="0.3">
      <c r="A96" s="13"/>
      <c r="B96" s="13"/>
      <c r="C96" s="12"/>
      <c r="D96" s="11"/>
      <c r="E96" s="12"/>
      <c r="F96" s="12"/>
      <c r="G96" s="66"/>
      <c r="H96" s="66"/>
      <c r="I96" s="66"/>
    </row>
    <row r="97" spans="1:11" s="1" customFormat="1" ht="15.6" x14ac:dyDescent="0.3">
      <c r="A97" s="13"/>
      <c r="B97" s="13"/>
      <c r="C97" s="12"/>
      <c r="D97" s="11"/>
      <c r="E97" s="12"/>
      <c r="F97" s="12"/>
      <c r="G97" s="66"/>
      <c r="H97" s="66"/>
      <c r="I97" s="66"/>
    </row>
    <row r="98" spans="1:11" s="1" customFormat="1" ht="15.6" x14ac:dyDescent="0.3">
      <c r="A98" s="65" t="s">
        <v>92</v>
      </c>
      <c r="B98" s="65"/>
      <c r="C98" s="65"/>
      <c r="D98" s="11"/>
      <c r="E98" s="12"/>
      <c r="F98" s="12"/>
      <c r="G98" s="64" t="s">
        <v>97</v>
      </c>
      <c r="H98" s="64"/>
      <c r="I98" s="64"/>
      <c r="J98" s="64"/>
      <c r="K98" s="64"/>
    </row>
    <row r="99" spans="1:11" x14ac:dyDescent="0.25">
      <c r="A99" s="65" t="s">
        <v>93</v>
      </c>
      <c r="B99" s="65"/>
      <c r="C99" s="65"/>
      <c r="D99" s="11"/>
      <c r="E99" s="12"/>
      <c r="F99" s="12"/>
      <c r="G99" s="64" t="s">
        <v>94</v>
      </c>
      <c r="H99" s="64"/>
      <c r="I99" s="64"/>
      <c r="J99" s="64"/>
      <c r="K99" s="64"/>
    </row>
  </sheetData>
  <sheetProtection algorithmName="SHA-512" hashValue="wfBf/TJDbGWuoJxfMduOClwtKa9XpRQfce6ibQVB8Sojldto6Sr48RS94RCcujOxp9Dz8elL2/lgevTncgHnLQ==" saltValue="uyXRDuFBrLzQ67lAhGo7aw==" spinCount="100000" sheet="1" objects="1" scenarios="1"/>
  <mergeCells count="22">
    <mergeCell ref="B12:L12"/>
    <mergeCell ref="D14:G14"/>
    <mergeCell ref="H14:K14"/>
    <mergeCell ref="A3:L3"/>
    <mergeCell ref="A7:L7"/>
    <mergeCell ref="A8:L8"/>
    <mergeCell ref="A9:L9"/>
    <mergeCell ref="A99:C99"/>
    <mergeCell ref="G99:K99"/>
    <mergeCell ref="A94:C94"/>
    <mergeCell ref="G94:I94"/>
    <mergeCell ref="G95:I95"/>
    <mergeCell ref="G96:I96"/>
    <mergeCell ref="G97:I97"/>
    <mergeCell ref="G91:K91"/>
    <mergeCell ref="G92:K92"/>
    <mergeCell ref="G93:K93"/>
    <mergeCell ref="A98:C98"/>
    <mergeCell ref="G98:K98"/>
    <mergeCell ref="A91:C91"/>
    <mergeCell ref="A92:C92"/>
    <mergeCell ref="A93:C93"/>
  </mergeCells>
  <pageMargins left="0.39370078740157483" right="0.39370078740157483" top="0.78740157480314965" bottom="0.59055118110236227" header="0.51181102362204722" footer="0.51181102362204722"/>
  <pageSetup paperSize="9"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E997-0634-459B-9A80-533C636A598F}">
  <dimension ref="A1:M148"/>
  <sheetViews>
    <sheetView workbookViewId="0">
      <selection activeCell="A8" sqref="A8:H8"/>
    </sheetView>
  </sheetViews>
  <sheetFormatPr defaultColWidth="9.109375" defaultRowHeight="15.6" x14ac:dyDescent="0.3"/>
  <cols>
    <col min="1" max="1" width="41.109375" style="1" customWidth="1"/>
    <col min="2" max="10" width="13.6640625" style="1" customWidth="1"/>
    <col min="11" max="11" width="19.6640625" style="1" customWidth="1"/>
    <col min="12" max="12" width="15.44140625" style="1" bestFit="1" customWidth="1"/>
    <col min="13" max="16384" width="9.109375" style="1"/>
  </cols>
  <sheetData>
    <row r="1" spans="1:10" x14ac:dyDescent="0.3">
      <c r="A1" s="74"/>
      <c r="B1" s="74"/>
      <c r="C1" s="74"/>
      <c r="D1" s="74"/>
      <c r="E1" s="74"/>
      <c r="F1" s="74"/>
      <c r="G1" s="74"/>
      <c r="H1" s="74"/>
      <c r="I1" s="57"/>
      <c r="J1" s="57"/>
    </row>
    <row r="2" spans="1:10" x14ac:dyDescent="0.3">
      <c r="A2" s="78" t="s">
        <v>85</v>
      </c>
      <c r="B2" s="78"/>
      <c r="C2" s="78"/>
      <c r="D2" s="78"/>
      <c r="E2" s="78"/>
      <c r="F2" s="78"/>
      <c r="G2" s="78"/>
      <c r="H2" s="78"/>
      <c r="I2" s="79"/>
      <c r="J2" s="57"/>
    </row>
    <row r="3" spans="1:10" x14ac:dyDescent="0.3">
      <c r="A3" s="78" t="s">
        <v>86</v>
      </c>
      <c r="B3" s="78"/>
      <c r="C3" s="78"/>
      <c r="D3" s="78"/>
      <c r="E3" s="78"/>
      <c r="F3" s="78"/>
      <c r="G3" s="78"/>
      <c r="H3" s="78"/>
      <c r="I3" s="79"/>
      <c r="J3" s="57"/>
    </row>
    <row r="4" spans="1:10" x14ac:dyDescent="0.3">
      <c r="A4" s="7"/>
      <c r="B4" s="7"/>
      <c r="C4" s="7"/>
      <c r="D4" s="7"/>
      <c r="E4" s="7"/>
      <c r="F4" s="7"/>
      <c r="G4" s="7"/>
      <c r="H4" s="7"/>
      <c r="I4" s="7"/>
      <c r="J4" s="57"/>
    </row>
    <row r="5" spans="1:10" x14ac:dyDescent="0.3">
      <c r="A5" s="7"/>
      <c r="B5" s="7"/>
      <c r="C5" s="7"/>
      <c r="D5" s="7"/>
      <c r="E5" s="7"/>
      <c r="F5" s="7"/>
      <c r="G5" s="7"/>
      <c r="H5" s="7"/>
      <c r="I5" s="7"/>
      <c r="J5" s="57"/>
    </row>
    <row r="6" spans="1:10" x14ac:dyDescent="0.3">
      <c r="A6" s="74" t="s">
        <v>101</v>
      </c>
      <c r="B6" s="74"/>
      <c r="C6" s="74"/>
      <c r="D6" s="74"/>
      <c r="E6" s="74"/>
      <c r="F6" s="74"/>
      <c r="G6" s="74"/>
      <c r="H6" s="74"/>
      <c r="I6" s="57"/>
      <c r="J6" s="57"/>
    </row>
    <row r="7" spans="1:10" x14ac:dyDescent="0.3">
      <c r="A7" s="75" t="s">
        <v>102</v>
      </c>
      <c r="B7" s="75"/>
      <c r="C7" s="75"/>
      <c r="D7" s="75"/>
      <c r="E7" s="75"/>
      <c r="F7" s="75"/>
      <c r="G7" s="75"/>
      <c r="H7" s="75"/>
      <c r="I7" s="58"/>
      <c r="J7" s="57"/>
    </row>
    <row r="8" spans="1:10" x14ac:dyDescent="0.3">
      <c r="A8" s="74" t="s">
        <v>103</v>
      </c>
      <c r="B8" s="74"/>
      <c r="C8" s="74"/>
      <c r="D8" s="74"/>
      <c r="E8" s="74"/>
      <c r="F8" s="74"/>
      <c r="G8" s="74"/>
      <c r="H8" s="74"/>
      <c r="I8" s="57"/>
      <c r="J8" s="57"/>
    </row>
    <row r="9" spans="1:10" x14ac:dyDescent="0.3">
      <c r="A9" s="74" t="s">
        <v>100</v>
      </c>
      <c r="B9" s="74"/>
      <c r="C9" s="74"/>
      <c r="D9" s="74"/>
      <c r="E9" s="74"/>
      <c r="F9" s="74"/>
      <c r="G9" s="74"/>
      <c r="H9" s="74"/>
      <c r="I9" s="57"/>
      <c r="J9" s="57"/>
    </row>
    <row r="10" spans="1:10" x14ac:dyDescent="0.3">
      <c r="A10" s="10"/>
      <c r="B10" s="10"/>
      <c r="C10" s="10"/>
      <c r="D10" s="10"/>
      <c r="E10" s="10"/>
      <c r="F10" s="10"/>
      <c r="G10" s="10"/>
      <c r="H10" s="10"/>
      <c r="I10" s="57"/>
      <c r="J10" s="57"/>
    </row>
    <row r="11" spans="1:10" x14ac:dyDescent="0.3">
      <c r="A11" s="10"/>
      <c r="B11" s="10"/>
      <c r="C11" s="10"/>
      <c r="D11" s="10"/>
      <c r="E11" s="10"/>
      <c r="F11" s="10"/>
      <c r="G11" s="10"/>
      <c r="H11" s="10"/>
      <c r="I11" s="57"/>
      <c r="J11" s="57"/>
    </row>
    <row r="12" spans="1:10" x14ac:dyDescent="0.3">
      <c r="A12" s="10"/>
      <c r="B12" s="10"/>
      <c r="C12" s="10"/>
      <c r="D12" s="10"/>
      <c r="E12" s="10"/>
      <c r="F12" s="10"/>
      <c r="G12" s="10"/>
      <c r="H12" s="10"/>
      <c r="I12" s="57"/>
      <c r="J12" s="57"/>
    </row>
    <row r="13" spans="1:10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3">
      <c r="A14" s="20" t="s">
        <v>104</v>
      </c>
      <c r="B14" s="22"/>
      <c r="C14" s="22"/>
      <c r="D14" s="22"/>
      <c r="E14" s="22"/>
      <c r="F14" s="22"/>
      <c r="G14" s="22"/>
      <c r="H14" s="23"/>
    </row>
    <row r="15" spans="1:10" x14ac:dyDescent="0.3">
      <c r="A15" s="80" t="s">
        <v>105</v>
      </c>
      <c r="B15" s="81" t="s">
        <v>106</v>
      </c>
      <c r="C15" s="82"/>
      <c r="D15" s="82"/>
      <c r="E15" s="82"/>
      <c r="F15" s="82"/>
      <c r="G15" s="82"/>
      <c r="H15" s="83"/>
    </row>
    <row r="16" spans="1:10" s="3" customFormat="1" ht="13.2" x14ac:dyDescent="0.25">
      <c r="A16" s="84"/>
      <c r="B16" s="85" t="s">
        <v>107</v>
      </c>
      <c r="C16" s="86" t="s">
        <v>107</v>
      </c>
      <c r="D16" s="87" t="s">
        <v>108</v>
      </c>
      <c r="E16" s="88"/>
      <c r="F16" s="88"/>
      <c r="G16" s="89"/>
      <c r="H16" s="86"/>
    </row>
    <row r="17" spans="1:13" s="3" customFormat="1" ht="13.2" x14ac:dyDescent="0.25">
      <c r="A17" s="84"/>
      <c r="B17" s="85" t="s">
        <v>4</v>
      </c>
      <c r="C17" s="86" t="s">
        <v>5</v>
      </c>
      <c r="D17" s="86" t="s">
        <v>98</v>
      </c>
      <c r="E17" s="90" t="s">
        <v>6</v>
      </c>
      <c r="F17" s="86" t="s">
        <v>99</v>
      </c>
      <c r="G17" s="90" t="s">
        <v>6</v>
      </c>
      <c r="H17" s="86" t="s">
        <v>7</v>
      </c>
    </row>
    <row r="18" spans="1:13" s="3" customFormat="1" ht="13.2" x14ac:dyDescent="0.25">
      <c r="A18" s="91"/>
      <c r="B18" s="92"/>
      <c r="C18" s="93" t="s">
        <v>8</v>
      </c>
      <c r="D18" s="93" t="s">
        <v>9</v>
      </c>
      <c r="E18" s="94" t="s">
        <v>109</v>
      </c>
      <c r="F18" s="93" t="s">
        <v>110</v>
      </c>
      <c r="G18" s="94" t="s">
        <v>111</v>
      </c>
      <c r="H18" s="93" t="s">
        <v>112</v>
      </c>
    </row>
    <row r="19" spans="1:13" x14ac:dyDescent="0.3">
      <c r="A19" s="95" t="s">
        <v>105</v>
      </c>
      <c r="B19" s="96" t="s">
        <v>113</v>
      </c>
      <c r="C19" s="96" t="s">
        <v>113</v>
      </c>
      <c r="D19" s="96" t="s">
        <v>113</v>
      </c>
      <c r="E19" s="96" t="s">
        <v>113</v>
      </c>
      <c r="F19" s="96" t="s">
        <v>113</v>
      </c>
      <c r="G19" s="96" t="s">
        <v>113</v>
      </c>
      <c r="H19" s="96" t="s">
        <v>113</v>
      </c>
      <c r="I19" s="3"/>
      <c r="J19" s="3"/>
    </row>
    <row r="20" spans="1:13" x14ac:dyDescent="0.3">
      <c r="A20" s="25" t="s">
        <v>114</v>
      </c>
      <c r="B20" s="61">
        <f>B21+B42</f>
        <v>78300000</v>
      </c>
      <c r="C20" s="61">
        <f>C21+C42</f>
        <v>78300000</v>
      </c>
      <c r="D20" s="97">
        <f>D21+D42</f>
        <v>12700921.98</v>
      </c>
      <c r="E20" s="59">
        <f>IFERROR(D20/C20*100,0)</f>
        <v>16.220845440613026</v>
      </c>
      <c r="F20" s="61">
        <f>F21+F42</f>
        <v>49661636.880000003</v>
      </c>
      <c r="G20" s="59">
        <f>IFERROR(F20/C20*100,0)</f>
        <v>63.424823601532566</v>
      </c>
      <c r="H20" s="61">
        <f>H21+H42</f>
        <v>28638363.120000001</v>
      </c>
      <c r="I20" s="3"/>
      <c r="J20" s="3"/>
      <c r="K20" s="14"/>
      <c r="M20" s="14"/>
    </row>
    <row r="21" spans="1:13" x14ac:dyDescent="0.3">
      <c r="A21" s="95" t="s">
        <v>115</v>
      </c>
      <c r="B21" s="61">
        <f>B22+B26+B29+B32+B34+B38</f>
        <v>75692000</v>
      </c>
      <c r="C21" s="61">
        <f>C22+C26+C29+C32+C34+C38</f>
        <v>75692000</v>
      </c>
      <c r="D21" s="98">
        <f>D22+D26+D29+D32+D34+D38</f>
        <v>12700921.98</v>
      </c>
      <c r="E21" s="61">
        <f t="shared" ref="E21:E61" si="0">IFERROR(D21/C21*100,0)</f>
        <v>16.779741557892514</v>
      </c>
      <c r="F21" s="99">
        <f>F22+F26+F29+F32+F34+F38</f>
        <v>48476461.039999999</v>
      </c>
      <c r="G21" s="61">
        <f t="shared" ref="G21:G61" si="1">IFERROR(F21/C21*100,0)</f>
        <v>64.044365375468999</v>
      </c>
      <c r="H21" s="100">
        <f t="shared" ref="H21:H31" si="2">C21-F21</f>
        <v>27215538.960000001</v>
      </c>
      <c r="I21" s="3"/>
      <c r="J21" s="3"/>
      <c r="K21" s="14"/>
      <c r="M21" s="14"/>
    </row>
    <row r="22" spans="1:13" x14ac:dyDescent="0.3">
      <c r="A22" s="25" t="s">
        <v>116</v>
      </c>
      <c r="B22" s="61">
        <f>B23+B24+B25</f>
        <v>325000</v>
      </c>
      <c r="C22" s="61">
        <f>C23+C24+C25</f>
        <v>325000</v>
      </c>
      <c r="D22" s="98">
        <f>D23+D24+D25</f>
        <v>79764.44</v>
      </c>
      <c r="E22" s="59">
        <f t="shared" si="0"/>
        <v>24.542904615384618</v>
      </c>
      <c r="F22" s="99">
        <f>F23+F24+F25</f>
        <v>257285.28</v>
      </c>
      <c r="G22" s="59">
        <f t="shared" si="1"/>
        <v>79.164701538461529</v>
      </c>
      <c r="H22" s="101">
        <f t="shared" si="2"/>
        <v>67714.720000000001</v>
      </c>
      <c r="I22" s="3"/>
      <c r="J22" s="3"/>
      <c r="K22" s="14"/>
      <c r="M22" s="14"/>
    </row>
    <row r="23" spans="1:13" x14ac:dyDescent="0.3">
      <c r="A23" s="25" t="s">
        <v>117</v>
      </c>
      <c r="B23" s="59">
        <v>0</v>
      </c>
      <c r="C23" s="59">
        <v>0</v>
      </c>
      <c r="D23" s="102">
        <v>0</v>
      </c>
      <c r="E23" s="59">
        <f t="shared" si="0"/>
        <v>0</v>
      </c>
      <c r="F23" s="59">
        <v>0</v>
      </c>
      <c r="G23" s="59">
        <f t="shared" si="1"/>
        <v>0</v>
      </c>
      <c r="H23" s="101">
        <f t="shared" si="2"/>
        <v>0</v>
      </c>
      <c r="I23" s="3"/>
      <c r="J23" s="3"/>
      <c r="K23" s="14"/>
      <c r="M23" s="14"/>
    </row>
    <row r="24" spans="1:13" x14ac:dyDescent="0.3">
      <c r="A24" s="25" t="s">
        <v>118</v>
      </c>
      <c r="B24" s="59">
        <v>325000</v>
      </c>
      <c r="C24" s="59">
        <v>325000</v>
      </c>
      <c r="D24" s="102">
        <v>79764.44</v>
      </c>
      <c r="E24" s="59">
        <f t="shared" si="0"/>
        <v>24.542904615384618</v>
      </c>
      <c r="F24" s="60">
        <v>257285.28</v>
      </c>
      <c r="G24" s="59">
        <f t="shared" si="1"/>
        <v>79.164701538461529</v>
      </c>
      <c r="H24" s="101">
        <f t="shared" si="2"/>
        <v>67714.720000000001</v>
      </c>
      <c r="I24" s="103"/>
      <c r="J24" s="103"/>
      <c r="K24" s="14"/>
      <c r="M24" s="14"/>
    </row>
    <row r="25" spans="1:13" x14ac:dyDescent="0.3">
      <c r="A25" s="25" t="s">
        <v>119</v>
      </c>
      <c r="B25" s="59">
        <v>0</v>
      </c>
      <c r="C25" s="59">
        <v>0</v>
      </c>
      <c r="D25" s="102">
        <v>0</v>
      </c>
      <c r="E25" s="59">
        <f t="shared" si="0"/>
        <v>0</v>
      </c>
      <c r="F25" s="60">
        <v>0</v>
      </c>
      <c r="G25" s="59">
        <f t="shared" si="1"/>
        <v>0</v>
      </c>
      <c r="H25" s="101">
        <f t="shared" si="2"/>
        <v>0</v>
      </c>
      <c r="I25" s="3"/>
      <c r="J25" s="103"/>
      <c r="K25" s="14"/>
      <c r="M25" s="14"/>
    </row>
    <row r="26" spans="1:13" x14ac:dyDescent="0.3">
      <c r="A26" s="25" t="s">
        <v>120</v>
      </c>
      <c r="B26" s="61">
        <f>B27+B28</f>
        <v>0</v>
      </c>
      <c r="C26" s="61">
        <f>C27+C28</f>
        <v>0</v>
      </c>
      <c r="D26" s="98">
        <f>D27+D28</f>
        <v>0</v>
      </c>
      <c r="E26" s="59">
        <f t="shared" si="0"/>
        <v>0</v>
      </c>
      <c r="F26" s="99">
        <f>F27+F28</f>
        <v>0</v>
      </c>
      <c r="G26" s="59">
        <f t="shared" si="1"/>
        <v>0</v>
      </c>
      <c r="H26" s="101">
        <f t="shared" si="2"/>
        <v>0</v>
      </c>
      <c r="I26" s="3"/>
      <c r="J26" s="103"/>
      <c r="K26" s="14"/>
      <c r="M26" s="14"/>
    </row>
    <row r="27" spans="1:13" x14ac:dyDescent="0.3">
      <c r="A27" s="25" t="s">
        <v>121</v>
      </c>
      <c r="B27" s="59">
        <v>0</v>
      </c>
      <c r="C27" s="59">
        <v>0</v>
      </c>
      <c r="D27" s="102">
        <v>0</v>
      </c>
      <c r="E27" s="59">
        <f t="shared" si="0"/>
        <v>0</v>
      </c>
      <c r="F27" s="60">
        <v>0</v>
      </c>
      <c r="G27" s="59">
        <f t="shared" si="1"/>
        <v>0</v>
      </c>
      <c r="H27" s="101">
        <f t="shared" si="2"/>
        <v>0</v>
      </c>
      <c r="I27" s="3"/>
      <c r="J27" s="103"/>
      <c r="K27" s="14"/>
      <c r="M27" s="14"/>
    </row>
    <row r="28" spans="1:13" x14ac:dyDescent="0.3">
      <c r="A28" s="25" t="s">
        <v>122</v>
      </c>
      <c r="B28" s="59">
        <v>0</v>
      </c>
      <c r="C28" s="59">
        <v>0</v>
      </c>
      <c r="D28" s="102">
        <v>0</v>
      </c>
      <c r="E28" s="59">
        <f t="shared" si="0"/>
        <v>0</v>
      </c>
      <c r="F28" s="60">
        <v>0</v>
      </c>
      <c r="G28" s="59">
        <f t="shared" si="1"/>
        <v>0</v>
      </c>
      <c r="H28" s="101">
        <f t="shared" si="2"/>
        <v>0</v>
      </c>
      <c r="I28" s="3"/>
      <c r="J28" s="103"/>
      <c r="K28" s="14"/>
      <c r="M28" s="14"/>
    </row>
    <row r="29" spans="1:13" x14ac:dyDescent="0.3">
      <c r="A29" s="25" t="s">
        <v>123</v>
      </c>
      <c r="B29" s="61">
        <f>+B30+B31</f>
        <v>166000</v>
      </c>
      <c r="C29" s="61">
        <f>+C30+C31</f>
        <v>166000</v>
      </c>
      <c r="D29" s="98">
        <f>+D30+D31</f>
        <v>297938.65000000002</v>
      </c>
      <c r="E29" s="59">
        <f t="shared" si="0"/>
        <v>179.48111445783135</v>
      </c>
      <c r="F29" s="99">
        <f>+F30+F31</f>
        <v>878332.41</v>
      </c>
      <c r="G29" s="59">
        <f t="shared" si="1"/>
        <v>529.11590963855429</v>
      </c>
      <c r="H29" s="101">
        <f t="shared" si="2"/>
        <v>-712332.41</v>
      </c>
      <c r="I29" s="3"/>
      <c r="J29" s="103"/>
      <c r="K29" s="14"/>
      <c r="M29" s="14"/>
    </row>
    <row r="30" spans="1:13" x14ac:dyDescent="0.3">
      <c r="A30" s="25" t="s">
        <v>124</v>
      </c>
      <c r="B30" s="59">
        <v>166000</v>
      </c>
      <c r="C30" s="59">
        <v>166000</v>
      </c>
      <c r="D30" s="102">
        <v>297938.65000000002</v>
      </c>
      <c r="E30" s="59">
        <f t="shared" si="0"/>
        <v>179.48111445783135</v>
      </c>
      <c r="F30" s="60">
        <v>878332.41</v>
      </c>
      <c r="G30" s="59">
        <f t="shared" si="1"/>
        <v>529.11590963855429</v>
      </c>
      <c r="H30" s="101">
        <f t="shared" si="2"/>
        <v>-712332.41</v>
      </c>
      <c r="I30" s="103"/>
      <c r="J30" s="103"/>
      <c r="K30" s="14"/>
      <c r="M30" s="14"/>
    </row>
    <row r="31" spans="1:13" x14ac:dyDescent="0.3">
      <c r="A31" s="25" t="s">
        <v>125</v>
      </c>
      <c r="B31" s="59">
        <v>0</v>
      </c>
      <c r="C31" s="59">
        <v>0</v>
      </c>
      <c r="D31" s="102">
        <v>0</v>
      </c>
      <c r="E31" s="59">
        <f t="shared" si="0"/>
        <v>0</v>
      </c>
      <c r="F31" s="60">
        <v>0</v>
      </c>
      <c r="G31" s="59">
        <f t="shared" si="1"/>
        <v>0</v>
      </c>
      <c r="H31" s="101">
        <f t="shared" si="2"/>
        <v>0</v>
      </c>
      <c r="I31" s="3"/>
      <c r="J31" s="103"/>
      <c r="K31" s="14"/>
      <c r="M31" s="14"/>
    </row>
    <row r="32" spans="1:13" x14ac:dyDescent="0.3">
      <c r="A32" s="25" t="s">
        <v>126</v>
      </c>
      <c r="B32" s="61">
        <f>B33</f>
        <v>71141000</v>
      </c>
      <c r="C32" s="61">
        <f>C33</f>
        <v>71141000</v>
      </c>
      <c r="D32" s="98">
        <f>D33</f>
        <v>11748477.800000001</v>
      </c>
      <c r="E32" s="59">
        <f t="shared" si="0"/>
        <v>16.514355716113073</v>
      </c>
      <c r="F32" s="99">
        <f>F33</f>
        <v>43390509.329999998</v>
      </c>
      <c r="G32" s="59">
        <f t="shared" si="1"/>
        <v>60.992267932697033</v>
      </c>
      <c r="H32" s="101">
        <f>H33</f>
        <v>27750490.670000002</v>
      </c>
      <c r="I32" s="3"/>
      <c r="J32" s="103"/>
      <c r="K32" s="14"/>
      <c r="M32" s="14"/>
    </row>
    <row r="33" spans="1:13" x14ac:dyDescent="0.3">
      <c r="A33" s="25" t="s">
        <v>127</v>
      </c>
      <c r="B33" s="59">
        <v>71141000</v>
      </c>
      <c r="C33" s="59">
        <v>71141000</v>
      </c>
      <c r="D33" s="102">
        <v>11748477.800000001</v>
      </c>
      <c r="E33" s="59">
        <f t="shared" si="0"/>
        <v>16.514355716113073</v>
      </c>
      <c r="F33" s="60">
        <v>43390509.329999998</v>
      </c>
      <c r="G33" s="59">
        <f t="shared" si="1"/>
        <v>60.992267932697033</v>
      </c>
      <c r="H33" s="101">
        <f>C33-F33</f>
        <v>27750490.670000002</v>
      </c>
      <c r="I33" s="103"/>
      <c r="J33" s="103"/>
      <c r="K33" s="14"/>
      <c r="M33" s="14"/>
    </row>
    <row r="34" spans="1:13" x14ac:dyDescent="0.3">
      <c r="A34" s="25" t="s">
        <v>128</v>
      </c>
      <c r="B34" s="61">
        <f>SUM(B35:B37)</f>
        <v>0</v>
      </c>
      <c r="C34" s="61">
        <f>SUM(C35:C37)</f>
        <v>0</v>
      </c>
      <c r="D34" s="97">
        <f>SUM(D35:D37)</f>
        <v>0</v>
      </c>
      <c r="E34" s="59">
        <f t="shared" si="0"/>
        <v>0</v>
      </c>
      <c r="F34" s="61">
        <f>SUM(F35:F37)</f>
        <v>0</v>
      </c>
      <c r="G34" s="59">
        <f t="shared" si="1"/>
        <v>0</v>
      </c>
      <c r="H34" s="61">
        <f>SUM(H35:H37)</f>
        <v>0</v>
      </c>
      <c r="I34" s="3"/>
      <c r="J34" s="103"/>
      <c r="K34" s="14"/>
      <c r="M34" s="14"/>
    </row>
    <row r="35" spans="1:13" x14ac:dyDescent="0.3">
      <c r="A35" s="25" t="s">
        <v>129</v>
      </c>
      <c r="B35" s="59">
        <v>0</v>
      </c>
      <c r="C35" s="59">
        <v>0</v>
      </c>
      <c r="D35" s="102">
        <v>0</v>
      </c>
      <c r="E35" s="59">
        <f t="shared" si="0"/>
        <v>0</v>
      </c>
      <c r="F35" s="60">
        <v>0</v>
      </c>
      <c r="G35" s="59">
        <f t="shared" si="1"/>
        <v>0</v>
      </c>
      <c r="H35" s="101">
        <f t="shared" ref="H35:H61" si="3">C35-F35</f>
        <v>0</v>
      </c>
      <c r="I35" s="5"/>
      <c r="J35" s="103"/>
      <c r="K35" s="14"/>
      <c r="M35" s="14"/>
    </row>
    <row r="36" spans="1:13" x14ac:dyDescent="0.3">
      <c r="A36" s="25" t="s">
        <v>130</v>
      </c>
      <c r="B36" s="104">
        <v>0</v>
      </c>
      <c r="C36" s="59">
        <v>0</v>
      </c>
      <c r="D36" s="102">
        <v>0</v>
      </c>
      <c r="E36" s="59">
        <f t="shared" si="0"/>
        <v>0</v>
      </c>
      <c r="F36" s="60">
        <v>0</v>
      </c>
      <c r="G36" s="59">
        <f t="shared" si="1"/>
        <v>0</v>
      </c>
      <c r="H36" s="101">
        <f t="shared" si="3"/>
        <v>0</v>
      </c>
      <c r="I36" s="5"/>
      <c r="J36" s="3"/>
      <c r="K36" s="14"/>
      <c r="M36" s="14"/>
    </row>
    <row r="37" spans="1:13" x14ac:dyDescent="0.3">
      <c r="A37" s="25" t="s">
        <v>131</v>
      </c>
      <c r="B37" s="105">
        <v>0</v>
      </c>
      <c r="C37" s="59">
        <v>0</v>
      </c>
      <c r="D37" s="102">
        <v>0</v>
      </c>
      <c r="E37" s="59">
        <f t="shared" si="0"/>
        <v>0</v>
      </c>
      <c r="F37" s="60">
        <v>0</v>
      </c>
      <c r="G37" s="59">
        <f t="shared" si="1"/>
        <v>0</v>
      </c>
      <c r="H37" s="101">
        <f t="shared" si="3"/>
        <v>0</v>
      </c>
      <c r="I37" s="3"/>
      <c r="J37" s="3"/>
      <c r="K37" s="14"/>
      <c r="M37" s="14"/>
    </row>
    <row r="38" spans="1:13" x14ac:dyDescent="0.3">
      <c r="A38" s="106" t="s">
        <v>132</v>
      </c>
      <c r="B38" s="97">
        <f>B39+B40+B41</f>
        <v>4060000</v>
      </c>
      <c r="C38" s="97">
        <f>C39+C40+C41</f>
        <v>4060000</v>
      </c>
      <c r="D38" s="98">
        <f>D39+D40+D41</f>
        <v>574741.09000000008</v>
      </c>
      <c r="E38" s="107">
        <f t="shared" si="0"/>
        <v>14.156184482758622</v>
      </c>
      <c r="F38" s="98">
        <f>F39+F40+F41</f>
        <v>3950334.02</v>
      </c>
      <c r="G38" s="107">
        <f t="shared" si="1"/>
        <v>97.298867487684731</v>
      </c>
      <c r="H38" s="108">
        <f t="shared" si="3"/>
        <v>109665.97999999998</v>
      </c>
      <c r="I38" s="3"/>
      <c r="J38" s="3"/>
      <c r="K38" s="14"/>
      <c r="M38" s="14"/>
    </row>
    <row r="39" spans="1:13" x14ac:dyDescent="0.3">
      <c r="A39" s="106" t="s">
        <v>133</v>
      </c>
      <c r="B39" s="107">
        <v>0</v>
      </c>
      <c r="C39" s="107">
        <v>0</v>
      </c>
      <c r="D39" s="102">
        <v>0</v>
      </c>
      <c r="E39" s="107">
        <f t="shared" si="0"/>
        <v>0</v>
      </c>
      <c r="F39" s="102">
        <v>0</v>
      </c>
      <c r="G39" s="107">
        <f t="shared" si="1"/>
        <v>0</v>
      </c>
      <c r="H39" s="109">
        <f t="shared" si="3"/>
        <v>0</v>
      </c>
      <c r="I39" s="3"/>
      <c r="J39" s="3"/>
      <c r="K39" s="14"/>
      <c r="M39" s="14"/>
    </row>
    <row r="40" spans="1:13" x14ac:dyDescent="0.3">
      <c r="A40" s="106" t="s">
        <v>134</v>
      </c>
      <c r="B40" s="107">
        <v>50000</v>
      </c>
      <c r="C40" s="107">
        <v>50000</v>
      </c>
      <c r="D40" s="102">
        <v>1521.91</v>
      </c>
      <c r="E40" s="107">
        <f t="shared" si="0"/>
        <v>3.0438200000000002</v>
      </c>
      <c r="F40" s="60">
        <v>4587.3999999999996</v>
      </c>
      <c r="G40" s="107">
        <f t="shared" si="1"/>
        <v>9.1747999999999994</v>
      </c>
      <c r="H40" s="109">
        <f t="shared" si="3"/>
        <v>45412.6</v>
      </c>
      <c r="I40" s="3"/>
      <c r="J40" s="3"/>
      <c r="K40" s="14"/>
      <c r="M40" s="14"/>
    </row>
    <row r="41" spans="1:13" x14ac:dyDescent="0.3">
      <c r="A41" s="106" t="s">
        <v>135</v>
      </c>
      <c r="B41" s="107">
        <v>4010000</v>
      </c>
      <c r="C41" s="107">
        <v>4010000</v>
      </c>
      <c r="D41" s="102">
        <v>573219.18000000005</v>
      </c>
      <c r="E41" s="107">
        <f t="shared" si="0"/>
        <v>14.294742643391523</v>
      </c>
      <c r="F41" s="60">
        <f>687064.85+258511.83+2982552.95+17616.99</f>
        <v>3945746.62</v>
      </c>
      <c r="G41" s="107">
        <f t="shared" si="1"/>
        <v>98.397671321695768</v>
      </c>
      <c r="H41" s="109">
        <f t="shared" si="3"/>
        <v>64253.379999999888</v>
      </c>
      <c r="I41" s="103"/>
      <c r="J41" s="103"/>
      <c r="K41" s="14"/>
      <c r="M41" s="14"/>
    </row>
    <row r="42" spans="1:13" x14ac:dyDescent="0.3">
      <c r="A42" s="110" t="s">
        <v>136</v>
      </c>
      <c r="B42" s="97">
        <f>B43+B45+B48+B51</f>
        <v>2608000</v>
      </c>
      <c r="C42" s="97">
        <f>C43+C45+C48+C51</f>
        <v>2608000</v>
      </c>
      <c r="D42" s="98">
        <f>D43+D45+D48+D51</f>
        <v>0</v>
      </c>
      <c r="E42" s="97">
        <f t="shared" si="0"/>
        <v>0</v>
      </c>
      <c r="F42" s="98">
        <f>F43+F45+F48+F51</f>
        <v>1185175.8400000001</v>
      </c>
      <c r="G42" s="97">
        <f t="shared" si="1"/>
        <v>45.443858895705525</v>
      </c>
      <c r="H42" s="108">
        <f t="shared" si="3"/>
        <v>1422824.16</v>
      </c>
      <c r="I42" s="3"/>
      <c r="J42" s="3"/>
      <c r="K42" s="14"/>
      <c r="M42" s="14"/>
    </row>
    <row r="43" spans="1:13" x14ac:dyDescent="0.3">
      <c r="A43" s="106" t="s">
        <v>137</v>
      </c>
      <c r="B43" s="97">
        <f>B44</f>
        <v>1000</v>
      </c>
      <c r="C43" s="97">
        <f>C44</f>
        <v>1000</v>
      </c>
      <c r="D43" s="98">
        <v>0</v>
      </c>
      <c r="E43" s="107">
        <f t="shared" si="0"/>
        <v>0</v>
      </c>
      <c r="F43" s="98">
        <f>F44</f>
        <v>0</v>
      </c>
      <c r="G43" s="107">
        <f t="shared" si="1"/>
        <v>0</v>
      </c>
      <c r="H43" s="109">
        <f t="shared" si="3"/>
        <v>1000</v>
      </c>
      <c r="I43" s="3"/>
      <c r="J43" s="3"/>
      <c r="K43" s="14"/>
      <c r="M43" s="14"/>
    </row>
    <row r="44" spans="1:13" x14ac:dyDescent="0.3">
      <c r="A44" s="106" t="s">
        <v>138</v>
      </c>
      <c r="B44" s="107">
        <v>1000</v>
      </c>
      <c r="C44" s="107">
        <v>1000</v>
      </c>
      <c r="D44" s="102">
        <v>0</v>
      </c>
      <c r="E44" s="107">
        <f t="shared" si="0"/>
        <v>0</v>
      </c>
      <c r="F44" s="102">
        <v>0</v>
      </c>
      <c r="G44" s="107">
        <f t="shared" si="1"/>
        <v>0</v>
      </c>
      <c r="H44" s="109">
        <f t="shared" si="3"/>
        <v>1000</v>
      </c>
      <c r="I44" s="3"/>
      <c r="J44" s="3"/>
      <c r="K44" s="14"/>
      <c r="M44" s="14"/>
    </row>
    <row r="45" spans="1:13" x14ac:dyDescent="0.3">
      <c r="A45" s="106" t="s">
        <v>139</v>
      </c>
      <c r="B45" s="97">
        <f>B46+B47</f>
        <v>2000</v>
      </c>
      <c r="C45" s="97">
        <f>C46+C47</f>
        <v>2000</v>
      </c>
      <c r="D45" s="98">
        <f>D46+D47</f>
        <v>0</v>
      </c>
      <c r="E45" s="107">
        <f t="shared" si="0"/>
        <v>0</v>
      </c>
      <c r="F45" s="98">
        <f>F46+F47</f>
        <v>0</v>
      </c>
      <c r="G45" s="107">
        <f t="shared" si="1"/>
        <v>0</v>
      </c>
      <c r="H45" s="109">
        <f t="shared" si="3"/>
        <v>2000</v>
      </c>
      <c r="I45" s="3"/>
      <c r="J45" s="3"/>
      <c r="K45" s="14"/>
      <c r="M45" s="14"/>
    </row>
    <row r="46" spans="1:13" x14ac:dyDescent="0.3">
      <c r="A46" s="106" t="s">
        <v>140</v>
      </c>
      <c r="B46" s="107">
        <v>1000</v>
      </c>
      <c r="C46" s="107">
        <v>1000</v>
      </c>
      <c r="D46" s="102">
        <v>0</v>
      </c>
      <c r="E46" s="107">
        <f t="shared" si="0"/>
        <v>0</v>
      </c>
      <c r="F46" s="102">
        <v>0</v>
      </c>
      <c r="G46" s="107">
        <f t="shared" si="1"/>
        <v>0</v>
      </c>
      <c r="H46" s="109">
        <f t="shared" si="3"/>
        <v>1000</v>
      </c>
      <c r="I46" s="3"/>
      <c r="J46" s="3"/>
      <c r="K46" s="14"/>
      <c r="M46" s="14"/>
    </row>
    <row r="47" spans="1:13" x14ac:dyDescent="0.3">
      <c r="A47" s="106" t="s">
        <v>141</v>
      </c>
      <c r="B47" s="107">
        <v>1000</v>
      </c>
      <c r="C47" s="107">
        <v>1000</v>
      </c>
      <c r="D47" s="102">
        <v>0</v>
      </c>
      <c r="E47" s="107">
        <f t="shared" si="0"/>
        <v>0</v>
      </c>
      <c r="F47" s="102">
        <v>0</v>
      </c>
      <c r="G47" s="107">
        <f t="shared" si="1"/>
        <v>0</v>
      </c>
      <c r="H47" s="109">
        <f t="shared" si="3"/>
        <v>1000</v>
      </c>
      <c r="I47" s="3"/>
      <c r="J47" s="5"/>
      <c r="K47" s="14"/>
      <c r="M47" s="14"/>
    </row>
    <row r="48" spans="1:13" x14ac:dyDescent="0.3">
      <c r="A48" s="106" t="s">
        <v>142</v>
      </c>
      <c r="B48" s="97">
        <f>B49+B50</f>
        <v>0</v>
      </c>
      <c r="C48" s="97">
        <f>C49+C50</f>
        <v>0</v>
      </c>
      <c r="D48" s="98">
        <f>D49+D50</f>
        <v>0</v>
      </c>
      <c r="E48" s="107">
        <f t="shared" si="0"/>
        <v>0</v>
      </c>
      <c r="F48" s="98">
        <f>F49+F50</f>
        <v>0</v>
      </c>
      <c r="G48" s="107">
        <f t="shared" si="1"/>
        <v>0</v>
      </c>
      <c r="H48" s="109">
        <f t="shared" si="3"/>
        <v>0</v>
      </c>
      <c r="I48" s="3"/>
      <c r="J48" s="5"/>
      <c r="K48" s="14"/>
      <c r="M48" s="14"/>
    </row>
    <row r="49" spans="1:13" x14ac:dyDescent="0.3">
      <c r="A49" s="106" t="s">
        <v>129</v>
      </c>
      <c r="B49" s="107">
        <f>0</f>
        <v>0</v>
      </c>
      <c r="C49" s="107">
        <v>0</v>
      </c>
      <c r="D49" s="102">
        <v>0</v>
      </c>
      <c r="E49" s="107">
        <f t="shared" si="0"/>
        <v>0</v>
      </c>
      <c r="F49" s="102">
        <v>0</v>
      </c>
      <c r="G49" s="107">
        <f t="shared" si="1"/>
        <v>0</v>
      </c>
      <c r="H49" s="109">
        <f t="shared" si="3"/>
        <v>0</v>
      </c>
      <c r="I49" s="3"/>
      <c r="J49" s="3"/>
      <c r="K49" s="14"/>
      <c r="M49" s="14"/>
    </row>
    <row r="50" spans="1:13" x14ac:dyDescent="0.3">
      <c r="A50" s="106" t="s">
        <v>130</v>
      </c>
      <c r="B50" s="107">
        <v>0</v>
      </c>
      <c r="C50" s="107">
        <v>0</v>
      </c>
      <c r="D50" s="102">
        <v>0</v>
      </c>
      <c r="E50" s="107">
        <f t="shared" si="0"/>
        <v>0</v>
      </c>
      <c r="F50" s="102">
        <v>0</v>
      </c>
      <c r="G50" s="107">
        <f t="shared" si="1"/>
        <v>0</v>
      </c>
      <c r="H50" s="109">
        <f t="shared" si="3"/>
        <v>0</v>
      </c>
      <c r="I50" s="3"/>
      <c r="J50" s="3"/>
      <c r="K50" s="14"/>
      <c r="M50" s="14"/>
    </row>
    <row r="51" spans="1:13" x14ac:dyDescent="0.3">
      <c r="A51" s="106" t="s">
        <v>143</v>
      </c>
      <c r="B51" s="97">
        <f>B52</f>
        <v>2605000</v>
      </c>
      <c r="C51" s="97">
        <f>C52</f>
        <v>2605000</v>
      </c>
      <c r="D51" s="97">
        <f>D52</f>
        <v>0</v>
      </c>
      <c r="E51" s="107">
        <f t="shared" si="0"/>
        <v>0</v>
      </c>
      <c r="F51" s="98">
        <f>F52</f>
        <v>1185175.8400000001</v>
      </c>
      <c r="G51" s="107">
        <f t="shared" si="1"/>
        <v>45.496193474088294</v>
      </c>
      <c r="H51" s="109">
        <f>C51-F51</f>
        <v>1419824.16</v>
      </c>
      <c r="I51" s="3"/>
      <c r="J51" s="3"/>
      <c r="K51" s="14"/>
      <c r="M51" s="14"/>
    </row>
    <row r="52" spans="1:13" x14ac:dyDescent="0.3">
      <c r="A52" s="106" t="s">
        <v>144</v>
      </c>
      <c r="B52" s="107">
        <v>2605000</v>
      </c>
      <c r="C52" s="107">
        <v>2605000</v>
      </c>
      <c r="D52" s="102">
        <v>0</v>
      </c>
      <c r="E52" s="107">
        <f t="shared" si="0"/>
        <v>0</v>
      </c>
      <c r="F52" s="60">
        <v>1185175.8400000001</v>
      </c>
      <c r="G52" s="107">
        <f t="shared" si="1"/>
        <v>45.496193474088294</v>
      </c>
      <c r="H52" s="109">
        <f t="shared" si="3"/>
        <v>1419824.16</v>
      </c>
      <c r="I52" s="3"/>
      <c r="J52" s="5"/>
      <c r="K52" s="14"/>
      <c r="M52" s="14"/>
    </row>
    <row r="53" spans="1:13" x14ac:dyDescent="0.3">
      <c r="A53" s="110" t="s">
        <v>145</v>
      </c>
      <c r="B53" s="97">
        <v>0</v>
      </c>
      <c r="C53" s="97">
        <v>0</v>
      </c>
      <c r="D53" s="98">
        <v>0</v>
      </c>
      <c r="E53" s="97">
        <f t="shared" si="0"/>
        <v>0</v>
      </c>
      <c r="F53" s="97">
        <v>354839.67</v>
      </c>
      <c r="G53" s="97">
        <f t="shared" si="1"/>
        <v>0</v>
      </c>
      <c r="H53" s="108">
        <f t="shared" si="3"/>
        <v>-354839.67</v>
      </c>
      <c r="I53" s="3"/>
      <c r="J53" s="3"/>
      <c r="K53" s="14"/>
      <c r="M53" s="14"/>
    </row>
    <row r="54" spans="1:13" x14ac:dyDescent="0.3">
      <c r="A54" s="110" t="s">
        <v>146</v>
      </c>
      <c r="B54" s="97">
        <f>B20+B53</f>
        <v>78300000</v>
      </c>
      <c r="C54" s="97">
        <f>C20+C53</f>
        <v>78300000</v>
      </c>
      <c r="D54" s="98">
        <f>D20+D53</f>
        <v>12700921.98</v>
      </c>
      <c r="E54" s="97">
        <f t="shared" si="0"/>
        <v>16.220845440613026</v>
      </c>
      <c r="F54" s="98">
        <f>F20+F53</f>
        <v>50016476.550000004</v>
      </c>
      <c r="G54" s="97">
        <f t="shared" si="1"/>
        <v>63.878003256704986</v>
      </c>
      <c r="H54" s="108">
        <f t="shared" si="3"/>
        <v>28283523.449999996</v>
      </c>
      <c r="I54" s="3"/>
      <c r="J54" s="3"/>
      <c r="K54" s="14"/>
      <c r="M54" s="14"/>
    </row>
    <row r="55" spans="1:13" x14ac:dyDescent="0.3">
      <c r="A55" s="110" t="s">
        <v>147</v>
      </c>
      <c r="B55" s="97">
        <f>B56+B59</f>
        <v>0</v>
      </c>
      <c r="C55" s="97">
        <f>C56+C59</f>
        <v>0</v>
      </c>
      <c r="D55" s="98">
        <f>D56+D59</f>
        <v>0</v>
      </c>
      <c r="E55" s="97">
        <f t="shared" si="0"/>
        <v>0</v>
      </c>
      <c r="F55" s="98">
        <f>F56+F59</f>
        <v>0</v>
      </c>
      <c r="G55" s="97">
        <f t="shared" si="1"/>
        <v>0</v>
      </c>
      <c r="H55" s="108">
        <f t="shared" si="3"/>
        <v>0</v>
      </c>
      <c r="I55" s="3"/>
      <c r="J55" s="3"/>
      <c r="K55" s="14"/>
      <c r="M55" s="14"/>
    </row>
    <row r="56" spans="1:13" x14ac:dyDescent="0.3">
      <c r="A56" s="106" t="s">
        <v>148</v>
      </c>
      <c r="B56" s="97">
        <f>B57+B58</f>
        <v>0</v>
      </c>
      <c r="C56" s="97">
        <f>C57+C58</f>
        <v>0</v>
      </c>
      <c r="D56" s="98">
        <f>D57+D58</f>
        <v>0</v>
      </c>
      <c r="E56" s="107">
        <f t="shared" si="0"/>
        <v>0</v>
      </c>
      <c r="F56" s="98">
        <f>F57+F58</f>
        <v>0</v>
      </c>
      <c r="G56" s="107">
        <f t="shared" si="1"/>
        <v>0</v>
      </c>
      <c r="H56" s="109">
        <f t="shared" si="3"/>
        <v>0</v>
      </c>
      <c r="I56" s="3"/>
      <c r="J56" s="3"/>
      <c r="K56" s="14"/>
      <c r="M56" s="14"/>
    </row>
    <row r="57" spans="1:13" x14ac:dyDescent="0.3">
      <c r="A57" s="106" t="s">
        <v>149</v>
      </c>
      <c r="B57" s="107">
        <v>0</v>
      </c>
      <c r="C57" s="107">
        <v>0</v>
      </c>
      <c r="D57" s="60">
        <f>F57</f>
        <v>0</v>
      </c>
      <c r="E57" s="107">
        <f t="shared" si="0"/>
        <v>0</v>
      </c>
      <c r="F57" s="102">
        <v>0</v>
      </c>
      <c r="G57" s="107">
        <f t="shared" si="1"/>
        <v>0</v>
      </c>
      <c r="H57" s="109">
        <f t="shared" si="3"/>
        <v>0</v>
      </c>
      <c r="I57" s="3"/>
      <c r="J57" s="3"/>
      <c r="K57" s="14"/>
      <c r="M57" s="14"/>
    </row>
    <row r="58" spans="1:13" x14ac:dyDescent="0.3">
      <c r="A58" s="106" t="s">
        <v>150</v>
      </c>
      <c r="B58" s="107">
        <v>0</v>
      </c>
      <c r="C58" s="107">
        <v>0</v>
      </c>
      <c r="D58" s="60">
        <f t="shared" ref="D58" si="4">F58</f>
        <v>0</v>
      </c>
      <c r="E58" s="107">
        <f t="shared" si="0"/>
        <v>0</v>
      </c>
      <c r="F58" s="102">
        <v>0</v>
      </c>
      <c r="G58" s="107">
        <f t="shared" si="1"/>
        <v>0</v>
      </c>
      <c r="H58" s="109">
        <f t="shared" si="3"/>
        <v>0</v>
      </c>
      <c r="I58" s="3"/>
      <c r="J58" s="3"/>
      <c r="K58" s="14"/>
      <c r="M58" s="14"/>
    </row>
    <row r="59" spans="1:13" x14ac:dyDescent="0.3">
      <c r="A59" s="106" t="s">
        <v>151</v>
      </c>
      <c r="B59" s="97">
        <f>B60+B61</f>
        <v>0</v>
      </c>
      <c r="C59" s="97">
        <f>C60+C61</f>
        <v>0</v>
      </c>
      <c r="D59" s="98">
        <f>D60+D61</f>
        <v>0</v>
      </c>
      <c r="E59" s="107">
        <f t="shared" si="0"/>
        <v>0</v>
      </c>
      <c r="F59" s="98">
        <f>F60+F61</f>
        <v>0</v>
      </c>
      <c r="G59" s="107">
        <f t="shared" si="1"/>
        <v>0</v>
      </c>
      <c r="H59" s="109">
        <f t="shared" si="3"/>
        <v>0</v>
      </c>
      <c r="I59" s="3"/>
      <c r="J59" s="3"/>
      <c r="K59" s="14"/>
      <c r="M59" s="14"/>
    </row>
    <row r="60" spans="1:13" x14ac:dyDescent="0.3">
      <c r="A60" s="106" t="s">
        <v>149</v>
      </c>
      <c r="B60" s="107">
        <v>0</v>
      </c>
      <c r="C60" s="107">
        <v>0</v>
      </c>
      <c r="D60" s="60">
        <f t="shared" ref="D60:D61" si="5">F60</f>
        <v>0</v>
      </c>
      <c r="E60" s="107">
        <f t="shared" si="0"/>
        <v>0</v>
      </c>
      <c r="F60" s="102">
        <v>0</v>
      </c>
      <c r="G60" s="107">
        <f t="shared" si="1"/>
        <v>0</v>
      </c>
      <c r="H60" s="109">
        <f t="shared" si="3"/>
        <v>0</v>
      </c>
      <c r="I60" s="3"/>
      <c r="J60" s="3"/>
      <c r="K60" s="14"/>
      <c r="M60" s="14"/>
    </row>
    <row r="61" spans="1:13" x14ac:dyDescent="0.3">
      <c r="A61" s="106" t="s">
        <v>150</v>
      </c>
      <c r="B61" s="107">
        <v>0</v>
      </c>
      <c r="C61" s="107">
        <v>0</v>
      </c>
      <c r="D61" s="60">
        <f t="shared" si="5"/>
        <v>0</v>
      </c>
      <c r="E61" s="107">
        <f t="shared" si="0"/>
        <v>0</v>
      </c>
      <c r="F61" s="102">
        <v>0</v>
      </c>
      <c r="G61" s="107">
        <f t="shared" si="1"/>
        <v>0</v>
      </c>
      <c r="H61" s="109">
        <f t="shared" si="3"/>
        <v>0</v>
      </c>
      <c r="I61" s="3"/>
      <c r="J61" s="3"/>
      <c r="K61" s="14"/>
      <c r="M61" s="14"/>
    </row>
    <row r="62" spans="1:13" x14ac:dyDescent="0.3">
      <c r="A62" s="111" t="s">
        <v>152</v>
      </c>
      <c r="B62" s="112">
        <f>B54+B55</f>
        <v>78300000</v>
      </c>
      <c r="C62" s="113">
        <f>C54+C55</f>
        <v>78300000</v>
      </c>
      <c r="D62" s="112">
        <f>D54+D55</f>
        <v>12700921.98</v>
      </c>
      <c r="E62" s="112">
        <f t="shared" ref="E62" si="6">D62/C62*100</f>
        <v>16.220845440613026</v>
      </c>
      <c r="F62" s="114">
        <f>F54+F55</f>
        <v>50016476.550000004</v>
      </c>
      <c r="G62" s="114">
        <f t="shared" ref="G62" si="7">F62/C62*100</f>
        <v>63.878003256704986</v>
      </c>
      <c r="H62" s="115">
        <f>C62-F62</f>
        <v>28283523.449999996</v>
      </c>
      <c r="I62" s="3"/>
      <c r="J62" s="103"/>
      <c r="K62" s="14"/>
      <c r="M62" s="14"/>
    </row>
    <row r="63" spans="1:13" x14ac:dyDescent="0.3">
      <c r="A63" s="116" t="s">
        <v>153</v>
      </c>
      <c r="B63" s="117" t="s">
        <v>154</v>
      </c>
      <c r="C63" s="118"/>
      <c r="D63" s="119"/>
      <c r="E63" s="120"/>
      <c r="F63" s="121">
        <v>0</v>
      </c>
      <c r="G63" s="119"/>
      <c r="H63" s="119"/>
      <c r="I63" s="122" t="s">
        <v>154</v>
      </c>
      <c r="J63" s="3"/>
      <c r="K63" s="14"/>
      <c r="M63" s="14"/>
    </row>
    <row r="64" spans="1:13" x14ac:dyDescent="0.3">
      <c r="A64" s="116" t="s">
        <v>155</v>
      </c>
      <c r="B64" s="115">
        <f>B62</f>
        <v>78300000</v>
      </c>
      <c r="C64" s="123">
        <f>C62</f>
        <v>78300000</v>
      </c>
      <c r="D64" s="115">
        <f>D62</f>
        <v>12700921.98</v>
      </c>
      <c r="E64" s="124">
        <f>D64/C64*100</f>
        <v>16.220845440613026</v>
      </c>
      <c r="F64" s="115">
        <f>F62</f>
        <v>50016476.550000004</v>
      </c>
      <c r="G64" s="114">
        <f>F64/C64*100</f>
        <v>63.878003256704986</v>
      </c>
      <c r="H64" s="115">
        <f>C64-F64</f>
        <v>28283523.449999996</v>
      </c>
      <c r="I64" s="125" t="s">
        <v>154</v>
      </c>
      <c r="J64" s="125"/>
      <c r="K64" s="14"/>
      <c r="M64" s="14"/>
    </row>
    <row r="65" spans="1:13" x14ac:dyDescent="0.3">
      <c r="A65" s="126" t="s">
        <v>156</v>
      </c>
      <c r="B65" s="127" t="s">
        <v>154</v>
      </c>
      <c r="C65" s="123">
        <f>C66+C67</f>
        <v>0</v>
      </c>
      <c r="D65" s="117" t="s">
        <v>154</v>
      </c>
      <c r="E65" s="120"/>
      <c r="F65" s="128">
        <f>F66+F67</f>
        <v>2500000</v>
      </c>
      <c r="G65" s="119"/>
      <c r="H65" s="119"/>
      <c r="I65" s="122" t="s">
        <v>154</v>
      </c>
      <c r="J65" s="3"/>
      <c r="K65" s="14"/>
      <c r="M65" s="14"/>
    </row>
    <row r="66" spans="1:13" x14ac:dyDescent="0.3">
      <c r="A66" s="129" t="s">
        <v>157</v>
      </c>
      <c r="B66" s="127" t="s">
        <v>154</v>
      </c>
      <c r="C66" s="130">
        <v>0</v>
      </c>
      <c r="D66" s="117"/>
      <c r="E66" s="117"/>
      <c r="F66" s="131">
        <v>0</v>
      </c>
      <c r="G66" s="117"/>
      <c r="H66" s="132"/>
      <c r="I66" s="3"/>
      <c r="J66" s="3"/>
      <c r="K66" s="14"/>
      <c r="M66" s="14"/>
    </row>
    <row r="67" spans="1:13" x14ac:dyDescent="0.3">
      <c r="A67" s="133" t="s">
        <v>158</v>
      </c>
      <c r="B67" s="127" t="s">
        <v>154</v>
      </c>
      <c r="C67" s="131">
        <v>0</v>
      </c>
      <c r="D67" s="117"/>
      <c r="E67" s="117"/>
      <c r="F67" s="134">
        <v>2500000</v>
      </c>
      <c r="G67" s="117"/>
      <c r="H67" s="132"/>
      <c r="I67" s="3"/>
      <c r="J67" s="3"/>
      <c r="K67" s="14"/>
      <c r="M67" s="14"/>
    </row>
    <row r="68" spans="1:13" x14ac:dyDescent="0.3">
      <c r="A68" s="135"/>
      <c r="B68" s="136"/>
      <c r="C68" s="137"/>
      <c r="D68" s="138"/>
      <c r="E68" s="137"/>
      <c r="F68" s="137" t="s">
        <v>159</v>
      </c>
      <c r="G68" s="139"/>
      <c r="H68" s="140"/>
      <c r="I68" s="3"/>
      <c r="J68" s="3"/>
      <c r="K68" s="14"/>
      <c r="M68" s="14"/>
    </row>
    <row r="69" spans="1:13" x14ac:dyDescent="0.3">
      <c r="A69" s="135"/>
      <c r="B69" s="136"/>
      <c r="C69" s="137"/>
      <c r="D69" s="138"/>
      <c r="E69" s="137"/>
      <c r="F69" s="137"/>
      <c r="G69" s="139"/>
      <c r="H69" s="140"/>
      <c r="I69" s="3"/>
      <c r="J69" s="3"/>
      <c r="K69" s="141"/>
    </row>
    <row r="70" spans="1:13" x14ac:dyDescent="0.3">
      <c r="A70" s="135"/>
      <c r="B70" s="136"/>
      <c r="C70" s="137"/>
      <c r="D70" s="138"/>
      <c r="E70" s="137"/>
      <c r="F70" s="137"/>
      <c r="G70" s="139"/>
      <c r="H70" s="140"/>
      <c r="I70" s="3"/>
      <c r="J70" s="3"/>
      <c r="K70" s="141"/>
    </row>
    <row r="71" spans="1:13" s="14" customFormat="1" x14ac:dyDescent="0.3">
      <c r="A71" s="142"/>
      <c r="B71" s="143"/>
      <c r="C71" s="143"/>
      <c r="D71" s="141"/>
      <c r="E71" s="141"/>
      <c r="F71" s="141"/>
      <c r="G71" s="5"/>
      <c r="H71" s="5"/>
      <c r="I71" s="5"/>
      <c r="J71" s="5"/>
      <c r="K71" s="141"/>
    </row>
    <row r="72" spans="1:13" x14ac:dyDescent="0.3">
      <c r="A72" s="13" t="s">
        <v>88</v>
      </c>
      <c r="B72" s="13"/>
      <c r="C72" s="12"/>
      <c r="D72" s="11"/>
      <c r="E72" s="12"/>
      <c r="F72" s="77" t="s">
        <v>95</v>
      </c>
      <c r="G72" s="77"/>
      <c r="H72" s="77"/>
      <c r="I72" s="144"/>
      <c r="J72" s="144"/>
      <c r="K72" s="122"/>
    </row>
    <row r="73" spans="1:13" x14ac:dyDescent="0.3">
      <c r="A73" s="13" t="s">
        <v>89</v>
      </c>
      <c r="B73" s="13"/>
      <c r="C73" s="12"/>
      <c r="D73" s="11"/>
      <c r="E73" s="12"/>
      <c r="F73" s="77" t="s">
        <v>96</v>
      </c>
      <c r="G73" s="77"/>
      <c r="H73" s="77"/>
      <c r="I73" s="144"/>
      <c r="J73" s="144"/>
      <c r="K73" s="122"/>
    </row>
    <row r="74" spans="1:13" x14ac:dyDescent="0.3">
      <c r="A74" s="13" t="s">
        <v>90</v>
      </c>
      <c r="B74" s="13"/>
      <c r="C74" s="12"/>
      <c r="D74" s="11"/>
      <c r="E74" s="12"/>
      <c r="F74" s="77" t="s">
        <v>90</v>
      </c>
      <c r="G74" s="77"/>
      <c r="H74" s="77"/>
      <c r="I74" s="144"/>
      <c r="J74" s="144"/>
      <c r="K74" s="122"/>
    </row>
    <row r="75" spans="1:13" x14ac:dyDescent="0.3">
      <c r="A75" s="13" t="s">
        <v>91</v>
      </c>
      <c r="B75" s="13"/>
      <c r="C75" s="12"/>
      <c r="D75" s="11"/>
      <c r="E75" s="12"/>
      <c r="F75" s="12"/>
      <c r="G75" s="145"/>
      <c r="H75" s="145"/>
      <c r="I75" s="145"/>
      <c r="J75" s="3"/>
      <c r="K75" s="122"/>
    </row>
    <row r="76" spans="1:13" x14ac:dyDescent="0.3">
      <c r="A76" s="13"/>
      <c r="B76" s="13"/>
      <c r="C76" s="12"/>
      <c r="D76" s="11"/>
      <c r="E76" s="12"/>
      <c r="F76" s="12"/>
      <c r="G76" s="145"/>
      <c r="H76" s="145"/>
      <c r="I76" s="145"/>
      <c r="J76" s="3"/>
      <c r="K76" s="122"/>
    </row>
    <row r="77" spans="1:13" x14ac:dyDescent="0.3">
      <c r="A77" s="13"/>
      <c r="B77" s="13"/>
      <c r="C77" s="12"/>
      <c r="D77" s="11"/>
      <c r="E77" s="12"/>
      <c r="F77" s="12"/>
      <c r="G77" s="145"/>
      <c r="H77" s="145"/>
      <c r="I77" s="145"/>
      <c r="J77" s="3"/>
      <c r="K77" s="122"/>
    </row>
    <row r="78" spans="1:13" x14ac:dyDescent="0.3">
      <c r="A78" s="13"/>
      <c r="B78" s="13"/>
      <c r="C78" s="12"/>
      <c r="D78" s="11"/>
      <c r="E78" s="12"/>
      <c r="F78" s="12"/>
      <c r="G78" s="145"/>
      <c r="H78" s="145"/>
      <c r="I78" s="145"/>
      <c r="J78" s="3"/>
      <c r="K78" s="122"/>
    </row>
    <row r="79" spans="1:13" x14ac:dyDescent="0.3">
      <c r="A79" s="13"/>
      <c r="B79" s="13"/>
      <c r="C79" s="12"/>
      <c r="D79" s="11"/>
      <c r="E79" s="12"/>
      <c r="F79" s="146"/>
      <c r="G79" s="146"/>
      <c r="H79" s="146"/>
      <c r="I79" s="145"/>
      <c r="J79" s="3"/>
      <c r="K79" s="122"/>
    </row>
    <row r="80" spans="1:13" x14ac:dyDescent="0.3">
      <c r="A80" s="13" t="s">
        <v>92</v>
      </c>
      <c r="B80" s="13"/>
      <c r="C80" s="12"/>
      <c r="D80" s="11"/>
      <c r="E80" s="12"/>
      <c r="F80" s="77" t="s">
        <v>97</v>
      </c>
      <c r="G80" s="77"/>
      <c r="H80" s="77"/>
      <c r="I80" s="144"/>
      <c r="J80" s="3"/>
      <c r="K80" s="122"/>
    </row>
    <row r="81" spans="1:11" x14ac:dyDescent="0.3">
      <c r="A81" s="13" t="s">
        <v>93</v>
      </c>
      <c r="B81" s="13"/>
      <c r="C81" s="12"/>
      <c r="D81" s="11"/>
      <c r="E81" s="12"/>
      <c r="F81" s="77" t="s">
        <v>94</v>
      </c>
      <c r="G81" s="77"/>
      <c r="H81" s="77"/>
      <c r="I81" s="144"/>
      <c r="J81" s="3"/>
      <c r="K81" s="122"/>
    </row>
    <row r="82" spans="1:11" x14ac:dyDescent="0.3">
      <c r="A82" s="147"/>
      <c r="B82" s="125"/>
      <c r="C82" s="148"/>
      <c r="D82" s="122"/>
      <c r="E82" s="148"/>
      <c r="F82" s="148"/>
      <c r="G82" s="5"/>
      <c r="H82" s="3"/>
      <c r="I82" s="3"/>
      <c r="J82" s="3"/>
      <c r="K82" s="122"/>
    </row>
    <row r="83" spans="1:11" x14ac:dyDescent="0.3">
      <c r="A83" s="147"/>
      <c r="B83" s="125"/>
      <c r="C83" s="148"/>
      <c r="D83" s="122"/>
      <c r="E83" s="148"/>
      <c r="F83" s="148"/>
      <c r="G83" s="5"/>
      <c r="H83" s="3"/>
      <c r="I83" s="3"/>
      <c r="J83" s="3"/>
      <c r="K83" s="122"/>
    </row>
    <row r="84" spans="1:11" x14ac:dyDescent="0.3">
      <c r="A84" s="147"/>
      <c r="B84" s="125"/>
      <c r="C84" s="148"/>
      <c r="D84" s="122"/>
      <c r="E84" s="148"/>
      <c r="F84" s="148"/>
      <c r="G84" s="5"/>
      <c r="H84" s="3"/>
      <c r="I84" s="3"/>
      <c r="J84" s="3"/>
      <c r="K84" s="122"/>
    </row>
    <row r="85" spans="1:11" x14ac:dyDescent="0.3">
      <c r="A85" s="147"/>
      <c r="B85" s="125"/>
      <c r="C85" s="148"/>
      <c r="D85" s="122"/>
      <c r="E85" s="148"/>
      <c r="F85" s="148"/>
      <c r="G85" s="5"/>
      <c r="H85" s="3"/>
      <c r="I85" s="3"/>
      <c r="J85" s="3"/>
      <c r="K85" s="122"/>
    </row>
    <row r="86" spans="1:11" x14ac:dyDescent="0.3">
      <c r="A86" s="147"/>
      <c r="B86" s="125"/>
      <c r="C86" s="148"/>
      <c r="D86" s="122"/>
      <c r="E86" s="148"/>
      <c r="F86" s="148"/>
      <c r="G86" s="5"/>
      <c r="H86" s="3"/>
      <c r="I86" s="3"/>
      <c r="J86" s="3"/>
      <c r="K86" s="122"/>
    </row>
    <row r="87" spans="1:11" x14ac:dyDescent="0.3">
      <c r="A87" s="147"/>
      <c r="B87" s="125"/>
      <c r="C87" s="148"/>
      <c r="D87" s="122"/>
      <c r="E87" s="148"/>
      <c r="F87" s="148"/>
      <c r="G87" s="5"/>
      <c r="H87" s="3"/>
      <c r="I87" s="3"/>
      <c r="J87" s="3"/>
      <c r="K87" s="122"/>
    </row>
    <row r="88" spans="1:11" x14ac:dyDescent="0.3">
      <c r="A88" s="147"/>
      <c r="B88" s="125"/>
      <c r="C88" s="148"/>
      <c r="D88" s="122"/>
      <c r="E88" s="148"/>
      <c r="F88" s="148"/>
      <c r="G88" s="5"/>
      <c r="H88" s="3"/>
      <c r="I88" s="3"/>
      <c r="J88" s="3"/>
      <c r="K88" s="122"/>
    </row>
    <row r="89" spans="1:11" x14ac:dyDescent="0.3">
      <c r="A89" s="147"/>
      <c r="B89" s="125"/>
      <c r="C89" s="148"/>
      <c r="D89" s="122"/>
      <c r="E89" s="148"/>
      <c r="F89" s="148"/>
      <c r="G89" s="5"/>
      <c r="H89" s="3"/>
      <c r="I89" s="3"/>
      <c r="J89" s="3"/>
      <c r="K89" s="122"/>
    </row>
    <row r="90" spans="1:11" x14ac:dyDescent="0.3">
      <c r="A90" s="147"/>
      <c r="B90" s="125"/>
      <c r="C90" s="148"/>
      <c r="D90" s="122"/>
      <c r="E90" s="148"/>
      <c r="F90" s="148"/>
      <c r="G90" s="5"/>
      <c r="H90" s="3"/>
      <c r="I90" s="3"/>
      <c r="J90" s="3"/>
      <c r="K90" s="122"/>
    </row>
    <row r="91" spans="1:11" x14ac:dyDescent="0.3">
      <c r="A91" s="147"/>
      <c r="B91" s="125"/>
      <c r="C91" s="148"/>
      <c r="D91" s="122"/>
      <c r="E91" s="148"/>
      <c r="F91" s="148"/>
      <c r="G91" s="5"/>
      <c r="H91" s="3"/>
      <c r="I91" s="3"/>
      <c r="J91" s="3"/>
      <c r="K91" s="122"/>
    </row>
    <row r="92" spans="1:11" x14ac:dyDescent="0.3">
      <c r="A92" s="147"/>
      <c r="B92" s="125"/>
      <c r="C92" s="148"/>
      <c r="D92" s="122"/>
      <c r="E92" s="148"/>
      <c r="F92" s="148"/>
      <c r="G92" s="5"/>
      <c r="H92" s="3"/>
      <c r="I92" s="3"/>
      <c r="J92" s="3"/>
      <c r="K92" s="122"/>
    </row>
    <row r="93" spans="1:11" x14ac:dyDescent="0.3">
      <c r="A93" s="147"/>
      <c r="B93" s="125"/>
      <c r="C93" s="148"/>
      <c r="D93" s="122"/>
      <c r="E93" s="148"/>
      <c r="F93" s="148"/>
      <c r="G93" s="5"/>
      <c r="H93" s="3"/>
      <c r="I93" s="3"/>
      <c r="J93" s="3"/>
      <c r="K93" s="122"/>
    </row>
    <row r="94" spans="1:11" x14ac:dyDescent="0.3">
      <c r="A94" s="147"/>
      <c r="B94" s="125"/>
      <c r="C94" s="148"/>
      <c r="D94" s="122"/>
      <c r="E94" s="148"/>
      <c r="F94" s="148"/>
      <c r="G94" s="5"/>
      <c r="H94" s="3"/>
      <c r="I94" s="3"/>
      <c r="J94" s="3"/>
      <c r="K94" s="122"/>
    </row>
    <row r="95" spans="1:11" x14ac:dyDescent="0.3">
      <c r="A95" s="147"/>
      <c r="B95" s="125"/>
      <c r="C95" s="148"/>
      <c r="D95" s="122"/>
      <c r="E95" s="148"/>
      <c r="F95" s="148"/>
      <c r="G95" s="5"/>
      <c r="H95" s="3"/>
      <c r="I95" s="3"/>
      <c r="J95" s="3"/>
      <c r="K95" s="122"/>
    </row>
    <row r="96" spans="1:11" x14ac:dyDescent="0.3">
      <c r="A96" s="147"/>
      <c r="B96" s="125"/>
      <c r="C96" s="148"/>
      <c r="D96" s="122"/>
      <c r="E96" s="148"/>
      <c r="F96" s="148"/>
      <c r="G96" s="5"/>
      <c r="H96" s="3"/>
      <c r="I96" s="3"/>
      <c r="J96" s="3"/>
      <c r="K96" s="122"/>
    </row>
    <row r="97" spans="1:11" x14ac:dyDescent="0.3">
      <c r="A97" s="10"/>
      <c r="B97" s="10"/>
      <c r="C97" s="10"/>
      <c r="D97" s="10"/>
      <c r="E97" s="10"/>
      <c r="F97" s="10"/>
      <c r="G97" s="10"/>
      <c r="H97" s="10"/>
      <c r="I97" s="57"/>
      <c r="J97" s="3"/>
      <c r="K97" s="122"/>
    </row>
    <row r="98" spans="1:11" x14ac:dyDescent="0.3">
      <c r="A98" s="78" t="s">
        <v>85</v>
      </c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1:11" x14ac:dyDescent="0.3">
      <c r="A99" s="78" t="s">
        <v>86</v>
      </c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1:11" customFormat="1" ht="15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</row>
    <row r="101" spans="1:11" customFormat="1" ht="15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</row>
    <row r="102" spans="1:11" s="8" customFormat="1" ht="15.75" customHeight="1" x14ac:dyDescent="0.25">
      <c r="A102" s="74" t="s">
        <v>101</v>
      </c>
      <c r="B102" s="74"/>
      <c r="C102" s="74"/>
      <c r="D102" s="74"/>
      <c r="E102" s="74"/>
      <c r="F102" s="74"/>
      <c r="G102" s="74"/>
      <c r="H102" s="74"/>
      <c r="I102" s="74"/>
      <c r="J102" s="74"/>
      <c r="K102" s="74"/>
    </row>
    <row r="103" spans="1:11" s="8" customFormat="1" ht="15.75" customHeight="1" x14ac:dyDescent="0.25">
      <c r="A103" s="75" t="s">
        <v>102</v>
      </c>
      <c r="B103" s="75"/>
      <c r="C103" s="75"/>
      <c r="D103" s="75"/>
      <c r="E103" s="75"/>
      <c r="F103" s="75"/>
      <c r="G103" s="75"/>
      <c r="H103" s="75"/>
      <c r="I103" s="75"/>
      <c r="J103" s="75"/>
      <c r="K103" s="75"/>
    </row>
    <row r="104" spans="1:11" s="8" customFormat="1" ht="15.75" customHeight="1" x14ac:dyDescent="0.25">
      <c r="A104" s="74" t="s">
        <v>103</v>
      </c>
      <c r="B104" s="74"/>
      <c r="C104" s="74"/>
      <c r="D104" s="74"/>
      <c r="E104" s="74"/>
      <c r="F104" s="74"/>
      <c r="G104" s="74"/>
      <c r="H104" s="74"/>
      <c r="I104" s="74"/>
      <c r="J104" s="74"/>
      <c r="K104" s="74"/>
    </row>
    <row r="105" spans="1:11" s="8" customFormat="1" ht="15.75" customHeight="1" x14ac:dyDescent="0.25">
      <c r="A105" s="74" t="s">
        <v>100</v>
      </c>
      <c r="B105" s="74"/>
      <c r="C105" s="74"/>
      <c r="D105" s="74"/>
      <c r="E105" s="74"/>
      <c r="F105" s="74"/>
      <c r="G105" s="74"/>
      <c r="H105" s="74"/>
      <c r="I105" s="74"/>
      <c r="J105" s="74"/>
      <c r="K105" s="74"/>
    </row>
    <row r="106" spans="1:1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 x14ac:dyDescent="0.3">
      <c r="A107" s="20" t="s">
        <v>160</v>
      </c>
      <c r="B107" s="22"/>
      <c r="C107" s="22"/>
      <c r="D107" s="22"/>
      <c r="E107" s="22"/>
      <c r="F107" s="22"/>
      <c r="G107" s="22"/>
      <c r="H107" s="23"/>
      <c r="I107" s="21"/>
      <c r="J107" s="21"/>
      <c r="K107" s="22"/>
    </row>
    <row r="108" spans="1:11" x14ac:dyDescent="0.3">
      <c r="A108" s="149"/>
      <c r="B108" s="81" t="s">
        <v>161</v>
      </c>
      <c r="C108" s="82"/>
      <c r="D108" s="82"/>
      <c r="E108" s="82"/>
      <c r="F108" s="82"/>
      <c r="G108" s="82"/>
      <c r="H108" s="82"/>
      <c r="I108" s="82"/>
      <c r="J108" s="82"/>
      <c r="K108" s="83"/>
    </row>
    <row r="109" spans="1:11" s="3" customFormat="1" ht="13.2" x14ac:dyDescent="0.25">
      <c r="A109" s="150"/>
      <c r="B109" s="85" t="s">
        <v>1</v>
      </c>
      <c r="C109" s="86" t="s">
        <v>1</v>
      </c>
      <c r="D109" s="87" t="s">
        <v>2</v>
      </c>
      <c r="E109" s="89"/>
      <c r="F109" s="86"/>
      <c r="G109" s="87" t="s">
        <v>3</v>
      </c>
      <c r="H109" s="89"/>
      <c r="I109" s="86"/>
      <c r="J109" s="151" t="s">
        <v>162</v>
      </c>
      <c r="K109" s="152" t="s">
        <v>18</v>
      </c>
    </row>
    <row r="110" spans="1:11" s="3" customFormat="1" ht="13.2" x14ac:dyDescent="0.25">
      <c r="A110" s="153" t="s">
        <v>163</v>
      </c>
      <c r="B110" s="85" t="s">
        <v>4</v>
      </c>
      <c r="C110" s="86" t="s">
        <v>5</v>
      </c>
      <c r="D110" s="154" t="s">
        <v>98</v>
      </c>
      <c r="E110" s="154" t="s">
        <v>99</v>
      </c>
      <c r="F110" s="86" t="s">
        <v>7</v>
      </c>
      <c r="G110" s="155" t="s">
        <v>98</v>
      </c>
      <c r="H110" s="154" t="s">
        <v>164</v>
      </c>
      <c r="I110" s="86" t="s">
        <v>7</v>
      </c>
      <c r="J110" s="151" t="s">
        <v>165</v>
      </c>
      <c r="K110" s="156" t="s">
        <v>19</v>
      </c>
    </row>
    <row r="111" spans="1:11" s="3" customFormat="1" ht="13.2" x14ac:dyDescent="0.25">
      <c r="A111" s="153"/>
      <c r="B111" s="85"/>
      <c r="C111" s="86"/>
      <c r="D111" s="86"/>
      <c r="E111" s="86"/>
      <c r="F111" s="86"/>
      <c r="G111" s="85"/>
      <c r="H111" s="86"/>
      <c r="I111" s="86"/>
      <c r="J111" s="151" t="s">
        <v>166</v>
      </c>
      <c r="K111" s="156" t="s">
        <v>20</v>
      </c>
    </row>
    <row r="112" spans="1:11" s="3" customFormat="1" ht="13.2" x14ac:dyDescent="0.25">
      <c r="A112" s="157"/>
      <c r="B112" s="158" t="s">
        <v>167</v>
      </c>
      <c r="C112" s="93" t="s">
        <v>168</v>
      </c>
      <c r="D112" s="93" t="s">
        <v>154</v>
      </c>
      <c r="E112" s="93" t="s">
        <v>21</v>
      </c>
      <c r="F112" s="93" t="s">
        <v>169</v>
      </c>
      <c r="G112" s="158" t="s">
        <v>154</v>
      </c>
      <c r="H112" s="93" t="s">
        <v>170</v>
      </c>
      <c r="I112" s="93" t="s">
        <v>171</v>
      </c>
      <c r="J112" s="159" t="s">
        <v>172</v>
      </c>
      <c r="K112" s="160" t="s">
        <v>173</v>
      </c>
    </row>
    <row r="113" spans="1:12" s="3" customFormat="1" ht="13.2" x14ac:dyDescent="0.25">
      <c r="A113" s="161" t="s">
        <v>163</v>
      </c>
      <c r="B113" s="162" t="s">
        <v>113</v>
      </c>
      <c r="C113" s="162" t="s">
        <v>113</v>
      </c>
      <c r="D113" s="162" t="s">
        <v>113</v>
      </c>
      <c r="E113" s="162" t="s">
        <v>113</v>
      </c>
      <c r="F113" s="162" t="s">
        <v>113</v>
      </c>
      <c r="G113" s="162" t="s">
        <v>113</v>
      </c>
      <c r="H113" s="162" t="s">
        <v>113</v>
      </c>
      <c r="I113" s="162" t="s">
        <v>113</v>
      </c>
      <c r="J113" s="163" t="s">
        <v>113</v>
      </c>
      <c r="K113" s="163" t="s">
        <v>113</v>
      </c>
    </row>
    <row r="114" spans="1:12" x14ac:dyDescent="0.3">
      <c r="A114" s="95" t="s">
        <v>174</v>
      </c>
      <c r="B114" s="61">
        <f>B115+B119+B123</f>
        <v>63859000</v>
      </c>
      <c r="C114" s="61">
        <f t="shared" ref="C114:J114" si="8">C115+C119+C123</f>
        <v>77483394.310000002</v>
      </c>
      <c r="D114" s="61">
        <f>D115+D119+D123</f>
        <v>11946818.470000001</v>
      </c>
      <c r="E114" s="100">
        <f>E115+E119+E123</f>
        <v>52296988.490000002</v>
      </c>
      <c r="F114" s="61">
        <f t="shared" si="8"/>
        <v>25186405.82</v>
      </c>
      <c r="G114" s="61">
        <f>G115+G119+G123</f>
        <v>11982518.649999999</v>
      </c>
      <c r="H114" s="61">
        <f t="shared" si="8"/>
        <v>40032583.539999999</v>
      </c>
      <c r="I114" s="61">
        <f t="shared" si="8"/>
        <v>25932223.759999998</v>
      </c>
      <c r="J114" s="61">
        <f t="shared" si="8"/>
        <v>38837281.639999993</v>
      </c>
      <c r="K114" s="61">
        <f>K115+K119+K123</f>
        <v>12264404.949999999</v>
      </c>
    </row>
    <row r="115" spans="1:12" x14ac:dyDescent="0.3">
      <c r="A115" s="95" t="s">
        <v>175</v>
      </c>
      <c r="B115" s="61">
        <f>B116+B117+B118</f>
        <v>53031000</v>
      </c>
      <c r="C115" s="61">
        <f t="shared" ref="C115:J115" si="9">C116+C117+C118</f>
        <v>59863500</v>
      </c>
      <c r="D115" s="61">
        <f>D116+D117+D118</f>
        <v>9306697.7200000007</v>
      </c>
      <c r="E115" s="100">
        <f t="shared" si="9"/>
        <v>44445479.609999999</v>
      </c>
      <c r="F115" s="61">
        <f t="shared" si="9"/>
        <v>15418020.390000001</v>
      </c>
      <c r="G115" s="61">
        <f>G116+G117+G118</f>
        <v>10143299.189999999</v>
      </c>
      <c r="H115" s="61">
        <f t="shared" si="9"/>
        <v>36981929.890000001</v>
      </c>
      <c r="I115" s="61">
        <f t="shared" si="9"/>
        <v>22881570.109999999</v>
      </c>
      <c r="J115" s="61">
        <f t="shared" si="9"/>
        <v>35907023.239999995</v>
      </c>
      <c r="K115" s="61">
        <f>K116+K117+K118</f>
        <v>7463549.7199999988</v>
      </c>
    </row>
    <row r="116" spans="1:12" x14ac:dyDescent="0.3">
      <c r="A116" s="25" t="s">
        <v>176</v>
      </c>
      <c r="B116" s="107">
        <v>22709000</v>
      </c>
      <c r="C116" s="107">
        <v>23019000</v>
      </c>
      <c r="D116" s="59">
        <v>3826651.19</v>
      </c>
      <c r="E116" s="101">
        <v>14983104.59</v>
      </c>
      <c r="F116" s="59">
        <f>C116-E116</f>
        <v>8035895.4100000001</v>
      </c>
      <c r="G116" s="59">
        <v>3826651.19</v>
      </c>
      <c r="H116" s="101">
        <v>14983104.59</v>
      </c>
      <c r="I116" s="59">
        <f t="shared" ref="I116:I133" si="10">C116-H116</f>
        <v>8035895.4100000001</v>
      </c>
      <c r="J116" s="101">
        <v>14983104.59</v>
      </c>
      <c r="K116" s="59">
        <f>E116-H116</f>
        <v>0</v>
      </c>
    </row>
    <row r="117" spans="1:12" x14ac:dyDescent="0.3">
      <c r="A117" s="25" t="s">
        <v>177</v>
      </c>
      <c r="B117" s="107">
        <v>10000</v>
      </c>
      <c r="C117" s="107">
        <v>0</v>
      </c>
      <c r="D117" s="59">
        <f t="shared" ref="D117" si="11">E117</f>
        <v>0</v>
      </c>
      <c r="E117" s="101">
        <v>0</v>
      </c>
      <c r="F117" s="59">
        <f t="shared" ref="F117:F118" si="12">C117-E117</f>
        <v>0</v>
      </c>
      <c r="G117" s="59">
        <f t="shared" ref="G117" si="13">H117</f>
        <v>0</v>
      </c>
      <c r="H117" s="101">
        <v>0</v>
      </c>
      <c r="I117" s="59">
        <f t="shared" si="10"/>
        <v>0</v>
      </c>
      <c r="J117" s="101">
        <v>0</v>
      </c>
      <c r="K117" s="59">
        <f t="shared" ref="K117:K124" si="14">E117-H117</f>
        <v>0</v>
      </c>
      <c r="L117" s="14"/>
    </row>
    <row r="118" spans="1:12" x14ac:dyDescent="0.3">
      <c r="A118" s="25" t="s">
        <v>178</v>
      </c>
      <c r="B118" s="107">
        <v>30312000</v>
      </c>
      <c r="C118" s="107">
        <v>36844500</v>
      </c>
      <c r="D118" s="59">
        <v>5480046.5300000003</v>
      </c>
      <c r="E118" s="59">
        <v>29462375.02</v>
      </c>
      <c r="F118" s="59">
        <f t="shared" si="12"/>
        <v>7382124.9800000004</v>
      </c>
      <c r="G118" s="59">
        <v>6316648</v>
      </c>
      <c r="H118" s="59">
        <v>21998825.300000001</v>
      </c>
      <c r="I118" s="59">
        <f t="shared" si="10"/>
        <v>14845674.699999999</v>
      </c>
      <c r="J118" s="59">
        <v>20923918.649999999</v>
      </c>
      <c r="K118" s="59">
        <f>E118-H118</f>
        <v>7463549.7199999988</v>
      </c>
    </row>
    <row r="119" spans="1:12" x14ac:dyDescent="0.3">
      <c r="A119" s="95" t="s">
        <v>179</v>
      </c>
      <c r="B119" s="97">
        <f>B120+B121+B122</f>
        <v>10045000</v>
      </c>
      <c r="C119" s="97">
        <f>C120+C121+C122</f>
        <v>17619894.309999999</v>
      </c>
      <c r="D119" s="97">
        <f t="shared" ref="D119:K119" si="15">D120+D121+D122</f>
        <v>2640120.75</v>
      </c>
      <c r="E119" s="97">
        <f t="shared" si="15"/>
        <v>7851508.8799999999</v>
      </c>
      <c r="F119" s="97">
        <f t="shared" si="15"/>
        <v>9768385.4299999997</v>
      </c>
      <c r="G119" s="97">
        <f t="shared" si="15"/>
        <v>1839219.46</v>
      </c>
      <c r="H119" s="97">
        <f t="shared" si="15"/>
        <v>3050653.65</v>
      </c>
      <c r="I119" s="97">
        <f t="shared" si="15"/>
        <v>3050653.65</v>
      </c>
      <c r="J119" s="97">
        <f t="shared" si="15"/>
        <v>2930258.4</v>
      </c>
      <c r="K119" s="97">
        <f t="shared" si="15"/>
        <v>4800855.2300000004</v>
      </c>
    </row>
    <row r="120" spans="1:12" x14ac:dyDescent="0.3">
      <c r="A120" s="25" t="s">
        <v>180</v>
      </c>
      <c r="B120" s="107">
        <v>10040000</v>
      </c>
      <c r="C120" s="107">
        <v>17619894.309999999</v>
      </c>
      <c r="D120" s="59">
        <v>2640120.75</v>
      </c>
      <c r="E120" s="101">
        <v>7851508.8799999999</v>
      </c>
      <c r="F120" s="59">
        <f>C120-E120</f>
        <v>9768385.4299999997</v>
      </c>
      <c r="G120" s="59">
        <v>1839219.46</v>
      </c>
      <c r="H120" s="59">
        <v>3050653.65</v>
      </c>
      <c r="I120" s="59">
        <v>3050653.65</v>
      </c>
      <c r="J120" s="60">
        <v>2930258.4</v>
      </c>
      <c r="K120" s="59">
        <f>E120-H120</f>
        <v>4800855.2300000004</v>
      </c>
    </row>
    <row r="121" spans="1:12" x14ac:dyDescent="0.3">
      <c r="A121" s="25" t="s">
        <v>181</v>
      </c>
      <c r="B121" s="107">
        <v>0</v>
      </c>
      <c r="C121" s="107">
        <v>0</v>
      </c>
      <c r="D121" s="59">
        <f t="shared" ref="D121:D122" si="16">E121</f>
        <v>0</v>
      </c>
      <c r="E121" s="101">
        <v>0</v>
      </c>
      <c r="F121" s="59">
        <f>C121-E121</f>
        <v>0</v>
      </c>
      <c r="G121" s="59">
        <f t="shared" ref="G121:G122" si="17">H121</f>
        <v>0</v>
      </c>
      <c r="H121" s="59">
        <v>0</v>
      </c>
      <c r="I121" s="59">
        <f t="shared" si="10"/>
        <v>0</v>
      </c>
      <c r="J121" s="60">
        <v>0</v>
      </c>
      <c r="K121" s="59">
        <f t="shared" si="14"/>
        <v>0</v>
      </c>
    </row>
    <row r="122" spans="1:12" x14ac:dyDescent="0.3">
      <c r="A122" s="25" t="s">
        <v>182</v>
      </c>
      <c r="B122" s="107">
        <v>5000</v>
      </c>
      <c r="C122" s="107">
        <v>0</v>
      </c>
      <c r="D122" s="59">
        <f t="shared" si="16"/>
        <v>0</v>
      </c>
      <c r="E122" s="60">
        <v>0</v>
      </c>
      <c r="F122" s="59">
        <f>C122-E122</f>
        <v>0</v>
      </c>
      <c r="G122" s="59">
        <f t="shared" si="17"/>
        <v>0</v>
      </c>
      <c r="H122" s="60">
        <v>0</v>
      </c>
      <c r="I122" s="59">
        <v>0</v>
      </c>
      <c r="J122" s="60">
        <v>0</v>
      </c>
      <c r="K122" s="59">
        <f t="shared" si="14"/>
        <v>0</v>
      </c>
    </row>
    <row r="123" spans="1:12" x14ac:dyDescent="0.3">
      <c r="A123" s="95" t="s">
        <v>183</v>
      </c>
      <c r="B123" s="97">
        <v>783000</v>
      </c>
      <c r="C123" s="97">
        <v>0</v>
      </c>
      <c r="D123" s="61">
        <f>E123</f>
        <v>0</v>
      </c>
      <c r="E123" s="100">
        <v>0</v>
      </c>
      <c r="F123" s="61">
        <f>C123-E123</f>
        <v>0</v>
      </c>
      <c r="G123" s="61">
        <f>H123</f>
        <v>0</v>
      </c>
      <c r="H123" s="61">
        <v>0</v>
      </c>
      <c r="I123" s="61">
        <f t="shared" si="10"/>
        <v>0</v>
      </c>
      <c r="J123" s="61">
        <v>0</v>
      </c>
      <c r="K123" s="61">
        <f t="shared" si="14"/>
        <v>0</v>
      </c>
      <c r="L123" s="14"/>
    </row>
    <row r="124" spans="1:12" x14ac:dyDescent="0.3">
      <c r="A124" s="164" t="s">
        <v>184</v>
      </c>
      <c r="B124" s="165">
        <v>14441000</v>
      </c>
      <c r="C124" s="97">
        <v>3752000</v>
      </c>
      <c r="D124" s="61">
        <v>339534.46</v>
      </c>
      <c r="E124" s="61">
        <v>1132425.18</v>
      </c>
      <c r="F124" s="61">
        <f t="shared" ref="F124:F133" si="18">C124-E124</f>
        <v>2619574.8200000003</v>
      </c>
      <c r="G124" s="61">
        <v>339534.46</v>
      </c>
      <c r="H124" s="100">
        <v>1132425.18</v>
      </c>
      <c r="I124" s="61">
        <f t="shared" si="10"/>
        <v>2619574.8200000003</v>
      </c>
      <c r="J124" s="99">
        <v>1132425.18</v>
      </c>
      <c r="K124" s="61">
        <f t="shared" si="14"/>
        <v>0</v>
      </c>
    </row>
    <row r="125" spans="1:12" x14ac:dyDescent="0.3">
      <c r="A125" s="166" t="s">
        <v>185</v>
      </c>
      <c r="B125" s="112">
        <f>B114+B124</f>
        <v>78300000</v>
      </c>
      <c r="C125" s="167">
        <f>C114+C124</f>
        <v>81235394.310000002</v>
      </c>
      <c r="D125" s="167">
        <f>D114+D124</f>
        <v>12286352.930000002</v>
      </c>
      <c r="E125" s="167">
        <f>E114+E124</f>
        <v>53429413.670000002</v>
      </c>
      <c r="F125" s="167">
        <f t="shared" ref="F125:J125" si="19">F114+F124</f>
        <v>27805980.640000001</v>
      </c>
      <c r="G125" s="167">
        <f t="shared" si="19"/>
        <v>12322053.109999999</v>
      </c>
      <c r="H125" s="167">
        <f t="shared" si="19"/>
        <v>41165008.719999999</v>
      </c>
      <c r="I125" s="167">
        <f t="shared" si="19"/>
        <v>28551798.579999998</v>
      </c>
      <c r="J125" s="167">
        <f t="shared" si="19"/>
        <v>39969706.819999993</v>
      </c>
      <c r="K125" s="167">
        <f>K114+K124</f>
        <v>12264404.949999999</v>
      </c>
      <c r="L125" s="14"/>
    </row>
    <row r="126" spans="1:12" x14ac:dyDescent="0.3">
      <c r="A126" s="168" t="s">
        <v>186</v>
      </c>
      <c r="B126" s="97">
        <f>B127+B130</f>
        <v>0</v>
      </c>
      <c r="C126" s="61">
        <f>C127+C130</f>
        <v>0</v>
      </c>
      <c r="D126" s="61">
        <f>D127+D130</f>
        <v>0</v>
      </c>
      <c r="E126" s="61">
        <f>E127+E130</f>
        <v>0</v>
      </c>
      <c r="F126" s="61">
        <f t="shared" si="18"/>
        <v>0</v>
      </c>
      <c r="G126" s="61">
        <f>G127+G130</f>
        <v>0</v>
      </c>
      <c r="H126" s="61">
        <f>H127+H130</f>
        <v>0</v>
      </c>
      <c r="I126" s="61">
        <f t="shared" si="10"/>
        <v>0</v>
      </c>
      <c r="J126" s="99">
        <f>J127+J130</f>
        <v>0</v>
      </c>
      <c r="K126" s="61">
        <f>K127+K130</f>
        <v>0</v>
      </c>
      <c r="L126" s="14"/>
    </row>
    <row r="127" spans="1:12" x14ac:dyDescent="0.3">
      <c r="A127" s="168" t="s">
        <v>187</v>
      </c>
      <c r="B127" s="97">
        <f>B128+B129</f>
        <v>0</v>
      </c>
      <c r="C127" s="61">
        <f t="shared" ref="C127:K127" si="20">C128+C129</f>
        <v>0</v>
      </c>
      <c r="D127" s="61">
        <f t="shared" si="20"/>
        <v>0</v>
      </c>
      <c r="E127" s="61">
        <f t="shared" si="20"/>
        <v>0</v>
      </c>
      <c r="F127" s="61">
        <f t="shared" si="20"/>
        <v>0</v>
      </c>
      <c r="G127" s="61">
        <f t="shared" si="20"/>
        <v>0</v>
      </c>
      <c r="H127" s="61">
        <f t="shared" si="20"/>
        <v>0</v>
      </c>
      <c r="I127" s="61">
        <f t="shared" si="20"/>
        <v>0</v>
      </c>
      <c r="J127" s="61">
        <f t="shared" si="20"/>
        <v>0</v>
      </c>
      <c r="K127" s="61">
        <f t="shared" si="20"/>
        <v>0</v>
      </c>
      <c r="L127" s="14"/>
    </row>
    <row r="128" spans="1:12" x14ac:dyDescent="0.3">
      <c r="A128" s="169" t="s">
        <v>188</v>
      </c>
      <c r="B128" s="107">
        <v>0</v>
      </c>
      <c r="C128" s="107">
        <v>0</v>
      </c>
      <c r="D128" s="59">
        <f>E128</f>
        <v>0</v>
      </c>
      <c r="E128" s="59">
        <v>0</v>
      </c>
      <c r="F128" s="59">
        <f t="shared" si="18"/>
        <v>0</v>
      </c>
      <c r="G128" s="59">
        <f>H128</f>
        <v>0</v>
      </c>
      <c r="H128" s="59">
        <v>0</v>
      </c>
      <c r="I128" s="59">
        <f t="shared" si="10"/>
        <v>0</v>
      </c>
      <c r="J128" s="60">
        <v>0</v>
      </c>
      <c r="K128" s="59">
        <f>E128-H128</f>
        <v>0</v>
      </c>
    </row>
    <row r="129" spans="1:12" x14ac:dyDescent="0.3">
      <c r="A129" s="169" t="s">
        <v>189</v>
      </c>
      <c r="B129" s="107">
        <v>0</v>
      </c>
      <c r="C129" s="107">
        <v>0</v>
      </c>
      <c r="D129" s="59">
        <f>E129</f>
        <v>0</v>
      </c>
      <c r="E129" s="59">
        <v>0</v>
      </c>
      <c r="F129" s="59">
        <f t="shared" si="18"/>
        <v>0</v>
      </c>
      <c r="G129" s="59">
        <f>H129</f>
        <v>0</v>
      </c>
      <c r="H129" s="59">
        <v>0</v>
      </c>
      <c r="I129" s="59">
        <f t="shared" si="10"/>
        <v>0</v>
      </c>
      <c r="J129" s="59">
        <v>0</v>
      </c>
      <c r="K129" s="59">
        <f>E129-H129</f>
        <v>0</v>
      </c>
    </row>
    <row r="130" spans="1:12" s="170" customFormat="1" x14ac:dyDescent="0.3">
      <c r="A130" s="168" t="s">
        <v>190</v>
      </c>
      <c r="B130" s="97">
        <f>B131+B132</f>
        <v>0</v>
      </c>
      <c r="C130" s="61">
        <f t="shared" ref="C130:K130" si="21">C131+C132</f>
        <v>0</v>
      </c>
      <c r="D130" s="61">
        <f t="shared" si="21"/>
        <v>0</v>
      </c>
      <c r="E130" s="61">
        <f t="shared" si="21"/>
        <v>0</v>
      </c>
      <c r="F130" s="61">
        <f t="shared" si="21"/>
        <v>0</v>
      </c>
      <c r="G130" s="61">
        <f t="shared" si="21"/>
        <v>0</v>
      </c>
      <c r="H130" s="61">
        <f t="shared" si="21"/>
        <v>0</v>
      </c>
      <c r="I130" s="61">
        <f t="shared" si="21"/>
        <v>0</v>
      </c>
      <c r="J130" s="61">
        <f t="shared" si="21"/>
        <v>0</v>
      </c>
      <c r="K130" s="61">
        <f t="shared" si="21"/>
        <v>0</v>
      </c>
    </row>
    <row r="131" spans="1:12" x14ac:dyDescent="0.3">
      <c r="A131" s="169" t="s">
        <v>188</v>
      </c>
      <c r="B131" s="107">
        <v>0</v>
      </c>
      <c r="C131" s="107">
        <v>0</v>
      </c>
      <c r="D131" s="59">
        <f t="shared" ref="D131:D132" si="22">E131</f>
        <v>0</v>
      </c>
      <c r="E131" s="59">
        <v>0</v>
      </c>
      <c r="F131" s="59">
        <f t="shared" si="18"/>
        <v>0</v>
      </c>
      <c r="G131" s="59">
        <f t="shared" ref="G131:G132" si="23">H131</f>
        <v>0</v>
      </c>
      <c r="H131" s="59">
        <v>0</v>
      </c>
      <c r="I131" s="59">
        <f t="shared" si="10"/>
        <v>0</v>
      </c>
      <c r="J131" s="60">
        <v>0</v>
      </c>
      <c r="K131" s="59">
        <f t="shared" ref="K131:K132" si="24">E131-H131</f>
        <v>0</v>
      </c>
    </row>
    <row r="132" spans="1:12" x14ac:dyDescent="0.3">
      <c r="A132" s="169" t="s">
        <v>189</v>
      </c>
      <c r="B132" s="171">
        <v>0</v>
      </c>
      <c r="C132" s="107">
        <v>0</v>
      </c>
      <c r="D132" s="59">
        <f t="shared" si="22"/>
        <v>0</v>
      </c>
      <c r="E132" s="172">
        <v>0</v>
      </c>
      <c r="F132" s="59">
        <f t="shared" si="18"/>
        <v>0</v>
      </c>
      <c r="G132" s="59">
        <f t="shared" si="23"/>
        <v>0</v>
      </c>
      <c r="H132" s="172">
        <v>0</v>
      </c>
      <c r="I132" s="59">
        <f t="shared" si="10"/>
        <v>0</v>
      </c>
      <c r="J132" s="173">
        <v>0</v>
      </c>
      <c r="K132" s="59">
        <f t="shared" si="24"/>
        <v>0</v>
      </c>
      <c r="L132" s="14"/>
    </row>
    <row r="133" spans="1:12" x14ac:dyDescent="0.3">
      <c r="A133" s="174" t="s">
        <v>191</v>
      </c>
      <c r="B133" s="167">
        <f>B125+B126</f>
        <v>78300000</v>
      </c>
      <c r="C133" s="167">
        <f>C125+C126</f>
        <v>81235394.310000002</v>
      </c>
      <c r="D133" s="167">
        <f>D125+D126</f>
        <v>12286352.930000002</v>
      </c>
      <c r="E133" s="167">
        <f>E125+E126</f>
        <v>53429413.670000002</v>
      </c>
      <c r="F133" s="167">
        <f t="shared" si="18"/>
        <v>27805980.640000001</v>
      </c>
      <c r="G133" s="167">
        <f>G125+G126</f>
        <v>12322053.109999999</v>
      </c>
      <c r="H133" s="167">
        <f>H125+H126</f>
        <v>41165008.719999999</v>
      </c>
      <c r="I133" s="167">
        <f t="shared" si="10"/>
        <v>40070385.590000004</v>
      </c>
      <c r="J133" s="175">
        <f>J125+J126</f>
        <v>39969706.819999993</v>
      </c>
      <c r="K133" s="167">
        <f>K125+K126</f>
        <v>12264404.949999999</v>
      </c>
      <c r="L133" s="14"/>
    </row>
    <row r="134" spans="1:12" x14ac:dyDescent="0.3">
      <c r="A134" s="174" t="s">
        <v>192</v>
      </c>
      <c r="B134" s="176" t="s">
        <v>154</v>
      </c>
      <c r="C134" s="176" t="s">
        <v>154</v>
      </c>
      <c r="D134" s="176" t="s">
        <v>154</v>
      </c>
      <c r="E134" s="176" t="s">
        <v>154</v>
      </c>
      <c r="F134" s="177"/>
      <c r="G134" s="176" t="s">
        <v>154</v>
      </c>
      <c r="H134" s="167">
        <f>F64-H133</f>
        <v>8851467.8300000057</v>
      </c>
      <c r="I134" s="177"/>
      <c r="J134" s="178" t="s">
        <v>154</v>
      </c>
      <c r="K134" s="176" t="s">
        <v>154</v>
      </c>
    </row>
    <row r="135" spans="1:12" x14ac:dyDescent="0.3">
      <c r="A135" s="174" t="s">
        <v>193</v>
      </c>
      <c r="B135" s="55">
        <f>B133</f>
        <v>78300000</v>
      </c>
      <c r="C135" s="55">
        <f>C133</f>
        <v>81235394.310000002</v>
      </c>
      <c r="D135" s="55">
        <f>D133</f>
        <v>12286352.930000002</v>
      </c>
      <c r="E135" s="55">
        <f t="shared" ref="E135" si="25">E133</f>
        <v>53429413.670000002</v>
      </c>
      <c r="F135" s="177"/>
      <c r="G135" s="55">
        <f t="shared" ref="G135" si="26">G133</f>
        <v>12322053.109999999</v>
      </c>
      <c r="H135" s="55">
        <f>H133+H134</f>
        <v>50016476.550000004</v>
      </c>
      <c r="I135" s="177"/>
      <c r="J135" s="179">
        <f t="shared" ref="J135:K135" si="27">J133</f>
        <v>39969706.819999993</v>
      </c>
      <c r="K135" s="55">
        <f t="shared" si="27"/>
        <v>12264404.949999999</v>
      </c>
    </row>
    <row r="136" spans="1:12" s="181" customFormat="1" x14ac:dyDescent="0.3">
      <c r="A136" s="111" t="s">
        <v>194</v>
      </c>
      <c r="B136" s="114">
        <v>0</v>
      </c>
      <c r="C136" s="114">
        <v>0</v>
      </c>
      <c r="D136" s="180">
        <v>0</v>
      </c>
      <c r="E136" s="114">
        <v>0</v>
      </c>
      <c r="F136" s="114">
        <f t="shared" ref="F136" si="28">C136-E136</f>
        <v>0</v>
      </c>
      <c r="G136" s="180">
        <v>0</v>
      </c>
      <c r="H136" s="114">
        <v>0</v>
      </c>
      <c r="I136" s="114">
        <f t="shared" ref="I136" si="29">C136-H136</f>
        <v>0</v>
      </c>
      <c r="J136" s="114">
        <v>0</v>
      </c>
      <c r="K136" s="114">
        <v>0</v>
      </c>
    </row>
    <row r="137" spans="1:12" s="14" customFormat="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2" x14ac:dyDescent="0.3">
      <c r="B138" s="3"/>
      <c r="C138" s="5"/>
      <c r="D138" s="5"/>
      <c r="E138" s="5"/>
      <c r="F138" s="5"/>
      <c r="G138" s="5"/>
      <c r="H138" s="5"/>
      <c r="I138" s="5"/>
      <c r="J138" s="5"/>
      <c r="K138" s="3"/>
    </row>
    <row r="139" spans="1:12" x14ac:dyDescent="0.3">
      <c r="B139" s="3"/>
      <c r="C139" s="5"/>
      <c r="D139" s="3"/>
      <c r="E139" s="3"/>
      <c r="F139" s="3"/>
      <c r="G139" s="3"/>
      <c r="H139" s="3"/>
      <c r="I139" s="3"/>
      <c r="J139" s="3"/>
    </row>
    <row r="141" spans="1:12" x14ac:dyDescent="0.3">
      <c r="A141" s="76" t="s">
        <v>88</v>
      </c>
      <c r="B141" s="76"/>
      <c r="C141" s="76"/>
      <c r="D141" s="11"/>
      <c r="E141" s="12"/>
      <c r="F141" s="12"/>
      <c r="G141" s="77" t="s">
        <v>95</v>
      </c>
      <c r="H141" s="77"/>
      <c r="I141" s="77"/>
      <c r="J141" s="77"/>
      <c r="K141" s="77"/>
    </row>
    <row r="142" spans="1:12" x14ac:dyDescent="0.3">
      <c r="A142" s="76" t="s">
        <v>89</v>
      </c>
      <c r="B142" s="76"/>
      <c r="C142" s="76"/>
      <c r="D142" s="11"/>
      <c r="E142" s="12"/>
      <c r="F142" s="12"/>
      <c r="G142" s="77" t="s">
        <v>96</v>
      </c>
      <c r="H142" s="77"/>
      <c r="I142" s="77"/>
      <c r="J142" s="77"/>
      <c r="K142" s="77"/>
    </row>
    <row r="143" spans="1:12" x14ac:dyDescent="0.3">
      <c r="A143" s="76" t="s">
        <v>90</v>
      </c>
      <c r="B143" s="76"/>
      <c r="C143" s="76"/>
      <c r="D143" s="11"/>
      <c r="E143" s="12"/>
      <c r="F143" s="12"/>
      <c r="G143" s="77" t="s">
        <v>90</v>
      </c>
      <c r="H143" s="77"/>
      <c r="I143" s="77"/>
      <c r="J143" s="77"/>
      <c r="K143" s="77"/>
    </row>
    <row r="144" spans="1:12" x14ac:dyDescent="0.3">
      <c r="A144" s="76" t="s">
        <v>91</v>
      </c>
      <c r="B144" s="76"/>
      <c r="C144" s="76"/>
      <c r="D144" s="11"/>
      <c r="E144" s="12"/>
      <c r="F144" s="12"/>
      <c r="G144" s="66"/>
      <c r="H144" s="66"/>
      <c r="I144" s="66"/>
    </row>
    <row r="145" spans="1:11" x14ac:dyDescent="0.3">
      <c r="A145" s="13"/>
      <c r="B145" s="13"/>
      <c r="C145" s="12"/>
      <c r="D145" s="11"/>
      <c r="E145" s="12"/>
      <c r="F145" s="12"/>
      <c r="G145" s="66"/>
      <c r="H145" s="66"/>
      <c r="I145" s="66"/>
    </row>
    <row r="146" spans="1:11" x14ac:dyDescent="0.3">
      <c r="A146" s="13"/>
      <c r="B146" s="13"/>
      <c r="C146" s="12"/>
      <c r="D146" s="11"/>
      <c r="E146" s="12"/>
      <c r="F146" s="12"/>
      <c r="G146" s="66"/>
      <c r="H146" s="66"/>
      <c r="I146" s="66"/>
      <c r="K146" s="14"/>
    </row>
    <row r="147" spans="1:11" x14ac:dyDescent="0.3">
      <c r="A147" s="76" t="s">
        <v>92</v>
      </c>
      <c r="B147" s="76"/>
      <c r="C147" s="76"/>
      <c r="D147" s="11"/>
      <c r="E147" s="12"/>
      <c r="F147" s="12"/>
      <c r="G147" s="77" t="s">
        <v>97</v>
      </c>
      <c r="H147" s="77"/>
      <c r="I147" s="77"/>
      <c r="J147" s="77"/>
      <c r="K147" s="77"/>
    </row>
    <row r="148" spans="1:11" x14ac:dyDescent="0.3">
      <c r="A148" s="76" t="s">
        <v>93</v>
      </c>
      <c r="B148" s="76"/>
      <c r="C148" s="76"/>
      <c r="D148" s="11"/>
      <c r="E148" s="12"/>
      <c r="F148" s="12"/>
      <c r="G148" s="77" t="s">
        <v>94</v>
      </c>
      <c r="H148" s="77"/>
      <c r="I148" s="77"/>
      <c r="J148" s="77"/>
      <c r="K148" s="77"/>
    </row>
  </sheetData>
  <mergeCells count="39">
    <mergeCell ref="A148:C148"/>
    <mergeCell ref="G148:K148"/>
    <mergeCell ref="A144:C144"/>
    <mergeCell ref="G144:I144"/>
    <mergeCell ref="G145:I145"/>
    <mergeCell ref="G146:I146"/>
    <mergeCell ref="A147:C147"/>
    <mergeCell ref="G147:K147"/>
    <mergeCell ref="A141:C141"/>
    <mergeCell ref="G141:K141"/>
    <mergeCell ref="A142:C142"/>
    <mergeCell ref="G142:K142"/>
    <mergeCell ref="A143:C143"/>
    <mergeCell ref="G143:K143"/>
    <mergeCell ref="A102:K102"/>
    <mergeCell ref="A103:K103"/>
    <mergeCell ref="A104:K104"/>
    <mergeCell ref="A105:K105"/>
    <mergeCell ref="B108:K108"/>
    <mergeCell ref="D109:E109"/>
    <mergeCell ref="G109:H109"/>
    <mergeCell ref="F74:H74"/>
    <mergeCell ref="F79:H79"/>
    <mergeCell ref="F80:H80"/>
    <mergeCell ref="F81:H81"/>
    <mergeCell ref="A98:K98"/>
    <mergeCell ref="A99:K99"/>
    <mergeCell ref="A9:H9"/>
    <mergeCell ref="A15:A18"/>
    <mergeCell ref="B15:H15"/>
    <mergeCell ref="D16:G16"/>
    <mergeCell ref="F72:H72"/>
    <mergeCell ref="F73:H73"/>
    <mergeCell ref="A1:H1"/>
    <mergeCell ref="A2:H2"/>
    <mergeCell ref="A3:H3"/>
    <mergeCell ref="A6:H6"/>
    <mergeCell ref="A7:H7"/>
    <mergeCell ref="A8:H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F27-2EE8-4046-AFAD-2D5C4ED04776}">
  <dimension ref="A1:K194"/>
  <sheetViews>
    <sheetView workbookViewId="0">
      <selection activeCell="F21" sqref="F21"/>
    </sheetView>
  </sheetViews>
  <sheetFormatPr defaultRowHeight="13.2" x14ac:dyDescent="0.25"/>
  <cols>
    <col min="1" max="1" width="47.44140625" customWidth="1"/>
    <col min="2" max="5" width="13.6640625" customWidth="1"/>
    <col min="6" max="6" width="20.6640625" style="6" customWidth="1"/>
    <col min="7" max="7" width="18.109375" customWidth="1"/>
    <col min="8" max="8" width="19.6640625" style="6" customWidth="1"/>
    <col min="10" max="10" width="10.6640625" bestFit="1" customWidth="1"/>
  </cols>
  <sheetData>
    <row r="1" spans="1:8" ht="15.75" customHeight="1" x14ac:dyDescent="0.25">
      <c r="D1" s="6"/>
    </row>
    <row r="2" spans="1:8" s="8" customFormat="1" ht="15.75" customHeight="1" x14ac:dyDescent="0.35">
      <c r="A2" s="182" t="s">
        <v>85</v>
      </c>
      <c r="B2" s="182"/>
      <c r="C2" s="182"/>
      <c r="D2" s="182"/>
      <c r="E2" s="182"/>
      <c r="F2" s="183"/>
      <c r="H2" s="183"/>
    </row>
    <row r="3" spans="1:8" s="8" customFormat="1" ht="15.75" customHeight="1" x14ac:dyDescent="0.35">
      <c r="A3" s="182" t="s">
        <v>86</v>
      </c>
      <c r="B3" s="182"/>
      <c r="C3" s="182"/>
      <c r="D3" s="182"/>
      <c r="E3" s="182"/>
      <c r="F3" s="183"/>
      <c r="H3" s="183"/>
    </row>
    <row r="4" spans="1:8" s="8" customFormat="1" ht="15.75" customHeight="1" x14ac:dyDescent="0.25">
      <c r="A4"/>
      <c r="B4"/>
      <c r="C4"/>
      <c r="D4"/>
      <c r="E4"/>
      <c r="F4" s="183"/>
      <c r="H4" s="183"/>
    </row>
    <row r="5" spans="1:8" s="8" customFormat="1" ht="15.75" customHeight="1" x14ac:dyDescent="0.3">
      <c r="A5" s="7"/>
      <c r="B5" s="7"/>
      <c r="C5" s="7"/>
      <c r="D5" s="7"/>
      <c r="E5" s="7"/>
      <c r="F5" s="183"/>
      <c r="H5" s="183"/>
    </row>
    <row r="6" spans="1:8" s="1" customFormat="1" ht="15.6" x14ac:dyDescent="0.3">
      <c r="A6" s="74" t="s">
        <v>0</v>
      </c>
      <c r="B6" s="74"/>
      <c r="C6" s="74"/>
      <c r="D6" s="74"/>
      <c r="E6" s="74"/>
      <c r="F6" s="57"/>
      <c r="G6" s="57"/>
      <c r="H6" s="57"/>
    </row>
    <row r="7" spans="1:8" s="1" customFormat="1" ht="15.6" x14ac:dyDescent="0.3">
      <c r="A7" s="75" t="s">
        <v>195</v>
      </c>
      <c r="B7" s="75"/>
      <c r="C7" s="75"/>
      <c r="D7" s="75"/>
      <c r="E7" s="75"/>
      <c r="F7" s="58"/>
      <c r="G7" s="58"/>
      <c r="H7" s="58"/>
    </row>
    <row r="8" spans="1:8" s="1" customFormat="1" ht="15.6" x14ac:dyDescent="0.3">
      <c r="A8" s="74" t="s">
        <v>103</v>
      </c>
      <c r="B8" s="74"/>
      <c r="C8" s="74"/>
      <c r="D8" s="74"/>
      <c r="E8" s="74"/>
      <c r="F8" s="57"/>
      <c r="G8" s="57"/>
      <c r="H8" s="57"/>
    </row>
    <row r="9" spans="1:8" s="1" customFormat="1" ht="15.6" x14ac:dyDescent="0.3">
      <c r="A9" s="74" t="s">
        <v>100</v>
      </c>
      <c r="B9" s="74"/>
      <c r="C9" s="74"/>
      <c r="D9" s="74"/>
      <c r="E9" s="74"/>
      <c r="F9" s="57"/>
      <c r="G9" s="57"/>
      <c r="H9" s="57"/>
    </row>
    <row r="10" spans="1:8" s="1" customFormat="1" ht="15.6" x14ac:dyDescent="0.3">
      <c r="A10" s="10"/>
      <c r="B10" s="10"/>
      <c r="C10" s="10"/>
      <c r="D10" s="10"/>
      <c r="E10" s="10"/>
      <c r="F10" s="10"/>
      <c r="G10" s="10"/>
      <c r="H10" s="10"/>
    </row>
    <row r="11" spans="1:8" s="1" customFormat="1" ht="15.6" x14ac:dyDescent="0.3">
      <c r="A11" s="20" t="s">
        <v>196</v>
      </c>
      <c r="B11" s="22"/>
      <c r="C11" s="22"/>
      <c r="D11" s="22"/>
      <c r="E11" s="22"/>
      <c r="H11" s="184"/>
    </row>
    <row r="12" spans="1:8" x14ac:dyDescent="0.25">
      <c r="A12" s="185"/>
      <c r="B12" s="186" t="s">
        <v>197</v>
      </c>
      <c r="C12" s="187"/>
      <c r="D12" s="187"/>
      <c r="E12" s="188"/>
      <c r="F12" s="189"/>
      <c r="G12" s="9"/>
      <c r="H12" s="189"/>
    </row>
    <row r="13" spans="1:8" x14ac:dyDescent="0.25">
      <c r="A13" s="190" t="s">
        <v>198</v>
      </c>
      <c r="B13" s="191"/>
      <c r="C13" s="192"/>
      <c r="D13" s="193" t="s">
        <v>199</v>
      </c>
      <c r="E13" s="194"/>
      <c r="F13" s="189"/>
      <c r="G13" s="9"/>
      <c r="H13" s="189"/>
    </row>
    <row r="14" spans="1:8" x14ac:dyDescent="0.25">
      <c r="A14" s="195"/>
      <c r="B14" s="196" t="s">
        <v>200</v>
      </c>
      <c r="C14" s="197"/>
      <c r="D14" s="196" t="s">
        <v>201</v>
      </c>
      <c r="E14" s="197"/>
      <c r="F14" s="189"/>
      <c r="G14" s="9"/>
      <c r="H14" s="189"/>
    </row>
    <row r="15" spans="1:8" x14ac:dyDescent="0.25">
      <c r="A15" s="198" t="s">
        <v>198</v>
      </c>
      <c r="B15" s="199" t="s">
        <v>113</v>
      </c>
      <c r="C15" s="200"/>
      <c r="D15" s="199" t="s">
        <v>113</v>
      </c>
      <c r="E15" s="200"/>
      <c r="F15" s="189"/>
      <c r="G15" s="9"/>
      <c r="H15" s="189"/>
    </row>
    <row r="16" spans="1:8" x14ac:dyDescent="0.25">
      <c r="A16" s="110" t="s">
        <v>202</v>
      </c>
      <c r="B16" s="201">
        <f>B17+B23+B24+B27+B36</f>
        <v>75692000</v>
      </c>
      <c r="C16" s="202"/>
      <c r="D16" s="201">
        <f>D17+D23+D24+D27+D36</f>
        <v>48476461.039999999</v>
      </c>
      <c r="E16" s="202"/>
      <c r="F16" s="189"/>
      <c r="G16" s="9"/>
      <c r="H16" s="189"/>
    </row>
    <row r="17" spans="1:8" x14ac:dyDescent="0.25">
      <c r="A17" s="110" t="s">
        <v>203</v>
      </c>
      <c r="B17" s="201">
        <f t="shared" ref="B17:D17" si="0">B18+B19+B20+B21+B22</f>
        <v>325000</v>
      </c>
      <c r="C17" s="202"/>
      <c r="D17" s="201">
        <f t="shared" si="0"/>
        <v>257285.28</v>
      </c>
      <c r="E17" s="202"/>
      <c r="F17" s="189"/>
      <c r="G17" s="9"/>
      <c r="H17" s="189"/>
    </row>
    <row r="18" spans="1:8" x14ac:dyDescent="0.25">
      <c r="A18" s="106" t="s">
        <v>204</v>
      </c>
      <c r="B18" s="203">
        <v>0</v>
      </c>
      <c r="C18" s="204"/>
      <c r="D18" s="203">
        <v>0</v>
      </c>
      <c r="E18" s="204"/>
      <c r="F18" s="205"/>
      <c r="G18" s="9"/>
      <c r="H18" s="189"/>
    </row>
    <row r="19" spans="1:8" x14ac:dyDescent="0.25">
      <c r="A19" s="106" t="s">
        <v>205</v>
      </c>
      <c r="B19" s="203">
        <v>0</v>
      </c>
      <c r="C19" s="204"/>
      <c r="D19" s="203">
        <v>0</v>
      </c>
      <c r="E19" s="204"/>
      <c r="F19" s="189"/>
      <c r="G19" s="9"/>
      <c r="H19" s="189"/>
    </row>
    <row r="20" spans="1:8" x14ac:dyDescent="0.25">
      <c r="A20" s="106" t="s">
        <v>206</v>
      </c>
      <c r="B20" s="203">
        <v>0</v>
      </c>
      <c r="C20" s="204"/>
      <c r="D20" s="203">
        <v>0</v>
      </c>
      <c r="E20" s="204"/>
      <c r="F20" s="189"/>
      <c r="G20" s="189"/>
      <c r="H20" s="189"/>
    </row>
    <row r="21" spans="1:8" x14ac:dyDescent="0.25">
      <c r="A21" s="106" t="s">
        <v>207</v>
      </c>
      <c r="B21" s="203">
        <v>0</v>
      </c>
      <c r="C21" s="204"/>
      <c r="D21" s="203">
        <v>0</v>
      </c>
      <c r="E21" s="204"/>
      <c r="F21" s="189"/>
      <c r="G21" s="9"/>
      <c r="H21" s="189"/>
    </row>
    <row r="22" spans="1:8" x14ac:dyDescent="0.25">
      <c r="A22" s="106" t="s">
        <v>208</v>
      </c>
      <c r="B22" s="203">
        <v>325000</v>
      </c>
      <c r="C22" s="204"/>
      <c r="D22" s="203">
        <v>257285.28</v>
      </c>
      <c r="E22" s="204"/>
      <c r="F22" s="189"/>
      <c r="G22" s="9"/>
      <c r="H22" s="189"/>
    </row>
    <row r="23" spans="1:8" x14ac:dyDescent="0.25">
      <c r="A23" s="110" t="s">
        <v>209</v>
      </c>
      <c r="B23" s="201">
        <v>0</v>
      </c>
      <c r="C23" s="202"/>
      <c r="D23" s="201">
        <v>0</v>
      </c>
      <c r="E23" s="202"/>
      <c r="F23" s="189"/>
      <c r="G23" s="9"/>
      <c r="H23" s="189"/>
    </row>
    <row r="24" spans="1:8" x14ac:dyDescent="0.25">
      <c r="A24" s="110" t="s">
        <v>210</v>
      </c>
      <c r="B24" s="201">
        <f>B25+B26</f>
        <v>166000</v>
      </c>
      <c r="C24" s="202"/>
      <c r="D24" s="201">
        <f>D25+D26</f>
        <v>878332.40999999992</v>
      </c>
      <c r="E24" s="202"/>
      <c r="F24" s="189"/>
      <c r="G24" s="9"/>
      <c r="H24" s="189"/>
    </row>
    <row r="25" spans="1:8" x14ac:dyDescent="0.25">
      <c r="A25" s="106" t="s">
        <v>211</v>
      </c>
      <c r="B25" s="203">
        <v>165000</v>
      </c>
      <c r="C25" s="204"/>
      <c r="D25" s="203">
        <v>877956.33</v>
      </c>
      <c r="E25" s="204"/>
      <c r="F25" s="189"/>
      <c r="G25" s="189"/>
      <c r="H25" s="189"/>
    </row>
    <row r="26" spans="1:8" x14ac:dyDescent="0.25">
      <c r="A26" s="106" t="s">
        <v>212</v>
      </c>
      <c r="B26" s="203">
        <v>1000</v>
      </c>
      <c r="C26" s="204"/>
      <c r="D26" s="203">
        <v>376.08</v>
      </c>
      <c r="E26" s="204"/>
      <c r="F26" s="189"/>
      <c r="G26" s="189"/>
      <c r="H26" s="189"/>
    </row>
    <row r="27" spans="1:8" x14ac:dyDescent="0.25">
      <c r="A27" s="110" t="s">
        <v>213</v>
      </c>
      <c r="B27" s="201">
        <f>B28+B29+B30+B31+B32+B33+B34+B35</f>
        <v>0</v>
      </c>
      <c r="C27" s="202"/>
      <c r="D27" s="201">
        <f t="shared" ref="D27" si="1">D28+D29+D30+D31+D32+D33+D34+D35</f>
        <v>0</v>
      </c>
      <c r="E27" s="202"/>
      <c r="F27" s="189"/>
      <c r="G27" s="9"/>
      <c r="H27" s="189"/>
    </row>
    <row r="28" spans="1:8" x14ac:dyDescent="0.25">
      <c r="A28" s="106" t="s">
        <v>214</v>
      </c>
      <c r="B28" s="203">
        <v>0</v>
      </c>
      <c r="C28" s="204"/>
      <c r="D28" s="203">
        <v>0</v>
      </c>
      <c r="E28" s="204"/>
      <c r="F28" s="189"/>
      <c r="G28" s="189"/>
      <c r="H28" s="189"/>
    </row>
    <row r="29" spans="1:8" x14ac:dyDescent="0.25">
      <c r="A29" s="106" t="s">
        <v>215</v>
      </c>
      <c r="B29" s="203">
        <v>0</v>
      </c>
      <c r="C29" s="204"/>
      <c r="D29" s="203">
        <v>0</v>
      </c>
      <c r="E29" s="204"/>
      <c r="F29" s="189"/>
      <c r="G29" s="9"/>
      <c r="H29" s="189"/>
    </row>
    <row r="30" spans="1:8" x14ac:dyDescent="0.25">
      <c r="A30" s="106" t="s">
        <v>216</v>
      </c>
      <c r="B30" s="203">
        <v>0</v>
      </c>
      <c r="C30" s="204"/>
      <c r="D30" s="203">
        <v>0</v>
      </c>
      <c r="E30" s="204"/>
      <c r="F30" s="189"/>
      <c r="G30" s="9"/>
      <c r="H30" s="189"/>
    </row>
    <row r="31" spans="1:8" x14ac:dyDescent="0.25">
      <c r="A31" s="106" t="s">
        <v>217</v>
      </c>
      <c r="B31" s="203">
        <v>0</v>
      </c>
      <c r="C31" s="204"/>
      <c r="D31" s="203">
        <v>0</v>
      </c>
      <c r="E31" s="204"/>
      <c r="F31" s="189"/>
      <c r="G31" s="9"/>
      <c r="H31" s="189"/>
    </row>
    <row r="32" spans="1:8" x14ac:dyDescent="0.25">
      <c r="A32" s="106" t="s">
        <v>218</v>
      </c>
      <c r="B32" s="203">
        <v>0</v>
      </c>
      <c r="C32" s="204"/>
      <c r="D32" s="203">
        <v>0</v>
      </c>
      <c r="E32" s="204"/>
      <c r="F32" s="189"/>
      <c r="G32" s="9"/>
      <c r="H32" s="189"/>
    </row>
    <row r="33" spans="1:8" x14ac:dyDescent="0.25">
      <c r="A33" s="106" t="s">
        <v>219</v>
      </c>
      <c r="B33" s="203">
        <v>0</v>
      </c>
      <c r="C33" s="204"/>
      <c r="D33" s="203">
        <v>0</v>
      </c>
      <c r="E33" s="204"/>
      <c r="F33" s="189"/>
      <c r="G33" s="189"/>
      <c r="H33" s="189"/>
    </row>
    <row r="34" spans="1:8" x14ac:dyDescent="0.25">
      <c r="A34" s="106" t="s">
        <v>220</v>
      </c>
      <c r="B34" s="203">
        <v>0</v>
      </c>
      <c r="C34" s="204"/>
      <c r="D34" s="203">
        <v>0</v>
      </c>
      <c r="E34" s="204"/>
      <c r="F34" s="189"/>
      <c r="G34" s="206"/>
      <c r="H34" s="189"/>
    </row>
    <row r="35" spans="1:8" x14ac:dyDescent="0.25">
      <c r="A35" s="106" t="s">
        <v>221</v>
      </c>
      <c r="B35" s="203">
        <v>0</v>
      </c>
      <c r="C35" s="204"/>
      <c r="D35" s="203">
        <v>0</v>
      </c>
      <c r="E35" s="204"/>
      <c r="F35" s="189"/>
      <c r="G35" s="189"/>
      <c r="H35" s="189"/>
    </row>
    <row r="36" spans="1:8" x14ac:dyDescent="0.25">
      <c r="A36" s="110" t="s">
        <v>222</v>
      </c>
      <c r="B36" s="201">
        <f>B37</f>
        <v>75201000</v>
      </c>
      <c r="C36" s="202"/>
      <c r="D36" s="201">
        <f>D37</f>
        <v>47340843.350000001</v>
      </c>
      <c r="E36" s="202"/>
      <c r="F36" s="189"/>
      <c r="G36" s="9"/>
      <c r="H36" s="189"/>
    </row>
    <row r="37" spans="1:8" x14ac:dyDescent="0.25">
      <c r="A37" s="106" t="s">
        <v>223</v>
      </c>
      <c r="B37" s="203">
        <f>71141000+4060000</f>
        <v>75201000</v>
      </c>
      <c r="C37" s="204"/>
      <c r="D37" s="203">
        <f>43390509.33+3950334.02</f>
        <v>47340843.350000001</v>
      </c>
      <c r="E37" s="204"/>
      <c r="F37" s="189"/>
      <c r="G37" s="207"/>
      <c r="H37" s="189"/>
    </row>
    <row r="38" spans="1:8" x14ac:dyDescent="0.25">
      <c r="A38" s="110" t="s">
        <v>224</v>
      </c>
      <c r="B38" s="201">
        <f>B16-B25</f>
        <v>75527000</v>
      </c>
      <c r="C38" s="202"/>
      <c r="D38" s="201">
        <f>D16-D25</f>
        <v>47598504.710000001</v>
      </c>
      <c r="E38" s="202"/>
      <c r="F38" s="189"/>
      <c r="G38" s="207"/>
      <c r="H38" s="189"/>
    </row>
    <row r="39" spans="1:8" x14ac:dyDescent="0.25">
      <c r="A39" s="110" t="s">
        <v>225</v>
      </c>
      <c r="B39" s="201">
        <f>B40+B41+B42+B46+B49</f>
        <v>2608000</v>
      </c>
      <c r="C39" s="202"/>
      <c r="D39" s="201">
        <f>D40+D41+D42+D46+D49</f>
        <v>1185175.8400000001</v>
      </c>
      <c r="E39" s="202"/>
      <c r="F39" s="189"/>
      <c r="G39" s="189"/>
      <c r="H39" s="189"/>
    </row>
    <row r="40" spans="1:8" x14ac:dyDescent="0.25">
      <c r="A40" s="106" t="s">
        <v>226</v>
      </c>
      <c r="B40" s="201">
        <v>1000</v>
      </c>
      <c r="C40" s="202"/>
      <c r="D40" s="201">
        <v>0</v>
      </c>
      <c r="E40" s="202"/>
      <c r="F40" s="189"/>
      <c r="G40" s="189"/>
      <c r="H40" s="189"/>
    </row>
    <row r="41" spans="1:8" x14ac:dyDescent="0.25">
      <c r="A41" s="106" t="s">
        <v>227</v>
      </c>
      <c r="B41" s="201">
        <v>0</v>
      </c>
      <c r="C41" s="202"/>
      <c r="D41" s="201">
        <v>0</v>
      </c>
      <c r="E41" s="202"/>
      <c r="F41" s="189"/>
      <c r="G41" s="189"/>
      <c r="H41" s="189"/>
    </row>
    <row r="42" spans="1:8" x14ac:dyDescent="0.25">
      <c r="A42" s="106" t="s">
        <v>228</v>
      </c>
      <c r="B42" s="201">
        <f>C43+C44+C45</f>
        <v>2000</v>
      </c>
      <c r="C42" s="202"/>
      <c r="D42" s="201">
        <v>0</v>
      </c>
      <c r="E42" s="202"/>
      <c r="F42" s="189"/>
      <c r="G42" s="189"/>
      <c r="H42" s="189"/>
    </row>
    <row r="43" spans="1:8" ht="12.75" customHeight="1" x14ac:dyDescent="0.25">
      <c r="A43" s="208" t="s">
        <v>229</v>
      </c>
      <c r="B43" s="209"/>
      <c r="C43" s="109">
        <v>0</v>
      </c>
      <c r="D43" s="210"/>
      <c r="E43" s="109">
        <v>0</v>
      </c>
      <c r="F43" s="189"/>
      <c r="G43" s="189"/>
      <c r="H43" s="189"/>
    </row>
    <row r="44" spans="1:8" ht="12.75" customHeight="1" x14ac:dyDescent="0.25">
      <c r="A44" s="208" t="s">
        <v>230</v>
      </c>
      <c r="B44" s="209"/>
      <c r="C44" s="109">
        <v>0</v>
      </c>
      <c r="D44" s="210"/>
      <c r="E44" s="109">
        <v>0</v>
      </c>
      <c r="F44" s="189"/>
      <c r="G44" s="207"/>
      <c r="H44" s="189"/>
    </row>
    <row r="45" spans="1:8" ht="12.75" customHeight="1" x14ac:dyDescent="0.25">
      <c r="A45" s="208" t="s">
        <v>231</v>
      </c>
      <c r="B45" s="209"/>
      <c r="C45" s="109">
        <v>2000</v>
      </c>
      <c r="D45" s="210"/>
      <c r="E45" s="109">
        <v>0</v>
      </c>
      <c r="F45" s="189"/>
      <c r="G45" s="189"/>
      <c r="H45" s="189"/>
    </row>
    <row r="46" spans="1:8" x14ac:dyDescent="0.25">
      <c r="A46" s="110" t="s">
        <v>232</v>
      </c>
      <c r="B46" s="201">
        <f t="shared" ref="B46:D46" si="2">B47+B48</f>
        <v>0</v>
      </c>
      <c r="C46" s="202"/>
      <c r="D46" s="201">
        <f t="shared" si="2"/>
        <v>0</v>
      </c>
      <c r="E46" s="202"/>
      <c r="F46" s="189"/>
      <c r="G46" s="9"/>
      <c r="H46" s="189"/>
    </row>
    <row r="47" spans="1:8" x14ac:dyDescent="0.25">
      <c r="A47" s="106" t="s">
        <v>233</v>
      </c>
      <c r="B47" s="203">
        <v>0</v>
      </c>
      <c r="C47" s="204"/>
      <c r="D47" s="203">
        <v>0</v>
      </c>
      <c r="E47" s="204"/>
      <c r="F47" s="189"/>
      <c r="G47" s="189"/>
      <c r="H47" s="189"/>
    </row>
    <row r="48" spans="1:8" x14ac:dyDescent="0.25">
      <c r="A48" s="106" t="s">
        <v>234</v>
      </c>
      <c r="B48" s="203">
        <v>0</v>
      </c>
      <c r="C48" s="204"/>
      <c r="D48" s="203">
        <v>0</v>
      </c>
      <c r="E48" s="204"/>
      <c r="F48" s="189"/>
      <c r="G48" s="189"/>
      <c r="H48" s="189"/>
    </row>
    <row r="49" spans="1:10" x14ac:dyDescent="0.25">
      <c r="A49" s="110" t="s">
        <v>235</v>
      </c>
      <c r="B49" s="201">
        <f>C50+B51</f>
        <v>2605000</v>
      </c>
      <c r="C49" s="202"/>
      <c r="D49" s="201">
        <f>E50+D51</f>
        <v>1185175.8400000001</v>
      </c>
      <c r="E49" s="202"/>
      <c r="F49" s="189"/>
      <c r="G49" s="9"/>
      <c r="H49" s="189"/>
    </row>
    <row r="50" spans="1:10" x14ac:dyDescent="0.25">
      <c r="A50" s="208" t="s">
        <v>236</v>
      </c>
      <c r="B50" s="209"/>
      <c r="C50" s="109">
        <v>0</v>
      </c>
      <c r="D50" s="210"/>
      <c r="E50" s="109">
        <v>0</v>
      </c>
      <c r="F50" s="189"/>
      <c r="G50" s="189"/>
      <c r="H50" s="189"/>
    </row>
    <row r="51" spans="1:10" x14ac:dyDescent="0.25">
      <c r="A51" s="208" t="s">
        <v>237</v>
      </c>
      <c r="B51" s="203">
        <v>2605000</v>
      </c>
      <c r="C51" s="204"/>
      <c r="D51" s="203">
        <v>1185175.8400000001</v>
      </c>
      <c r="E51" s="204"/>
      <c r="F51" s="189"/>
      <c r="G51" s="9"/>
      <c r="H51" s="189"/>
    </row>
    <row r="52" spans="1:10" x14ac:dyDescent="0.25">
      <c r="A52" s="211" t="s">
        <v>238</v>
      </c>
      <c r="B52" s="201">
        <f>B39-B40-B41-C44-C50</f>
        <v>2607000</v>
      </c>
      <c r="C52" s="202"/>
      <c r="D52" s="201">
        <f>D39-D40-D41-E44-E50</f>
        <v>1185175.8400000001</v>
      </c>
      <c r="E52" s="202"/>
      <c r="F52" s="189"/>
      <c r="G52" s="9"/>
      <c r="H52" s="189"/>
    </row>
    <row r="53" spans="1:10" x14ac:dyDescent="0.25">
      <c r="A53" s="111" t="s">
        <v>239</v>
      </c>
      <c r="B53" s="212">
        <f>B38+B52</f>
        <v>78134000</v>
      </c>
      <c r="C53" s="213"/>
      <c r="D53" s="212">
        <f>D38+D52</f>
        <v>48783680.550000004</v>
      </c>
      <c r="E53" s="213"/>
      <c r="F53" s="189"/>
      <c r="G53" s="9"/>
      <c r="H53" s="189"/>
    </row>
    <row r="54" spans="1:10" x14ac:dyDescent="0.25">
      <c r="A54" s="214"/>
      <c r="B54" s="215"/>
      <c r="C54" s="215"/>
      <c r="D54" s="215"/>
      <c r="E54" s="216"/>
      <c r="F54" s="216"/>
      <c r="G54" s="217"/>
      <c r="H54" s="216"/>
    </row>
    <row r="55" spans="1:10" s="1" customFormat="1" ht="15.6" x14ac:dyDescent="0.3">
      <c r="A55" s="218"/>
      <c r="B55" s="219"/>
      <c r="C55" s="220"/>
      <c r="D55" s="219"/>
      <c r="E55" s="219"/>
      <c r="F55" s="221"/>
      <c r="G55" s="222"/>
      <c r="H55" s="221"/>
    </row>
    <row r="56" spans="1:10" s="1" customFormat="1" ht="15.6" x14ac:dyDescent="0.3">
      <c r="A56" s="223"/>
      <c r="B56" s="224" t="s">
        <v>240</v>
      </c>
      <c r="C56" s="224"/>
      <c r="D56" s="224"/>
      <c r="E56" s="224"/>
      <c r="F56" s="224"/>
      <c r="G56" s="225"/>
      <c r="H56" s="226"/>
      <c r="J56" s="227"/>
    </row>
    <row r="57" spans="1:10" s="232" customFormat="1" x14ac:dyDescent="0.25">
      <c r="A57" s="228"/>
      <c r="B57" s="229"/>
      <c r="C57" s="229"/>
      <c r="D57" s="229"/>
      <c r="E57" s="229"/>
      <c r="F57" s="229"/>
      <c r="G57" s="230" t="s">
        <v>241</v>
      </c>
      <c r="H57" s="231"/>
      <c r="J57" s="233"/>
    </row>
    <row r="58" spans="1:10" s="232" customFormat="1" x14ac:dyDescent="0.25">
      <c r="A58" s="228" t="s">
        <v>242</v>
      </c>
      <c r="B58" s="234"/>
      <c r="C58" s="192"/>
      <c r="D58" s="192"/>
      <c r="E58" s="234"/>
      <c r="F58" s="235" t="s">
        <v>19</v>
      </c>
      <c r="G58" s="236"/>
      <c r="H58" s="237"/>
      <c r="J58" s="233"/>
    </row>
    <row r="59" spans="1:10" s="232" customFormat="1" x14ac:dyDescent="0.25">
      <c r="A59" s="228"/>
      <c r="B59" s="234" t="s">
        <v>1</v>
      </c>
      <c r="C59" s="234" t="s">
        <v>162</v>
      </c>
      <c r="D59" s="234" t="s">
        <v>243</v>
      </c>
      <c r="E59" s="234" t="s">
        <v>162</v>
      </c>
      <c r="F59" s="235" t="s">
        <v>244</v>
      </c>
      <c r="G59" s="236" t="s">
        <v>245</v>
      </c>
      <c r="H59" s="237" t="s">
        <v>246</v>
      </c>
      <c r="J59" s="233"/>
    </row>
    <row r="60" spans="1:10" s="232" customFormat="1" x14ac:dyDescent="0.25">
      <c r="A60" s="238"/>
      <c r="B60" s="239" t="s">
        <v>5</v>
      </c>
      <c r="C60" s="239" t="s">
        <v>247</v>
      </c>
      <c r="D60" s="239" t="s">
        <v>248</v>
      </c>
      <c r="E60" s="239" t="s">
        <v>249</v>
      </c>
      <c r="F60" s="240" t="s">
        <v>9</v>
      </c>
      <c r="G60" s="241"/>
      <c r="H60" s="242" t="s">
        <v>110</v>
      </c>
      <c r="J60" s="233"/>
    </row>
    <row r="61" spans="1:10" s="232" customFormat="1" x14ac:dyDescent="0.25">
      <c r="A61" s="243" t="s">
        <v>242</v>
      </c>
      <c r="B61" s="244" t="s">
        <v>113</v>
      </c>
      <c r="C61" s="245" t="s">
        <v>113</v>
      </c>
      <c r="D61" s="246" t="s">
        <v>113</v>
      </c>
      <c r="E61" s="245" t="s">
        <v>113</v>
      </c>
      <c r="F61" s="247" t="s">
        <v>113</v>
      </c>
      <c r="G61" s="237" t="s">
        <v>113</v>
      </c>
      <c r="H61" s="237" t="s">
        <v>113</v>
      </c>
      <c r="J61" s="233"/>
    </row>
    <row r="62" spans="1:10" x14ac:dyDescent="0.25">
      <c r="A62" s="248" t="s">
        <v>250</v>
      </c>
      <c r="B62" s="97">
        <f>B63+B64+B65</f>
        <v>59863500</v>
      </c>
      <c r="C62" s="97">
        <f>C63+C64+C65</f>
        <v>44445479.609999999</v>
      </c>
      <c r="D62" s="97">
        <f t="shared" ref="D62:E62" si="3">D63+D64+D65</f>
        <v>36981929.890000001</v>
      </c>
      <c r="E62" s="97">
        <f t="shared" si="3"/>
        <v>35907023.239999995</v>
      </c>
      <c r="F62" s="97">
        <f>F63+F64+F65</f>
        <v>845199.71</v>
      </c>
      <c r="G62" s="249">
        <f>G63+G64+G65</f>
        <v>2719985.41</v>
      </c>
      <c r="H62" s="249">
        <f>H63+H64+H65</f>
        <v>2718757.85</v>
      </c>
      <c r="J62" s="250"/>
    </row>
    <row r="63" spans="1:10" x14ac:dyDescent="0.25">
      <c r="A63" s="251" t="s">
        <v>251</v>
      </c>
      <c r="B63" s="107">
        <v>23019000</v>
      </c>
      <c r="C63" s="107">
        <v>14983104.59</v>
      </c>
      <c r="D63" s="109">
        <v>14983104.59</v>
      </c>
      <c r="E63" s="107">
        <v>14983104.59</v>
      </c>
      <c r="F63" s="107">
        <v>32538.99</v>
      </c>
      <c r="G63" s="107">
        <v>0</v>
      </c>
      <c r="H63" s="107">
        <v>0</v>
      </c>
      <c r="J63" s="252"/>
    </row>
    <row r="64" spans="1:10" x14ac:dyDescent="0.25">
      <c r="A64" s="251" t="s">
        <v>252</v>
      </c>
      <c r="B64" s="107">
        <v>0</v>
      </c>
      <c r="C64" s="107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J64" s="250"/>
    </row>
    <row r="65" spans="1:10" x14ac:dyDescent="0.25">
      <c r="A65" s="251" t="s">
        <v>178</v>
      </c>
      <c r="B65" s="107">
        <v>36844500</v>
      </c>
      <c r="C65" s="107">
        <v>29462375.02</v>
      </c>
      <c r="D65" s="109">
        <v>21998825.300000001</v>
      </c>
      <c r="E65" s="107">
        <v>20923918.649999999</v>
      </c>
      <c r="F65" s="107">
        <v>812660.72</v>
      </c>
      <c r="G65" s="107">
        <v>2719985.41</v>
      </c>
      <c r="H65" s="107">
        <v>2718757.85</v>
      </c>
      <c r="J65" s="250"/>
    </row>
    <row r="66" spans="1:10" x14ac:dyDescent="0.25">
      <c r="A66" s="248" t="s">
        <v>253</v>
      </c>
      <c r="B66" s="97">
        <f>B62-B64</f>
        <v>59863500</v>
      </c>
      <c r="C66" s="97">
        <f>C62-C64</f>
        <v>44445479.609999999</v>
      </c>
      <c r="D66" s="97">
        <f t="shared" ref="D66:E66" si="4">D62-D64</f>
        <v>36981929.890000001</v>
      </c>
      <c r="E66" s="97">
        <f t="shared" si="4"/>
        <v>35907023.239999995</v>
      </c>
      <c r="F66" s="97">
        <f>F62-F64</f>
        <v>845199.71</v>
      </c>
      <c r="G66" s="97">
        <f>G62-G64</f>
        <v>2719985.41</v>
      </c>
      <c r="H66" s="97">
        <f>H62-H64</f>
        <v>2718757.85</v>
      </c>
      <c r="J66" s="250"/>
    </row>
    <row r="67" spans="1:10" x14ac:dyDescent="0.25">
      <c r="A67" s="248" t="s">
        <v>254</v>
      </c>
      <c r="B67" s="97">
        <f>B68+B69+B74</f>
        <v>17619894.309999999</v>
      </c>
      <c r="C67" s="97">
        <f>C68+C69+C74</f>
        <v>7851508.8799999999</v>
      </c>
      <c r="D67" s="97">
        <f t="shared" ref="D67:H67" si="5">D68+D69+D74</f>
        <v>3050653.65</v>
      </c>
      <c r="E67" s="97">
        <f t="shared" si="5"/>
        <v>2930258.4</v>
      </c>
      <c r="F67" s="97">
        <f t="shared" si="5"/>
        <v>146439.06</v>
      </c>
      <c r="G67" s="97">
        <f>G68+G69+G74</f>
        <v>4171564.1</v>
      </c>
      <c r="H67" s="97">
        <f t="shared" si="5"/>
        <v>3956791.88</v>
      </c>
      <c r="J67" s="250"/>
    </row>
    <row r="68" spans="1:10" x14ac:dyDescent="0.25">
      <c r="A68" s="251" t="s">
        <v>180</v>
      </c>
      <c r="B68" s="107">
        <v>17619894.309999999</v>
      </c>
      <c r="C68" s="109">
        <v>7851508.8799999999</v>
      </c>
      <c r="D68" s="101">
        <v>3050653.65</v>
      </c>
      <c r="E68" s="109">
        <v>2930258.4</v>
      </c>
      <c r="F68" s="109">
        <v>146439.06</v>
      </c>
      <c r="G68" s="109">
        <v>4171564.1</v>
      </c>
      <c r="H68" s="109">
        <v>3956791.88</v>
      </c>
      <c r="J68" s="250"/>
    </row>
    <row r="69" spans="1:10" x14ac:dyDescent="0.25">
      <c r="A69" s="251" t="s">
        <v>255</v>
      </c>
      <c r="B69" s="107">
        <f>B70+B71+B72+B73</f>
        <v>0</v>
      </c>
      <c r="C69" s="107">
        <f>C70+C71+C72+C73</f>
        <v>0</v>
      </c>
      <c r="D69" s="107">
        <f t="shared" ref="D69:H69" si="6">D70+D71+D72+D73</f>
        <v>0</v>
      </c>
      <c r="E69" s="107">
        <f t="shared" si="6"/>
        <v>0</v>
      </c>
      <c r="F69" s="107">
        <f t="shared" si="6"/>
        <v>0</v>
      </c>
      <c r="G69" s="107">
        <f t="shared" si="6"/>
        <v>0</v>
      </c>
      <c r="H69" s="107">
        <f t="shared" si="6"/>
        <v>0</v>
      </c>
      <c r="J69" s="250"/>
    </row>
    <row r="70" spans="1:10" x14ac:dyDescent="0.25">
      <c r="A70" s="251" t="s">
        <v>256</v>
      </c>
      <c r="B70" s="107">
        <v>0</v>
      </c>
      <c r="C70" s="107">
        <v>0</v>
      </c>
      <c r="D70" s="107">
        <v>0</v>
      </c>
      <c r="E70" s="107">
        <v>0</v>
      </c>
      <c r="F70" s="107">
        <v>0</v>
      </c>
      <c r="G70" s="253">
        <v>0</v>
      </c>
      <c r="H70" s="253">
        <v>0</v>
      </c>
      <c r="J70" s="250"/>
    </row>
    <row r="71" spans="1:10" x14ac:dyDescent="0.25">
      <c r="A71" s="251" t="s">
        <v>257</v>
      </c>
      <c r="B71" s="107">
        <v>0</v>
      </c>
      <c r="C71" s="107">
        <v>0</v>
      </c>
      <c r="D71" s="107">
        <v>0</v>
      </c>
      <c r="E71" s="107">
        <v>0</v>
      </c>
      <c r="F71" s="107">
        <v>0</v>
      </c>
      <c r="G71" s="253">
        <v>0</v>
      </c>
      <c r="H71" s="253">
        <v>0</v>
      </c>
      <c r="J71" s="250"/>
    </row>
    <row r="72" spans="1:10" x14ac:dyDescent="0.25">
      <c r="A72" s="251" t="s">
        <v>258</v>
      </c>
      <c r="B72" s="107">
        <v>0</v>
      </c>
      <c r="C72" s="107">
        <v>0</v>
      </c>
      <c r="D72" s="107">
        <v>0</v>
      </c>
      <c r="E72" s="107">
        <v>0</v>
      </c>
      <c r="F72" s="107">
        <v>0</v>
      </c>
      <c r="G72" s="253">
        <v>0</v>
      </c>
      <c r="H72" s="253">
        <v>0</v>
      </c>
      <c r="J72" s="250"/>
    </row>
    <row r="73" spans="1:10" x14ac:dyDescent="0.25">
      <c r="A73" s="251" t="s">
        <v>259</v>
      </c>
      <c r="B73" s="107">
        <v>0</v>
      </c>
      <c r="C73" s="107">
        <v>0</v>
      </c>
      <c r="D73" s="107">
        <v>0</v>
      </c>
      <c r="E73" s="107">
        <v>0</v>
      </c>
      <c r="F73" s="107">
        <v>0</v>
      </c>
      <c r="G73" s="253">
        <v>0</v>
      </c>
      <c r="H73" s="253">
        <v>0</v>
      </c>
      <c r="J73" s="250"/>
    </row>
    <row r="74" spans="1:10" x14ac:dyDescent="0.25">
      <c r="A74" s="248" t="s">
        <v>260</v>
      </c>
      <c r="B74" s="97">
        <v>0</v>
      </c>
      <c r="C74" s="97">
        <v>0</v>
      </c>
      <c r="D74" s="97">
        <v>0</v>
      </c>
      <c r="E74" s="97">
        <v>0</v>
      </c>
      <c r="F74" s="107">
        <v>0</v>
      </c>
      <c r="G74" s="253">
        <v>0</v>
      </c>
      <c r="H74" s="253">
        <v>0</v>
      </c>
      <c r="J74" s="250"/>
    </row>
    <row r="75" spans="1:10" x14ac:dyDescent="0.25">
      <c r="A75" s="248" t="s">
        <v>261</v>
      </c>
      <c r="B75" s="97">
        <f>B67-B70-B71-B72-B74</f>
        <v>17619894.309999999</v>
      </c>
      <c r="C75" s="97">
        <f>C67-C70-C71-C72-C74</f>
        <v>7851508.8799999999</v>
      </c>
      <c r="D75" s="97">
        <f>D67-D70-D71-D72-D74</f>
        <v>3050653.65</v>
      </c>
      <c r="E75" s="97">
        <f t="shared" ref="E75:H75" si="7">E67-E70-E71-E72-E74</f>
        <v>2930258.4</v>
      </c>
      <c r="F75" s="97">
        <f t="shared" si="7"/>
        <v>146439.06</v>
      </c>
      <c r="G75" s="249">
        <f>G67-G70-G71-G72-G74</f>
        <v>4171564.1</v>
      </c>
      <c r="H75" s="249">
        <f t="shared" si="7"/>
        <v>3956791.88</v>
      </c>
      <c r="J75" s="252"/>
    </row>
    <row r="76" spans="1:10" x14ac:dyDescent="0.25">
      <c r="A76" s="248" t="s">
        <v>262</v>
      </c>
      <c r="B76" s="165">
        <v>0</v>
      </c>
      <c r="C76" s="97">
        <v>0</v>
      </c>
      <c r="D76" s="97">
        <v>0</v>
      </c>
      <c r="E76" s="97">
        <v>0</v>
      </c>
      <c r="F76" s="97">
        <v>0</v>
      </c>
      <c r="G76" s="249">
        <v>0</v>
      </c>
      <c r="H76" s="249">
        <v>0</v>
      </c>
      <c r="J76" s="250"/>
    </row>
    <row r="77" spans="1:10" x14ac:dyDescent="0.25">
      <c r="A77" s="254" t="s">
        <v>263</v>
      </c>
      <c r="B77" s="112">
        <f>B66+B75+B76</f>
        <v>77483394.310000002</v>
      </c>
      <c r="C77" s="112">
        <f>C66+C75+C76</f>
        <v>52296988.490000002</v>
      </c>
      <c r="D77" s="112">
        <f t="shared" ref="D77:E77" si="8">D66+D75+D76</f>
        <v>40032583.539999999</v>
      </c>
      <c r="E77" s="112">
        <f t="shared" si="8"/>
        <v>38837281.639999993</v>
      </c>
      <c r="F77" s="112">
        <f>F66+F75+F76</f>
        <v>991638.77</v>
      </c>
      <c r="G77" s="255">
        <f>G66+G75+G76</f>
        <v>6891549.5099999998</v>
      </c>
      <c r="H77" s="255">
        <f>H66+H75+H76</f>
        <v>6675549.7300000004</v>
      </c>
      <c r="J77" s="250"/>
    </row>
    <row r="78" spans="1:10" x14ac:dyDescent="0.25">
      <c r="A78" s="256"/>
      <c r="B78" s="257"/>
      <c r="C78" s="257"/>
      <c r="D78" s="257"/>
      <c r="E78" s="257"/>
      <c r="F78" s="258"/>
      <c r="G78" s="259"/>
      <c r="H78" s="258"/>
    </row>
    <row r="79" spans="1:10" x14ac:dyDescent="0.25">
      <c r="A79" s="256"/>
      <c r="B79" s="257"/>
      <c r="C79" s="257"/>
      <c r="D79" s="257"/>
      <c r="E79" s="257"/>
      <c r="F79" s="258"/>
      <c r="G79" s="259"/>
      <c r="H79" s="258"/>
    </row>
    <row r="80" spans="1:10" ht="30" customHeight="1" x14ac:dyDescent="0.25">
      <c r="A80" s="260" t="s">
        <v>264</v>
      </c>
      <c r="B80" s="261"/>
      <c r="C80" s="261"/>
      <c r="D80" s="261"/>
      <c r="E80" s="262"/>
      <c r="F80" s="263">
        <f>D53-(E77+F77+H77)</f>
        <v>2279210.4100000039</v>
      </c>
      <c r="G80" s="264"/>
      <c r="H80" s="265"/>
    </row>
    <row r="81" spans="1:8" ht="15.75" customHeight="1" x14ac:dyDescent="0.25">
      <c r="A81" s="259"/>
      <c r="B81" s="259"/>
      <c r="C81" s="259"/>
      <c r="D81" s="259"/>
      <c r="E81" s="259"/>
      <c r="F81" s="258"/>
      <c r="G81" s="259"/>
      <c r="H81" s="258"/>
    </row>
    <row r="82" spans="1:8" ht="15.75" customHeight="1" x14ac:dyDescent="0.25">
      <c r="A82" s="259"/>
      <c r="B82" s="259"/>
      <c r="C82" s="259"/>
      <c r="D82" s="259"/>
      <c r="E82" s="259"/>
      <c r="F82" s="258"/>
      <c r="G82" s="259"/>
      <c r="H82" s="258"/>
    </row>
    <row r="83" spans="1:8" x14ac:dyDescent="0.25">
      <c r="A83" s="266"/>
      <c r="B83" s="224"/>
      <c r="C83" s="224"/>
      <c r="D83" s="224"/>
      <c r="E83" s="267"/>
      <c r="F83" s="266" t="s">
        <v>265</v>
      </c>
      <c r="G83" s="224"/>
      <c r="H83" s="268"/>
    </row>
    <row r="84" spans="1:8" x14ac:dyDescent="0.25">
      <c r="A84" s="269" t="s">
        <v>266</v>
      </c>
      <c r="B84" s="270"/>
      <c r="C84" s="270"/>
      <c r="D84" s="270"/>
      <c r="E84" s="270"/>
      <c r="F84" s="269"/>
      <c r="G84" s="270"/>
      <c r="H84" s="271"/>
    </row>
    <row r="85" spans="1:8" ht="22.5" customHeight="1" x14ac:dyDescent="0.25">
      <c r="A85" s="272" t="s">
        <v>267</v>
      </c>
      <c r="B85" s="273"/>
      <c r="C85" s="273"/>
      <c r="D85" s="273"/>
      <c r="E85" s="274"/>
      <c r="F85" s="275">
        <v>0</v>
      </c>
      <c r="G85" s="276"/>
      <c r="H85" s="277"/>
    </row>
    <row r="86" spans="1:8" ht="15.75" customHeight="1" x14ac:dyDescent="0.25">
      <c r="D86" s="6"/>
      <c r="F86" s="189"/>
      <c r="G86" s="9"/>
      <c r="H86" s="189"/>
    </row>
    <row r="87" spans="1:8" ht="15.75" customHeight="1" x14ac:dyDescent="0.25">
      <c r="D87" s="6"/>
      <c r="F87" s="189"/>
      <c r="G87" s="9"/>
      <c r="H87" s="189"/>
    </row>
    <row r="88" spans="1:8" ht="15.75" customHeight="1" x14ac:dyDescent="0.35">
      <c r="A88" s="182" t="s">
        <v>85</v>
      </c>
      <c r="B88" s="182"/>
      <c r="C88" s="182"/>
      <c r="D88" s="182"/>
      <c r="E88" s="182"/>
      <c r="F88" s="182"/>
      <c r="G88" s="182"/>
      <c r="H88" s="182"/>
    </row>
    <row r="89" spans="1:8" ht="15.75" customHeight="1" x14ac:dyDescent="0.35">
      <c r="A89" s="182" t="s">
        <v>86</v>
      </c>
      <c r="B89" s="182"/>
      <c r="C89" s="182"/>
      <c r="D89" s="182"/>
      <c r="E89" s="182"/>
      <c r="F89" s="182"/>
      <c r="G89" s="182"/>
      <c r="H89" s="182"/>
    </row>
    <row r="90" spans="1:8" ht="15.75" customHeight="1" x14ac:dyDescent="0.25">
      <c r="F90" s="189"/>
      <c r="G90" s="9"/>
      <c r="H90" s="189"/>
    </row>
    <row r="91" spans="1:8" ht="15.75" customHeight="1" x14ac:dyDescent="0.3">
      <c r="A91" s="7"/>
      <c r="B91" s="7"/>
      <c r="C91" s="7"/>
      <c r="D91" s="7"/>
      <c r="E91" s="7"/>
      <c r="F91" s="189"/>
      <c r="G91" s="9"/>
      <c r="H91" s="189"/>
    </row>
    <row r="92" spans="1:8" ht="15.75" customHeight="1" x14ac:dyDescent="0.25">
      <c r="A92" s="74" t="s">
        <v>0</v>
      </c>
      <c r="B92" s="74"/>
      <c r="C92" s="74"/>
      <c r="D92" s="74"/>
      <c r="E92" s="74"/>
      <c r="F92" s="74"/>
      <c r="G92" s="74"/>
      <c r="H92" s="74"/>
    </row>
    <row r="93" spans="1:8" ht="15.75" customHeight="1" x14ac:dyDescent="0.25">
      <c r="A93" s="75" t="s">
        <v>195</v>
      </c>
      <c r="B93" s="75"/>
      <c r="C93" s="75"/>
      <c r="D93" s="75"/>
      <c r="E93" s="75"/>
      <c r="F93" s="75"/>
      <c r="G93" s="75"/>
      <c r="H93" s="75"/>
    </row>
    <row r="94" spans="1:8" ht="15.75" customHeight="1" x14ac:dyDescent="0.25">
      <c r="A94" s="74" t="s">
        <v>103</v>
      </c>
      <c r="B94" s="74"/>
      <c r="C94" s="74"/>
      <c r="D94" s="74"/>
      <c r="E94" s="74"/>
      <c r="F94" s="74"/>
      <c r="G94" s="74"/>
      <c r="H94" s="74"/>
    </row>
    <row r="95" spans="1:8" s="1" customFormat="1" ht="15.6" x14ac:dyDescent="0.3">
      <c r="A95" s="278" t="s">
        <v>100</v>
      </c>
      <c r="B95" s="278"/>
      <c r="C95" s="278"/>
      <c r="D95" s="278"/>
      <c r="E95" s="278"/>
      <c r="F95" s="278"/>
      <c r="G95" s="278"/>
      <c r="H95" s="278"/>
    </row>
    <row r="96" spans="1:8" s="1" customFormat="1" ht="15.6" x14ac:dyDescent="0.3">
      <c r="A96" s="10"/>
      <c r="B96" s="10"/>
      <c r="C96" s="10"/>
      <c r="D96" s="10"/>
      <c r="E96" s="10"/>
      <c r="F96" s="279"/>
      <c r="G96" s="181"/>
      <c r="H96" s="280"/>
    </row>
    <row r="97" spans="1:11" s="1" customFormat="1" ht="15.6" x14ac:dyDescent="0.3">
      <c r="A97" s="266"/>
      <c r="B97" s="224"/>
      <c r="C97" s="224"/>
      <c r="D97" s="224"/>
      <c r="E97" s="268"/>
      <c r="F97" s="281" t="s">
        <v>268</v>
      </c>
      <c r="G97" s="225"/>
      <c r="H97" s="226"/>
    </row>
    <row r="98" spans="1:11" s="1" customFormat="1" ht="15.6" x14ac:dyDescent="0.3">
      <c r="A98" s="269" t="s">
        <v>269</v>
      </c>
      <c r="B98" s="270"/>
      <c r="C98" s="270"/>
      <c r="D98" s="270"/>
      <c r="E98" s="270"/>
      <c r="F98" s="281" t="s">
        <v>270</v>
      </c>
      <c r="G98" s="225"/>
      <c r="H98" s="226"/>
    </row>
    <row r="99" spans="1:11" s="1" customFormat="1" ht="15.6" x14ac:dyDescent="0.3">
      <c r="A99" s="282" t="s">
        <v>269</v>
      </c>
      <c r="B99" s="283"/>
      <c r="C99" s="283"/>
      <c r="D99" s="283"/>
      <c r="E99" s="284"/>
      <c r="F99" s="263" t="s">
        <v>113</v>
      </c>
      <c r="G99" s="264"/>
      <c r="H99" s="265"/>
    </row>
    <row r="100" spans="1:11" s="1" customFormat="1" ht="15.6" x14ac:dyDescent="0.3">
      <c r="A100" s="285" t="s">
        <v>271</v>
      </c>
      <c r="B100" s="286"/>
      <c r="C100" s="286"/>
      <c r="D100" s="286"/>
      <c r="E100" s="287"/>
      <c r="F100" s="288">
        <f>D25</f>
        <v>877956.33</v>
      </c>
      <c r="G100" s="289"/>
      <c r="H100" s="290"/>
      <c r="J100" s="291"/>
      <c r="K100" s="291"/>
    </row>
    <row r="101" spans="1:11" s="1" customFormat="1" ht="15.75" customHeight="1" x14ac:dyDescent="0.3">
      <c r="A101" s="285" t="s">
        <v>272</v>
      </c>
      <c r="B101" s="286"/>
      <c r="C101" s="286"/>
      <c r="D101" s="286"/>
      <c r="E101" s="287"/>
      <c r="F101" s="275">
        <v>0</v>
      </c>
      <c r="G101" s="276"/>
      <c r="H101" s="277"/>
    </row>
    <row r="102" spans="1:11" s="1" customFormat="1" ht="15.75" customHeight="1" x14ac:dyDescent="0.3">
      <c r="A102" s="292"/>
      <c r="B102" s="292"/>
      <c r="C102" s="292"/>
      <c r="D102" s="292"/>
      <c r="E102" s="292"/>
      <c r="F102" s="293"/>
      <c r="G102" s="293"/>
      <c r="H102" s="293"/>
    </row>
    <row r="103" spans="1:11" s="1" customFormat="1" ht="15.75" customHeight="1" x14ac:dyDescent="0.3">
      <c r="A103" s="292"/>
      <c r="B103" s="292"/>
      <c r="C103" s="292"/>
      <c r="D103" s="292"/>
      <c r="E103" s="292"/>
      <c r="F103" s="293"/>
      <c r="G103" s="293"/>
      <c r="H103" s="293"/>
    </row>
    <row r="104" spans="1:11" s="1" customFormat="1" ht="15.6" x14ac:dyDescent="0.3">
      <c r="A104" s="294"/>
      <c r="B104" s="295"/>
      <c r="C104" s="295"/>
      <c r="D104" s="295"/>
      <c r="E104" s="295"/>
      <c r="F104" s="296"/>
      <c r="G104" s="297"/>
      <c r="H104" s="296"/>
    </row>
    <row r="105" spans="1:11" s="1" customFormat="1" ht="15.6" x14ac:dyDescent="0.3">
      <c r="A105" s="266"/>
      <c r="B105" s="224"/>
      <c r="C105" s="224"/>
      <c r="D105" s="224"/>
      <c r="E105" s="268"/>
      <c r="F105" s="281" t="s">
        <v>273</v>
      </c>
      <c r="G105" s="225"/>
      <c r="H105" s="226"/>
    </row>
    <row r="106" spans="1:11" s="1" customFormat="1" ht="15.6" x14ac:dyDescent="0.3">
      <c r="A106" s="269" t="s">
        <v>274</v>
      </c>
      <c r="B106" s="270"/>
      <c r="C106" s="270"/>
      <c r="D106" s="270"/>
      <c r="E106" s="270"/>
      <c r="F106" s="281" t="s">
        <v>275</v>
      </c>
      <c r="G106" s="225"/>
      <c r="H106" s="226"/>
    </row>
    <row r="107" spans="1:11" s="1" customFormat="1" ht="15.6" x14ac:dyDescent="0.3">
      <c r="A107" s="282" t="s">
        <v>274</v>
      </c>
      <c r="B107" s="283"/>
      <c r="C107" s="283"/>
      <c r="D107" s="283"/>
      <c r="E107" s="284"/>
      <c r="F107" s="263" t="s">
        <v>113</v>
      </c>
      <c r="G107" s="264"/>
      <c r="H107" s="265"/>
    </row>
    <row r="108" spans="1:11" s="1" customFormat="1" ht="15.75" customHeight="1" x14ac:dyDescent="0.3">
      <c r="A108" s="285" t="s">
        <v>276</v>
      </c>
      <c r="B108" s="286"/>
      <c r="C108" s="286"/>
      <c r="D108" s="286"/>
      <c r="E108" s="287"/>
      <c r="F108" s="275">
        <f>F80+(F100-F101)</f>
        <v>3157166.7400000039</v>
      </c>
      <c r="G108" s="276"/>
      <c r="H108" s="277"/>
    </row>
    <row r="109" spans="1:11" s="1" customFormat="1" ht="15.75" customHeight="1" x14ac:dyDescent="0.3">
      <c r="A109" s="292"/>
      <c r="B109" s="292"/>
      <c r="C109" s="292"/>
      <c r="D109" s="292"/>
      <c r="E109" s="292"/>
      <c r="F109" s="293"/>
      <c r="G109" s="293"/>
      <c r="H109" s="293"/>
    </row>
    <row r="110" spans="1:11" s="1" customFormat="1" ht="15.75" customHeight="1" x14ac:dyDescent="0.3">
      <c r="A110" s="292"/>
      <c r="B110" s="292"/>
      <c r="C110" s="292"/>
      <c r="D110" s="292"/>
      <c r="E110" s="292"/>
      <c r="F110" s="293"/>
      <c r="G110" s="293"/>
      <c r="H110" s="293"/>
    </row>
    <row r="111" spans="1:11" s="1" customFormat="1" ht="15.6" x14ac:dyDescent="0.3">
      <c r="A111" s="294"/>
      <c r="B111" s="295"/>
      <c r="C111" s="295"/>
      <c r="D111" s="295"/>
      <c r="E111" s="295"/>
      <c r="F111" s="296"/>
      <c r="G111" s="297"/>
      <c r="H111" s="296"/>
    </row>
    <row r="112" spans="1:11" x14ac:dyDescent="0.25">
      <c r="A112" s="266"/>
      <c r="B112" s="224"/>
      <c r="C112" s="224"/>
      <c r="D112" s="224"/>
      <c r="E112" s="267"/>
      <c r="F112" s="266" t="s">
        <v>265</v>
      </c>
      <c r="G112" s="224"/>
      <c r="H112" s="268"/>
    </row>
    <row r="113" spans="1:8" x14ac:dyDescent="0.25">
      <c r="A113" s="269" t="s">
        <v>277</v>
      </c>
      <c r="B113" s="270"/>
      <c r="C113" s="270"/>
      <c r="D113" s="270"/>
      <c r="E113" s="270"/>
      <c r="F113" s="269"/>
      <c r="G113" s="270"/>
      <c r="H113" s="271"/>
    </row>
    <row r="114" spans="1:8" ht="22.5" customHeight="1" x14ac:dyDescent="0.25">
      <c r="A114" s="272" t="s">
        <v>267</v>
      </c>
      <c r="B114" s="273"/>
      <c r="C114" s="273"/>
      <c r="D114" s="273"/>
      <c r="E114" s="274"/>
      <c r="F114" s="275">
        <v>0</v>
      </c>
      <c r="G114" s="276"/>
      <c r="H114" s="277"/>
    </row>
    <row r="115" spans="1:8" ht="22.5" customHeight="1" x14ac:dyDescent="0.25">
      <c r="A115" s="298"/>
      <c r="B115" s="298"/>
      <c r="C115" s="298"/>
      <c r="D115" s="298"/>
      <c r="E115" s="298"/>
      <c r="F115" s="299"/>
      <c r="G115" s="299"/>
      <c r="H115" s="299"/>
    </row>
    <row r="116" spans="1:8" s="1" customFormat="1" ht="15.6" x14ac:dyDescent="0.3">
      <c r="A116" s="218"/>
      <c r="B116" s="300"/>
      <c r="C116" s="300"/>
      <c r="D116" s="300"/>
      <c r="E116" s="300"/>
      <c r="F116" s="221"/>
      <c r="G116" s="222"/>
      <c r="H116" s="221"/>
    </row>
    <row r="117" spans="1:8" s="1" customFormat="1" ht="15.6" x14ac:dyDescent="0.3">
      <c r="A117" s="218"/>
      <c r="B117" s="300"/>
      <c r="C117" s="300"/>
      <c r="D117" s="300"/>
      <c r="E117" s="300"/>
      <c r="F117" s="221"/>
      <c r="G117" s="222"/>
      <c r="H117" s="221"/>
    </row>
    <row r="118" spans="1:8" s="1" customFormat="1" ht="15.6" x14ac:dyDescent="0.3">
      <c r="A118" s="301"/>
      <c r="B118" s="302" t="s">
        <v>14</v>
      </c>
      <c r="C118" s="303"/>
      <c r="D118" s="140"/>
      <c r="E118" s="140"/>
      <c r="F118" s="280"/>
      <c r="G118" s="181"/>
      <c r="H118" s="280"/>
    </row>
    <row r="119" spans="1:8" s="1" customFormat="1" ht="15.6" x14ac:dyDescent="0.3">
      <c r="A119" s="304" t="s">
        <v>278</v>
      </c>
      <c r="B119" s="305" t="s">
        <v>279</v>
      </c>
      <c r="C119" s="305" t="s">
        <v>280</v>
      </c>
      <c r="D119" s="140"/>
      <c r="E119" s="140"/>
      <c r="F119" s="280"/>
      <c r="G119" s="181"/>
      <c r="H119" s="280"/>
    </row>
    <row r="120" spans="1:8" s="1" customFormat="1" ht="15.6" x14ac:dyDescent="0.3">
      <c r="A120" s="306"/>
      <c r="B120" s="307" t="s">
        <v>8</v>
      </c>
      <c r="C120" s="307" t="s">
        <v>9</v>
      </c>
      <c r="D120" s="140"/>
      <c r="E120" s="140"/>
      <c r="F120" s="280"/>
      <c r="G120" s="181"/>
      <c r="H120" s="280"/>
    </row>
    <row r="121" spans="1:8" s="1" customFormat="1" ht="15.6" x14ac:dyDescent="0.3">
      <c r="A121" s="308" t="s">
        <v>278</v>
      </c>
      <c r="B121" s="309" t="s">
        <v>113</v>
      </c>
      <c r="C121" s="310" t="s">
        <v>113</v>
      </c>
      <c r="D121" s="140"/>
      <c r="E121" s="140"/>
      <c r="F121" s="280"/>
      <c r="G121" s="181"/>
      <c r="H121" s="280"/>
    </row>
    <row r="122" spans="1:8" s="1" customFormat="1" ht="15.6" x14ac:dyDescent="0.3">
      <c r="A122" s="311" t="s">
        <v>281</v>
      </c>
      <c r="B122" s="312">
        <v>0</v>
      </c>
      <c r="C122" s="312">
        <v>0</v>
      </c>
      <c r="D122" s="140"/>
      <c r="E122" s="140"/>
      <c r="F122" s="280"/>
      <c r="G122" s="181"/>
      <c r="H122" s="280"/>
    </row>
    <row r="123" spans="1:8" s="1" customFormat="1" ht="15.6" x14ac:dyDescent="0.3">
      <c r="A123" s="311" t="s">
        <v>282</v>
      </c>
      <c r="B123" s="312">
        <f>B124+B128</f>
        <v>12974353.18</v>
      </c>
      <c r="C123" s="312">
        <f>C124+C128</f>
        <v>41714365.399999999</v>
      </c>
      <c r="D123" s="140"/>
      <c r="E123" s="140"/>
      <c r="F123" s="280"/>
      <c r="G123" s="181"/>
      <c r="H123" s="280"/>
    </row>
    <row r="124" spans="1:8" s="1" customFormat="1" ht="15.6" x14ac:dyDescent="0.3">
      <c r="A124" s="313" t="s">
        <v>283</v>
      </c>
      <c r="B124" s="314">
        <f>B125-B126</f>
        <v>12837561.310000001</v>
      </c>
      <c r="C124" s="314">
        <f>C125-C126-C127</f>
        <v>14568082.859999999</v>
      </c>
      <c r="D124" s="140"/>
      <c r="E124" s="140"/>
      <c r="F124" s="280"/>
      <c r="G124" s="181"/>
      <c r="H124" s="280"/>
    </row>
    <row r="125" spans="1:8" s="1" customFormat="1" ht="15.6" x14ac:dyDescent="0.3">
      <c r="A125" s="313" t="s">
        <v>284</v>
      </c>
      <c r="B125" s="315">
        <v>12841641.140000001</v>
      </c>
      <c r="C125" s="315">
        <v>15150942.01</v>
      </c>
      <c r="D125" s="140"/>
      <c r="E125" s="139"/>
      <c r="F125" s="280"/>
      <c r="G125" s="181"/>
      <c r="H125" s="280"/>
    </row>
    <row r="126" spans="1:8" s="1" customFormat="1" ht="15.6" x14ac:dyDescent="0.3">
      <c r="A126" s="313" t="s">
        <v>285</v>
      </c>
      <c r="B126" s="316">
        <v>4079.83</v>
      </c>
      <c r="C126" s="315">
        <f>2228.46+215999.78</f>
        <v>218228.24</v>
      </c>
      <c r="D126" s="317"/>
      <c r="E126" s="140"/>
      <c r="F126" s="280"/>
      <c r="G126" s="181"/>
      <c r="H126" s="280"/>
    </row>
    <row r="127" spans="1:8" s="1" customFormat="1" ht="15.6" x14ac:dyDescent="0.3">
      <c r="A127" s="313" t="s">
        <v>286</v>
      </c>
      <c r="B127" s="316">
        <v>311145.36</v>
      </c>
      <c r="C127" s="318">
        <v>364630.91</v>
      </c>
      <c r="D127" s="140"/>
      <c r="E127" s="140"/>
      <c r="F127" s="280"/>
      <c r="G127" s="181"/>
      <c r="H127" s="280"/>
    </row>
    <row r="128" spans="1:8" s="1" customFormat="1" ht="15.6" x14ac:dyDescent="0.3">
      <c r="A128" s="313" t="s">
        <v>287</v>
      </c>
      <c r="B128" s="318">
        <v>136791.87</v>
      </c>
      <c r="C128" s="318">
        <v>27146282.539999999</v>
      </c>
      <c r="D128"/>
      <c r="E128" s="140"/>
      <c r="F128" s="280"/>
      <c r="G128" s="181"/>
      <c r="H128" s="280"/>
    </row>
    <row r="129" spans="1:8" s="1" customFormat="1" ht="15.6" x14ac:dyDescent="0.3">
      <c r="A129" s="319" t="s">
        <v>288</v>
      </c>
      <c r="B129" s="320">
        <f>B122-B123</f>
        <v>-12974353.18</v>
      </c>
      <c r="C129" s="320">
        <f>C122-C123</f>
        <v>-41714365.399999999</v>
      </c>
      <c r="D129" s="140"/>
      <c r="E129" s="140"/>
      <c r="F129" s="280"/>
      <c r="G129" s="181"/>
      <c r="H129" s="280"/>
    </row>
    <row r="130" spans="1:8" s="1" customFormat="1" ht="15.6" x14ac:dyDescent="0.3">
      <c r="A130" s="321"/>
      <c r="B130" s="322"/>
      <c r="C130" s="322"/>
      <c r="D130" s="140"/>
      <c r="E130" s="140"/>
      <c r="F130" s="280"/>
      <c r="G130" s="181"/>
      <c r="H130" s="280"/>
    </row>
    <row r="131" spans="1:8" s="1" customFormat="1" ht="15.6" x14ac:dyDescent="0.3">
      <c r="A131" s="222"/>
      <c r="B131" s="323"/>
      <c r="C131" s="323"/>
      <c r="D131" s="323"/>
      <c r="E131" s="323"/>
      <c r="F131" s="221"/>
      <c r="G131" s="222"/>
      <c r="H131" s="221"/>
    </row>
    <row r="132" spans="1:8" s="1" customFormat="1" ht="15.6" x14ac:dyDescent="0.3">
      <c r="A132" s="222"/>
      <c r="B132" s="323"/>
      <c r="C132" s="323"/>
      <c r="D132" s="323"/>
      <c r="E132" s="323"/>
      <c r="F132" s="221"/>
      <c r="G132" s="222"/>
      <c r="H132" s="221"/>
    </row>
    <row r="133" spans="1:8" s="1" customFormat="1" ht="15.6" x14ac:dyDescent="0.3">
      <c r="A133" s="266"/>
      <c r="B133" s="224"/>
      <c r="C133" s="224"/>
      <c r="D133" s="224"/>
      <c r="E133" s="268"/>
      <c r="F133" s="281" t="s">
        <v>289</v>
      </c>
      <c r="G133" s="225"/>
      <c r="H133" s="226"/>
    </row>
    <row r="134" spans="1:8" s="1" customFormat="1" ht="15.6" x14ac:dyDescent="0.3">
      <c r="A134" s="269" t="s">
        <v>290</v>
      </c>
      <c r="B134" s="270"/>
      <c r="C134" s="270"/>
      <c r="D134" s="270"/>
      <c r="E134" s="270"/>
      <c r="F134" s="281" t="s">
        <v>275</v>
      </c>
      <c r="G134" s="225"/>
      <c r="H134" s="226"/>
    </row>
    <row r="135" spans="1:8" s="1" customFormat="1" ht="15.6" x14ac:dyDescent="0.3">
      <c r="A135" s="282" t="s">
        <v>290</v>
      </c>
      <c r="B135" s="283"/>
      <c r="C135" s="283"/>
      <c r="D135" s="283"/>
      <c r="E135" s="284"/>
      <c r="F135" s="263" t="s">
        <v>113</v>
      </c>
      <c r="G135" s="264"/>
      <c r="H135" s="265"/>
    </row>
    <row r="136" spans="1:8" s="1" customFormat="1" ht="15.75" customHeight="1" x14ac:dyDescent="0.3">
      <c r="A136" s="285" t="s">
        <v>291</v>
      </c>
      <c r="B136" s="286"/>
      <c r="C136" s="286"/>
      <c r="D136" s="286"/>
      <c r="E136" s="287"/>
      <c r="F136" s="275">
        <f>B129-C129</f>
        <v>28740012.219999999</v>
      </c>
      <c r="G136" s="276"/>
      <c r="H136" s="277"/>
    </row>
    <row r="137" spans="1:8" s="1" customFormat="1" ht="15.75" customHeight="1" x14ac:dyDescent="0.3">
      <c r="A137" s="292"/>
      <c r="B137" s="292"/>
      <c r="C137" s="292"/>
      <c r="D137" s="292"/>
      <c r="E137" s="292"/>
      <c r="F137" s="293"/>
      <c r="G137" s="293"/>
      <c r="H137" s="293"/>
    </row>
    <row r="138" spans="1:8" s="1" customFormat="1" ht="15.6" x14ac:dyDescent="0.3">
      <c r="A138" s="297"/>
      <c r="B138" s="324"/>
      <c r="C138" s="324"/>
      <c r="D138" s="324"/>
      <c r="E138" s="324"/>
      <c r="F138" s="296"/>
      <c r="G138" s="297"/>
      <c r="H138" s="296"/>
    </row>
    <row r="139" spans="1:8" s="1" customFormat="1" ht="15.6" x14ac:dyDescent="0.3">
      <c r="A139" s="297"/>
      <c r="B139" s="324"/>
      <c r="C139" s="324"/>
      <c r="D139" s="324"/>
      <c r="E139" s="324"/>
      <c r="F139" s="296"/>
      <c r="G139" s="297"/>
      <c r="H139" s="296"/>
    </row>
    <row r="140" spans="1:8" s="1" customFormat="1" ht="15.6" x14ac:dyDescent="0.3">
      <c r="A140" s="266"/>
      <c r="B140" s="224"/>
      <c r="C140" s="224"/>
      <c r="D140" s="224"/>
      <c r="E140" s="268"/>
      <c r="F140" s="281" t="s">
        <v>292</v>
      </c>
      <c r="G140" s="225"/>
      <c r="H140" s="226"/>
    </row>
    <row r="141" spans="1:8" s="1" customFormat="1" ht="15.6" x14ac:dyDescent="0.3">
      <c r="A141" s="269" t="s">
        <v>293</v>
      </c>
      <c r="B141" s="270"/>
      <c r="C141" s="270"/>
      <c r="D141" s="270"/>
      <c r="E141" s="270"/>
      <c r="F141" s="281" t="s">
        <v>270</v>
      </c>
      <c r="G141" s="225"/>
      <c r="H141" s="226"/>
    </row>
    <row r="142" spans="1:8" s="1" customFormat="1" ht="15.6" x14ac:dyDescent="0.3">
      <c r="A142" s="282" t="s">
        <v>293</v>
      </c>
      <c r="B142" s="283"/>
      <c r="C142" s="283"/>
      <c r="D142" s="283"/>
      <c r="E142" s="284"/>
      <c r="F142" s="263" t="s">
        <v>113</v>
      </c>
      <c r="G142" s="264"/>
      <c r="H142" s="265"/>
    </row>
    <row r="143" spans="1:8" s="1" customFormat="1" ht="15.6" x14ac:dyDescent="0.3">
      <c r="A143" s="285" t="s">
        <v>294</v>
      </c>
      <c r="B143" s="286"/>
      <c r="C143" s="286"/>
      <c r="D143" s="286"/>
      <c r="E143" s="287"/>
      <c r="F143" s="275">
        <f>B126-C126</f>
        <v>-214148.41</v>
      </c>
      <c r="G143" s="276"/>
      <c r="H143" s="277"/>
    </row>
    <row r="144" spans="1:8" s="1" customFormat="1" ht="15.6" x14ac:dyDescent="0.3">
      <c r="A144" s="285" t="s">
        <v>295</v>
      </c>
      <c r="B144" s="286"/>
      <c r="C144" s="286"/>
      <c r="D144" s="286"/>
      <c r="E144" s="287"/>
      <c r="F144" s="275">
        <v>0</v>
      </c>
      <c r="G144" s="276"/>
      <c r="H144" s="277"/>
    </row>
    <row r="145" spans="1:8" s="1" customFormat="1" ht="15.6" x14ac:dyDescent="0.3">
      <c r="A145" s="285" t="s">
        <v>296</v>
      </c>
      <c r="B145" s="286"/>
      <c r="C145" s="286"/>
      <c r="D145" s="286"/>
      <c r="E145" s="287"/>
      <c r="F145" s="275">
        <v>0</v>
      </c>
      <c r="G145" s="276"/>
      <c r="H145" s="277"/>
    </row>
    <row r="146" spans="1:8" s="1" customFormat="1" ht="15.6" x14ac:dyDescent="0.3">
      <c r="A146" s="285" t="s">
        <v>297</v>
      </c>
      <c r="B146" s="286"/>
      <c r="C146" s="286"/>
      <c r="D146" s="286"/>
      <c r="E146" s="287"/>
      <c r="F146" s="275">
        <v>0</v>
      </c>
      <c r="G146" s="276"/>
      <c r="H146" s="277"/>
    </row>
    <row r="147" spans="1:8" s="1" customFormat="1" ht="15.6" x14ac:dyDescent="0.3">
      <c r="A147" s="285" t="s">
        <v>298</v>
      </c>
      <c r="B147" s="286"/>
      <c r="C147" s="286"/>
      <c r="D147" s="286"/>
      <c r="E147" s="287"/>
      <c r="F147" s="275">
        <v>0</v>
      </c>
      <c r="G147" s="276"/>
      <c r="H147" s="277"/>
    </row>
    <row r="148" spans="1:8" s="1" customFormat="1" ht="15.6" x14ac:dyDescent="0.3">
      <c r="A148" s="285" t="s">
        <v>299</v>
      </c>
      <c r="B148" s="286"/>
      <c r="C148" s="286"/>
      <c r="D148" s="286"/>
      <c r="E148" s="287"/>
      <c r="F148" s="275">
        <v>0</v>
      </c>
      <c r="G148" s="276"/>
      <c r="H148" s="277"/>
    </row>
    <row r="149" spans="1:8" s="1" customFormat="1" ht="15.6" x14ac:dyDescent="0.3">
      <c r="A149" s="285" t="s">
        <v>300</v>
      </c>
      <c r="B149" s="286"/>
      <c r="C149" s="286"/>
      <c r="D149" s="286"/>
      <c r="E149" s="287"/>
      <c r="F149" s="275">
        <v>0</v>
      </c>
      <c r="G149" s="276"/>
      <c r="H149" s="277"/>
    </row>
    <row r="150" spans="1:8" s="1" customFormat="1" ht="15.75" customHeight="1" x14ac:dyDescent="0.3">
      <c r="A150" s="325" t="s">
        <v>301</v>
      </c>
      <c r="B150" s="326"/>
      <c r="C150" s="326"/>
      <c r="D150" s="326"/>
      <c r="E150" s="327"/>
      <c r="F150" s="275">
        <f>F136-F143-F144+F145+F146-F147+F148+F149</f>
        <v>28954160.629999999</v>
      </c>
      <c r="G150" s="276"/>
      <c r="H150" s="277"/>
    </row>
    <row r="151" spans="1:8" s="1" customFormat="1" ht="15.75" customHeight="1" x14ac:dyDescent="0.3">
      <c r="A151" s="328"/>
      <c r="B151" s="328"/>
      <c r="C151" s="328"/>
      <c r="D151" s="328"/>
      <c r="E151" s="328"/>
      <c r="F151" s="293"/>
      <c r="G151" s="293"/>
      <c r="H151" s="293"/>
    </row>
    <row r="152" spans="1:8" s="1" customFormat="1" ht="15.75" customHeight="1" x14ac:dyDescent="0.3">
      <c r="A152" s="328"/>
      <c r="B152" s="328"/>
      <c r="C152" s="328"/>
      <c r="D152" s="328"/>
      <c r="E152" s="328"/>
      <c r="F152" s="293"/>
      <c r="G152" s="293"/>
      <c r="H152" s="293"/>
    </row>
    <row r="153" spans="1:8" s="1" customFormat="1" ht="15.6" x14ac:dyDescent="0.3">
      <c r="A153" s="292"/>
      <c r="B153" s="292"/>
      <c r="C153" s="292"/>
      <c r="D153" s="292"/>
      <c r="E153" s="292"/>
      <c r="F153" s="293"/>
      <c r="G153" s="293"/>
      <c r="H153" s="293"/>
    </row>
    <row r="154" spans="1:8" s="1" customFormat="1" ht="15.6" x14ac:dyDescent="0.3">
      <c r="A154" s="266"/>
      <c r="B154" s="224"/>
      <c r="C154" s="224"/>
      <c r="D154" s="224"/>
      <c r="E154" s="268"/>
      <c r="F154" s="281" t="s">
        <v>7</v>
      </c>
      <c r="G154" s="225"/>
      <c r="H154" s="226"/>
    </row>
    <row r="155" spans="1:8" s="1" customFormat="1" ht="15.6" x14ac:dyDescent="0.3">
      <c r="A155" s="269" t="s">
        <v>302</v>
      </c>
      <c r="B155" s="270"/>
      <c r="C155" s="270"/>
      <c r="D155" s="270"/>
      <c r="E155" s="270"/>
      <c r="F155" s="281" t="s">
        <v>303</v>
      </c>
      <c r="G155" s="225"/>
      <c r="H155" s="226"/>
    </row>
    <row r="156" spans="1:8" s="1" customFormat="1" ht="15.6" x14ac:dyDescent="0.3">
      <c r="A156" s="282" t="s">
        <v>304</v>
      </c>
      <c r="B156" s="283"/>
      <c r="C156" s="283"/>
      <c r="D156" s="283"/>
      <c r="E156" s="284"/>
      <c r="F156" s="263" t="s">
        <v>113</v>
      </c>
      <c r="G156" s="264"/>
      <c r="H156" s="265"/>
    </row>
    <row r="157" spans="1:8" s="1" customFormat="1" ht="15.75" customHeight="1" x14ac:dyDescent="0.3">
      <c r="A157" s="329" t="s">
        <v>305</v>
      </c>
      <c r="B157" s="330"/>
      <c r="C157" s="330"/>
      <c r="D157" s="330"/>
      <c r="E157" s="331"/>
      <c r="F157" s="275">
        <f>F150-(F100-F101)</f>
        <v>28076204.300000001</v>
      </c>
      <c r="G157" s="276"/>
      <c r="H157" s="277"/>
    </row>
    <row r="158" spans="1:8" s="1" customFormat="1" ht="15.75" customHeight="1" x14ac:dyDescent="0.3">
      <c r="A158" s="332"/>
      <c r="B158" s="332"/>
      <c r="C158" s="332"/>
      <c r="D158" s="332"/>
      <c r="E158" s="332"/>
      <c r="F158" s="299"/>
      <c r="G158" s="299"/>
      <c r="H158" s="299"/>
    </row>
    <row r="159" spans="1:8" s="1" customFormat="1" ht="15.6" x14ac:dyDescent="0.3">
      <c r="A159" s="333"/>
      <c r="B159" s="333"/>
      <c r="C159" s="333"/>
      <c r="D159" s="333"/>
      <c r="E159" s="333"/>
      <c r="F159" s="299"/>
      <c r="G159" s="299"/>
      <c r="H159" s="299"/>
    </row>
    <row r="160" spans="1:8" s="1" customFormat="1" ht="15.6" x14ac:dyDescent="0.3">
      <c r="A160" s="333"/>
      <c r="B160" s="333"/>
      <c r="C160" s="333"/>
      <c r="D160" s="333"/>
      <c r="E160" s="333"/>
      <c r="F160" s="299"/>
      <c r="G160" s="299"/>
      <c r="H160" s="299"/>
    </row>
    <row r="161" spans="1:8" s="1" customFormat="1" ht="15.6" x14ac:dyDescent="0.3">
      <c r="A161" s="333"/>
      <c r="B161" s="333"/>
      <c r="C161" s="333"/>
      <c r="D161" s="333"/>
      <c r="E161" s="333"/>
      <c r="F161" s="299"/>
      <c r="G161" s="299"/>
      <c r="H161" s="299"/>
    </row>
    <row r="162" spans="1:8" ht="15.75" customHeight="1" x14ac:dyDescent="0.25">
      <c r="A162" s="9"/>
      <c r="B162" s="9"/>
      <c r="C162" s="9"/>
      <c r="D162" s="9"/>
      <c r="E162" s="9"/>
      <c r="F162" s="189"/>
      <c r="G162" s="9"/>
      <c r="H162" s="189"/>
    </row>
    <row r="163" spans="1:8" ht="15.75" customHeight="1" x14ac:dyDescent="0.35">
      <c r="A163" s="182" t="s">
        <v>85</v>
      </c>
      <c r="B163" s="182"/>
      <c r="C163" s="182"/>
      <c r="D163" s="182"/>
      <c r="E163" s="182"/>
      <c r="F163" s="182"/>
      <c r="G163" s="182"/>
      <c r="H163" s="182"/>
    </row>
    <row r="164" spans="1:8" ht="15.75" customHeight="1" x14ac:dyDescent="0.35">
      <c r="A164" s="182" t="s">
        <v>86</v>
      </c>
      <c r="B164" s="182"/>
      <c r="C164" s="182"/>
      <c r="D164" s="182"/>
      <c r="E164" s="182"/>
      <c r="F164" s="182"/>
      <c r="G164" s="182"/>
      <c r="H164" s="182"/>
    </row>
    <row r="165" spans="1:8" ht="15.75" customHeight="1" x14ac:dyDescent="0.25">
      <c r="F165" s="189"/>
      <c r="G165" s="9"/>
      <c r="H165" s="189"/>
    </row>
    <row r="166" spans="1:8" ht="15.75" customHeight="1" x14ac:dyDescent="0.3">
      <c r="A166" s="7"/>
      <c r="B166" s="7"/>
      <c r="C166" s="7"/>
      <c r="D166" s="7"/>
      <c r="E166" s="7"/>
      <c r="F166" s="189"/>
      <c r="G166" s="9"/>
      <c r="H166" s="189"/>
    </row>
    <row r="167" spans="1:8" ht="15.75" customHeight="1" x14ac:dyDescent="0.25">
      <c r="A167" s="74" t="s">
        <v>0</v>
      </c>
      <c r="B167" s="74"/>
      <c r="C167" s="74"/>
      <c r="D167" s="74"/>
      <c r="E167" s="74"/>
      <c r="F167" s="74"/>
      <c r="G167" s="74"/>
      <c r="H167" s="74"/>
    </row>
    <row r="168" spans="1:8" ht="15.75" customHeight="1" x14ac:dyDescent="0.25">
      <c r="A168" s="75" t="s">
        <v>195</v>
      </c>
      <c r="B168" s="75"/>
      <c r="C168" s="75"/>
      <c r="D168" s="75"/>
      <c r="E168" s="75"/>
      <c r="F168" s="75"/>
      <c r="G168" s="75"/>
      <c r="H168" s="75"/>
    </row>
    <row r="169" spans="1:8" ht="15.75" customHeight="1" x14ac:dyDescent="0.25">
      <c r="A169" s="74" t="s">
        <v>103</v>
      </c>
      <c r="B169" s="74"/>
      <c r="C169" s="74"/>
      <c r="D169" s="74"/>
      <c r="E169" s="74"/>
      <c r="F169" s="74"/>
      <c r="G169" s="74"/>
      <c r="H169" s="74"/>
    </row>
    <row r="170" spans="1:8" ht="15.75" customHeight="1" x14ac:dyDescent="0.25">
      <c r="A170" s="74" t="s">
        <v>100</v>
      </c>
      <c r="B170" s="74"/>
      <c r="C170" s="74"/>
      <c r="D170" s="74"/>
      <c r="E170" s="74"/>
      <c r="F170" s="74"/>
      <c r="G170" s="74"/>
      <c r="H170" s="74"/>
    </row>
    <row r="171" spans="1:8" ht="15.75" customHeight="1" x14ac:dyDescent="0.25">
      <c r="A171" s="9"/>
      <c r="B171" s="9"/>
      <c r="C171" s="9"/>
      <c r="D171" s="9"/>
      <c r="E171" s="9"/>
      <c r="F171" s="189"/>
      <c r="G171" s="9"/>
      <c r="H171" s="189"/>
    </row>
    <row r="172" spans="1:8" s="1" customFormat="1" ht="15.6" x14ac:dyDescent="0.3">
      <c r="A172" s="334" t="s">
        <v>306</v>
      </c>
      <c r="B172" s="335"/>
      <c r="C172" s="335"/>
      <c r="D172" s="335"/>
      <c r="E172" s="336"/>
      <c r="F172" s="334" t="s">
        <v>307</v>
      </c>
      <c r="G172" s="335"/>
      <c r="H172" s="336"/>
    </row>
    <row r="173" spans="1:8" s="1" customFormat="1" ht="15.6" x14ac:dyDescent="0.3">
      <c r="A173" s="337"/>
      <c r="B173" s="338"/>
      <c r="C173" s="338"/>
      <c r="D173" s="338"/>
      <c r="E173" s="339"/>
      <c r="F173" s="337"/>
      <c r="G173" s="338"/>
      <c r="H173" s="339"/>
    </row>
    <row r="174" spans="1:8" s="1" customFormat="1" ht="15.6" x14ac:dyDescent="0.3">
      <c r="A174" s="282" t="s">
        <v>306</v>
      </c>
      <c r="B174" s="283"/>
      <c r="C174" s="283"/>
      <c r="D174" s="283"/>
      <c r="E174" s="284"/>
      <c r="F174" s="263" t="s">
        <v>113</v>
      </c>
      <c r="G174" s="264"/>
      <c r="H174" s="265"/>
    </row>
    <row r="175" spans="1:8" s="1" customFormat="1" ht="15.6" x14ac:dyDescent="0.3">
      <c r="A175" s="285" t="s">
        <v>308</v>
      </c>
      <c r="B175" s="286"/>
      <c r="C175" s="286"/>
      <c r="D175" s="286"/>
      <c r="E175" s="287"/>
      <c r="F175" s="275">
        <f>F177</f>
        <v>2500000</v>
      </c>
      <c r="G175" s="276"/>
      <c r="H175" s="277"/>
    </row>
    <row r="176" spans="1:8" s="1" customFormat="1" ht="15.6" x14ac:dyDescent="0.3">
      <c r="A176" s="285" t="s">
        <v>309</v>
      </c>
      <c r="B176" s="286"/>
      <c r="C176" s="286"/>
      <c r="D176" s="286"/>
      <c r="E176" s="287"/>
      <c r="F176" s="340">
        <v>0</v>
      </c>
      <c r="G176" s="341"/>
      <c r="H176" s="342"/>
    </row>
    <row r="177" spans="1:9" s="1" customFormat="1" ht="15.6" x14ac:dyDescent="0.3">
      <c r="A177" s="285" t="s">
        <v>310</v>
      </c>
      <c r="B177" s="286"/>
      <c r="C177" s="286"/>
      <c r="D177" s="286"/>
      <c r="E177" s="287"/>
      <c r="F177" s="343">
        <v>2500000</v>
      </c>
      <c r="G177" s="344"/>
      <c r="H177" s="345"/>
    </row>
    <row r="178" spans="1:9" s="1" customFormat="1" ht="15.6" x14ac:dyDescent="0.3">
      <c r="A178" s="285" t="s">
        <v>311</v>
      </c>
      <c r="B178" s="286"/>
      <c r="C178" s="286"/>
      <c r="D178" s="286"/>
      <c r="E178" s="287"/>
      <c r="F178" s="275">
        <v>0</v>
      </c>
      <c r="G178" s="276"/>
      <c r="H178" s="277"/>
    </row>
    <row r="179" spans="1:9" s="1" customFormat="1" ht="15.6" x14ac:dyDescent="0.3">
      <c r="A179" s="333"/>
      <c r="B179" s="333"/>
      <c r="C179" s="333"/>
      <c r="D179" s="333"/>
      <c r="E179" s="333"/>
      <c r="F179" s="299"/>
      <c r="G179" s="299"/>
      <c r="H179" s="299"/>
    </row>
    <row r="184" spans="1:9" x14ac:dyDescent="0.25">
      <c r="A184" s="76" t="s">
        <v>88</v>
      </c>
      <c r="B184" s="76"/>
      <c r="C184" s="76"/>
      <c r="D184" s="11"/>
      <c r="E184" s="77" t="s">
        <v>95</v>
      </c>
      <c r="F184" s="77"/>
      <c r="G184" s="77"/>
      <c r="H184" s="77"/>
      <c r="I184" s="144"/>
    </row>
    <row r="185" spans="1:9" x14ac:dyDescent="0.25">
      <c r="A185" s="76" t="s">
        <v>89</v>
      </c>
      <c r="B185" s="76"/>
      <c r="C185" s="76"/>
      <c r="D185" s="11"/>
      <c r="E185" s="77" t="s">
        <v>96</v>
      </c>
      <c r="F185" s="77"/>
      <c r="G185" s="77"/>
      <c r="H185" s="77"/>
      <c r="I185" s="144"/>
    </row>
    <row r="186" spans="1:9" x14ac:dyDescent="0.25">
      <c r="A186" s="76" t="s">
        <v>90</v>
      </c>
      <c r="B186" s="76"/>
      <c r="C186" s="76"/>
      <c r="D186" s="11"/>
      <c r="E186" s="146" t="s">
        <v>90</v>
      </c>
      <c r="F186" s="146"/>
      <c r="G186" s="146"/>
      <c r="H186" s="146"/>
      <c r="I186" s="346"/>
    </row>
    <row r="187" spans="1:9" x14ac:dyDescent="0.25">
      <c r="A187" s="76" t="s">
        <v>91</v>
      </c>
      <c r="B187" s="76"/>
      <c r="C187" s="76"/>
      <c r="D187" s="11"/>
      <c r="E187" s="12"/>
      <c r="F187" s="12"/>
      <c r="G187" s="145"/>
      <c r="H187" s="145"/>
      <c r="I187" s="145"/>
    </row>
    <row r="188" spans="1:9" x14ac:dyDescent="0.25">
      <c r="A188" s="13"/>
      <c r="B188" s="13"/>
      <c r="C188" s="12"/>
      <c r="D188" s="11"/>
      <c r="E188" s="12"/>
      <c r="F188" s="12"/>
      <c r="G188" s="145"/>
      <c r="H188" s="145"/>
      <c r="I188" s="145"/>
    </row>
    <row r="189" spans="1:9" x14ac:dyDescent="0.25">
      <c r="A189" s="13"/>
      <c r="B189" s="13"/>
      <c r="C189" s="12"/>
      <c r="D189" s="11"/>
      <c r="E189" s="12"/>
      <c r="F189" s="12"/>
      <c r="G189" s="145"/>
      <c r="H189" s="145"/>
      <c r="I189" s="145"/>
    </row>
    <row r="190" spans="1:9" x14ac:dyDescent="0.25">
      <c r="A190" s="13"/>
      <c r="B190" s="13"/>
      <c r="C190" s="12"/>
      <c r="D190" s="11"/>
      <c r="E190" s="12"/>
      <c r="F190" s="12"/>
      <c r="G190" s="145"/>
      <c r="H190" s="145"/>
      <c r="I190" s="145"/>
    </row>
    <row r="191" spans="1:9" x14ac:dyDescent="0.25">
      <c r="A191" s="13"/>
      <c r="B191" s="13"/>
      <c r="C191" s="12"/>
      <c r="D191" s="11"/>
      <c r="E191" s="12"/>
      <c r="F191" s="12"/>
      <c r="G191" s="145"/>
      <c r="H191" s="145"/>
      <c r="I191" s="145"/>
    </row>
    <row r="192" spans="1:9" x14ac:dyDescent="0.25">
      <c r="A192" s="76" t="s">
        <v>92</v>
      </c>
      <c r="B192" s="76"/>
      <c r="C192" s="76"/>
      <c r="D192" s="11"/>
      <c r="E192" s="77" t="s">
        <v>97</v>
      </c>
      <c r="F192" s="77"/>
      <c r="G192" s="77"/>
      <c r="H192" s="77"/>
      <c r="I192" s="144"/>
    </row>
    <row r="193" spans="1:9" x14ac:dyDescent="0.25">
      <c r="A193" s="76" t="s">
        <v>93</v>
      </c>
      <c r="B193" s="76"/>
      <c r="C193" s="76"/>
      <c r="D193" s="11"/>
      <c r="E193" s="77" t="s">
        <v>94</v>
      </c>
      <c r="F193" s="77"/>
      <c r="G193" s="77"/>
      <c r="H193" s="77"/>
      <c r="I193" s="144"/>
    </row>
    <row r="194" spans="1:9" ht="15.6" x14ac:dyDescent="0.3">
      <c r="A194" s="1"/>
      <c r="B194" s="1"/>
      <c r="C194" s="1"/>
      <c r="D194" s="1"/>
      <c r="E194" s="1"/>
      <c r="F194" s="1"/>
      <c r="G194" s="1"/>
      <c r="H194" s="1"/>
      <c r="I194" s="1"/>
    </row>
  </sheetData>
  <mergeCells count="186">
    <mergeCell ref="A193:C193"/>
    <mergeCell ref="E193:H193"/>
    <mergeCell ref="A185:C185"/>
    <mergeCell ref="E185:H185"/>
    <mergeCell ref="A186:C186"/>
    <mergeCell ref="E186:H186"/>
    <mergeCell ref="A187:C187"/>
    <mergeCell ref="A192:C192"/>
    <mergeCell ref="E192:H192"/>
    <mergeCell ref="A177:E177"/>
    <mergeCell ref="F177:H177"/>
    <mergeCell ref="A178:E178"/>
    <mergeCell ref="F178:H178"/>
    <mergeCell ref="A184:C184"/>
    <mergeCell ref="E184:H184"/>
    <mergeCell ref="A174:E174"/>
    <mergeCell ref="F174:H174"/>
    <mergeCell ref="A175:E175"/>
    <mergeCell ref="F175:H175"/>
    <mergeCell ref="A176:E176"/>
    <mergeCell ref="F176:H176"/>
    <mergeCell ref="A167:H167"/>
    <mergeCell ref="A168:H168"/>
    <mergeCell ref="A169:H169"/>
    <mergeCell ref="A170:H170"/>
    <mergeCell ref="A172:E173"/>
    <mergeCell ref="F172:H173"/>
    <mergeCell ref="A156:E156"/>
    <mergeCell ref="F156:H156"/>
    <mergeCell ref="A157:E157"/>
    <mergeCell ref="F157:H157"/>
    <mergeCell ref="A163:H163"/>
    <mergeCell ref="A164:H164"/>
    <mergeCell ref="A150:E150"/>
    <mergeCell ref="F150:H150"/>
    <mergeCell ref="A154:E154"/>
    <mergeCell ref="F154:H154"/>
    <mergeCell ref="A155:E155"/>
    <mergeCell ref="F155:H155"/>
    <mergeCell ref="A147:E147"/>
    <mergeCell ref="F147:H147"/>
    <mergeCell ref="A148:E148"/>
    <mergeCell ref="F148:H148"/>
    <mergeCell ref="A149:E149"/>
    <mergeCell ref="F149:H149"/>
    <mergeCell ref="A144:E144"/>
    <mergeCell ref="F144:H144"/>
    <mergeCell ref="A145:E145"/>
    <mergeCell ref="F145:H145"/>
    <mergeCell ref="A146:E146"/>
    <mergeCell ref="F146:H146"/>
    <mergeCell ref="A141:E141"/>
    <mergeCell ref="F141:H141"/>
    <mergeCell ref="A142:E142"/>
    <mergeCell ref="F142:H142"/>
    <mergeCell ref="A143:E143"/>
    <mergeCell ref="F143:H143"/>
    <mergeCell ref="A135:E135"/>
    <mergeCell ref="F135:H135"/>
    <mergeCell ref="A136:E136"/>
    <mergeCell ref="F136:H136"/>
    <mergeCell ref="A140:E140"/>
    <mergeCell ref="F140:H140"/>
    <mergeCell ref="A114:E114"/>
    <mergeCell ref="F114:H114"/>
    <mergeCell ref="B118:C118"/>
    <mergeCell ref="A133:E133"/>
    <mergeCell ref="F133:H133"/>
    <mergeCell ref="A134:E134"/>
    <mergeCell ref="F134:H134"/>
    <mergeCell ref="A107:E107"/>
    <mergeCell ref="F107:H107"/>
    <mergeCell ref="A108:E108"/>
    <mergeCell ref="F108:H108"/>
    <mergeCell ref="A112:D112"/>
    <mergeCell ref="F112:H113"/>
    <mergeCell ref="A113:E113"/>
    <mergeCell ref="A101:E101"/>
    <mergeCell ref="F101:H101"/>
    <mergeCell ref="A105:E105"/>
    <mergeCell ref="F105:H105"/>
    <mergeCell ref="A106:E106"/>
    <mergeCell ref="F106:H106"/>
    <mergeCell ref="A98:E98"/>
    <mergeCell ref="F98:H98"/>
    <mergeCell ref="A99:E99"/>
    <mergeCell ref="F99:H99"/>
    <mergeCell ref="A100:E100"/>
    <mergeCell ref="F100:H100"/>
    <mergeCell ref="A89:H89"/>
    <mergeCell ref="A92:H92"/>
    <mergeCell ref="A93:H93"/>
    <mergeCell ref="A94:H94"/>
    <mergeCell ref="A95:H95"/>
    <mergeCell ref="A97:E97"/>
    <mergeCell ref="F97:H97"/>
    <mergeCell ref="A83:D83"/>
    <mergeCell ref="F83:H84"/>
    <mergeCell ref="A84:E84"/>
    <mergeCell ref="A85:E85"/>
    <mergeCell ref="F85:H85"/>
    <mergeCell ref="A88:H88"/>
    <mergeCell ref="B53:C53"/>
    <mergeCell ref="D53:E53"/>
    <mergeCell ref="B56:H56"/>
    <mergeCell ref="G57:H57"/>
    <mergeCell ref="A80:E80"/>
    <mergeCell ref="F80:H80"/>
    <mergeCell ref="B49:C49"/>
    <mergeCell ref="D49:E49"/>
    <mergeCell ref="B51:C51"/>
    <mergeCell ref="D51:E51"/>
    <mergeCell ref="B52:C52"/>
    <mergeCell ref="D52:E52"/>
    <mergeCell ref="B46:C46"/>
    <mergeCell ref="D46:E46"/>
    <mergeCell ref="B47:C47"/>
    <mergeCell ref="D47:E47"/>
    <mergeCell ref="B48:C48"/>
    <mergeCell ref="D48:E48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12:E12"/>
    <mergeCell ref="D13:E13"/>
    <mergeCell ref="B14:C14"/>
    <mergeCell ref="D14:E14"/>
    <mergeCell ref="B15:C15"/>
    <mergeCell ref="D15:E15"/>
    <mergeCell ref="A2:E2"/>
    <mergeCell ref="A3:E3"/>
    <mergeCell ref="A6:E6"/>
    <mergeCell ref="A7:E7"/>
    <mergeCell ref="A8:E8"/>
    <mergeCell ref="A9:E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DF40-8BF4-414F-B80E-E7161186F255}">
  <dimension ref="A1:Q53"/>
  <sheetViews>
    <sheetView workbookViewId="0">
      <selection sqref="A1:XFD1048576"/>
    </sheetView>
  </sheetViews>
  <sheetFormatPr defaultRowHeight="13.2" x14ac:dyDescent="0.25"/>
  <cols>
    <col min="1" max="1" width="45.6640625" customWidth="1"/>
    <col min="2" max="13" width="12.6640625" customWidth="1"/>
    <col min="15" max="15" width="14.5546875" bestFit="1" customWidth="1"/>
    <col min="16" max="17" width="12.88671875" bestFit="1" customWidth="1"/>
  </cols>
  <sheetData>
    <row r="1" spans="1:17" ht="15.75" customHeight="1" x14ac:dyDescent="0.25"/>
    <row r="2" spans="1:17" ht="15.75" customHeight="1" x14ac:dyDescent="0.25"/>
    <row r="3" spans="1:17" s="8" customFormat="1" ht="15.75" customHeight="1" x14ac:dyDescent="0.35">
      <c r="A3" s="182" t="s">
        <v>85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</row>
    <row r="4" spans="1:17" s="8" customFormat="1" ht="15.75" customHeight="1" x14ac:dyDescent="0.35">
      <c r="A4" s="182" t="s">
        <v>86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</row>
    <row r="5" spans="1:17" s="8" customFormat="1" ht="15.75" customHeight="1" x14ac:dyDescent="0.3">
      <c r="A5" s="7"/>
      <c r="B5" s="7"/>
      <c r="C5" s="7"/>
      <c r="D5" s="7"/>
      <c r="E5" s="7"/>
      <c r="F5" s="7"/>
    </row>
    <row r="7" spans="1:17" s="1" customFormat="1" ht="15.6" x14ac:dyDescent="0.3">
      <c r="A7" s="74"/>
      <c r="B7" s="74"/>
      <c r="C7" s="74"/>
      <c r="D7" s="74"/>
      <c r="E7" s="74"/>
      <c r="F7" s="74"/>
    </row>
    <row r="8" spans="1:17" s="1" customFormat="1" ht="15.6" x14ac:dyDescent="0.3">
      <c r="A8" s="74" t="s">
        <v>312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</row>
    <row r="9" spans="1:17" s="1" customFormat="1" ht="15.6" x14ac:dyDescent="0.3">
      <c r="A9" s="75" t="s">
        <v>313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</row>
    <row r="10" spans="1:17" s="1" customFormat="1" ht="15.6" x14ac:dyDescent="0.3">
      <c r="A10" s="74" t="s">
        <v>103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</row>
    <row r="11" spans="1:17" s="1" customFormat="1" ht="15.6" x14ac:dyDescent="0.3">
      <c r="A11" s="74" t="s">
        <v>100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</row>
    <row r="12" spans="1:17" s="1" customFormat="1" ht="15.6" x14ac:dyDescent="0.3">
      <c r="A12" s="10"/>
      <c r="B12" s="10"/>
      <c r="C12" s="10"/>
      <c r="D12" s="10"/>
      <c r="E12" s="10"/>
      <c r="F12" s="10"/>
      <c r="I12" s="14"/>
      <c r="K12" s="14"/>
      <c r="M12" s="14"/>
      <c r="O12" s="14"/>
    </row>
    <row r="13" spans="1:17" s="1" customFormat="1" ht="15.6" x14ac:dyDescent="0.3">
      <c r="A13" s="20" t="s">
        <v>314</v>
      </c>
      <c r="B13" s="20"/>
      <c r="C13" s="20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7" x14ac:dyDescent="0.25">
      <c r="A14" s="347"/>
      <c r="B14" s="186" t="s">
        <v>315</v>
      </c>
      <c r="C14" s="187"/>
      <c r="D14" s="187"/>
      <c r="E14" s="187"/>
      <c r="F14" s="188"/>
      <c r="G14" s="186" t="s">
        <v>241</v>
      </c>
      <c r="H14" s="187"/>
      <c r="I14" s="187"/>
      <c r="J14" s="187"/>
      <c r="K14" s="187"/>
      <c r="L14" s="187"/>
      <c r="M14" s="348"/>
    </row>
    <row r="15" spans="1:17" x14ac:dyDescent="0.25">
      <c r="A15" s="245" t="s">
        <v>316</v>
      </c>
      <c r="B15" s="245" t="s">
        <v>317</v>
      </c>
      <c r="C15" s="349" t="s">
        <v>318</v>
      </c>
      <c r="D15" s="349"/>
      <c r="E15" s="245"/>
      <c r="F15" s="347" t="s">
        <v>319</v>
      </c>
      <c r="G15" s="245" t="s">
        <v>317</v>
      </c>
      <c r="H15" s="349" t="s">
        <v>318</v>
      </c>
      <c r="I15" s="349"/>
      <c r="J15" s="349"/>
      <c r="K15" s="245"/>
      <c r="L15" s="350" t="s">
        <v>319</v>
      </c>
      <c r="M15" s="245" t="s">
        <v>319</v>
      </c>
    </row>
    <row r="16" spans="1:17" x14ac:dyDescent="0.25">
      <c r="A16" s="351"/>
      <c r="B16" s="238" t="s">
        <v>320</v>
      </c>
      <c r="C16" s="195" t="s">
        <v>321</v>
      </c>
      <c r="D16" s="352" t="s">
        <v>322</v>
      </c>
      <c r="E16" s="353" t="s">
        <v>323</v>
      </c>
      <c r="F16" s="353" t="s">
        <v>324</v>
      </c>
      <c r="G16" s="238" t="s">
        <v>325</v>
      </c>
      <c r="H16" s="195" t="s">
        <v>326</v>
      </c>
      <c r="I16" s="352" t="s">
        <v>327</v>
      </c>
      <c r="J16" s="352" t="s">
        <v>328</v>
      </c>
      <c r="K16" s="353" t="s">
        <v>329</v>
      </c>
      <c r="L16" s="352" t="s">
        <v>330</v>
      </c>
      <c r="M16" s="353" t="s">
        <v>331</v>
      </c>
      <c r="Q16" s="18"/>
    </row>
    <row r="17" spans="1:17" x14ac:dyDescent="0.25">
      <c r="A17" s="354" t="s">
        <v>332</v>
      </c>
      <c r="B17" s="355">
        <f>B18+B22</f>
        <v>1473.33</v>
      </c>
      <c r="C17" s="355">
        <f t="shared" ref="C17:E17" si="0">C18+C22</f>
        <v>992393.9</v>
      </c>
      <c r="D17" s="355">
        <f t="shared" si="0"/>
        <v>991638.77</v>
      </c>
      <c r="E17" s="355">
        <f t="shared" si="0"/>
        <v>0</v>
      </c>
      <c r="F17" s="356">
        <f>(B17+C17)-(D17+E17)</f>
        <v>2228.4599999999627</v>
      </c>
      <c r="G17" s="355">
        <f>G18+G22</f>
        <v>31832.66</v>
      </c>
      <c r="H17" s="355">
        <f t="shared" ref="H17:K17" si="1">H18+H22</f>
        <v>8943321.6199999992</v>
      </c>
      <c r="I17" s="355">
        <f>I18+I22</f>
        <v>6891549.5099999998</v>
      </c>
      <c r="J17" s="355">
        <f t="shared" si="1"/>
        <v>6675549.7300000004</v>
      </c>
      <c r="K17" s="355">
        <f t="shared" si="1"/>
        <v>343878.5</v>
      </c>
      <c r="L17" s="356">
        <f>(G17+H17)-(J17+K17)</f>
        <v>1955726.0499999989</v>
      </c>
      <c r="M17" s="357">
        <f>F17+L17</f>
        <v>1957954.5099999988</v>
      </c>
    </row>
    <row r="18" spans="1:17" s="9" customFormat="1" x14ac:dyDescent="0.25">
      <c r="A18" s="358" t="s">
        <v>333</v>
      </c>
      <c r="B18" s="359">
        <f>B19+B20+B21</f>
        <v>1473.33</v>
      </c>
      <c r="C18" s="359">
        <f>C19+C20+C21</f>
        <v>992393.9</v>
      </c>
      <c r="D18" s="359">
        <f t="shared" ref="D18:E18" si="2">D19+D20+D21</f>
        <v>991638.77</v>
      </c>
      <c r="E18" s="359">
        <f t="shared" si="2"/>
        <v>0</v>
      </c>
      <c r="F18" s="357">
        <f t="shared" ref="F18:F24" si="3">(B18+C18)-(D18+E18)</f>
        <v>2228.4599999999627</v>
      </c>
      <c r="G18" s="359">
        <f t="shared" ref="G18:K18" si="4">G19+G20+G21</f>
        <v>31832.66</v>
      </c>
      <c r="H18" s="359">
        <f>H19+H20+H21</f>
        <v>8943321.6199999992</v>
      </c>
      <c r="I18" s="359">
        <f t="shared" si="4"/>
        <v>6891549.5099999998</v>
      </c>
      <c r="J18" s="359">
        <f t="shared" si="4"/>
        <v>6675549.7300000004</v>
      </c>
      <c r="K18" s="359">
        <f t="shared" si="4"/>
        <v>343878.5</v>
      </c>
      <c r="L18" s="357">
        <f>(G18+H18)-(J18+K18)</f>
        <v>1955726.0499999989</v>
      </c>
      <c r="M18" s="357">
        <f>F18+L18</f>
        <v>1957954.5099999988</v>
      </c>
      <c r="Q18" s="360"/>
    </row>
    <row r="19" spans="1:17" s="9" customFormat="1" x14ac:dyDescent="0.25">
      <c r="A19" s="358" t="s">
        <v>334</v>
      </c>
      <c r="B19" s="359">
        <v>0</v>
      </c>
      <c r="C19" s="359">
        <v>0</v>
      </c>
      <c r="D19" s="359">
        <v>0</v>
      </c>
      <c r="E19" s="359">
        <v>0</v>
      </c>
      <c r="F19" s="357">
        <f t="shared" si="3"/>
        <v>0</v>
      </c>
      <c r="G19" s="359">
        <v>0</v>
      </c>
      <c r="H19" s="359">
        <v>0</v>
      </c>
      <c r="I19" s="359">
        <v>0</v>
      </c>
      <c r="J19" s="359">
        <v>0</v>
      </c>
      <c r="K19" s="359">
        <v>0</v>
      </c>
      <c r="L19" s="357">
        <f t="shared" ref="L19" si="5">(G19+H19)-(J19+K19)</f>
        <v>0</v>
      </c>
      <c r="M19" s="357">
        <f t="shared" ref="M19:M24" si="6">F19+L19</f>
        <v>0</v>
      </c>
    </row>
    <row r="20" spans="1:17" s="9" customFormat="1" x14ac:dyDescent="0.25">
      <c r="A20" s="358" t="s">
        <v>335</v>
      </c>
      <c r="B20" s="359">
        <v>1473.33</v>
      </c>
      <c r="C20" s="359">
        <v>992393.9</v>
      </c>
      <c r="D20" s="359">
        <v>991638.77</v>
      </c>
      <c r="E20" s="359">
        <v>0</v>
      </c>
      <c r="F20" s="357">
        <f>(B20+C20)-(D20+E20)</f>
        <v>2228.4599999999627</v>
      </c>
      <c r="G20" s="359">
        <v>31832.66</v>
      </c>
      <c r="H20" s="359">
        <v>8943321.6199999992</v>
      </c>
      <c r="I20" s="361">
        <v>6891549.5099999998</v>
      </c>
      <c r="J20" s="361">
        <v>6675549.7300000004</v>
      </c>
      <c r="K20" s="361">
        <v>343878.5</v>
      </c>
      <c r="L20" s="357">
        <f>(G20+H20)-(J20+K20)</f>
        <v>1955726.0499999989</v>
      </c>
      <c r="M20" s="357">
        <f>F20+L20</f>
        <v>1957954.5099999988</v>
      </c>
      <c r="O20" s="360"/>
    </row>
    <row r="21" spans="1:17" s="9" customFormat="1" x14ac:dyDescent="0.25">
      <c r="A21" s="358" t="s">
        <v>336</v>
      </c>
      <c r="B21" s="359">
        <v>0</v>
      </c>
      <c r="C21" s="359">
        <f>8338.69-8338.69</f>
        <v>0</v>
      </c>
      <c r="D21" s="359">
        <v>0</v>
      </c>
      <c r="E21" s="359">
        <v>0</v>
      </c>
      <c r="F21" s="357">
        <f t="shared" si="3"/>
        <v>0</v>
      </c>
      <c r="G21" s="359">
        <v>0</v>
      </c>
      <c r="H21" s="359">
        <v>0</v>
      </c>
      <c r="I21" s="359">
        <v>0</v>
      </c>
      <c r="J21" s="359">
        <v>0</v>
      </c>
      <c r="K21" s="359">
        <v>0</v>
      </c>
      <c r="L21" s="357">
        <f t="shared" ref="L21:L23" si="7">(G21+H21)-(J21+K21)</f>
        <v>0</v>
      </c>
      <c r="M21" s="357">
        <f t="shared" si="6"/>
        <v>0</v>
      </c>
      <c r="O21" s="189"/>
    </row>
    <row r="22" spans="1:17" s="9" customFormat="1" x14ac:dyDescent="0.25">
      <c r="A22" s="358" t="s">
        <v>337</v>
      </c>
      <c r="B22" s="359">
        <f>B23</f>
        <v>0</v>
      </c>
      <c r="C22" s="359">
        <f t="shared" ref="C22:E22" si="8">C23</f>
        <v>0</v>
      </c>
      <c r="D22" s="359">
        <f t="shared" si="8"/>
        <v>0</v>
      </c>
      <c r="E22" s="359">
        <f t="shared" si="8"/>
        <v>0</v>
      </c>
      <c r="F22" s="357">
        <f t="shared" si="3"/>
        <v>0</v>
      </c>
      <c r="G22" s="359">
        <v>0</v>
      </c>
      <c r="H22" s="359">
        <f t="shared" ref="H22:K22" si="9">H23</f>
        <v>0</v>
      </c>
      <c r="I22" s="359">
        <f t="shared" si="9"/>
        <v>0</v>
      </c>
      <c r="J22" s="359">
        <f t="shared" si="9"/>
        <v>0</v>
      </c>
      <c r="K22" s="359">
        <f t="shared" si="9"/>
        <v>0</v>
      </c>
      <c r="L22" s="357">
        <f t="shared" si="7"/>
        <v>0</v>
      </c>
      <c r="M22" s="357">
        <f t="shared" si="6"/>
        <v>0</v>
      </c>
    </row>
    <row r="23" spans="1:17" s="9" customFormat="1" x14ac:dyDescent="0.25">
      <c r="A23" s="358" t="s">
        <v>338</v>
      </c>
      <c r="B23" s="359">
        <v>0</v>
      </c>
      <c r="C23" s="359">
        <v>0</v>
      </c>
      <c r="D23" s="359">
        <v>0</v>
      </c>
      <c r="E23" s="359">
        <v>0</v>
      </c>
      <c r="F23" s="357">
        <f t="shared" si="3"/>
        <v>0</v>
      </c>
      <c r="G23" s="359">
        <v>0</v>
      </c>
      <c r="H23" s="359">
        <v>0</v>
      </c>
      <c r="I23" s="359">
        <v>0</v>
      </c>
      <c r="J23" s="359">
        <v>0</v>
      </c>
      <c r="K23" s="359">
        <v>0</v>
      </c>
      <c r="L23" s="357">
        <f t="shared" si="7"/>
        <v>0</v>
      </c>
      <c r="M23" s="357">
        <f t="shared" si="6"/>
        <v>0</v>
      </c>
    </row>
    <row r="24" spans="1:17" s="9" customFormat="1" x14ac:dyDescent="0.25">
      <c r="A24" s="354" t="s">
        <v>339</v>
      </c>
      <c r="B24" s="355">
        <v>0</v>
      </c>
      <c r="C24" s="355">
        <v>143914.60999999999</v>
      </c>
      <c r="D24" s="355">
        <v>143914.60999999999</v>
      </c>
      <c r="E24" s="355">
        <v>0</v>
      </c>
      <c r="F24" s="357">
        <f t="shared" si="3"/>
        <v>0</v>
      </c>
      <c r="G24" s="355">
        <v>0</v>
      </c>
      <c r="H24" s="355">
        <v>0</v>
      </c>
      <c r="I24" s="355">
        <v>0</v>
      </c>
      <c r="J24" s="355">
        <v>0</v>
      </c>
      <c r="K24" s="355">
        <v>0</v>
      </c>
      <c r="L24" s="357">
        <f>(G24+H24)-(J24+K24)</f>
        <v>0</v>
      </c>
      <c r="M24" s="357">
        <f t="shared" si="6"/>
        <v>0</v>
      </c>
    </row>
    <row r="25" spans="1:17" s="364" customFormat="1" x14ac:dyDescent="0.25">
      <c r="A25" s="362" t="s">
        <v>340</v>
      </c>
      <c r="B25" s="363">
        <f>B17+B24</f>
        <v>1473.33</v>
      </c>
      <c r="C25" s="363">
        <f>C17+C24</f>
        <v>1136308.51</v>
      </c>
      <c r="D25" s="363">
        <f>D17+D24</f>
        <v>1135553.3799999999</v>
      </c>
      <c r="E25" s="363">
        <f t="shared" ref="E25" si="10">E17+E24</f>
        <v>0</v>
      </c>
      <c r="F25" s="363">
        <f>(B25+C25)-(D25+E25)</f>
        <v>2228.4600000001956</v>
      </c>
      <c r="G25" s="363">
        <f>G17+G24</f>
        <v>31832.66</v>
      </c>
      <c r="H25" s="363">
        <f>H17+H24</f>
        <v>8943321.6199999992</v>
      </c>
      <c r="I25" s="363">
        <f>I17+I24</f>
        <v>6891549.5099999998</v>
      </c>
      <c r="J25" s="363">
        <f t="shared" ref="J25" si="11">J17+J24</f>
        <v>6675549.7300000004</v>
      </c>
      <c r="K25" s="363">
        <f>K17+K24</f>
        <v>343878.5</v>
      </c>
      <c r="L25" s="363">
        <f>(G25+H25)-(J25+K25)</f>
        <v>1955726.0499999989</v>
      </c>
      <c r="M25" s="363">
        <f>F25+L25</f>
        <v>1957954.5099999991</v>
      </c>
      <c r="O25" s="365"/>
    </row>
    <row r="26" spans="1:17" s="9" customFormat="1" x14ac:dyDescent="0.25">
      <c r="A26" s="366"/>
      <c r="B26" s="366"/>
      <c r="C26" s="366"/>
      <c r="D26" s="367"/>
      <c r="E26" s="367"/>
      <c r="F26" s="367"/>
      <c r="G26" s="367"/>
      <c r="H26" s="367"/>
      <c r="I26" s="367"/>
      <c r="J26" s="367"/>
      <c r="K26" s="367"/>
      <c r="L26" s="368"/>
      <c r="M26" s="367"/>
      <c r="O26" s="189"/>
      <c r="P26" s="189"/>
    </row>
    <row r="27" spans="1:17" s="9" customFormat="1" x14ac:dyDescent="0.25">
      <c r="A27" s="366"/>
      <c r="B27" s="366"/>
      <c r="C27" s="366"/>
      <c r="D27" s="367"/>
      <c r="E27" s="367"/>
      <c r="F27" s="367"/>
      <c r="G27" s="367"/>
      <c r="H27" s="368"/>
      <c r="I27" s="367"/>
      <c r="J27" s="367"/>
      <c r="K27" s="367"/>
      <c r="L27" s="369"/>
      <c r="M27" s="369"/>
    </row>
    <row r="28" spans="1:17" s="1" customFormat="1" ht="15.6" x14ac:dyDescent="0.3">
      <c r="A28" s="20" t="s">
        <v>314</v>
      </c>
      <c r="B28" s="20"/>
      <c r="C28" s="20"/>
      <c r="D28" s="22"/>
      <c r="E28" s="22"/>
      <c r="F28" s="22"/>
      <c r="G28" s="22"/>
      <c r="H28" s="22"/>
      <c r="I28" s="22"/>
      <c r="J28" s="22"/>
      <c r="K28" s="22"/>
      <c r="L28" s="22"/>
      <c r="M28" s="22"/>
      <c r="O28" s="370"/>
    </row>
    <row r="29" spans="1:17" x14ac:dyDescent="0.25">
      <c r="A29" s="347"/>
      <c r="B29" s="186" t="s">
        <v>315</v>
      </c>
      <c r="C29" s="187"/>
      <c r="D29" s="187"/>
      <c r="E29" s="187"/>
      <c r="F29" s="188"/>
      <c r="G29" s="186" t="s">
        <v>241</v>
      </c>
      <c r="H29" s="187"/>
      <c r="I29" s="187"/>
      <c r="J29" s="187"/>
      <c r="K29" s="187"/>
      <c r="L29" s="187"/>
      <c r="M29" s="348"/>
    </row>
    <row r="30" spans="1:17" x14ac:dyDescent="0.25">
      <c r="A30" s="245" t="s">
        <v>316</v>
      </c>
      <c r="B30" s="245" t="s">
        <v>317</v>
      </c>
      <c r="C30" s="349" t="s">
        <v>318</v>
      </c>
      <c r="D30" s="349"/>
      <c r="E30" s="245"/>
      <c r="F30" s="347" t="s">
        <v>319</v>
      </c>
      <c r="G30" s="245" t="s">
        <v>317</v>
      </c>
      <c r="H30" s="349" t="s">
        <v>318</v>
      </c>
      <c r="I30" s="349"/>
      <c r="J30" s="349"/>
      <c r="K30" s="245"/>
      <c r="L30" s="350" t="s">
        <v>319</v>
      </c>
      <c r="M30" s="245" t="s">
        <v>319</v>
      </c>
      <c r="O30" s="6"/>
    </row>
    <row r="31" spans="1:17" x14ac:dyDescent="0.25">
      <c r="A31" s="351"/>
      <c r="B31" s="238" t="s">
        <v>320</v>
      </c>
      <c r="C31" s="195" t="s">
        <v>321</v>
      </c>
      <c r="D31" s="352" t="s">
        <v>322</v>
      </c>
      <c r="E31" s="353" t="s">
        <v>323</v>
      </c>
      <c r="F31" s="353" t="s">
        <v>324</v>
      </c>
      <c r="G31" s="238" t="s">
        <v>325</v>
      </c>
      <c r="H31" s="195" t="s">
        <v>326</v>
      </c>
      <c r="I31" s="352" t="s">
        <v>327</v>
      </c>
      <c r="J31" s="352" t="s">
        <v>328</v>
      </c>
      <c r="K31" s="353" t="s">
        <v>329</v>
      </c>
      <c r="L31" s="352" t="s">
        <v>330</v>
      </c>
      <c r="M31" s="353" t="s">
        <v>331</v>
      </c>
      <c r="O31" s="371"/>
    </row>
    <row r="32" spans="1:17" x14ac:dyDescent="0.25">
      <c r="A32" s="354" t="s">
        <v>341</v>
      </c>
      <c r="B32" s="355">
        <f>B33+B37</f>
        <v>0</v>
      </c>
      <c r="C32" s="355">
        <f t="shared" ref="C32:E32" si="12">C33+C37</f>
        <v>143914.60999999999</v>
      </c>
      <c r="D32" s="355">
        <f t="shared" si="12"/>
        <v>143914.60999999999</v>
      </c>
      <c r="E32" s="355">
        <f t="shared" si="12"/>
        <v>0</v>
      </c>
      <c r="F32" s="356">
        <f>(B32+C32)-(D32+E32)</f>
        <v>0</v>
      </c>
      <c r="G32" s="355">
        <f>G33+G37</f>
        <v>0</v>
      </c>
      <c r="H32" s="355">
        <f t="shared" ref="H32:K32" si="13">H33+H37</f>
        <v>0</v>
      </c>
      <c r="I32" s="355">
        <f t="shared" si="13"/>
        <v>0</v>
      </c>
      <c r="J32" s="355">
        <f t="shared" si="13"/>
        <v>0</v>
      </c>
      <c r="K32" s="355">
        <f t="shared" si="13"/>
        <v>0</v>
      </c>
      <c r="L32" s="356">
        <f>(G32+H32)-(J32+K32)</f>
        <v>0</v>
      </c>
      <c r="M32" s="357">
        <f>F32+L32</f>
        <v>0</v>
      </c>
      <c r="O32" s="371"/>
      <c r="P32" s="18"/>
    </row>
    <row r="33" spans="1:15" s="9" customFormat="1" x14ac:dyDescent="0.25">
      <c r="A33" s="358" t="s">
        <v>333</v>
      </c>
      <c r="B33" s="359">
        <f>B34+B35+B36</f>
        <v>0</v>
      </c>
      <c r="C33" s="359">
        <f t="shared" ref="C33:E33" si="14">C34+C35+C36</f>
        <v>143914.60999999999</v>
      </c>
      <c r="D33" s="359">
        <f t="shared" si="14"/>
        <v>143914.60999999999</v>
      </c>
      <c r="E33" s="359">
        <f t="shared" si="14"/>
        <v>0</v>
      </c>
      <c r="F33" s="357">
        <f t="shared" ref="F33:F40" si="15">(B33+C33)-(D33+E33)</f>
        <v>0</v>
      </c>
      <c r="G33" s="359">
        <f t="shared" ref="G33:K33" si="16">G34+G35+G36</f>
        <v>0</v>
      </c>
      <c r="H33" s="359">
        <f t="shared" si="16"/>
        <v>0</v>
      </c>
      <c r="I33" s="359">
        <f t="shared" si="16"/>
        <v>0</v>
      </c>
      <c r="J33" s="359">
        <f t="shared" si="16"/>
        <v>0</v>
      </c>
      <c r="K33" s="359">
        <f t="shared" si="16"/>
        <v>0</v>
      </c>
      <c r="L33" s="357">
        <f>(G33+H33)-(J33+K33)</f>
        <v>0</v>
      </c>
      <c r="M33" s="357">
        <f>F33+L33</f>
        <v>0</v>
      </c>
    </row>
    <row r="34" spans="1:15" s="9" customFormat="1" x14ac:dyDescent="0.25">
      <c r="A34" s="358" t="s">
        <v>334</v>
      </c>
      <c r="B34" s="359">
        <v>0</v>
      </c>
      <c r="C34" s="359">
        <v>0</v>
      </c>
      <c r="D34" s="359">
        <v>0</v>
      </c>
      <c r="E34" s="359">
        <v>0</v>
      </c>
      <c r="F34" s="357">
        <f t="shared" si="15"/>
        <v>0</v>
      </c>
      <c r="G34" s="359">
        <v>0</v>
      </c>
      <c r="H34" s="359">
        <v>0</v>
      </c>
      <c r="I34" s="359">
        <v>0</v>
      </c>
      <c r="J34" s="359">
        <v>0</v>
      </c>
      <c r="K34" s="359">
        <v>0</v>
      </c>
      <c r="L34" s="357">
        <f t="shared" ref="L34:L40" si="17">(G34+H34)-(J34+K34)</f>
        <v>0</v>
      </c>
      <c r="M34" s="357">
        <f t="shared" ref="M34:M40" si="18">F34+L34</f>
        <v>0</v>
      </c>
    </row>
    <row r="35" spans="1:15" s="9" customFormat="1" x14ac:dyDescent="0.25">
      <c r="A35" s="358" t="s">
        <v>335</v>
      </c>
      <c r="B35" s="359">
        <v>0</v>
      </c>
      <c r="C35" s="359">
        <v>143914.60999999999</v>
      </c>
      <c r="D35" s="359">
        <v>143914.60999999999</v>
      </c>
      <c r="E35" s="359">
        <v>0</v>
      </c>
      <c r="F35" s="357">
        <f t="shared" si="15"/>
        <v>0</v>
      </c>
      <c r="G35" s="359">
        <v>0</v>
      </c>
      <c r="H35" s="359">
        <v>0</v>
      </c>
      <c r="I35" s="359">
        <v>0</v>
      </c>
      <c r="J35" s="359">
        <v>0</v>
      </c>
      <c r="K35" s="359">
        <v>0</v>
      </c>
      <c r="L35" s="357">
        <f t="shared" si="17"/>
        <v>0</v>
      </c>
      <c r="M35" s="357">
        <f t="shared" si="18"/>
        <v>0</v>
      </c>
      <c r="O35" s="189"/>
    </row>
    <row r="36" spans="1:15" s="9" customFormat="1" x14ac:dyDescent="0.25">
      <c r="A36" s="358" t="s">
        <v>336</v>
      </c>
      <c r="B36" s="359">
        <v>0</v>
      </c>
      <c r="C36" s="359">
        <v>0</v>
      </c>
      <c r="D36" s="359">
        <v>0</v>
      </c>
      <c r="E36" s="359">
        <v>0</v>
      </c>
      <c r="F36" s="357">
        <f t="shared" si="15"/>
        <v>0</v>
      </c>
      <c r="G36" s="359">
        <v>0</v>
      </c>
      <c r="H36" s="359">
        <v>0</v>
      </c>
      <c r="I36" s="359">
        <v>0</v>
      </c>
      <c r="J36" s="359">
        <v>0</v>
      </c>
      <c r="K36" s="359">
        <v>0</v>
      </c>
      <c r="L36" s="357">
        <f t="shared" si="17"/>
        <v>0</v>
      </c>
      <c r="M36" s="357">
        <f t="shared" si="18"/>
        <v>0</v>
      </c>
    </row>
    <row r="37" spans="1:15" s="9" customFormat="1" x14ac:dyDescent="0.25">
      <c r="A37" s="358" t="s">
        <v>337</v>
      </c>
      <c r="B37" s="359">
        <f>B38</f>
        <v>0</v>
      </c>
      <c r="C37" s="359">
        <f t="shared" ref="C37:E37" si="19">C38</f>
        <v>0</v>
      </c>
      <c r="D37" s="359">
        <f t="shared" si="19"/>
        <v>0</v>
      </c>
      <c r="E37" s="359">
        <f t="shared" si="19"/>
        <v>0</v>
      </c>
      <c r="F37" s="357">
        <f t="shared" si="15"/>
        <v>0</v>
      </c>
      <c r="G37" s="359">
        <f>G38</f>
        <v>0</v>
      </c>
      <c r="H37" s="359">
        <f t="shared" ref="H37:K37" si="20">H38</f>
        <v>0</v>
      </c>
      <c r="I37" s="359">
        <f t="shared" si="20"/>
        <v>0</v>
      </c>
      <c r="J37" s="359">
        <f t="shared" si="20"/>
        <v>0</v>
      </c>
      <c r="K37" s="359">
        <f t="shared" si="20"/>
        <v>0</v>
      </c>
      <c r="L37" s="357">
        <f t="shared" si="17"/>
        <v>0</v>
      </c>
      <c r="M37" s="357">
        <f t="shared" si="18"/>
        <v>0</v>
      </c>
    </row>
    <row r="38" spans="1:15" s="9" customFormat="1" x14ac:dyDescent="0.25">
      <c r="A38" s="358" t="s">
        <v>338</v>
      </c>
      <c r="B38" s="359">
        <v>0</v>
      </c>
      <c r="C38" s="359">
        <v>0</v>
      </c>
      <c r="D38" s="359">
        <v>0</v>
      </c>
      <c r="E38" s="359">
        <v>0</v>
      </c>
      <c r="F38" s="357">
        <f t="shared" si="15"/>
        <v>0</v>
      </c>
      <c r="G38" s="359">
        <v>0</v>
      </c>
      <c r="H38" s="359">
        <v>0</v>
      </c>
      <c r="I38" s="359">
        <v>0</v>
      </c>
      <c r="J38" s="359">
        <v>0</v>
      </c>
      <c r="K38" s="359">
        <v>0</v>
      </c>
      <c r="L38" s="357">
        <f t="shared" si="17"/>
        <v>0</v>
      </c>
      <c r="M38" s="357">
        <f t="shared" si="18"/>
        <v>0</v>
      </c>
    </row>
    <row r="39" spans="1:15" s="9" customFormat="1" x14ac:dyDescent="0.25">
      <c r="A39" s="354" t="s">
        <v>339</v>
      </c>
      <c r="B39" s="355">
        <v>0</v>
      </c>
      <c r="C39" s="355">
        <v>0</v>
      </c>
      <c r="D39" s="355">
        <v>0</v>
      </c>
      <c r="E39" s="355">
        <v>0</v>
      </c>
      <c r="F39" s="357">
        <f t="shared" si="15"/>
        <v>0</v>
      </c>
      <c r="G39" s="355">
        <v>0</v>
      </c>
      <c r="H39" s="355">
        <v>0</v>
      </c>
      <c r="I39" s="355">
        <v>0</v>
      </c>
      <c r="J39" s="355">
        <v>0</v>
      </c>
      <c r="K39" s="355">
        <v>0</v>
      </c>
      <c r="L39" s="357">
        <f t="shared" si="17"/>
        <v>0</v>
      </c>
      <c r="M39" s="357">
        <f t="shared" si="18"/>
        <v>0</v>
      </c>
    </row>
    <row r="40" spans="1:15" s="364" customFormat="1" x14ac:dyDescent="0.25">
      <c r="A40" s="362" t="s">
        <v>340</v>
      </c>
      <c r="B40" s="363">
        <f>B32+B39</f>
        <v>0</v>
      </c>
      <c r="C40" s="363">
        <f t="shared" ref="C40:E40" si="21">C32+C39</f>
        <v>143914.60999999999</v>
      </c>
      <c r="D40" s="363">
        <f t="shared" si="21"/>
        <v>143914.60999999999</v>
      </c>
      <c r="E40" s="363">
        <f t="shared" si="21"/>
        <v>0</v>
      </c>
      <c r="F40" s="363">
        <f t="shared" si="15"/>
        <v>0</v>
      </c>
      <c r="G40" s="363">
        <f>G32+G39</f>
        <v>0</v>
      </c>
      <c r="H40" s="363">
        <f t="shared" ref="H40:K40" si="22">H32+H39</f>
        <v>0</v>
      </c>
      <c r="I40" s="363">
        <f t="shared" si="22"/>
        <v>0</v>
      </c>
      <c r="J40" s="363">
        <f t="shared" si="22"/>
        <v>0</v>
      </c>
      <c r="K40" s="363">
        <f t="shared" si="22"/>
        <v>0</v>
      </c>
      <c r="L40" s="363">
        <f t="shared" si="17"/>
        <v>0</v>
      </c>
      <c r="M40" s="363">
        <f t="shared" si="18"/>
        <v>0</v>
      </c>
    </row>
    <row r="41" spans="1:15" s="9" customFormat="1" x14ac:dyDescent="0.25">
      <c r="A41" s="372"/>
      <c r="B41" s="372"/>
      <c r="C41" s="372"/>
    </row>
    <row r="42" spans="1:15" s="9" customFormat="1" x14ac:dyDescent="0.25">
      <c r="A42" s="372"/>
      <c r="B42" s="372"/>
      <c r="C42" s="372"/>
    </row>
    <row r="43" spans="1:15" s="9" customFormat="1" x14ac:dyDescent="0.25">
      <c r="A43" s="372"/>
      <c r="B43" s="372"/>
      <c r="C43" s="372"/>
    </row>
    <row r="44" spans="1:15" s="9" customFormat="1" x14ac:dyDescent="0.25"/>
    <row r="45" spans="1:15" ht="15.75" customHeight="1" x14ac:dyDescent="0.25">
      <c r="A45" s="76" t="s">
        <v>88</v>
      </c>
      <c r="B45" s="76"/>
      <c r="C45" s="76"/>
      <c r="D45" s="13"/>
      <c r="E45" s="12"/>
      <c r="F45" s="12"/>
      <c r="H45" s="373"/>
      <c r="I45" s="76" t="s">
        <v>95</v>
      </c>
      <c r="J45" s="76"/>
      <c r="K45" s="76"/>
      <c r="L45" s="76"/>
      <c r="M45" s="9"/>
      <c r="N45" s="9"/>
    </row>
    <row r="46" spans="1:15" ht="15.75" customHeight="1" x14ac:dyDescent="0.25">
      <c r="A46" s="76" t="s">
        <v>89</v>
      </c>
      <c r="B46" s="76"/>
      <c r="C46" s="76"/>
      <c r="D46" s="13"/>
      <c r="E46" s="12"/>
      <c r="F46" s="12"/>
      <c r="H46" s="373"/>
      <c r="I46" s="76" t="s">
        <v>96</v>
      </c>
      <c r="J46" s="76"/>
      <c r="K46" s="76"/>
      <c r="L46" s="76"/>
      <c r="M46" s="9"/>
      <c r="N46" s="9"/>
    </row>
    <row r="47" spans="1:15" ht="15.75" customHeight="1" x14ac:dyDescent="0.25">
      <c r="A47" s="76" t="s">
        <v>90</v>
      </c>
      <c r="B47" s="76"/>
      <c r="C47" s="76"/>
      <c r="D47" s="13"/>
      <c r="E47" s="12"/>
      <c r="F47" s="12"/>
      <c r="H47" s="373"/>
      <c r="I47" s="76" t="s">
        <v>90</v>
      </c>
      <c r="J47" s="76"/>
      <c r="K47" s="76"/>
      <c r="L47" s="76"/>
      <c r="M47" s="9"/>
      <c r="N47" s="9"/>
    </row>
    <row r="48" spans="1:15" ht="15.6" x14ac:dyDescent="0.3">
      <c r="A48" s="76" t="s">
        <v>91</v>
      </c>
      <c r="B48" s="76"/>
      <c r="C48" s="76"/>
      <c r="D48" s="13"/>
      <c r="E48" s="12"/>
      <c r="F48" s="12"/>
      <c r="G48" s="144"/>
      <c r="H48" s="144"/>
      <c r="I48" s="144"/>
      <c r="J48" s="170"/>
      <c r="K48" s="170"/>
    </row>
    <row r="49" spans="1:12" ht="15.6" x14ac:dyDescent="0.3">
      <c r="A49" s="13"/>
      <c r="B49" s="13"/>
      <c r="C49" s="12"/>
      <c r="D49" s="13"/>
      <c r="E49" s="12"/>
      <c r="F49" s="12"/>
      <c r="G49" s="144"/>
      <c r="H49" s="144"/>
      <c r="I49" s="144"/>
      <c r="J49" s="170"/>
      <c r="K49" s="170"/>
    </row>
    <row r="50" spans="1:12" ht="15.6" x14ac:dyDescent="0.3">
      <c r="A50" s="13"/>
      <c r="B50" s="13"/>
      <c r="C50" s="12"/>
      <c r="D50" s="13"/>
      <c r="E50" s="12"/>
      <c r="F50" s="12"/>
      <c r="G50" s="144"/>
      <c r="H50" s="144"/>
      <c r="I50" s="144"/>
      <c r="J50" s="170"/>
      <c r="K50" s="170"/>
    </row>
    <row r="51" spans="1:12" ht="15.6" x14ac:dyDescent="0.3">
      <c r="A51" s="13"/>
      <c r="B51" s="13"/>
      <c r="C51" s="12"/>
      <c r="D51" s="13"/>
      <c r="E51" s="12"/>
      <c r="F51" s="12"/>
      <c r="G51" s="144"/>
      <c r="H51" s="144"/>
      <c r="I51" s="144"/>
      <c r="J51" s="170"/>
      <c r="K51" s="170"/>
    </row>
    <row r="52" spans="1:12" x14ac:dyDescent="0.25">
      <c r="A52" s="76" t="s">
        <v>92</v>
      </c>
      <c r="B52" s="76"/>
      <c r="C52" s="76"/>
      <c r="D52" s="13"/>
      <c r="F52" s="144"/>
      <c r="G52" s="144"/>
      <c r="H52" s="144"/>
      <c r="I52" s="77" t="s">
        <v>97</v>
      </c>
      <c r="J52" s="77"/>
      <c r="K52" s="77"/>
      <c r="L52" s="77"/>
    </row>
    <row r="53" spans="1:12" x14ac:dyDescent="0.25">
      <c r="A53" s="76" t="s">
        <v>93</v>
      </c>
      <c r="B53" s="76"/>
      <c r="C53" s="76"/>
      <c r="D53" s="13"/>
      <c r="F53" s="144"/>
      <c r="G53" s="144"/>
      <c r="H53" s="144"/>
      <c r="I53" s="77" t="s">
        <v>94</v>
      </c>
      <c r="J53" s="77"/>
      <c r="K53" s="77"/>
      <c r="L53" s="77"/>
    </row>
  </sheetData>
  <mergeCells count="22">
    <mergeCell ref="A53:C53"/>
    <mergeCell ref="I53:L53"/>
    <mergeCell ref="A46:C46"/>
    <mergeCell ref="I46:L46"/>
    <mergeCell ref="A47:C47"/>
    <mergeCell ref="I47:L47"/>
    <mergeCell ref="A48:C48"/>
    <mergeCell ref="A52:C52"/>
    <mergeCell ref="I52:L52"/>
    <mergeCell ref="A11:M11"/>
    <mergeCell ref="B14:F14"/>
    <mergeCell ref="G14:L14"/>
    <mergeCell ref="B29:F29"/>
    <mergeCell ref="G29:L29"/>
    <mergeCell ref="A45:C45"/>
    <mergeCell ref="I45:L45"/>
    <mergeCell ref="A3:M3"/>
    <mergeCell ref="A4:M4"/>
    <mergeCell ref="A7:F7"/>
    <mergeCell ref="A8:M8"/>
    <mergeCell ref="A9:M9"/>
    <mergeCell ref="A10:M1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D904-09BC-47D4-9764-D664A73EDFBF}">
  <dimension ref="A1:H52"/>
  <sheetViews>
    <sheetView workbookViewId="0">
      <selection sqref="A1:XFD1048576"/>
    </sheetView>
  </sheetViews>
  <sheetFormatPr defaultRowHeight="13.2" x14ac:dyDescent="0.25"/>
  <cols>
    <col min="1" max="1" width="69.5546875" customWidth="1"/>
    <col min="2" max="2" width="32.88671875" customWidth="1"/>
    <col min="3" max="3" width="30.6640625" customWidth="1"/>
    <col min="7" max="7" width="13.88671875" style="6" bestFit="1" customWidth="1"/>
  </cols>
  <sheetData>
    <row r="1" spans="1:8" ht="15.75" customHeight="1" x14ac:dyDescent="0.3">
      <c r="A1" s="78"/>
      <c r="B1" s="78"/>
      <c r="C1" s="78"/>
      <c r="D1" s="78"/>
      <c r="E1" s="78"/>
      <c r="F1" s="78"/>
      <c r="G1" s="78"/>
      <c r="H1" s="78"/>
    </row>
    <row r="2" spans="1:8" s="8" customFormat="1" ht="15.75" customHeight="1" x14ac:dyDescent="0.3">
      <c r="A2" s="78" t="s">
        <v>85</v>
      </c>
      <c r="B2" s="78"/>
      <c r="C2" s="78"/>
      <c r="D2" s="79"/>
      <c r="E2" s="79"/>
      <c r="F2" s="7"/>
      <c r="G2" s="7"/>
    </row>
    <row r="3" spans="1:8" s="8" customFormat="1" ht="15.75" customHeight="1" x14ac:dyDescent="0.3">
      <c r="A3" s="78" t="s">
        <v>86</v>
      </c>
      <c r="B3" s="78"/>
      <c r="C3" s="78"/>
      <c r="D3"/>
      <c r="E3"/>
      <c r="F3" s="7"/>
      <c r="G3" s="7"/>
    </row>
    <row r="4" spans="1:8" s="8" customFormat="1" ht="15.75" customHeight="1" x14ac:dyDescent="0.3">
      <c r="A4" s="7"/>
      <c r="B4" s="7"/>
      <c r="C4" s="7"/>
      <c r="D4" s="7"/>
      <c r="E4" s="7"/>
      <c r="F4" s="7"/>
      <c r="G4" s="7"/>
    </row>
    <row r="5" spans="1:8" s="170" customFormat="1" ht="15.6" x14ac:dyDescent="0.3">
      <c r="A5" s="75" t="s">
        <v>342</v>
      </c>
      <c r="B5" s="75"/>
      <c r="C5" s="75"/>
      <c r="G5" s="374"/>
    </row>
    <row r="6" spans="1:8" s="1" customFormat="1" ht="15.6" x14ac:dyDescent="0.3">
      <c r="A6" s="74" t="s">
        <v>343</v>
      </c>
      <c r="B6" s="74"/>
      <c r="C6" s="74"/>
      <c r="G6" s="14"/>
    </row>
    <row r="7" spans="1:8" s="1" customFormat="1" ht="15.6" x14ac:dyDescent="0.3">
      <c r="A7" s="44" t="s">
        <v>344</v>
      </c>
      <c r="B7" s="22"/>
      <c r="C7" s="22"/>
      <c r="G7" s="14"/>
    </row>
    <row r="8" spans="1:8" s="232" customFormat="1" ht="19.5" customHeight="1" x14ac:dyDescent="0.25">
      <c r="A8" s="375" t="s">
        <v>345</v>
      </c>
      <c r="B8" s="376" t="s">
        <v>346</v>
      </c>
      <c r="C8" s="377"/>
      <c r="G8" s="378"/>
    </row>
    <row r="9" spans="1:8" s="232" customFormat="1" ht="19.5" customHeight="1" x14ac:dyDescent="0.25">
      <c r="A9" s="379" t="s">
        <v>347</v>
      </c>
      <c r="B9" s="380">
        <v>69364210.700000003</v>
      </c>
      <c r="C9" s="381"/>
      <c r="G9" s="378"/>
    </row>
    <row r="10" spans="1:8" s="232" customFormat="1" ht="19.5" customHeight="1" x14ac:dyDescent="0.25">
      <c r="A10" s="375" t="s">
        <v>348</v>
      </c>
      <c r="B10" s="380">
        <f>B9</f>
        <v>69364210.700000003</v>
      </c>
      <c r="C10" s="381"/>
      <c r="G10" s="378"/>
    </row>
    <row r="11" spans="1:8" s="232" customFormat="1" ht="9" customHeight="1" x14ac:dyDescent="0.25">
      <c r="A11" s="382"/>
      <c r="B11" s="383"/>
      <c r="C11" s="383"/>
      <c r="G11" s="378"/>
    </row>
    <row r="12" spans="1:8" s="232" customFormat="1" ht="19.5" customHeight="1" x14ac:dyDescent="0.25">
      <c r="A12" s="384"/>
      <c r="B12" s="385" t="s">
        <v>349</v>
      </c>
      <c r="C12" s="386" t="s">
        <v>350</v>
      </c>
      <c r="G12" s="378"/>
    </row>
    <row r="13" spans="1:8" s="232" customFormat="1" ht="22.5" customHeight="1" x14ac:dyDescent="0.25">
      <c r="A13" s="387" t="s">
        <v>351</v>
      </c>
      <c r="B13" s="388">
        <v>23464935.899999999</v>
      </c>
      <c r="C13" s="388">
        <f>B13/B9*100</f>
        <v>33.828592098432111</v>
      </c>
      <c r="G13" s="378"/>
    </row>
    <row r="14" spans="1:8" ht="19.5" customHeight="1" x14ac:dyDescent="0.25">
      <c r="A14" s="389" t="s">
        <v>352</v>
      </c>
      <c r="B14" s="390">
        <f>B9*54%</f>
        <v>37456673.778000005</v>
      </c>
      <c r="C14" s="390">
        <v>54</v>
      </c>
    </row>
    <row r="15" spans="1:8" ht="19.5" customHeight="1" x14ac:dyDescent="0.25">
      <c r="A15" s="389" t="s">
        <v>353</v>
      </c>
      <c r="B15" s="390">
        <f>B9*51.3%</f>
        <v>35583840.089100003</v>
      </c>
      <c r="C15" s="390">
        <v>51.3</v>
      </c>
    </row>
    <row r="16" spans="1:8" ht="19.5" customHeight="1" x14ac:dyDescent="0.25">
      <c r="A16" s="389" t="s">
        <v>354</v>
      </c>
      <c r="B16" s="390">
        <f>G31*51.3%</f>
        <v>0</v>
      </c>
      <c r="C16" s="390">
        <v>0</v>
      </c>
    </row>
    <row r="17" spans="1:7" ht="9" customHeight="1" x14ac:dyDescent="0.25">
      <c r="A17" s="391"/>
      <c r="B17" s="392"/>
      <c r="C17" s="392"/>
    </row>
    <row r="18" spans="1:7" s="232" customFormat="1" ht="19.5" customHeight="1" x14ac:dyDescent="0.25">
      <c r="A18" s="387" t="s">
        <v>355</v>
      </c>
      <c r="B18" s="393"/>
      <c r="C18" s="393"/>
      <c r="G18" s="378"/>
    </row>
    <row r="19" spans="1:7" ht="22.5" customHeight="1" x14ac:dyDescent="0.25">
      <c r="A19" s="394" t="s">
        <v>356</v>
      </c>
      <c r="B19" s="395">
        <v>0</v>
      </c>
      <c r="C19" s="395">
        <f>B19/B9*100</f>
        <v>0</v>
      </c>
    </row>
    <row r="20" spans="1:7" ht="19.5" customHeight="1" x14ac:dyDescent="0.25">
      <c r="A20" s="396" t="s">
        <v>357</v>
      </c>
      <c r="B20" s="390">
        <f>B9*120%</f>
        <v>83237052.840000004</v>
      </c>
      <c r="C20" s="397">
        <v>120</v>
      </c>
    </row>
    <row r="21" spans="1:7" ht="19.5" customHeight="1" x14ac:dyDescent="0.25">
      <c r="A21" s="389" t="s">
        <v>354</v>
      </c>
      <c r="B21" s="390">
        <f>G41*51.3%</f>
        <v>0</v>
      </c>
      <c r="C21" s="390">
        <v>0</v>
      </c>
    </row>
    <row r="22" spans="1:7" ht="9" customHeight="1" x14ac:dyDescent="0.25">
      <c r="A22" s="391"/>
      <c r="B22" s="392"/>
      <c r="C22" s="392"/>
    </row>
    <row r="23" spans="1:7" s="232" customFormat="1" ht="19.5" customHeight="1" x14ac:dyDescent="0.25">
      <c r="A23" s="384" t="s">
        <v>358</v>
      </c>
      <c r="B23" s="393"/>
      <c r="C23" s="393"/>
      <c r="G23" s="378"/>
    </row>
    <row r="24" spans="1:7" ht="22.5" customHeight="1" x14ac:dyDescent="0.25">
      <c r="A24" s="394" t="s">
        <v>359</v>
      </c>
      <c r="B24" s="395">
        <v>0</v>
      </c>
      <c r="C24" s="395">
        <f>B24/B9*100</f>
        <v>0</v>
      </c>
    </row>
    <row r="25" spans="1:7" ht="19.5" customHeight="1" x14ac:dyDescent="0.25">
      <c r="A25" s="396" t="s">
        <v>360</v>
      </c>
      <c r="B25" s="390">
        <f>B9*22%</f>
        <v>15260126.354</v>
      </c>
      <c r="C25" s="397">
        <v>22</v>
      </c>
    </row>
    <row r="26" spans="1:7" ht="19.5" customHeight="1" x14ac:dyDescent="0.25">
      <c r="A26" s="389" t="s">
        <v>354</v>
      </c>
      <c r="B26" s="390">
        <f>IFERROR(#REF!*51.3%,0)</f>
        <v>0</v>
      </c>
      <c r="C26" s="390">
        <v>0</v>
      </c>
    </row>
    <row r="27" spans="1:7" ht="9" customHeight="1" x14ac:dyDescent="0.25">
      <c r="A27" s="391"/>
      <c r="B27" s="392"/>
      <c r="C27" s="392"/>
    </row>
    <row r="28" spans="1:7" s="232" customFormat="1" ht="19.5" customHeight="1" x14ac:dyDescent="0.25">
      <c r="A28" s="384" t="s">
        <v>361</v>
      </c>
      <c r="B28" s="393"/>
      <c r="C28" s="393"/>
      <c r="G28" s="378"/>
    </row>
    <row r="29" spans="1:7" ht="22.5" customHeight="1" x14ac:dyDescent="0.25">
      <c r="A29" s="394" t="s">
        <v>362</v>
      </c>
      <c r="B29" s="395">
        <v>0</v>
      </c>
      <c r="C29" s="395">
        <f>B29/B9*100</f>
        <v>0</v>
      </c>
    </row>
    <row r="30" spans="1:7" ht="19.5" customHeight="1" x14ac:dyDescent="0.25">
      <c r="A30" s="396" t="s">
        <v>363</v>
      </c>
      <c r="B30" s="390">
        <f>B9*16%</f>
        <v>11098273.712000001</v>
      </c>
      <c r="C30" s="397">
        <v>16</v>
      </c>
    </row>
    <row r="31" spans="1:7" ht="19.5" customHeight="1" x14ac:dyDescent="0.25">
      <c r="A31" s="389" t="s">
        <v>354</v>
      </c>
      <c r="B31" s="390">
        <f>IFERROR(#REF!*51.3%,0)</f>
        <v>0</v>
      </c>
      <c r="C31" s="390">
        <v>0</v>
      </c>
    </row>
    <row r="32" spans="1:7" ht="9" customHeight="1" x14ac:dyDescent="0.25">
      <c r="A32" s="391"/>
      <c r="B32" s="392"/>
      <c r="C32" s="392"/>
    </row>
    <row r="33" spans="1:7" s="1" customFormat="1" ht="19.5" customHeight="1" x14ac:dyDescent="0.3">
      <c r="A33" s="384" t="s">
        <v>364</v>
      </c>
      <c r="B33" s="393"/>
      <c r="C33" s="393"/>
      <c r="G33" s="14"/>
    </row>
    <row r="34" spans="1:7" s="1" customFormat="1" ht="15.75" customHeight="1" x14ac:dyDescent="0.3">
      <c r="A34" s="394" t="s">
        <v>356</v>
      </c>
      <c r="B34" s="395">
        <v>0</v>
      </c>
      <c r="C34" s="395">
        <f>B34/B9*100</f>
        <v>0</v>
      </c>
      <c r="G34" s="14"/>
    </row>
    <row r="35" spans="1:7" s="1" customFormat="1" ht="15" customHeight="1" x14ac:dyDescent="0.3">
      <c r="A35" s="396" t="s">
        <v>365</v>
      </c>
      <c r="B35" s="390">
        <f>B9*7%</f>
        <v>4855494.7490000008</v>
      </c>
      <c r="C35" s="397">
        <v>7</v>
      </c>
      <c r="G35" s="14"/>
    </row>
    <row r="36" spans="1:7" s="1" customFormat="1" ht="15" customHeight="1" x14ac:dyDescent="0.3">
      <c r="A36" s="389" t="s">
        <v>354</v>
      </c>
      <c r="B36" s="390">
        <f>IFERROR(#REF!*51.3%,0)</f>
        <v>0</v>
      </c>
      <c r="C36" s="390">
        <v>0</v>
      </c>
      <c r="G36" s="14"/>
    </row>
    <row r="37" spans="1:7" s="1" customFormat="1" ht="12.75" customHeight="1" x14ac:dyDescent="0.3">
      <c r="A37"/>
      <c r="B37"/>
      <c r="C37"/>
      <c r="G37" s="14"/>
    </row>
    <row r="38" spans="1:7" s="1" customFormat="1" ht="12.75" customHeight="1" x14ac:dyDescent="0.3">
      <c r="A38"/>
      <c r="B38"/>
      <c r="C38"/>
      <c r="G38" s="14"/>
    </row>
    <row r="39" spans="1:7" s="1" customFormat="1" ht="12.75" customHeight="1" x14ac:dyDescent="0.3">
      <c r="A39" s="398" t="s">
        <v>88</v>
      </c>
      <c r="B39" s="399" t="s">
        <v>95</v>
      </c>
      <c r="C39" s="399"/>
      <c r="G39" s="14"/>
    </row>
    <row r="40" spans="1:7" s="1" customFormat="1" ht="12.75" customHeight="1" x14ac:dyDescent="0.3">
      <c r="A40" s="398" t="s">
        <v>89</v>
      </c>
      <c r="B40" s="399" t="s">
        <v>96</v>
      </c>
      <c r="C40" s="399"/>
      <c r="G40" s="14"/>
    </row>
    <row r="41" spans="1:7" s="1" customFormat="1" ht="12.75" customHeight="1" x14ac:dyDescent="0.3">
      <c r="A41" s="400" t="s">
        <v>366</v>
      </c>
      <c r="B41" s="399" t="s">
        <v>90</v>
      </c>
      <c r="C41" s="399"/>
      <c r="G41" s="14"/>
    </row>
    <row r="42" spans="1:7" x14ac:dyDescent="0.25">
      <c r="A42" s="13"/>
      <c r="B42" s="401"/>
      <c r="C42" s="401"/>
    </row>
    <row r="43" spans="1:7" x14ac:dyDescent="0.25">
      <c r="A43" s="13"/>
      <c r="B43" s="401"/>
      <c r="C43" s="401"/>
    </row>
    <row r="44" spans="1:7" x14ac:dyDescent="0.25">
      <c r="A44" s="13"/>
      <c r="B44" s="401"/>
      <c r="C44" s="401"/>
    </row>
    <row r="45" spans="1:7" x14ac:dyDescent="0.25">
      <c r="A45" s="13" t="s">
        <v>92</v>
      </c>
      <c r="B45" s="401" t="s">
        <v>97</v>
      </c>
      <c r="C45" s="401"/>
    </row>
    <row r="46" spans="1:7" x14ac:dyDescent="0.25">
      <c r="A46" s="13" t="s">
        <v>93</v>
      </c>
      <c r="B46" s="401" t="s">
        <v>94</v>
      </c>
      <c r="C46" s="401"/>
    </row>
    <row r="47" spans="1:7" x14ac:dyDescent="0.25">
      <c r="A47" s="13"/>
      <c r="B47" s="402"/>
      <c r="C47" s="402"/>
    </row>
    <row r="48" spans="1:7" x14ac:dyDescent="0.25">
      <c r="B48" s="402"/>
      <c r="C48" s="402"/>
    </row>
    <row r="49" spans="2:3" x14ac:dyDescent="0.25">
      <c r="B49" s="402"/>
      <c r="C49" s="402"/>
    </row>
    <row r="50" spans="2:3" x14ac:dyDescent="0.25">
      <c r="B50" s="402"/>
      <c r="C50" s="402"/>
    </row>
    <row r="51" spans="2:3" x14ac:dyDescent="0.25">
      <c r="B51" s="402"/>
      <c r="C51" s="402"/>
    </row>
    <row r="52" spans="2:3" x14ac:dyDescent="0.25">
      <c r="B52" s="402"/>
      <c r="C52" s="402"/>
    </row>
  </sheetData>
  <mergeCells count="22"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48:C48"/>
    <mergeCell ref="B9:C9"/>
    <mergeCell ref="B10:C10"/>
    <mergeCell ref="B39:C39"/>
    <mergeCell ref="B40:C40"/>
    <mergeCell ref="B41:C41"/>
    <mergeCell ref="B42:C42"/>
    <mergeCell ref="A1:H1"/>
    <mergeCell ref="A2:C2"/>
    <mergeCell ref="A3:C3"/>
    <mergeCell ref="A5:C5"/>
    <mergeCell ref="A6:C6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4EA1-D6BC-4071-9C2B-0A933B275096}">
  <dimension ref="A1:S57"/>
  <sheetViews>
    <sheetView workbookViewId="0">
      <selection sqref="A1:XFD1048576"/>
    </sheetView>
  </sheetViews>
  <sheetFormatPr defaultRowHeight="13.2" x14ac:dyDescent="0.25"/>
  <cols>
    <col min="1" max="1" width="37.6640625" customWidth="1"/>
    <col min="2" max="13" width="12.6640625" customWidth="1"/>
    <col min="14" max="14" width="17.6640625" customWidth="1"/>
    <col min="15" max="15" width="16.6640625" customWidth="1"/>
    <col min="17" max="17" width="13.88671875" style="6" bestFit="1" customWidth="1"/>
  </cols>
  <sheetData>
    <row r="1" spans="1:19" ht="15.75" customHeight="1" x14ac:dyDescent="0.25"/>
    <row r="2" spans="1:19" ht="15.75" customHeight="1" x14ac:dyDescent="0.35">
      <c r="A2" s="403" t="s">
        <v>85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</row>
    <row r="3" spans="1:19" s="8" customFormat="1" ht="15.75" customHeight="1" x14ac:dyDescent="0.35">
      <c r="A3" s="403" t="s">
        <v>86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Q3" s="183"/>
    </row>
    <row r="4" spans="1:19" s="1" customFormat="1" ht="15.6" x14ac:dyDescent="0.3">
      <c r="A4" s="404"/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5"/>
      <c r="Q4" s="14"/>
    </row>
    <row r="5" spans="1:19" s="1" customFormat="1" ht="15.6" x14ac:dyDescent="0.3">
      <c r="A5" s="404" t="s">
        <v>312</v>
      </c>
      <c r="B5" s="404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Q5" s="14"/>
    </row>
    <row r="6" spans="1:19" s="1" customFormat="1" ht="15.6" x14ac:dyDescent="0.3"/>
    <row r="7" spans="1:19" s="1" customFormat="1" ht="15.6" x14ac:dyDescent="0.3">
      <c r="A7" s="404" t="s">
        <v>103</v>
      </c>
      <c r="B7" s="404"/>
      <c r="C7" s="404"/>
      <c r="D7" s="404"/>
      <c r="E7" s="404"/>
      <c r="F7" s="404"/>
      <c r="G7" s="404"/>
      <c r="H7" s="404"/>
      <c r="I7" s="404"/>
      <c r="J7" s="404"/>
      <c r="K7" s="404"/>
      <c r="L7" s="404"/>
      <c r="M7" s="404"/>
      <c r="N7" s="404"/>
      <c r="O7" s="404"/>
      <c r="Q7" s="14"/>
    </row>
    <row r="8" spans="1:19" s="1" customFormat="1" ht="15.6" x14ac:dyDescent="0.3">
      <c r="A8" s="404" t="s">
        <v>100</v>
      </c>
      <c r="B8" s="404"/>
      <c r="C8" s="404"/>
      <c r="D8" s="404"/>
      <c r="E8" s="404"/>
      <c r="F8" s="404"/>
      <c r="G8" s="404"/>
      <c r="H8" s="404"/>
      <c r="I8" s="404"/>
      <c r="J8" s="404"/>
      <c r="K8" s="404"/>
      <c r="L8" s="404"/>
      <c r="M8" s="404"/>
      <c r="N8" s="404"/>
      <c r="O8" s="404"/>
      <c r="Q8" s="14"/>
    </row>
    <row r="9" spans="1:19" s="1" customFormat="1" ht="15.6" x14ac:dyDescent="0.3">
      <c r="A9" s="406"/>
      <c r="B9" s="405"/>
      <c r="C9" s="405"/>
      <c r="D9" s="405"/>
      <c r="E9" s="405"/>
      <c r="F9" s="405"/>
      <c r="G9" s="405"/>
      <c r="H9" s="405"/>
      <c r="I9" s="405"/>
      <c r="J9" s="405"/>
      <c r="K9" s="405"/>
      <c r="L9" s="405"/>
      <c r="M9" s="405"/>
      <c r="N9" s="405"/>
      <c r="O9" s="405"/>
      <c r="Q9" s="14"/>
    </row>
    <row r="10" spans="1:19" s="1" customFormat="1" ht="15.6" x14ac:dyDescent="0.3">
      <c r="A10" s="407" t="s">
        <v>367</v>
      </c>
      <c r="B10" s="408"/>
      <c r="C10" s="408"/>
      <c r="D10" s="408"/>
      <c r="E10" s="408"/>
      <c r="F10" s="408"/>
      <c r="G10" s="408"/>
      <c r="H10" s="408"/>
      <c r="I10" s="408"/>
      <c r="J10" s="408"/>
      <c r="K10" s="408"/>
      <c r="L10" s="408"/>
      <c r="M10" s="408"/>
      <c r="N10" s="408"/>
      <c r="O10" s="408"/>
      <c r="Q10" s="14"/>
    </row>
    <row r="11" spans="1:19" s="1" customFormat="1" ht="12.75" customHeight="1" x14ac:dyDescent="0.3">
      <c r="A11" s="409"/>
      <c r="B11" s="410"/>
      <c r="C11" s="410"/>
      <c r="D11" s="410"/>
      <c r="E11" s="410"/>
      <c r="F11" s="410"/>
      <c r="G11" s="410"/>
      <c r="H11" s="410"/>
      <c r="I11" s="410"/>
      <c r="J11" s="410"/>
      <c r="K11" s="410"/>
      <c r="L11" s="410"/>
      <c r="M11" s="410"/>
      <c r="N11" s="410"/>
      <c r="O11" s="411"/>
      <c r="Q11" s="14"/>
    </row>
    <row r="12" spans="1:19" x14ac:dyDescent="0.25">
      <c r="A12" s="412"/>
      <c r="B12" s="413"/>
      <c r="C12" s="414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31" t="s">
        <v>368</v>
      </c>
      <c r="O12" s="30" t="s">
        <v>107</v>
      </c>
      <c r="P12" s="4"/>
      <c r="Q12" s="16"/>
      <c r="R12" s="4"/>
      <c r="S12" s="4"/>
    </row>
    <row r="13" spans="1:19" x14ac:dyDescent="0.25">
      <c r="A13" s="35" t="s">
        <v>369</v>
      </c>
      <c r="B13" s="415" t="s">
        <v>370</v>
      </c>
      <c r="C13" s="415" t="s">
        <v>371</v>
      </c>
      <c r="D13" s="415" t="s">
        <v>372</v>
      </c>
      <c r="E13" s="415" t="s">
        <v>373</v>
      </c>
      <c r="F13" s="415" t="s">
        <v>374</v>
      </c>
      <c r="G13" s="415" t="s">
        <v>375</v>
      </c>
      <c r="H13" s="416" t="s">
        <v>376</v>
      </c>
      <c r="I13" s="415" t="s">
        <v>377</v>
      </c>
      <c r="J13" s="415" t="s">
        <v>378</v>
      </c>
      <c r="K13" s="415" t="s">
        <v>379</v>
      </c>
      <c r="L13" s="415" t="s">
        <v>380</v>
      </c>
      <c r="M13" s="415" t="s">
        <v>381</v>
      </c>
      <c r="N13" s="34" t="s">
        <v>382</v>
      </c>
      <c r="O13" s="34" t="s">
        <v>383</v>
      </c>
      <c r="P13" s="4"/>
      <c r="Q13" s="16"/>
      <c r="R13" s="4"/>
      <c r="S13" s="4"/>
    </row>
    <row r="14" spans="1:19" s="232" customFormat="1" x14ac:dyDescent="0.25">
      <c r="A14" s="417" t="s">
        <v>369</v>
      </c>
      <c r="B14" s="418" t="s">
        <v>113</v>
      </c>
      <c r="C14" s="418" t="s">
        <v>113</v>
      </c>
      <c r="D14" s="418" t="s">
        <v>113</v>
      </c>
      <c r="E14" s="418" t="s">
        <v>113</v>
      </c>
      <c r="F14" s="418" t="s">
        <v>113</v>
      </c>
      <c r="G14" s="418" t="s">
        <v>113</v>
      </c>
      <c r="H14" s="418" t="s">
        <v>113</v>
      </c>
      <c r="I14" s="418" t="s">
        <v>113</v>
      </c>
      <c r="J14" s="418" t="s">
        <v>113</v>
      </c>
      <c r="K14" s="418" t="s">
        <v>113</v>
      </c>
      <c r="L14" s="418" t="s">
        <v>113</v>
      </c>
      <c r="M14" s="418" t="s">
        <v>113</v>
      </c>
      <c r="N14" s="419" t="s">
        <v>113</v>
      </c>
      <c r="O14" s="419" t="s">
        <v>113</v>
      </c>
      <c r="Q14" s="378"/>
    </row>
    <row r="15" spans="1:19" x14ac:dyDescent="0.25">
      <c r="A15" s="95" t="s">
        <v>384</v>
      </c>
      <c r="B15" s="420">
        <f t="shared" ref="B15:M15" si="0">B16+B22+B23+B26+B27+B36</f>
        <v>5567774.5299999993</v>
      </c>
      <c r="C15" s="420">
        <f t="shared" si="0"/>
        <v>4902707.3600000003</v>
      </c>
      <c r="D15" s="420">
        <f t="shared" si="0"/>
        <v>4933444.97</v>
      </c>
      <c r="E15" s="420">
        <f t="shared" si="0"/>
        <v>5483822.8000000007</v>
      </c>
      <c r="F15" s="420">
        <f t="shared" si="0"/>
        <v>4709981.79</v>
      </c>
      <c r="G15" s="420">
        <f t="shared" si="0"/>
        <v>4981153.7299999995</v>
      </c>
      <c r="H15" s="420">
        <f t="shared" si="0"/>
        <v>7148302.2000000002</v>
      </c>
      <c r="I15" s="420">
        <f t="shared" si="0"/>
        <v>5814948.1900000004</v>
      </c>
      <c r="J15" s="420">
        <f t="shared" si="0"/>
        <v>6779084.9900000002</v>
      </c>
      <c r="K15" s="420">
        <f t="shared" si="0"/>
        <v>6342068.1600000001</v>
      </c>
      <c r="L15" s="420">
        <f t="shared" si="0"/>
        <v>5940972.8899999997</v>
      </c>
      <c r="M15" s="420">
        <f t="shared" si="0"/>
        <v>6759949.0899999999</v>
      </c>
      <c r="N15" s="421">
        <f>N16+N22+N23+N26+N27+N36</f>
        <v>69364210.700000003</v>
      </c>
      <c r="O15" s="421">
        <f>O16+O22+O23+O26+O27+O36</f>
        <v>75692000</v>
      </c>
      <c r="P15" s="4"/>
      <c r="Q15" s="16"/>
      <c r="R15" s="4"/>
      <c r="S15" s="4"/>
    </row>
    <row r="16" spans="1:19" x14ac:dyDescent="0.25">
      <c r="A16" s="25" t="s">
        <v>203</v>
      </c>
      <c r="B16" s="420">
        <f t="shared" ref="B16:M16" si="1">B17+B18+B19+B20+B21</f>
        <v>52742.1</v>
      </c>
      <c r="C16" s="420">
        <f t="shared" si="1"/>
        <v>36574.26</v>
      </c>
      <c r="D16" s="420">
        <f t="shared" si="1"/>
        <v>26610.98</v>
      </c>
      <c r="E16" s="420">
        <f t="shared" si="1"/>
        <v>63428.82</v>
      </c>
      <c r="F16" s="420">
        <f t="shared" si="1"/>
        <v>46672.4</v>
      </c>
      <c r="G16" s="420">
        <f t="shared" si="1"/>
        <v>20187.95</v>
      </c>
      <c r="H16" s="420">
        <f t="shared" si="1"/>
        <v>26799.13</v>
      </c>
      <c r="I16" s="420">
        <f t="shared" si="1"/>
        <v>24187.96</v>
      </c>
      <c r="J16" s="420">
        <f t="shared" si="1"/>
        <v>37310.54</v>
      </c>
      <c r="K16" s="420">
        <f t="shared" si="1"/>
        <v>22362.86</v>
      </c>
      <c r="L16" s="420">
        <f t="shared" si="1"/>
        <v>30254.83</v>
      </c>
      <c r="M16" s="420">
        <f t="shared" si="1"/>
        <v>49509.61</v>
      </c>
      <c r="N16" s="421">
        <f>N17+N18+N19+N20+N21</f>
        <v>436641.44</v>
      </c>
      <c r="O16" s="421">
        <f>O17+O18+O19+O20+O21</f>
        <v>325000</v>
      </c>
      <c r="P16" s="4"/>
      <c r="Q16" s="16"/>
      <c r="R16" s="4"/>
      <c r="S16" s="4"/>
    </row>
    <row r="17" spans="1:19" x14ac:dyDescent="0.25">
      <c r="A17" s="25" t="s">
        <v>385</v>
      </c>
      <c r="B17" s="422">
        <v>0</v>
      </c>
      <c r="C17" s="422">
        <v>0</v>
      </c>
      <c r="D17" s="422">
        <v>0</v>
      </c>
      <c r="E17" s="422">
        <v>0</v>
      </c>
      <c r="F17" s="422">
        <v>0</v>
      </c>
      <c r="G17" s="422">
        <v>0</v>
      </c>
      <c r="H17" s="422">
        <v>0</v>
      </c>
      <c r="I17" s="422">
        <v>0</v>
      </c>
      <c r="J17" s="422">
        <v>0</v>
      </c>
      <c r="K17" s="422">
        <v>0</v>
      </c>
      <c r="L17" s="422">
        <v>0</v>
      </c>
      <c r="M17" s="422">
        <v>0</v>
      </c>
      <c r="N17" s="423">
        <f>SUM(B17:M17)</f>
        <v>0</v>
      </c>
      <c r="O17" s="423">
        <v>0</v>
      </c>
      <c r="P17" s="4"/>
      <c r="Q17" s="16"/>
      <c r="R17" s="4"/>
      <c r="S17" s="4"/>
    </row>
    <row r="18" spans="1:19" x14ac:dyDescent="0.25">
      <c r="A18" s="25" t="s">
        <v>386</v>
      </c>
      <c r="B18" s="422">
        <v>0</v>
      </c>
      <c r="C18" s="422">
        <v>0</v>
      </c>
      <c r="D18" s="422">
        <v>0</v>
      </c>
      <c r="E18" s="422">
        <v>0</v>
      </c>
      <c r="F18" s="422">
        <v>0</v>
      </c>
      <c r="G18" s="422">
        <v>0</v>
      </c>
      <c r="H18" s="422">
        <v>0</v>
      </c>
      <c r="I18" s="422">
        <v>0</v>
      </c>
      <c r="J18" s="422">
        <v>0</v>
      </c>
      <c r="K18" s="422">
        <v>0</v>
      </c>
      <c r="L18" s="422">
        <v>0</v>
      </c>
      <c r="M18" s="422">
        <v>0</v>
      </c>
      <c r="N18" s="423">
        <f t="shared" ref="N18:N20" si="2">SUM(B18:M18)</f>
        <v>0</v>
      </c>
      <c r="O18" s="423">
        <v>0</v>
      </c>
      <c r="P18" s="4"/>
      <c r="Q18" s="16"/>
      <c r="R18" s="4"/>
      <c r="S18" s="4"/>
    </row>
    <row r="19" spans="1:19" x14ac:dyDescent="0.25">
      <c r="A19" s="25" t="s">
        <v>387</v>
      </c>
      <c r="B19" s="422">
        <v>0</v>
      </c>
      <c r="C19" s="422">
        <v>0</v>
      </c>
      <c r="D19" s="422">
        <v>0</v>
      </c>
      <c r="E19" s="422">
        <v>0</v>
      </c>
      <c r="F19" s="422">
        <v>0</v>
      </c>
      <c r="G19" s="422">
        <v>0</v>
      </c>
      <c r="H19" s="422">
        <v>0</v>
      </c>
      <c r="I19" s="422">
        <v>0</v>
      </c>
      <c r="J19" s="422">
        <v>0</v>
      </c>
      <c r="K19" s="422">
        <v>0</v>
      </c>
      <c r="L19" s="422">
        <v>0</v>
      </c>
      <c r="M19" s="422">
        <v>0</v>
      </c>
      <c r="N19" s="423">
        <f t="shared" si="2"/>
        <v>0</v>
      </c>
      <c r="O19" s="423">
        <v>0</v>
      </c>
      <c r="P19" s="4"/>
      <c r="Q19" s="16"/>
      <c r="R19" s="4"/>
      <c r="S19" s="4"/>
    </row>
    <row r="20" spans="1:19" x14ac:dyDescent="0.25">
      <c r="A20" s="25" t="s">
        <v>388</v>
      </c>
      <c r="B20" s="422">
        <v>0</v>
      </c>
      <c r="C20" s="422">
        <v>0</v>
      </c>
      <c r="D20" s="422">
        <v>0</v>
      </c>
      <c r="E20" s="422">
        <v>0</v>
      </c>
      <c r="F20" s="422">
        <v>0</v>
      </c>
      <c r="G20" s="422">
        <v>0</v>
      </c>
      <c r="H20" s="422">
        <v>0</v>
      </c>
      <c r="I20" s="422">
        <v>0</v>
      </c>
      <c r="J20" s="422">
        <v>0</v>
      </c>
      <c r="K20" s="422">
        <v>0</v>
      </c>
      <c r="L20" s="422">
        <v>0</v>
      </c>
      <c r="M20" s="422">
        <v>0</v>
      </c>
      <c r="N20" s="423">
        <f t="shared" si="2"/>
        <v>0</v>
      </c>
      <c r="O20" s="423">
        <v>0</v>
      </c>
      <c r="P20" s="4"/>
      <c r="Q20" s="16"/>
      <c r="R20" s="4"/>
      <c r="S20" s="4"/>
    </row>
    <row r="21" spans="1:19" ht="13.8" x14ac:dyDescent="0.25">
      <c r="A21" s="25" t="s">
        <v>389</v>
      </c>
      <c r="B21" s="424">
        <v>52742.1</v>
      </c>
      <c r="C21" s="424">
        <v>36574.26</v>
      </c>
      <c r="D21" s="424">
        <v>26610.98</v>
      </c>
      <c r="E21" s="424">
        <v>63428.82</v>
      </c>
      <c r="F21" s="424">
        <v>46672.4</v>
      </c>
      <c r="G21" s="424">
        <v>20187.95</v>
      </c>
      <c r="H21" s="424">
        <v>26799.13</v>
      </c>
      <c r="I21" s="424">
        <v>24187.96</v>
      </c>
      <c r="J21" s="424">
        <v>37310.54</v>
      </c>
      <c r="K21" s="424">
        <v>22362.86</v>
      </c>
      <c r="L21" s="424">
        <v>30254.83</v>
      </c>
      <c r="M21" s="424">
        <v>49509.61</v>
      </c>
      <c r="N21" s="423">
        <f>SUM(B21:M21)</f>
        <v>436641.44</v>
      </c>
      <c r="O21" s="423">
        <v>325000</v>
      </c>
      <c r="P21" s="4"/>
      <c r="Q21" s="16"/>
      <c r="R21" s="4"/>
      <c r="S21" s="4"/>
    </row>
    <row r="22" spans="1:19" x14ac:dyDescent="0.25">
      <c r="A22" s="95" t="s">
        <v>209</v>
      </c>
      <c r="B22" s="420">
        <v>0</v>
      </c>
      <c r="C22" s="420">
        <v>0</v>
      </c>
      <c r="D22" s="420">
        <v>0</v>
      </c>
      <c r="E22" s="420">
        <v>0</v>
      </c>
      <c r="F22" s="420">
        <v>0</v>
      </c>
      <c r="G22" s="420">
        <v>0</v>
      </c>
      <c r="H22" s="420">
        <v>0</v>
      </c>
      <c r="I22" s="420">
        <v>0</v>
      </c>
      <c r="J22" s="420">
        <v>0</v>
      </c>
      <c r="K22" s="420">
        <v>0</v>
      </c>
      <c r="L22" s="420">
        <v>0</v>
      </c>
      <c r="M22" s="420">
        <v>0</v>
      </c>
      <c r="N22" s="421">
        <f>SUM(B22:M22)</f>
        <v>0</v>
      </c>
      <c r="O22" s="421">
        <v>0</v>
      </c>
      <c r="P22" s="4"/>
      <c r="Q22" s="16"/>
      <c r="R22" s="4"/>
      <c r="S22" s="4"/>
    </row>
    <row r="23" spans="1:19" x14ac:dyDescent="0.25">
      <c r="A23" s="95" t="s">
        <v>390</v>
      </c>
      <c r="B23" s="420">
        <f t="shared" ref="B23:M23" si="3">B24+B25</f>
        <v>32149.29</v>
      </c>
      <c r="C23" s="420">
        <f t="shared" si="3"/>
        <v>38792.74</v>
      </c>
      <c r="D23" s="420">
        <f t="shared" si="3"/>
        <v>42867.06</v>
      </c>
      <c r="E23" s="420">
        <f t="shared" si="3"/>
        <v>55668.37</v>
      </c>
      <c r="F23" s="420">
        <f t="shared" si="3"/>
        <v>73510.97</v>
      </c>
      <c r="G23" s="420">
        <f t="shared" si="3"/>
        <v>77932.94</v>
      </c>
      <c r="H23" s="420">
        <f t="shared" si="3"/>
        <v>86001.11</v>
      </c>
      <c r="I23" s="420">
        <f t="shared" si="3"/>
        <v>106254.91</v>
      </c>
      <c r="J23" s="420">
        <f t="shared" si="3"/>
        <v>94738.39</v>
      </c>
      <c r="K23" s="420">
        <f t="shared" si="3"/>
        <v>141955.44</v>
      </c>
      <c r="L23" s="420">
        <f t="shared" si="3"/>
        <v>143190.63</v>
      </c>
      <c r="M23" s="420">
        <f t="shared" si="3"/>
        <v>154748.01999999999</v>
      </c>
      <c r="N23" s="421">
        <f>N24+N25</f>
        <v>1047809.87</v>
      </c>
      <c r="O23" s="421">
        <f>O24+O25</f>
        <v>166000</v>
      </c>
      <c r="P23" s="4"/>
      <c r="Q23" s="16"/>
      <c r="R23" s="4"/>
      <c r="S23" s="4"/>
    </row>
    <row r="24" spans="1:19" ht="13.8" x14ac:dyDescent="0.25">
      <c r="A24" s="25" t="s">
        <v>391</v>
      </c>
      <c r="B24" s="425">
        <v>32149.29</v>
      </c>
      <c r="C24" s="425">
        <v>38792.74</v>
      </c>
      <c r="D24" s="425">
        <v>42867.06</v>
      </c>
      <c r="E24" s="425">
        <v>55668.37</v>
      </c>
      <c r="F24" s="425">
        <v>73510.97</v>
      </c>
      <c r="G24" s="425">
        <v>77932.94</v>
      </c>
      <c r="H24" s="425">
        <v>86001.11</v>
      </c>
      <c r="I24" s="425">
        <v>106254.91</v>
      </c>
      <c r="J24" s="425">
        <v>94738.39</v>
      </c>
      <c r="K24" s="425">
        <v>141955.44</v>
      </c>
      <c r="L24" s="425">
        <v>143190.63</v>
      </c>
      <c r="M24" s="425">
        <v>154748.01999999999</v>
      </c>
      <c r="N24" s="423">
        <f>SUM(B24:M24)</f>
        <v>1047809.87</v>
      </c>
      <c r="O24" s="423">
        <v>165000</v>
      </c>
      <c r="P24" s="4"/>
      <c r="Q24" s="16"/>
      <c r="R24" s="4"/>
      <c r="S24" s="4"/>
    </row>
    <row r="25" spans="1:19" x14ac:dyDescent="0.25">
      <c r="A25" s="25" t="s">
        <v>392</v>
      </c>
      <c r="B25" s="422">
        <v>0</v>
      </c>
      <c r="C25" s="422">
        <v>0</v>
      </c>
      <c r="D25" s="422">
        <v>0</v>
      </c>
      <c r="E25" s="422">
        <v>0</v>
      </c>
      <c r="F25" s="422">
        <v>0</v>
      </c>
      <c r="G25" s="422">
        <v>0</v>
      </c>
      <c r="H25" s="422">
        <v>0</v>
      </c>
      <c r="I25" s="422">
        <v>0</v>
      </c>
      <c r="J25" s="422">
        <v>0</v>
      </c>
      <c r="K25" s="422">
        <v>0</v>
      </c>
      <c r="L25" s="422">
        <v>0</v>
      </c>
      <c r="M25" s="422">
        <v>0</v>
      </c>
      <c r="N25" s="423">
        <f>SUM(B25:M25)</f>
        <v>0</v>
      </c>
      <c r="O25" s="423">
        <v>1000</v>
      </c>
      <c r="P25" s="4"/>
      <c r="Q25" s="16"/>
      <c r="R25" s="4"/>
      <c r="S25" s="4"/>
    </row>
    <row r="26" spans="1:19" ht="13.8" x14ac:dyDescent="0.25">
      <c r="A26" s="95" t="s">
        <v>393</v>
      </c>
      <c r="B26" s="425">
        <v>5133892.2699999996</v>
      </c>
      <c r="C26" s="425">
        <v>4655224.9000000004</v>
      </c>
      <c r="D26" s="425">
        <v>4705570.51</v>
      </c>
      <c r="E26" s="425">
        <v>5098565.17</v>
      </c>
      <c r="F26" s="425">
        <v>3100171.7</v>
      </c>
      <c r="G26" s="425">
        <v>4392498.63</v>
      </c>
      <c r="H26" s="425">
        <v>6571127.5300000003</v>
      </c>
      <c r="I26" s="425">
        <v>5340013.6100000003</v>
      </c>
      <c r="J26" s="425">
        <v>6340315.4900000002</v>
      </c>
      <c r="K26" s="425">
        <v>5897904.5700000003</v>
      </c>
      <c r="L26" s="425">
        <v>5466286.3499999996</v>
      </c>
      <c r="M26" s="425">
        <v>6282191.4500000002</v>
      </c>
      <c r="N26" s="421">
        <f>SUM(B26:M26)</f>
        <v>62983762.180000007</v>
      </c>
      <c r="O26" s="421">
        <v>71141000</v>
      </c>
      <c r="P26" s="4"/>
      <c r="Q26" s="16"/>
      <c r="R26" s="4"/>
      <c r="S26" s="4"/>
    </row>
    <row r="27" spans="1:19" x14ac:dyDescent="0.25">
      <c r="A27" s="95" t="s">
        <v>213</v>
      </c>
      <c r="B27" s="420">
        <f t="shared" ref="B27:M27" si="4">SUM(B28:B35)</f>
        <v>0</v>
      </c>
      <c r="C27" s="420">
        <f t="shared" si="4"/>
        <v>0</v>
      </c>
      <c r="D27" s="420">
        <f t="shared" si="4"/>
        <v>0</v>
      </c>
      <c r="E27" s="420">
        <f t="shared" si="4"/>
        <v>0</v>
      </c>
      <c r="F27" s="420">
        <f t="shared" si="4"/>
        <v>0</v>
      </c>
      <c r="G27" s="420">
        <f t="shared" si="4"/>
        <v>0</v>
      </c>
      <c r="H27" s="420">
        <f t="shared" si="4"/>
        <v>0</v>
      </c>
      <c r="I27" s="420">
        <f t="shared" si="4"/>
        <v>0</v>
      </c>
      <c r="J27" s="420">
        <f t="shared" si="4"/>
        <v>0</v>
      </c>
      <c r="K27" s="420">
        <f t="shared" si="4"/>
        <v>0</v>
      </c>
      <c r="L27" s="420">
        <f t="shared" si="4"/>
        <v>0</v>
      </c>
      <c r="M27" s="420">
        <f t="shared" si="4"/>
        <v>0</v>
      </c>
      <c r="N27" s="421">
        <f>SUM(N28:N35)</f>
        <v>0</v>
      </c>
      <c r="O27" s="421">
        <f>SUM(O28:O35)</f>
        <v>0</v>
      </c>
      <c r="P27" s="4"/>
      <c r="Q27" s="16"/>
      <c r="R27" s="4"/>
      <c r="S27" s="4"/>
    </row>
    <row r="28" spans="1:19" x14ac:dyDescent="0.25">
      <c r="A28" s="25" t="s">
        <v>394</v>
      </c>
      <c r="B28" s="422">
        <v>0</v>
      </c>
      <c r="C28" s="422">
        <v>0</v>
      </c>
      <c r="D28" s="422">
        <v>0</v>
      </c>
      <c r="E28" s="422">
        <v>0</v>
      </c>
      <c r="F28" s="422">
        <v>0</v>
      </c>
      <c r="G28" s="422">
        <v>0</v>
      </c>
      <c r="H28" s="422">
        <v>0</v>
      </c>
      <c r="I28" s="422">
        <v>0</v>
      </c>
      <c r="J28" s="422">
        <v>0</v>
      </c>
      <c r="K28" s="422">
        <v>0</v>
      </c>
      <c r="L28" s="422">
        <v>0</v>
      </c>
      <c r="M28" s="422">
        <v>0</v>
      </c>
      <c r="N28" s="423">
        <f>SUM(B28:M28)</f>
        <v>0</v>
      </c>
      <c r="O28" s="423">
        <v>0</v>
      </c>
      <c r="P28" s="4"/>
      <c r="Q28" s="16"/>
      <c r="R28" s="4"/>
      <c r="S28" s="4"/>
    </row>
    <row r="29" spans="1:19" x14ac:dyDescent="0.25">
      <c r="A29" s="25" t="s">
        <v>395</v>
      </c>
      <c r="B29" s="422">
        <v>0</v>
      </c>
      <c r="C29" s="422">
        <v>0</v>
      </c>
      <c r="D29" s="422">
        <v>0</v>
      </c>
      <c r="E29" s="422">
        <v>0</v>
      </c>
      <c r="F29" s="422">
        <v>0</v>
      </c>
      <c r="G29" s="422">
        <v>0</v>
      </c>
      <c r="H29" s="422">
        <v>0</v>
      </c>
      <c r="I29" s="422">
        <v>0</v>
      </c>
      <c r="J29" s="422">
        <v>0</v>
      </c>
      <c r="K29" s="422">
        <v>0</v>
      </c>
      <c r="L29" s="422">
        <v>0</v>
      </c>
      <c r="M29" s="422">
        <v>0</v>
      </c>
      <c r="N29" s="423">
        <f t="shared" ref="N29:N35" si="5">SUM(B29:M29)</f>
        <v>0</v>
      </c>
      <c r="O29" s="423">
        <v>0</v>
      </c>
      <c r="P29" s="4"/>
      <c r="Q29" s="16"/>
      <c r="R29" s="4"/>
      <c r="S29" s="4"/>
    </row>
    <row r="30" spans="1:19" x14ac:dyDescent="0.25">
      <c r="A30" s="25" t="s">
        <v>396</v>
      </c>
      <c r="B30" s="422">
        <v>0</v>
      </c>
      <c r="C30" s="422">
        <v>0</v>
      </c>
      <c r="D30" s="422">
        <v>0</v>
      </c>
      <c r="E30" s="422">
        <v>0</v>
      </c>
      <c r="F30" s="422">
        <v>0</v>
      </c>
      <c r="G30" s="422">
        <v>0</v>
      </c>
      <c r="H30" s="422">
        <v>0</v>
      </c>
      <c r="I30" s="422">
        <v>0</v>
      </c>
      <c r="J30" s="422">
        <v>0</v>
      </c>
      <c r="K30" s="422">
        <v>0</v>
      </c>
      <c r="L30" s="422">
        <v>0</v>
      </c>
      <c r="M30" s="422">
        <v>0</v>
      </c>
      <c r="N30" s="423">
        <f t="shared" si="5"/>
        <v>0</v>
      </c>
      <c r="O30" s="423">
        <v>0</v>
      </c>
      <c r="P30" s="4"/>
      <c r="Q30" s="16"/>
      <c r="R30" s="4"/>
      <c r="S30" s="4"/>
    </row>
    <row r="31" spans="1:19" x14ac:dyDescent="0.25">
      <c r="A31" s="25" t="s">
        <v>397</v>
      </c>
      <c r="B31" s="422">
        <v>0</v>
      </c>
      <c r="C31" s="422">
        <v>0</v>
      </c>
      <c r="D31" s="422">
        <v>0</v>
      </c>
      <c r="E31" s="422">
        <v>0</v>
      </c>
      <c r="F31" s="422">
        <v>0</v>
      </c>
      <c r="G31" s="422">
        <v>0</v>
      </c>
      <c r="H31" s="422">
        <v>0</v>
      </c>
      <c r="I31" s="422">
        <v>0</v>
      </c>
      <c r="J31" s="422">
        <v>0</v>
      </c>
      <c r="K31" s="422">
        <v>0</v>
      </c>
      <c r="L31" s="422">
        <v>0</v>
      </c>
      <c r="M31" s="422">
        <v>0</v>
      </c>
      <c r="N31" s="423">
        <f t="shared" si="5"/>
        <v>0</v>
      </c>
      <c r="O31" s="423">
        <v>0</v>
      </c>
      <c r="P31" s="4"/>
      <c r="Q31" s="16"/>
      <c r="R31" s="4"/>
      <c r="S31" s="4"/>
    </row>
    <row r="32" spans="1:19" x14ac:dyDescent="0.25">
      <c r="A32" s="25" t="s">
        <v>398</v>
      </c>
      <c r="B32" s="422">
        <v>0</v>
      </c>
      <c r="C32" s="422">
        <v>0</v>
      </c>
      <c r="D32" s="422">
        <v>0</v>
      </c>
      <c r="E32" s="422">
        <v>0</v>
      </c>
      <c r="F32" s="422">
        <v>0</v>
      </c>
      <c r="G32" s="422">
        <v>0</v>
      </c>
      <c r="H32" s="422">
        <v>0</v>
      </c>
      <c r="I32" s="422">
        <v>0</v>
      </c>
      <c r="J32" s="422">
        <v>0</v>
      </c>
      <c r="K32" s="422">
        <v>0</v>
      </c>
      <c r="L32" s="422">
        <v>0</v>
      </c>
      <c r="M32" s="422">
        <v>0</v>
      </c>
      <c r="N32" s="423">
        <f t="shared" si="5"/>
        <v>0</v>
      </c>
      <c r="O32" s="423">
        <v>0</v>
      </c>
      <c r="P32" s="4"/>
      <c r="Q32" s="16"/>
      <c r="R32" s="4"/>
      <c r="S32" s="4"/>
    </row>
    <row r="33" spans="1:19" x14ac:dyDescent="0.25">
      <c r="A33" s="25" t="s">
        <v>399</v>
      </c>
      <c r="B33" s="422">
        <v>0</v>
      </c>
      <c r="C33" s="422">
        <v>0</v>
      </c>
      <c r="D33" s="422">
        <v>0</v>
      </c>
      <c r="E33" s="422">
        <v>0</v>
      </c>
      <c r="F33" s="422">
        <v>0</v>
      </c>
      <c r="G33" s="422">
        <v>0</v>
      </c>
      <c r="H33" s="422">
        <v>0</v>
      </c>
      <c r="I33" s="422">
        <v>0</v>
      </c>
      <c r="J33" s="422">
        <v>0</v>
      </c>
      <c r="K33" s="422">
        <v>0</v>
      </c>
      <c r="L33" s="422">
        <v>0</v>
      </c>
      <c r="M33" s="422">
        <v>0</v>
      </c>
      <c r="N33" s="423">
        <f t="shared" si="5"/>
        <v>0</v>
      </c>
      <c r="O33" s="423">
        <v>0</v>
      </c>
      <c r="P33" s="4"/>
      <c r="Q33" s="16"/>
      <c r="R33" s="4"/>
      <c r="S33" s="4"/>
    </row>
    <row r="34" spans="1:19" x14ac:dyDescent="0.25">
      <c r="A34" s="25" t="s">
        <v>400</v>
      </c>
      <c r="B34" s="422">
        <v>0</v>
      </c>
      <c r="C34" s="422">
        <v>0</v>
      </c>
      <c r="D34" s="422">
        <v>0</v>
      </c>
      <c r="E34" s="422">
        <v>0</v>
      </c>
      <c r="F34" s="422">
        <v>0</v>
      </c>
      <c r="G34" s="422">
        <v>0</v>
      </c>
      <c r="H34" s="422">
        <v>0</v>
      </c>
      <c r="I34" s="422">
        <v>0</v>
      </c>
      <c r="J34" s="422">
        <v>0</v>
      </c>
      <c r="K34" s="422">
        <v>0</v>
      </c>
      <c r="L34" s="422">
        <v>0</v>
      </c>
      <c r="M34" s="422">
        <v>0</v>
      </c>
      <c r="N34" s="423">
        <f t="shared" si="5"/>
        <v>0</v>
      </c>
      <c r="O34" s="423">
        <v>0</v>
      </c>
      <c r="P34" s="4"/>
      <c r="Q34" s="16"/>
      <c r="R34" s="4"/>
      <c r="S34" s="4"/>
    </row>
    <row r="35" spans="1:19" x14ac:dyDescent="0.25">
      <c r="A35" s="25" t="s">
        <v>401</v>
      </c>
      <c r="B35" s="422">
        <v>0</v>
      </c>
      <c r="C35" s="422">
        <v>0</v>
      </c>
      <c r="D35" s="422">
        <v>0</v>
      </c>
      <c r="E35" s="422">
        <v>0</v>
      </c>
      <c r="F35" s="422">
        <v>0</v>
      </c>
      <c r="G35" s="422">
        <v>0</v>
      </c>
      <c r="H35" s="422">
        <v>0</v>
      </c>
      <c r="I35" s="422">
        <v>0</v>
      </c>
      <c r="J35" s="422">
        <v>0</v>
      </c>
      <c r="K35" s="422">
        <v>0</v>
      </c>
      <c r="L35" s="422">
        <v>0</v>
      </c>
      <c r="M35" s="422">
        <v>0</v>
      </c>
      <c r="N35" s="423">
        <f t="shared" si="5"/>
        <v>0</v>
      </c>
      <c r="O35" s="423">
        <v>0</v>
      </c>
      <c r="P35" s="4"/>
      <c r="Q35" s="16"/>
      <c r="R35" s="4"/>
      <c r="S35" s="4"/>
    </row>
    <row r="36" spans="1:19" ht="13.8" x14ac:dyDescent="0.25">
      <c r="A36" s="95" t="s">
        <v>402</v>
      </c>
      <c r="B36" s="425">
        <v>348990.87</v>
      </c>
      <c r="C36" s="425">
        <v>172115.46</v>
      </c>
      <c r="D36" s="425">
        <v>158396.42000000001</v>
      </c>
      <c r="E36" s="425">
        <v>266160.44</v>
      </c>
      <c r="F36" s="425">
        <v>1489626.72</v>
      </c>
      <c r="G36" s="425">
        <v>490534.21</v>
      </c>
      <c r="H36" s="425">
        <v>464374.43</v>
      </c>
      <c r="I36" s="425">
        <v>344491.71</v>
      </c>
      <c r="J36" s="425">
        <v>306720.57</v>
      </c>
      <c r="K36" s="425">
        <v>279845.28999999998</v>
      </c>
      <c r="L36" s="425">
        <v>301241.08</v>
      </c>
      <c r="M36" s="425">
        <v>273500.01</v>
      </c>
      <c r="N36" s="421">
        <f>SUM(B36:M36)</f>
        <v>4895997.21</v>
      </c>
      <c r="O36" s="421">
        <v>4060000</v>
      </c>
      <c r="P36" s="4"/>
      <c r="Q36" s="16"/>
      <c r="R36" s="4"/>
      <c r="S36" s="4"/>
    </row>
    <row r="37" spans="1:19" x14ac:dyDescent="0.25">
      <c r="A37" s="95" t="s">
        <v>403</v>
      </c>
      <c r="B37" s="420">
        <f t="shared" ref="B37:M37" si="6">B38+B39+B40+B41</f>
        <v>0</v>
      </c>
      <c r="C37" s="420">
        <f t="shared" si="6"/>
        <v>0</v>
      </c>
      <c r="D37" s="420">
        <f t="shared" si="6"/>
        <v>0</v>
      </c>
      <c r="E37" s="420">
        <f t="shared" si="6"/>
        <v>0</v>
      </c>
      <c r="F37" s="420">
        <f t="shared" si="6"/>
        <v>0</v>
      </c>
      <c r="G37" s="420">
        <f t="shared" si="6"/>
        <v>0</v>
      </c>
      <c r="H37" s="420">
        <f t="shared" si="6"/>
        <v>0</v>
      </c>
      <c r="I37" s="420">
        <f t="shared" si="6"/>
        <v>0</v>
      </c>
      <c r="J37" s="420">
        <f t="shared" si="6"/>
        <v>0</v>
      </c>
      <c r="K37" s="420">
        <f t="shared" si="6"/>
        <v>0</v>
      </c>
      <c r="L37" s="420">
        <f t="shared" si="6"/>
        <v>0</v>
      </c>
      <c r="M37" s="420">
        <f t="shared" si="6"/>
        <v>0</v>
      </c>
      <c r="N37" s="420">
        <f>N38+N39+N40+N41</f>
        <v>0</v>
      </c>
      <c r="O37" s="420">
        <f>O38+O39+O40+O41</f>
        <v>0</v>
      </c>
      <c r="P37" s="4"/>
      <c r="Q37" s="16"/>
      <c r="R37" s="4"/>
      <c r="S37" s="4"/>
    </row>
    <row r="38" spans="1:19" x14ac:dyDescent="0.25">
      <c r="A38" s="25" t="s">
        <v>404</v>
      </c>
      <c r="B38" s="422">
        <v>0</v>
      </c>
      <c r="C38" s="422">
        <v>0</v>
      </c>
      <c r="D38" s="422">
        <v>0</v>
      </c>
      <c r="E38" s="422">
        <v>0</v>
      </c>
      <c r="F38" s="422">
        <v>0</v>
      </c>
      <c r="G38" s="422">
        <v>0</v>
      </c>
      <c r="H38" s="422">
        <v>0</v>
      </c>
      <c r="I38" s="422">
        <v>0</v>
      </c>
      <c r="J38" s="422">
        <v>0</v>
      </c>
      <c r="K38" s="422">
        <v>0</v>
      </c>
      <c r="L38" s="422">
        <v>0</v>
      </c>
      <c r="M38" s="422">
        <v>0</v>
      </c>
      <c r="N38" s="423">
        <f>SUM(B38:M38)</f>
        <v>0</v>
      </c>
      <c r="O38" s="423">
        <v>0</v>
      </c>
      <c r="P38" s="4"/>
      <c r="Q38" s="16"/>
      <c r="R38" s="4"/>
      <c r="S38" s="4"/>
    </row>
    <row r="39" spans="1:19" x14ac:dyDescent="0.25">
      <c r="A39" s="25" t="s">
        <v>405</v>
      </c>
      <c r="B39" s="422">
        <v>0</v>
      </c>
      <c r="C39" s="422">
        <v>0</v>
      </c>
      <c r="D39" s="422">
        <v>0</v>
      </c>
      <c r="E39" s="422">
        <v>0</v>
      </c>
      <c r="F39" s="422">
        <v>0</v>
      </c>
      <c r="G39" s="422">
        <v>0</v>
      </c>
      <c r="H39" s="422">
        <v>0</v>
      </c>
      <c r="I39" s="422">
        <v>0</v>
      </c>
      <c r="J39" s="422">
        <v>0</v>
      </c>
      <c r="K39" s="422">
        <v>0</v>
      </c>
      <c r="L39" s="422">
        <v>0</v>
      </c>
      <c r="M39" s="422">
        <v>0</v>
      </c>
      <c r="N39" s="423">
        <f>SUM(B39:M39)</f>
        <v>0</v>
      </c>
      <c r="O39" s="423">
        <f>SUM(B39:E39)</f>
        <v>0</v>
      </c>
      <c r="P39" s="4"/>
      <c r="Q39" s="16"/>
      <c r="R39" s="4"/>
      <c r="S39" s="4"/>
    </row>
    <row r="40" spans="1:19" x14ac:dyDescent="0.25">
      <c r="A40" s="25" t="s">
        <v>406</v>
      </c>
      <c r="B40" s="422">
        <v>0</v>
      </c>
      <c r="C40" s="422">
        <v>0</v>
      </c>
      <c r="D40" s="422">
        <v>0</v>
      </c>
      <c r="E40" s="422">
        <v>0</v>
      </c>
      <c r="F40" s="422">
        <v>0</v>
      </c>
      <c r="G40" s="422">
        <v>0</v>
      </c>
      <c r="H40" s="422">
        <v>0</v>
      </c>
      <c r="I40" s="422">
        <v>0</v>
      </c>
      <c r="J40" s="422">
        <v>0</v>
      </c>
      <c r="K40" s="422">
        <v>0</v>
      </c>
      <c r="L40" s="422">
        <v>0</v>
      </c>
      <c r="M40" s="422">
        <v>0</v>
      </c>
      <c r="N40" s="423">
        <f>SUM(B40:M40)</f>
        <v>0</v>
      </c>
      <c r="O40" s="423">
        <v>0</v>
      </c>
      <c r="P40" s="4"/>
      <c r="Q40" s="16"/>
      <c r="R40" s="4"/>
      <c r="S40" s="4"/>
    </row>
    <row r="41" spans="1:19" x14ac:dyDescent="0.25">
      <c r="A41" s="25" t="s">
        <v>407</v>
      </c>
      <c r="B41" s="426">
        <v>0</v>
      </c>
      <c r="C41" s="426">
        <v>0</v>
      </c>
      <c r="D41" s="426">
        <v>0</v>
      </c>
      <c r="E41" s="426">
        <v>0</v>
      </c>
      <c r="F41" s="426">
        <v>0</v>
      </c>
      <c r="G41" s="426">
        <v>0</v>
      </c>
      <c r="H41" s="426">
        <v>0</v>
      </c>
      <c r="I41" s="426">
        <v>0</v>
      </c>
      <c r="J41" s="426">
        <v>0</v>
      </c>
      <c r="K41" s="426">
        <v>0</v>
      </c>
      <c r="L41" s="426">
        <v>0</v>
      </c>
      <c r="M41" s="426">
        <v>0</v>
      </c>
      <c r="N41" s="423">
        <f>SUM(B41:M41)</f>
        <v>0</v>
      </c>
      <c r="O41" s="423">
        <v>0</v>
      </c>
      <c r="P41" s="4"/>
      <c r="Q41" s="16"/>
      <c r="R41" s="4"/>
      <c r="S41" s="4"/>
    </row>
    <row r="42" spans="1:19" x14ac:dyDescent="0.25">
      <c r="A42" s="166" t="s">
        <v>408</v>
      </c>
      <c r="B42" s="114">
        <f t="shared" ref="B42:M42" si="7">B15-B37</f>
        <v>5567774.5299999993</v>
      </c>
      <c r="C42" s="114">
        <f t="shared" si="7"/>
        <v>4902707.3600000003</v>
      </c>
      <c r="D42" s="114">
        <f t="shared" si="7"/>
        <v>4933444.97</v>
      </c>
      <c r="E42" s="114">
        <f t="shared" si="7"/>
        <v>5483822.8000000007</v>
      </c>
      <c r="F42" s="114">
        <f t="shared" si="7"/>
        <v>4709981.79</v>
      </c>
      <c r="G42" s="114">
        <f t="shared" si="7"/>
        <v>4981153.7299999995</v>
      </c>
      <c r="H42" s="114">
        <f t="shared" si="7"/>
        <v>7148302.2000000002</v>
      </c>
      <c r="I42" s="114">
        <f t="shared" si="7"/>
        <v>5814948.1900000004</v>
      </c>
      <c r="J42" s="114">
        <f t="shared" si="7"/>
        <v>6779084.9900000002</v>
      </c>
      <c r="K42" s="114">
        <f t="shared" si="7"/>
        <v>6342068.1600000001</v>
      </c>
      <c r="L42" s="114">
        <f t="shared" si="7"/>
        <v>5940972.8899999997</v>
      </c>
      <c r="M42" s="114">
        <f t="shared" si="7"/>
        <v>6759949.0899999999</v>
      </c>
      <c r="N42" s="180">
        <f>N15-N37</f>
        <v>69364210.700000003</v>
      </c>
      <c r="O42" s="180">
        <f>O15-O37</f>
        <v>75692000</v>
      </c>
      <c r="P42" s="4"/>
      <c r="Q42" s="16"/>
      <c r="R42" s="4"/>
      <c r="S42" s="4"/>
    </row>
    <row r="43" spans="1:19" ht="20.399999999999999" x14ac:dyDescent="0.25">
      <c r="A43" s="427" t="s">
        <v>409</v>
      </c>
      <c r="B43" s="428">
        <v>0</v>
      </c>
      <c r="C43" s="428">
        <v>0</v>
      </c>
      <c r="D43" s="428">
        <v>0</v>
      </c>
      <c r="E43" s="428">
        <v>0</v>
      </c>
      <c r="F43" s="428">
        <v>0</v>
      </c>
      <c r="G43" s="428">
        <v>0</v>
      </c>
      <c r="H43" s="428">
        <v>0</v>
      </c>
      <c r="I43" s="428">
        <v>0</v>
      </c>
      <c r="J43" s="428">
        <v>0</v>
      </c>
      <c r="K43" s="428">
        <v>0</v>
      </c>
      <c r="L43" s="428">
        <v>0</v>
      </c>
      <c r="M43" s="428">
        <v>0</v>
      </c>
      <c r="N43" s="429">
        <f>SUM(B43:M43)</f>
        <v>0</v>
      </c>
      <c r="O43" s="429">
        <f>SUM(B43:I43)</f>
        <v>0</v>
      </c>
      <c r="P43" s="4"/>
      <c r="Q43" s="16"/>
      <c r="R43" s="4"/>
      <c r="S43" s="4"/>
    </row>
    <row r="44" spans="1:19" ht="30.6" x14ac:dyDescent="0.25">
      <c r="A44" s="430" t="s">
        <v>410</v>
      </c>
      <c r="B44" s="114">
        <f t="shared" ref="B44:C44" si="8">B42-B43</f>
        <v>5567774.5299999993</v>
      </c>
      <c r="C44" s="114">
        <f t="shared" si="8"/>
        <v>4902707.3600000003</v>
      </c>
      <c r="D44" s="114">
        <f>D42-D43</f>
        <v>4933444.97</v>
      </c>
      <c r="E44" s="114">
        <f>E42-E43</f>
        <v>5483822.8000000007</v>
      </c>
      <c r="F44" s="114">
        <f>F42-F43</f>
        <v>4709981.79</v>
      </c>
      <c r="G44" s="114">
        <f>G42-G43</f>
        <v>4981153.7299999995</v>
      </c>
      <c r="H44" s="114">
        <f t="shared" ref="H44:M44" si="9">H42-H43</f>
        <v>7148302.2000000002</v>
      </c>
      <c r="I44" s="114">
        <f t="shared" si="9"/>
        <v>5814948.1900000004</v>
      </c>
      <c r="J44" s="114">
        <f t="shared" si="9"/>
        <v>6779084.9900000002</v>
      </c>
      <c r="K44" s="114">
        <f t="shared" si="9"/>
        <v>6342068.1600000001</v>
      </c>
      <c r="L44" s="114">
        <f t="shared" si="9"/>
        <v>5940972.8899999997</v>
      </c>
      <c r="M44" s="114">
        <f t="shared" si="9"/>
        <v>6759949.0899999999</v>
      </c>
      <c r="N44" s="180">
        <f>SUM(B44:M44)</f>
        <v>69364210.700000003</v>
      </c>
      <c r="O44" s="114">
        <f>O42-O43</f>
        <v>75692000</v>
      </c>
      <c r="P44" s="4"/>
      <c r="Q44" s="16"/>
      <c r="R44" s="4"/>
      <c r="S44" s="4"/>
    </row>
    <row r="45" spans="1:19" ht="20.399999999999999" x14ac:dyDescent="0.25">
      <c r="A45" s="427" t="s">
        <v>411</v>
      </c>
      <c r="B45" s="428">
        <v>0</v>
      </c>
      <c r="C45" s="428">
        <v>0</v>
      </c>
      <c r="D45" s="428">
        <v>0</v>
      </c>
      <c r="E45" s="428">
        <v>0</v>
      </c>
      <c r="F45" s="428">
        <v>0</v>
      </c>
      <c r="G45" s="428">
        <v>0</v>
      </c>
      <c r="H45" s="428">
        <v>0</v>
      </c>
      <c r="I45" s="428">
        <v>0</v>
      </c>
      <c r="J45" s="428">
        <v>0</v>
      </c>
      <c r="K45" s="428">
        <v>0</v>
      </c>
      <c r="L45" s="428">
        <v>0</v>
      </c>
      <c r="M45" s="428">
        <v>0</v>
      </c>
      <c r="N45" s="429">
        <f>SUM(B45:M45)</f>
        <v>0</v>
      </c>
      <c r="O45" s="429">
        <f>SUM(B45:I45)</f>
        <v>0</v>
      </c>
      <c r="P45" s="4"/>
      <c r="Q45" s="16"/>
      <c r="R45" s="4"/>
      <c r="S45" s="4"/>
    </row>
    <row r="46" spans="1:19" ht="30.6" x14ac:dyDescent="0.25">
      <c r="A46" s="430" t="s">
        <v>412</v>
      </c>
      <c r="B46" s="114">
        <f t="shared" ref="B46:M46" si="10">B44-B45</f>
        <v>5567774.5299999993</v>
      </c>
      <c r="C46" s="114">
        <f t="shared" si="10"/>
        <v>4902707.3600000003</v>
      </c>
      <c r="D46" s="114">
        <f t="shared" si="10"/>
        <v>4933444.97</v>
      </c>
      <c r="E46" s="114">
        <f t="shared" si="10"/>
        <v>5483822.8000000007</v>
      </c>
      <c r="F46" s="114">
        <f t="shared" si="10"/>
        <v>4709981.79</v>
      </c>
      <c r="G46" s="114">
        <f t="shared" si="10"/>
        <v>4981153.7299999995</v>
      </c>
      <c r="H46" s="114">
        <f t="shared" si="10"/>
        <v>7148302.2000000002</v>
      </c>
      <c r="I46" s="114">
        <f t="shared" si="10"/>
        <v>5814948.1900000004</v>
      </c>
      <c r="J46" s="114">
        <f t="shared" si="10"/>
        <v>6779084.9900000002</v>
      </c>
      <c r="K46" s="114">
        <f t="shared" si="10"/>
        <v>6342068.1600000001</v>
      </c>
      <c r="L46" s="114">
        <f t="shared" si="10"/>
        <v>5940972.8899999997</v>
      </c>
      <c r="M46" s="114">
        <f t="shared" si="10"/>
        <v>6759949.0899999999</v>
      </c>
      <c r="N46" s="180">
        <f>SUM(B46:M46)</f>
        <v>69364210.700000003</v>
      </c>
      <c r="O46" s="114">
        <f>O44-O45</f>
        <v>75692000</v>
      </c>
      <c r="P46" s="4"/>
      <c r="Q46" s="16"/>
      <c r="R46" s="4"/>
      <c r="S46" s="4"/>
    </row>
    <row r="47" spans="1:19" x14ac:dyDescent="0.25">
      <c r="A47" s="2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4"/>
      <c r="O47" s="4"/>
      <c r="P47" s="4"/>
      <c r="Q47" s="16"/>
      <c r="R47" s="4"/>
      <c r="S47" s="4"/>
    </row>
    <row r="48" spans="1:19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50" spans="1:17" x14ac:dyDescent="0.25">
      <c r="A50" s="62" t="s">
        <v>88</v>
      </c>
      <c r="B50" s="63"/>
      <c r="C50" s="63"/>
      <c r="E50" s="431"/>
      <c r="F50" s="431"/>
      <c r="G50" s="431"/>
      <c r="H50" s="431"/>
      <c r="I50" s="431"/>
      <c r="J50" s="431"/>
      <c r="K50" s="64" t="s">
        <v>95</v>
      </c>
      <c r="L50" s="64"/>
      <c r="M50" s="64"/>
      <c r="N50" s="64"/>
      <c r="O50" s="64"/>
    </row>
    <row r="51" spans="1:17" x14ac:dyDescent="0.25">
      <c r="A51" s="62" t="s">
        <v>89</v>
      </c>
      <c r="B51" s="63"/>
      <c r="C51" s="63"/>
      <c r="E51" s="431"/>
      <c r="F51" s="431"/>
      <c r="G51" s="431"/>
      <c r="H51" s="431"/>
      <c r="I51" s="431"/>
      <c r="J51" s="431"/>
      <c r="K51" s="64" t="s">
        <v>96</v>
      </c>
      <c r="L51" s="64"/>
      <c r="M51" s="64"/>
      <c r="N51" s="64"/>
      <c r="O51" s="64"/>
    </row>
    <row r="52" spans="1:17" ht="15.75" customHeight="1" x14ac:dyDescent="0.25">
      <c r="A52" s="62" t="s">
        <v>90</v>
      </c>
      <c r="B52" s="63"/>
      <c r="C52" s="63"/>
      <c r="E52" s="431"/>
      <c r="F52" s="431"/>
      <c r="G52" s="431"/>
      <c r="H52" s="431"/>
      <c r="I52" s="431"/>
      <c r="J52" s="431"/>
      <c r="K52" s="64" t="s">
        <v>90</v>
      </c>
      <c r="L52" s="64"/>
      <c r="M52" s="64"/>
      <c r="N52" s="64"/>
      <c r="O52" s="64"/>
    </row>
    <row r="53" spans="1:17" ht="15.6" x14ac:dyDescent="0.3">
      <c r="A53" s="62" t="s">
        <v>91</v>
      </c>
      <c r="B53" s="432"/>
      <c r="C53" s="432"/>
      <c r="D53" s="145"/>
      <c r="E53" s="145"/>
      <c r="F53" s="145"/>
      <c r="G53" s="1"/>
      <c r="H53" s="1"/>
      <c r="I53" s="1"/>
      <c r="J53" s="1"/>
      <c r="K53" s="1"/>
      <c r="L53" s="1"/>
      <c r="M53" s="1"/>
      <c r="N53" s="1"/>
    </row>
    <row r="54" spans="1:17" ht="15.6" x14ac:dyDescent="0.3">
      <c r="A54" s="62"/>
      <c r="B54" s="432"/>
      <c r="C54" s="432"/>
      <c r="D54" s="145"/>
      <c r="E54" s="145"/>
      <c r="F54" s="145"/>
      <c r="G54" s="1"/>
      <c r="H54" s="1"/>
      <c r="I54" s="1"/>
      <c r="J54" s="1"/>
      <c r="K54" s="1"/>
      <c r="L54" s="1"/>
      <c r="M54" s="1"/>
      <c r="N54" s="1"/>
    </row>
    <row r="55" spans="1:17" s="1" customFormat="1" ht="15.6" x14ac:dyDescent="0.3">
      <c r="A55" s="62"/>
      <c r="B55" s="433"/>
      <c r="C55" s="433"/>
      <c r="D55" s="145"/>
      <c r="E55" s="145"/>
      <c r="F55" s="145"/>
      <c r="Q55" s="14"/>
    </row>
    <row r="56" spans="1:17" s="1" customFormat="1" ht="15.6" x14ac:dyDescent="0.3">
      <c r="A56" s="62" t="s">
        <v>92</v>
      </c>
      <c r="B56" s="63"/>
      <c r="C56" s="63"/>
      <c r="E56" s="144"/>
      <c r="F56" s="144"/>
      <c r="G56" s="144"/>
      <c r="H56" s="144"/>
      <c r="I56" s="144"/>
      <c r="J56" s="144"/>
      <c r="K56" s="77" t="s">
        <v>97</v>
      </c>
      <c r="L56" s="77"/>
      <c r="M56" s="77"/>
      <c r="N56" s="77"/>
      <c r="O56" s="77"/>
      <c r="Q56" s="14"/>
    </row>
    <row r="57" spans="1:17" x14ac:dyDescent="0.25">
      <c r="A57" s="62" t="s">
        <v>93</v>
      </c>
      <c r="B57" s="63"/>
      <c r="C57" s="63"/>
      <c r="E57" s="144"/>
      <c r="F57" s="144"/>
      <c r="G57" s="144"/>
      <c r="H57" s="144"/>
      <c r="I57" s="144"/>
      <c r="J57" s="144"/>
      <c r="K57" s="77" t="s">
        <v>94</v>
      </c>
      <c r="L57" s="77"/>
      <c r="M57" s="77"/>
      <c r="N57" s="77"/>
      <c r="O57" s="77"/>
    </row>
  </sheetData>
  <mergeCells count="13">
    <mergeCell ref="K57:O57"/>
    <mergeCell ref="B11:O11"/>
    <mergeCell ref="B12:C12"/>
    <mergeCell ref="K50:O50"/>
    <mergeCell ref="K51:O51"/>
    <mergeCell ref="K52:O52"/>
    <mergeCell ref="K56:O56"/>
    <mergeCell ref="A2:O2"/>
    <mergeCell ref="A3:O3"/>
    <mergeCell ref="A4:N4"/>
    <mergeCell ref="A5:O5"/>
    <mergeCell ref="A7:O7"/>
    <mergeCell ref="A8:O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41C5-621D-4886-A813-3A570519FB92}">
  <dimension ref="A2:R1009"/>
  <sheetViews>
    <sheetView workbookViewId="0">
      <selection activeCell="I11" sqref="I11"/>
    </sheetView>
  </sheetViews>
  <sheetFormatPr defaultColWidth="14.44140625" defaultRowHeight="15" customHeight="1" x14ac:dyDescent="0.25"/>
  <cols>
    <col min="1" max="1" width="17.33203125" style="436" customWidth="1"/>
    <col min="2" max="2" width="14" style="436" bestFit="1" customWidth="1"/>
    <col min="3" max="3" width="10.88671875" style="436" bestFit="1" customWidth="1"/>
    <col min="4" max="4" width="14.33203125" style="436" bestFit="1" customWidth="1"/>
    <col min="5" max="5" width="14.109375" style="436" bestFit="1" customWidth="1"/>
    <col min="6" max="6" width="12.109375" style="436" bestFit="1" customWidth="1"/>
    <col min="7" max="7" width="14.33203125" style="436" bestFit="1" customWidth="1"/>
    <col min="8" max="8" width="11" style="436" bestFit="1" customWidth="1"/>
    <col min="9" max="11" width="10.6640625" style="436" bestFit="1" customWidth="1"/>
    <col min="12" max="13" width="10.6640625" style="436" customWidth="1"/>
    <col min="14" max="14" width="11.5546875" style="436" bestFit="1" customWidth="1"/>
    <col min="15" max="15" width="8.6640625" style="436" customWidth="1"/>
    <col min="16" max="16" width="13.44140625" style="436" customWidth="1"/>
    <col min="17" max="17" width="11.88671875" style="436" customWidth="1"/>
    <col min="18" max="18" width="13.44140625" style="436" customWidth="1"/>
    <col min="19" max="26" width="8.6640625" style="436" customWidth="1"/>
    <col min="27" max="16384" width="14.44140625" style="436"/>
  </cols>
  <sheetData>
    <row r="2" spans="1:17" ht="15" customHeight="1" x14ac:dyDescent="0.25">
      <c r="A2" s="434" t="s">
        <v>85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</row>
    <row r="3" spans="1:17" ht="15" customHeight="1" x14ac:dyDescent="0.25">
      <c r="A3" s="437" t="s">
        <v>413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</row>
    <row r="4" spans="1:17" ht="12.75" customHeight="1" x14ac:dyDescent="0.25">
      <c r="A4" s="438" t="s">
        <v>0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</row>
    <row r="5" spans="1:17" ht="12.75" customHeight="1" x14ac:dyDescent="0.25">
      <c r="A5" s="439" t="s">
        <v>414</v>
      </c>
      <c r="B5" s="435"/>
      <c r="C5" s="435"/>
      <c r="D5" s="435"/>
      <c r="E5" s="435"/>
      <c r="F5" s="435"/>
      <c r="G5" s="435"/>
      <c r="H5" s="435"/>
      <c r="I5" s="435"/>
      <c r="J5" s="435"/>
      <c r="K5" s="435"/>
      <c r="L5" s="435"/>
      <c r="M5" s="435"/>
      <c r="N5" s="435"/>
    </row>
    <row r="6" spans="1:17" ht="12.75" customHeight="1" x14ac:dyDescent="0.25">
      <c r="A6" s="438" t="s">
        <v>103</v>
      </c>
      <c r="B6" s="435"/>
      <c r="C6" s="435"/>
      <c r="D6" s="435"/>
      <c r="E6" s="435"/>
      <c r="F6" s="435"/>
      <c r="G6" s="435"/>
      <c r="H6" s="435"/>
      <c r="I6" s="435"/>
      <c r="J6" s="435"/>
      <c r="K6" s="435"/>
      <c r="L6" s="435"/>
      <c r="M6" s="435"/>
      <c r="N6" s="435"/>
    </row>
    <row r="7" spans="1:17" ht="12.75" customHeight="1" x14ac:dyDescent="0.25">
      <c r="A7" s="439" t="s">
        <v>415</v>
      </c>
      <c r="B7" s="435"/>
      <c r="C7" s="435"/>
      <c r="D7" s="435"/>
      <c r="E7" s="435"/>
      <c r="F7" s="435"/>
      <c r="G7" s="435"/>
      <c r="H7" s="435"/>
      <c r="I7" s="435"/>
      <c r="J7" s="435"/>
      <c r="K7" s="435"/>
      <c r="L7" s="435"/>
      <c r="M7" s="435"/>
      <c r="N7" s="435"/>
    </row>
    <row r="8" spans="1:17" ht="12.75" customHeight="1" x14ac:dyDescent="0.25">
      <c r="A8" s="440"/>
      <c r="B8" s="441"/>
      <c r="C8" s="441"/>
      <c r="D8" s="441"/>
      <c r="E8" s="441"/>
      <c r="F8" s="441"/>
      <c r="G8" s="441"/>
      <c r="H8" s="441"/>
      <c r="I8" s="441"/>
      <c r="J8" s="441"/>
      <c r="K8" s="441"/>
      <c r="L8" s="441"/>
      <c r="M8" s="441"/>
      <c r="N8" s="441"/>
    </row>
    <row r="9" spans="1:17" ht="12.75" customHeight="1" x14ac:dyDescent="0.25">
      <c r="A9" s="440"/>
      <c r="B9" s="441"/>
      <c r="C9" s="441"/>
      <c r="D9" s="441"/>
      <c r="E9" s="441"/>
      <c r="F9" s="441"/>
      <c r="G9" s="441"/>
      <c r="H9" s="441"/>
      <c r="I9" s="441"/>
      <c r="J9" s="441"/>
      <c r="K9" s="441"/>
      <c r="L9" s="441"/>
      <c r="M9" s="441"/>
      <c r="N9" s="441"/>
    </row>
    <row r="10" spans="1:17" ht="12.75" customHeight="1" x14ac:dyDescent="0.25">
      <c r="A10" s="440"/>
      <c r="B10" s="441"/>
      <c r="C10" s="441"/>
      <c r="D10" s="441"/>
      <c r="E10" s="441"/>
      <c r="F10" s="441"/>
      <c r="G10" s="441"/>
      <c r="H10" s="441"/>
      <c r="I10" s="441"/>
      <c r="J10" s="441"/>
      <c r="K10" s="441"/>
      <c r="L10" s="441"/>
      <c r="M10" s="441"/>
      <c r="N10" s="441"/>
    </row>
    <row r="11" spans="1:17" ht="12.75" customHeight="1" x14ac:dyDescent="0.25">
      <c r="A11" s="442"/>
      <c r="B11" s="443"/>
      <c r="C11" s="443"/>
      <c r="D11" s="443"/>
      <c r="E11" s="443"/>
      <c r="F11" s="443"/>
      <c r="G11" s="443"/>
      <c r="H11" s="443"/>
      <c r="I11" s="443"/>
      <c r="J11" s="443"/>
      <c r="K11" s="443"/>
      <c r="L11" s="443"/>
      <c r="M11" s="443"/>
      <c r="N11" s="443"/>
    </row>
    <row r="12" spans="1:17" ht="12.75" customHeight="1" x14ac:dyDescent="0.25">
      <c r="A12" s="444" t="s">
        <v>416</v>
      </c>
      <c r="B12" s="445" t="s">
        <v>417</v>
      </c>
      <c r="C12" s="445" t="s">
        <v>371</v>
      </c>
      <c r="D12" s="445" t="s">
        <v>418</v>
      </c>
      <c r="E12" s="445" t="s">
        <v>419</v>
      </c>
      <c r="F12" s="445" t="s">
        <v>420</v>
      </c>
      <c r="G12" s="445" t="s">
        <v>421</v>
      </c>
      <c r="H12" s="445" t="s">
        <v>422</v>
      </c>
      <c r="I12" s="445" t="s">
        <v>423</v>
      </c>
      <c r="J12" s="445" t="s">
        <v>424</v>
      </c>
      <c r="K12" s="445" t="s">
        <v>425</v>
      </c>
      <c r="L12" s="445" t="s">
        <v>426</v>
      </c>
      <c r="M12" s="445" t="s">
        <v>427</v>
      </c>
      <c r="N12" s="446" t="s">
        <v>428</v>
      </c>
    </row>
    <row r="13" spans="1:17" ht="12.75" customHeight="1" x14ac:dyDescent="0.25">
      <c r="A13" s="447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8"/>
      <c r="M13" s="448"/>
      <c r="N13" s="449"/>
    </row>
    <row r="14" spans="1:17" ht="12.75" customHeight="1" x14ac:dyDescent="0.25">
      <c r="A14" s="450" t="s">
        <v>429</v>
      </c>
      <c r="B14" s="451">
        <v>1188566.54</v>
      </c>
      <c r="C14" s="451">
        <v>1205960.69</v>
      </c>
      <c r="D14" s="451">
        <v>1208679.8400000001</v>
      </c>
      <c r="E14" s="451">
        <v>1897061.54</v>
      </c>
      <c r="F14" s="451">
        <v>1343901.83</v>
      </c>
      <c r="G14" s="451">
        <v>1297235.07</v>
      </c>
      <c r="H14" s="451">
        <v>1346935.82</v>
      </c>
      <c r="I14" s="451">
        <v>1484650.67</v>
      </c>
      <c r="J14" s="451">
        <v>2201414.2000000002</v>
      </c>
      <c r="K14" s="451">
        <v>1591782.06</v>
      </c>
      <c r="L14" s="451">
        <v>1612863.54</v>
      </c>
      <c r="M14" s="451">
        <v>1547782.69</v>
      </c>
      <c r="N14" s="451">
        <f>SUM(B14:M14)</f>
        <v>17926834.490000002</v>
      </c>
      <c r="P14" s="452"/>
    </row>
    <row r="15" spans="1:17" ht="12.75" customHeight="1" x14ac:dyDescent="0.25">
      <c r="A15" s="450" t="s">
        <v>430</v>
      </c>
      <c r="B15" s="451">
        <v>0</v>
      </c>
      <c r="C15" s="451">
        <v>0</v>
      </c>
      <c r="D15" s="451">
        <v>0</v>
      </c>
      <c r="E15" s="451">
        <v>0</v>
      </c>
      <c r="F15" s="451">
        <v>0</v>
      </c>
      <c r="G15" s="451">
        <v>0</v>
      </c>
      <c r="H15" s="451">
        <v>0</v>
      </c>
      <c r="I15" s="451">
        <v>0</v>
      </c>
      <c r="J15" s="451">
        <v>0</v>
      </c>
      <c r="K15" s="451">
        <v>0</v>
      </c>
      <c r="L15" s="451">
        <v>0</v>
      </c>
      <c r="M15" s="451">
        <v>0</v>
      </c>
      <c r="N15" s="451">
        <f t="shared" ref="N15:N28" si="0">SUM(B15:M15)</f>
        <v>0</v>
      </c>
    </row>
    <row r="16" spans="1:17" ht="12.75" customHeight="1" x14ac:dyDescent="0.25">
      <c r="A16" s="450" t="s">
        <v>431</v>
      </c>
      <c r="B16" s="453">
        <v>175599.04</v>
      </c>
      <c r="C16" s="453">
        <f>25903.45+145116.48</f>
        <v>171019.93000000002</v>
      </c>
      <c r="D16" s="453">
        <f>30235.37+143643.54</f>
        <v>173878.91</v>
      </c>
      <c r="E16" s="453">
        <f>85946.31+430455.62</f>
        <v>516401.93</v>
      </c>
      <c r="F16" s="453">
        <v>0</v>
      </c>
      <c r="G16" s="453">
        <f>32033.97+153008.72</f>
        <v>185042.69</v>
      </c>
      <c r="H16" s="453">
        <f>35332.43+151443.05</f>
        <v>186775.47999999998</v>
      </c>
      <c r="I16" s="453">
        <f>34406.3+152023.73</f>
        <v>186430.03000000003</v>
      </c>
      <c r="J16" s="453">
        <f>34558.06+153163.4</f>
        <v>187721.46</v>
      </c>
      <c r="K16" s="453">
        <f>36685.6+168964.95</f>
        <v>205650.55000000002</v>
      </c>
      <c r="L16" s="453">
        <f>36634.1+167466.17</f>
        <v>204100.27000000002</v>
      </c>
      <c r="M16" s="453">
        <f>37359.27+167986.34</f>
        <v>205345.61</v>
      </c>
      <c r="N16" s="451">
        <f t="shared" si="0"/>
        <v>2397965.9</v>
      </c>
      <c r="P16" s="452"/>
      <c r="Q16" s="454"/>
    </row>
    <row r="17" spans="1:17" ht="12.75" customHeight="1" x14ac:dyDescent="0.25">
      <c r="A17" s="450" t="s">
        <v>432</v>
      </c>
      <c r="B17" s="453">
        <v>41950.44</v>
      </c>
      <c r="C17" s="453">
        <f t="shared" ref="C17:D17" si="1">36994.3+4956.14</f>
        <v>41950.44</v>
      </c>
      <c r="D17" s="453">
        <f t="shared" si="1"/>
        <v>41950.44</v>
      </c>
      <c r="E17" s="453">
        <f>73988.6+9912.28</f>
        <v>83900.88</v>
      </c>
      <c r="F17" s="453">
        <v>40264.11</v>
      </c>
      <c r="G17" s="453">
        <f>40264.11+5406.42</f>
        <v>45670.53</v>
      </c>
      <c r="H17" s="453">
        <f>40264.11+5406.42</f>
        <v>45670.53</v>
      </c>
      <c r="I17" s="453">
        <f>40264.11+5406.42</f>
        <v>45670.53</v>
      </c>
      <c r="J17" s="453">
        <f>45285.01+6080.59</f>
        <v>51365.600000000006</v>
      </c>
      <c r="K17" s="453">
        <f>45285.01+6080.59</f>
        <v>51365.600000000006</v>
      </c>
      <c r="L17" s="453">
        <f>45285.01+6080.59</f>
        <v>51365.600000000006</v>
      </c>
      <c r="M17" s="453">
        <f>45285.01+4086.07</f>
        <v>49371.08</v>
      </c>
      <c r="N17" s="451">
        <f t="shared" si="0"/>
        <v>590495.77999999991</v>
      </c>
      <c r="P17" s="452"/>
      <c r="Q17" s="454"/>
    </row>
    <row r="18" spans="1:17" ht="12.75" customHeight="1" x14ac:dyDescent="0.25">
      <c r="A18" s="450" t="s">
        <v>433</v>
      </c>
      <c r="B18" s="453">
        <v>0</v>
      </c>
      <c r="C18" s="453">
        <v>0</v>
      </c>
      <c r="D18" s="453">
        <v>0</v>
      </c>
      <c r="E18" s="453">
        <v>0</v>
      </c>
      <c r="F18" s="453">
        <v>0</v>
      </c>
      <c r="G18" s="453">
        <v>0</v>
      </c>
      <c r="H18" s="453">
        <v>0</v>
      </c>
      <c r="I18" s="453">
        <v>0</v>
      </c>
      <c r="J18" s="453">
        <v>0</v>
      </c>
      <c r="K18" s="453">
        <v>0</v>
      </c>
      <c r="L18" s="453">
        <v>0</v>
      </c>
      <c r="M18" s="453">
        <v>0</v>
      </c>
      <c r="N18" s="451">
        <f t="shared" si="0"/>
        <v>0</v>
      </c>
      <c r="P18" s="452"/>
      <c r="Q18" s="454"/>
    </row>
    <row r="19" spans="1:17" ht="12.75" customHeight="1" x14ac:dyDescent="0.25">
      <c r="A19" s="450" t="s">
        <v>434</v>
      </c>
      <c r="B19" s="453">
        <v>17171.400000000001</v>
      </c>
      <c r="C19" s="453">
        <v>26482.89</v>
      </c>
      <c r="D19" s="453">
        <v>29815.65</v>
      </c>
      <c r="E19" s="453">
        <v>22086.79</v>
      </c>
      <c r="F19" s="453">
        <v>0</v>
      </c>
      <c r="G19" s="453">
        <v>0</v>
      </c>
      <c r="H19" s="453">
        <v>0</v>
      </c>
      <c r="I19" s="453">
        <v>0</v>
      </c>
      <c r="J19" s="453">
        <v>0</v>
      </c>
      <c r="K19" s="453">
        <v>0</v>
      </c>
      <c r="L19" s="453">
        <v>0</v>
      </c>
      <c r="M19" s="453">
        <v>0</v>
      </c>
      <c r="N19" s="451">
        <f t="shared" si="0"/>
        <v>95556.73000000001</v>
      </c>
      <c r="Q19" s="454"/>
    </row>
    <row r="20" spans="1:17" ht="12.75" customHeight="1" x14ac:dyDescent="0.25">
      <c r="A20" s="450" t="s">
        <v>435</v>
      </c>
      <c r="B20" s="453">
        <v>0</v>
      </c>
      <c r="C20" s="453">
        <v>0</v>
      </c>
      <c r="D20" s="453">
        <v>0</v>
      </c>
      <c r="E20" s="453">
        <v>0</v>
      </c>
      <c r="F20" s="453">
        <v>0</v>
      </c>
      <c r="G20" s="453">
        <v>0</v>
      </c>
      <c r="H20" s="453">
        <v>0</v>
      </c>
      <c r="I20" s="453">
        <v>0</v>
      </c>
      <c r="J20" s="453">
        <v>0</v>
      </c>
      <c r="K20" s="453">
        <v>0</v>
      </c>
      <c r="L20" s="453">
        <v>0</v>
      </c>
      <c r="M20" s="453">
        <v>0</v>
      </c>
      <c r="N20" s="451">
        <f t="shared" si="0"/>
        <v>0</v>
      </c>
      <c r="Q20" s="454"/>
    </row>
    <row r="21" spans="1:17" ht="12.75" customHeight="1" x14ac:dyDescent="0.25">
      <c r="A21" s="450" t="s">
        <v>436</v>
      </c>
      <c r="B21" s="451">
        <v>211760.94</v>
      </c>
      <c r="C21" s="451">
        <f>225297.78</f>
        <v>225297.78</v>
      </c>
      <c r="D21" s="451">
        <f>213156.71+20371.68</f>
        <v>233528.38999999998</v>
      </c>
      <c r="E21" s="451">
        <f>219362.9+70321.07</f>
        <v>289683.96999999997</v>
      </c>
      <c r="F21" s="451">
        <f>196214.51+1560.86</f>
        <v>197775.37</v>
      </c>
      <c r="G21" s="451">
        <f>177401.84+89815.89</f>
        <v>267217.73</v>
      </c>
      <c r="H21" s="451">
        <f>186242.86+53418.55</f>
        <v>239661.40999999997</v>
      </c>
      <c r="I21" s="451">
        <f>172290.52+8158.75</f>
        <v>180449.27</v>
      </c>
      <c r="J21" s="451">
        <f>204698.32+94959.55</f>
        <v>299657.87</v>
      </c>
      <c r="K21" s="451">
        <f>231614.33+21134.51</f>
        <v>252748.84</v>
      </c>
      <c r="L21" s="451">
        <f>243832.31+58834.75</f>
        <v>302667.06</v>
      </c>
      <c r="M21" s="451">
        <v>188607.85</v>
      </c>
      <c r="N21" s="451">
        <f t="shared" si="0"/>
        <v>2889056.48</v>
      </c>
      <c r="P21" s="455"/>
      <c r="Q21" s="454"/>
    </row>
    <row r="22" spans="1:17" ht="12.75" customHeight="1" x14ac:dyDescent="0.25">
      <c r="A22" s="456" t="s">
        <v>437</v>
      </c>
      <c r="B22" s="457">
        <f>SUM(B14:B21)</f>
        <v>1635048.3599999999</v>
      </c>
      <c r="C22" s="457">
        <f>SUM(C14:C21)</f>
        <v>1670711.7299999997</v>
      </c>
      <c r="D22" s="457">
        <f t="shared" ref="D22:F22" si="2">SUM(D14:D21)</f>
        <v>1687853.2299999997</v>
      </c>
      <c r="E22" s="457">
        <f t="shared" si="2"/>
        <v>2809135.1100000003</v>
      </c>
      <c r="F22" s="457">
        <f t="shared" si="2"/>
        <v>1581941.31</v>
      </c>
      <c r="G22" s="457">
        <f>SUM(G14:G21)</f>
        <v>1795166.02</v>
      </c>
      <c r="H22" s="457">
        <f>SUM(H14:H21)</f>
        <v>1819043.24</v>
      </c>
      <c r="I22" s="457">
        <f>SUM(I14:I21)</f>
        <v>1897200.5</v>
      </c>
      <c r="J22" s="457">
        <f t="shared" ref="J22:M22" si="3">SUM(J14:J21)</f>
        <v>2740159.1300000004</v>
      </c>
      <c r="K22" s="457">
        <f t="shared" si="3"/>
        <v>2101547.0500000003</v>
      </c>
      <c r="L22" s="457">
        <f t="shared" si="3"/>
        <v>2170996.4700000002</v>
      </c>
      <c r="M22" s="457">
        <f t="shared" si="3"/>
        <v>1991107.23</v>
      </c>
      <c r="N22" s="457">
        <f t="shared" si="0"/>
        <v>23899909.379999999</v>
      </c>
      <c r="Q22" s="454"/>
    </row>
    <row r="23" spans="1:17" ht="12.75" customHeight="1" x14ac:dyDescent="0.25">
      <c r="A23" s="450" t="s">
        <v>438</v>
      </c>
      <c r="B23" s="451">
        <v>0</v>
      </c>
      <c r="C23" s="451">
        <v>0</v>
      </c>
      <c r="D23" s="451">
        <v>0</v>
      </c>
      <c r="E23" s="451">
        <v>0</v>
      </c>
      <c r="F23" s="451">
        <v>0</v>
      </c>
      <c r="G23" s="451">
        <v>0</v>
      </c>
      <c r="H23" s="451">
        <v>0</v>
      </c>
      <c r="I23" s="451">
        <v>0</v>
      </c>
      <c r="J23" s="451">
        <v>0</v>
      </c>
      <c r="K23" s="451">
        <v>0</v>
      </c>
      <c r="L23" s="451">
        <v>0</v>
      </c>
      <c r="M23" s="451">
        <v>0</v>
      </c>
      <c r="N23" s="451">
        <f t="shared" si="0"/>
        <v>0</v>
      </c>
      <c r="Q23" s="454"/>
    </row>
    <row r="24" spans="1:17" ht="12.75" customHeight="1" x14ac:dyDescent="0.25">
      <c r="A24" s="450" t="s">
        <v>439</v>
      </c>
      <c r="B24" s="451">
        <v>16397.87</v>
      </c>
      <c r="C24" s="451">
        <v>0</v>
      </c>
      <c r="D24" s="451">
        <v>20371.68</v>
      </c>
      <c r="E24" s="451">
        <v>70321.070000000007</v>
      </c>
      <c r="F24" s="451">
        <v>1560.86</v>
      </c>
      <c r="G24" s="451">
        <v>89815.89</v>
      </c>
      <c r="H24" s="451">
        <v>53418.55</v>
      </c>
      <c r="I24" s="451">
        <v>8158.75</v>
      </c>
      <c r="J24" s="451">
        <v>94959.55</v>
      </c>
      <c r="K24" s="451">
        <v>21134.51</v>
      </c>
      <c r="L24" s="451">
        <v>58834.75</v>
      </c>
      <c r="M24" s="451">
        <v>0</v>
      </c>
      <c r="N24" s="451">
        <f t="shared" si="0"/>
        <v>434973.48</v>
      </c>
      <c r="Q24" s="454"/>
    </row>
    <row r="25" spans="1:17" ht="12.75" customHeight="1" x14ac:dyDescent="0.25">
      <c r="A25" s="450" t="s">
        <v>440</v>
      </c>
      <c r="B25" s="451">
        <v>0</v>
      </c>
      <c r="C25" s="451">
        <v>0</v>
      </c>
      <c r="D25" s="451">
        <v>0</v>
      </c>
      <c r="E25" s="451">
        <v>0</v>
      </c>
      <c r="F25" s="451">
        <v>0</v>
      </c>
      <c r="G25" s="451">
        <v>0</v>
      </c>
      <c r="H25" s="451">
        <v>0</v>
      </c>
      <c r="I25" s="451">
        <v>0</v>
      </c>
      <c r="J25" s="451">
        <v>0</v>
      </c>
      <c r="K25" s="451">
        <v>0</v>
      </c>
      <c r="L25" s="451">
        <v>0</v>
      </c>
      <c r="M25" s="451">
        <v>0</v>
      </c>
      <c r="N25" s="451">
        <f t="shared" si="0"/>
        <v>0</v>
      </c>
      <c r="P25" s="452"/>
      <c r="Q25" s="454"/>
    </row>
    <row r="26" spans="1:17" ht="12.75" customHeight="1" x14ac:dyDescent="0.25">
      <c r="A26" s="450" t="s">
        <v>441</v>
      </c>
      <c r="B26" s="451">
        <v>0</v>
      </c>
      <c r="C26" s="451">
        <v>0</v>
      </c>
      <c r="D26" s="451">
        <v>0</v>
      </c>
      <c r="E26" s="451">
        <v>0</v>
      </c>
      <c r="F26" s="451">
        <v>0</v>
      </c>
      <c r="G26" s="451">
        <v>0</v>
      </c>
      <c r="H26" s="451">
        <v>0</v>
      </c>
      <c r="I26" s="451">
        <v>0</v>
      </c>
      <c r="J26" s="451">
        <v>0</v>
      </c>
      <c r="K26" s="451">
        <v>0</v>
      </c>
      <c r="L26" s="451">
        <v>0</v>
      </c>
      <c r="M26" s="451">
        <v>0</v>
      </c>
      <c r="N26" s="451">
        <f t="shared" si="0"/>
        <v>0</v>
      </c>
      <c r="Q26" s="454"/>
    </row>
    <row r="27" spans="1:17" ht="12.75" customHeight="1" x14ac:dyDescent="0.25">
      <c r="A27" s="456" t="s">
        <v>437</v>
      </c>
      <c r="B27" s="457">
        <f t="shared" ref="B27:M27" si="4">SUM(B23:B26)</f>
        <v>16397.87</v>
      </c>
      <c r="C27" s="457">
        <f t="shared" si="4"/>
        <v>0</v>
      </c>
      <c r="D27" s="457">
        <f t="shared" si="4"/>
        <v>20371.68</v>
      </c>
      <c r="E27" s="457">
        <f t="shared" si="4"/>
        <v>70321.070000000007</v>
      </c>
      <c r="F27" s="457">
        <f t="shared" si="4"/>
        <v>1560.86</v>
      </c>
      <c r="G27" s="457">
        <f t="shared" si="4"/>
        <v>89815.89</v>
      </c>
      <c r="H27" s="457">
        <f t="shared" si="4"/>
        <v>53418.55</v>
      </c>
      <c r="I27" s="457">
        <f t="shared" si="4"/>
        <v>8158.75</v>
      </c>
      <c r="J27" s="457">
        <f t="shared" si="4"/>
        <v>94959.55</v>
      </c>
      <c r="K27" s="457">
        <f t="shared" si="4"/>
        <v>21134.51</v>
      </c>
      <c r="L27" s="457">
        <f t="shared" si="4"/>
        <v>58834.75</v>
      </c>
      <c r="M27" s="457">
        <f t="shared" si="4"/>
        <v>0</v>
      </c>
      <c r="N27" s="451">
        <f t="shared" si="0"/>
        <v>434973.48</v>
      </c>
      <c r="Q27" s="454"/>
    </row>
    <row r="28" spans="1:17" ht="12.75" customHeight="1" x14ac:dyDescent="0.25">
      <c r="A28" s="458" t="s">
        <v>368</v>
      </c>
      <c r="B28" s="459">
        <f t="shared" ref="B28:G28" si="5">B22-B27</f>
        <v>1618650.4899999998</v>
      </c>
      <c r="C28" s="459">
        <f t="shared" si="5"/>
        <v>1670711.7299999997</v>
      </c>
      <c r="D28" s="459">
        <f t="shared" si="5"/>
        <v>1667481.5499999998</v>
      </c>
      <c r="E28" s="459">
        <f t="shared" si="5"/>
        <v>2738814.0400000005</v>
      </c>
      <c r="F28" s="459">
        <f t="shared" si="5"/>
        <v>1580380.45</v>
      </c>
      <c r="G28" s="459">
        <f t="shared" si="5"/>
        <v>1705350.1300000001</v>
      </c>
      <c r="H28" s="459">
        <f>H22-H27</f>
        <v>1765624.69</v>
      </c>
      <c r="I28" s="459">
        <f>I22-I27</f>
        <v>1889041.75</v>
      </c>
      <c r="J28" s="459">
        <f t="shared" ref="J28:M28" si="6">J22-J27</f>
        <v>2645199.5800000005</v>
      </c>
      <c r="K28" s="459">
        <f t="shared" si="6"/>
        <v>2080412.5400000003</v>
      </c>
      <c r="L28" s="459">
        <f t="shared" si="6"/>
        <v>2112161.7200000002</v>
      </c>
      <c r="M28" s="459">
        <f t="shared" si="6"/>
        <v>1991107.23</v>
      </c>
      <c r="N28" s="460">
        <f t="shared" si="0"/>
        <v>23464935.899999999</v>
      </c>
      <c r="Q28" s="454"/>
    </row>
    <row r="29" spans="1:17" ht="12.75" customHeight="1" x14ac:dyDescent="0.25">
      <c r="A29" s="461"/>
      <c r="B29" s="462"/>
      <c r="C29" s="462"/>
      <c r="D29" s="462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Q29" s="454"/>
    </row>
    <row r="30" spans="1:17" ht="12.75" customHeight="1" x14ac:dyDescent="0.25">
      <c r="A30" s="461"/>
      <c r="B30" s="462"/>
      <c r="C30" s="462"/>
      <c r="D30" s="462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Q30" s="454"/>
    </row>
    <row r="31" spans="1:17" ht="12.75" customHeight="1" x14ac:dyDescent="0.25">
      <c r="A31" s="461"/>
      <c r="B31" s="462"/>
      <c r="C31" s="462"/>
      <c r="D31" s="462"/>
      <c r="E31" s="462"/>
      <c r="F31" s="462"/>
      <c r="G31" s="462"/>
      <c r="H31" s="462"/>
      <c r="I31" s="462"/>
      <c r="J31" s="462"/>
      <c r="K31" s="462"/>
      <c r="L31" s="462"/>
      <c r="M31" s="462"/>
      <c r="N31" s="462"/>
      <c r="Q31" s="454"/>
    </row>
    <row r="32" spans="1:17" ht="12.75" customHeight="1" x14ac:dyDescent="0.25">
      <c r="A32" s="461"/>
      <c r="B32" s="462"/>
      <c r="C32" s="462"/>
      <c r="D32" s="462"/>
      <c r="E32" s="462"/>
      <c r="F32" s="462"/>
      <c r="G32" s="462"/>
      <c r="H32" s="462"/>
      <c r="I32" s="462"/>
      <c r="J32" s="462"/>
      <c r="K32" s="462"/>
      <c r="L32" s="462"/>
      <c r="M32" s="462"/>
      <c r="N32" s="462"/>
      <c r="Q32" s="454"/>
    </row>
    <row r="33" spans="1:18" ht="12.75" customHeight="1" x14ac:dyDescent="0.25">
      <c r="A33" s="442"/>
      <c r="B33" s="442"/>
      <c r="C33" s="442"/>
      <c r="D33" s="442"/>
      <c r="E33" s="442"/>
      <c r="F33" s="442"/>
      <c r="G33" s="442"/>
      <c r="H33" s="442"/>
      <c r="I33" s="442"/>
      <c r="J33" s="442"/>
      <c r="K33" s="442"/>
      <c r="L33" s="442"/>
      <c r="M33" s="442"/>
      <c r="N33" s="442"/>
    </row>
    <row r="34" spans="1:18" ht="12.75" customHeight="1" x14ac:dyDescent="0.25">
      <c r="A34" s="463" t="s">
        <v>88</v>
      </c>
      <c r="B34" s="464"/>
      <c r="C34" s="464"/>
      <c r="E34" s="465"/>
      <c r="F34" s="465"/>
      <c r="G34" s="465"/>
      <c r="H34" s="465"/>
      <c r="I34" s="465"/>
      <c r="J34" s="466" t="s">
        <v>95</v>
      </c>
      <c r="K34" s="466"/>
      <c r="L34" s="466"/>
      <c r="M34" s="466"/>
      <c r="N34" s="466"/>
    </row>
    <row r="35" spans="1:18" ht="12.75" customHeight="1" x14ac:dyDescent="0.25">
      <c r="A35" s="463" t="s">
        <v>89</v>
      </c>
      <c r="B35" s="464"/>
      <c r="C35" s="464"/>
      <c r="E35" s="465"/>
      <c r="F35" s="465"/>
      <c r="G35" s="465"/>
      <c r="H35" s="465"/>
      <c r="I35" s="465"/>
      <c r="J35" s="466" t="s">
        <v>96</v>
      </c>
      <c r="K35" s="466"/>
      <c r="L35" s="466"/>
      <c r="M35" s="466"/>
      <c r="N35" s="466"/>
    </row>
    <row r="36" spans="1:18" ht="12.75" customHeight="1" x14ac:dyDescent="0.25">
      <c r="A36" s="463" t="s">
        <v>90</v>
      </c>
      <c r="B36" s="464"/>
      <c r="C36" s="464"/>
      <c r="E36" s="465"/>
      <c r="F36" s="465"/>
      <c r="G36" s="465"/>
      <c r="H36" s="465"/>
      <c r="I36" s="465"/>
      <c r="J36" s="466" t="s">
        <v>90</v>
      </c>
      <c r="K36" s="466"/>
      <c r="L36" s="466"/>
      <c r="M36" s="466"/>
      <c r="N36" s="466"/>
    </row>
    <row r="37" spans="1:18" ht="12.75" customHeight="1" x14ac:dyDescent="0.25">
      <c r="A37" s="463" t="s">
        <v>91</v>
      </c>
      <c r="B37" s="467"/>
      <c r="C37" s="467"/>
      <c r="E37" s="468"/>
      <c r="F37" s="468"/>
      <c r="G37" s="469"/>
      <c r="H37" s="469"/>
      <c r="I37" s="469"/>
      <c r="J37" s="469"/>
      <c r="K37" s="468"/>
      <c r="L37" s="468"/>
      <c r="M37" s="468"/>
      <c r="N37" s="469"/>
    </row>
    <row r="38" spans="1:18" ht="12.75" customHeight="1" x14ac:dyDescent="0.25">
      <c r="A38" s="463"/>
      <c r="B38" s="467"/>
      <c r="C38" s="467"/>
      <c r="E38" s="468"/>
      <c r="F38" s="468"/>
      <c r="G38" s="469"/>
      <c r="H38" s="469"/>
      <c r="I38" s="469"/>
      <c r="J38" s="469"/>
      <c r="K38" s="468"/>
      <c r="L38" s="468"/>
      <c r="M38" s="468"/>
      <c r="N38" s="469"/>
    </row>
    <row r="39" spans="1:18" ht="12.75" customHeight="1" x14ac:dyDescent="0.25">
      <c r="A39" s="463"/>
      <c r="B39" s="467"/>
      <c r="C39" s="467"/>
      <c r="E39" s="468"/>
      <c r="F39" s="468"/>
      <c r="G39" s="469"/>
      <c r="H39" s="469"/>
      <c r="I39" s="469"/>
      <c r="J39" s="469"/>
      <c r="K39" s="468"/>
      <c r="L39" s="468"/>
      <c r="M39" s="468"/>
      <c r="N39" s="469"/>
    </row>
    <row r="40" spans="1:18" ht="12.75" customHeight="1" x14ac:dyDescent="0.25">
      <c r="A40" s="463"/>
      <c r="B40" s="467"/>
      <c r="C40" s="467"/>
      <c r="E40" s="468"/>
      <c r="F40" s="468"/>
      <c r="G40" s="469"/>
      <c r="H40" s="469"/>
      <c r="I40" s="469"/>
      <c r="J40" s="469"/>
      <c r="K40" s="468"/>
      <c r="L40" s="468"/>
      <c r="M40" s="468"/>
      <c r="N40" s="469"/>
    </row>
    <row r="41" spans="1:18" ht="12.75" customHeight="1" x14ac:dyDescent="0.25">
      <c r="A41" s="463" t="s">
        <v>92</v>
      </c>
      <c r="B41" s="464"/>
      <c r="C41" s="464"/>
      <c r="E41" s="470"/>
      <c r="F41" s="470"/>
      <c r="G41" s="470"/>
      <c r="H41" s="470"/>
      <c r="I41" s="470"/>
      <c r="J41" s="471" t="s">
        <v>97</v>
      </c>
      <c r="K41" s="471"/>
      <c r="L41" s="471"/>
      <c r="M41" s="471"/>
      <c r="N41" s="471"/>
      <c r="R41" s="452"/>
    </row>
    <row r="42" spans="1:18" ht="12.75" customHeight="1" x14ac:dyDescent="0.25">
      <c r="A42" s="463" t="s">
        <v>93</v>
      </c>
      <c r="B42" s="464"/>
      <c r="C42" s="464"/>
      <c r="E42" s="470"/>
      <c r="F42" s="470"/>
      <c r="G42" s="470"/>
      <c r="H42" s="470"/>
      <c r="I42" s="470"/>
      <c r="J42" s="471" t="s">
        <v>94</v>
      </c>
      <c r="K42" s="471"/>
      <c r="L42" s="471"/>
      <c r="M42" s="471"/>
      <c r="N42" s="471"/>
    </row>
    <row r="43" spans="1:18" ht="12.75" customHeight="1" x14ac:dyDescent="0.25"/>
    <row r="44" spans="1:18" ht="12.75" customHeight="1" x14ac:dyDescent="0.25"/>
    <row r="45" spans="1:18" ht="12.75" customHeight="1" x14ac:dyDescent="0.25"/>
    <row r="46" spans="1:18" ht="12.75" customHeight="1" x14ac:dyDescent="0.25"/>
    <row r="47" spans="1:18" ht="12.75" customHeight="1" x14ac:dyDescent="0.25"/>
    <row r="48" spans="1:18" ht="12.75" customHeight="1" x14ac:dyDescent="0.25"/>
    <row r="49" s="436" customFormat="1" ht="12.75" customHeight="1" x14ac:dyDescent="0.25"/>
    <row r="50" s="436" customFormat="1" ht="12.75" customHeight="1" x14ac:dyDescent="0.25"/>
    <row r="51" s="436" customFormat="1" ht="12.75" customHeight="1" x14ac:dyDescent="0.25"/>
    <row r="52" s="436" customFormat="1" ht="12.75" customHeight="1" x14ac:dyDescent="0.25"/>
    <row r="53" s="436" customFormat="1" ht="12.75" customHeight="1" x14ac:dyDescent="0.25"/>
    <row r="54" s="436" customFormat="1" ht="12.75" customHeight="1" x14ac:dyDescent="0.25"/>
    <row r="55" s="436" customFormat="1" ht="12.75" customHeight="1" x14ac:dyDescent="0.25"/>
    <row r="56" s="436" customFormat="1" ht="12.75" customHeight="1" x14ac:dyDescent="0.25"/>
    <row r="57" s="436" customFormat="1" ht="12.75" customHeight="1" x14ac:dyDescent="0.25"/>
    <row r="58" s="436" customFormat="1" ht="12.75" customHeight="1" x14ac:dyDescent="0.25"/>
    <row r="59" s="436" customFormat="1" ht="12.75" customHeight="1" x14ac:dyDescent="0.25"/>
    <row r="60" s="436" customFormat="1" ht="12.75" customHeight="1" x14ac:dyDescent="0.25"/>
    <row r="61" s="436" customFormat="1" ht="12.75" customHeight="1" x14ac:dyDescent="0.25"/>
    <row r="62" s="436" customFormat="1" ht="12.75" customHeight="1" x14ac:dyDescent="0.25"/>
    <row r="63" s="436" customFormat="1" ht="12.75" customHeight="1" x14ac:dyDescent="0.25"/>
    <row r="64" s="436" customFormat="1" ht="12.75" customHeight="1" x14ac:dyDescent="0.25"/>
    <row r="65" s="436" customFormat="1" ht="12.75" customHeight="1" x14ac:dyDescent="0.25"/>
    <row r="66" s="436" customFormat="1" ht="12.75" customHeight="1" x14ac:dyDescent="0.25"/>
    <row r="67" s="436" customFormat="1" ht="12.75" customHeight="1" x14ac:dyDescent="0.25"/>
    <row r="68" s="436" customFormat="1" ht="12.75" customHeight="1" x14ac:dyDescent="0.25"/>
    <row r="69" s="436" customFormat="1" ht="12.75" customHeight="1" x14ac:dyDescent="0.25"/>
    <row r="70" s="436" customFormat="1" ht="12.75" customHeight="1" x14ac:dyDescent="0.25"/>
    <row r="71" s="436" customFormat="1" ht="12.75" customHeight="1" x14ac:dyDescent="0.25"/>
    <row r="72" s="436" customFormat="1" ht="12.75" customHeight="1" x14ac:dyDescent="0.25"/>
    <row r="73" s="436" customFormat="1" ht="12.75" customHeight="1" x14ac:dyDescent="0.25"/>
    <row r="74" s="436" customFormat="1" ht="12.75" customHeight="1" x14ac:dyDescent="0.25"/>
    <row r="75" s="436" customFormat="1" ht="12.75" customHeight="1" x14ac:dyDescent="0.25"/>
    <row r="76" s="436" customFormat="1" ht="12.75" customHeight="1" x14ac:dyDescent="0.25"/>
    <row r="77" s="436" customFormat="1" ht="12.75" customHeight="1" x14ac:dyDescent="0.25"/>
    <row r="78" s="436" customFormat="1" ht="12.75" customHeight="1" x14ac:dyDescent="0.25"/>
    <row r="79" s="436" customFormat="1" ht="12.75" customHeight="1" x14ac:dyDescent="0.25"/>
    <row r="80" s="436" customFormat="1" ht="12.75" customHeight="1" x14ac:dyDescent="0.25"/>
    <row r="81" s="436" customFormat="1" ht="12.75" customHeight="1" x14ac:dyDescent="0.25"/>
    <row r="82" s="436" customFormat="1" ht="12.75" customHeight="1" x14ac:dyDescent="0.25"/>
    <row r="83" s="436" customFormat="1" ht="12.75" customHeight="1" x14ac:dyDescent="0.25"/>
    <row r="84" s="436" customFormat="1" ht="12.75" customHeight="1" x14ac:dyDescent="0.25"/>
    <row r="85" s="436" customFormat="1" ht="12.75" customHeight="1" x14ac:dyDescent="0.25"/>
    <row r="86" s="436" customFormat="1" ht="12.75" customHeight="1" x14ac:dyDescent="0.25"/>
    <row r="87" s="436" customFormat="1" ht="12.75" customHeight="1" x14ac:dyDescent="0.25"/>
    <row r="88" s="436" customFormat="1" ht="12.75" customHeight="1" x14ac:dyDescent="0.25"/>
    <row r="89" s="436" customFormat="1" ht="12.75" customHeight="1" x14ac:dyDescent="0.25"/>
    <row r="90" s="436" customFormat="1" ht="12.75" customHeight="1" x14ac:dyDescent="0.25"/>
    <row r="91" s="436" customFormat="1" ht="12.75" customHeight="1" x14ac:dyDescent="0.25"/>
    <row r="92" s="436" customFormat="1" ht="12.75" customHeight="1" x14ac:dyDescent="0.25"/>
    <row r="93" s="436" customFormat="1" ht="12.75" customHeight="1" x14ac:dyDescent="0.25"/>
    <row r="94" s="436" customFormat="1" ht="12.75" customHeight="1" x14ac:dyDescent="0.25"/>
    <row r="95" s="436" customFormat="1" ht="12.75" customHeight="1" x14ac:dyDescent="0.25"/>
    <row r="96" s="436" customFormat="1" ht="12.75" customHeight="1" x14ac:dyDescent="0.25"/>
    <row r="97" s="436" customFormat="1" ht="12.75" customHeight="1" x14ac:dyDescent="0.25"/>
    <row r="98" s="436" customFormat="1" ht="12.75" customHeight="1" x14ac:dyDescent="0.25"/>
    <row r="99" s="436" customFormat="1" ht="12.75" customHeight="1" x14ac:dyDescent="0.25"/>
    <row r="100" s="436" customFormat="1" ht="12.75" customHeight="1" x14ac:dyDescent="0.25"/>
    <row r="101" s="436" customFormat="1" ht="12.75" customHeight="1" x14ac:dyDescent="0.25"/>
    <row r="102" s="436" customFormat="1" ht="12.75" customHeight="1" x14ac:dyDescent="0.25"/>
    <row r="103" s="436" customFormat="1" ht="12.75" customHeight="1" x14ac:dyDescent="0.25"/>
    <row r="104" s="436" customFormat="1" ht="12.75" customHeight="1" x14ac:dyDescent="0.25"/>
    <row r="105" s="436" customFormat="1" ht="12.75" customHeight="1" x14ac:dyDescent="0.25"/>
    <row r="106" s="436" customFormat="1" ht="12.75" customHeight="1" x14ac:dyDescent="0.25"/>
    <row r="107" s="436" customFormat="1" ht="12.75" customHeight="1" x14ac:dyDescent="0.25"/>
    <row r="108" s="436" customFormat="1" ht="12.75" customHeight="1" x14ac:dyDescent="0.25"/>
    <row r="109" s="436" customFormat="1" ht="12.75" customHeight="1" x14ac:dyDescent="0.25"/>
    <row r="110" s="436" customFormat="1" ht="12.75" customHeight="1" x14ac:dyDescent="0.25"/>
    <row r="111" s="436" customFormat="1" ht="12.75" customHeight="1" x14ac:dyDescent="0.25"/>
    <row r="112" s="436" customFormat="1" ht="12.75" customHeight="1" x14ac:dyDescent="0.25"/>
    <row r="113" s="436" customFormat="1" ht="12.75" customHeight="1" x14ac:dyDescent="0.25"/>
    <row r="114" s="436" customFormat="1" ht="12.75" customHeight="1" x14ac:dyDescent="0.25"/>
    <row r="115" s="436" customFormat="1" ht="12.75" customHeight="1" x14ac:dyDescent="0.25"/>
    <row r="116" s="436" customFormat="1" ht="12.75" customHeight="1" x14ac:dyDescent="0.25"/>
    <row r="117" s="436" customFormat="1" ht="12.75" customHeight="1" x14ac:dyDescent="0.25"/>
    <row r="118" s="436" customFormat="1" ht="12.75" customHeight="1" x14ac:dyDescent="0.25"/>
    <row r="119" s="436" customFormat="1" ht="12.75" customHeight="1" x14ac:dyDescent="0.25"/>
    <row r="120" s="436" customFormat="1" ht="12.75" customHeight="1" x14ac:dyDescent="0.25"/>
    <row r="121" s="436" customFormat="1" ht="12.75" customHeight="1" x14ac:dyDescent="0.25"/>
    <row r="122" s="436" customFormat="1" ht="12.75" customHeight="1" x14ac:dyDescent="0.25"/>
    <row r="123" s="436" customFormat="1" ht="12.75" customHeight="1" x14ac:dyDescent="0.25"/>
    <row r="124" s="436" customFormat="1" ht="12.75" customHeight="1" x14ac:dyDescent="0.25"/>
    <row r="125" s="436" customFormat="1" ht="12.75" customHeight="1" x14ac:dyDescent="0.25"/>
    <row r="126" s="436" customFormat="1" ht="12.75" customHeight="1" x14ac:dyDescent="0.25"/>
    <row r="127" s="436" customFormat="1" ht="12.75" customHeight="1" x14ac:dyDescent="0.25"/>
    <row r="128" s="436" customFormat="1" ht="12.75" customHeight="1" x14ac:dyDescent="0.25"/>
    <row r="129" s="436" customFormat="1" ht="12.75" customHeight="1" x14ac:dyDescent="0.25"/>
    <row r="130" s="436" customFormat="1" ht="12.75" customHeight="1" x14ac:dyDescent="0.25"/>
    <row r="131" s="436" customFormat="1" ht="12.75" customHeight="1" x14ac:dyDescent="0.25"/>
    <row r="132" s="436" customFormat="1" ht="12.75" customHeight="1" x14ac:dyDescent="0.25"/>
    <row r="133" s="436" customFormat="1" ht="12.75" customHeight="1" x14ac:dyDescent="0.25"/>
    <row r="134" s="436" customFormat="1" ht="12.75" customHeight="1" x14ac:dyDescent="0.25"/>
    <row r="135" s="436" customFormat="1" ht="12.75" customHeight="1" x14ac:dyDescent="0.25"/>
    <row r="136" s="436" customFormat="1" ht="12.75" customHeight="1" x14ac:dyDescent="0.25"/>
    <row r="137" s="436" customFormat="1" ht="12.75" customHeight="1" x14ac:dyDescent="0.25"/>
    <row r="138" s="436" customFormat="1" ht="12.75" customHeight="1" x14ac:dyDescent="0.25"/>
    <row r="139" s="436" customFormat="1" ht="12.75" customHeight="1" x14ac:dyDescent="0.25"/>
    <row r="140" s="436" customFormat="1" ht="12.75" customHeight="1" x14ac:dyDescent="0.25"/>
    <row r="141" s="436" customFormat="1" ht="12.75" customHeight="1" x14ac:dyDescent="0.25"/>
    <row r="142" s="436" customFormat="1" ht="12.75" customHeight="1" x14ac:dyDescent="0.25"/>
    <row r="143" s="436" customFormat="1" ht="12.75" customHeight="1" x14ac:dyDescent="0.25"/>
    <row r="144" s="436" customFormat="1" ht="12.75" customHeight="1" x14ac:dyDescent="0.25"/>
    <row r="145" s="436" customFormat="1" ht="12.75" customHeight="1" x14ac:dyDescent="0.25"/>
    <row r="146" s="436" customFormat="1" ht="12.75" customHeight="1" x14ac:dyDescent="0.25"/>
    <row r="147" s="436" customFormat="1" ht="12.75" customHeight="1" x14ac:dyDescent="0.25"/>
    <row r="148" s="436" customFormat="1" ht="12.75" customHeight="1" x14ac:dyDescent="0.25"/>
    <row r="149" s="436" customFormat="1" ht="12.75" customHeight="1" x14ac:dyDescent="0.25"/>
    <row r="150" s="436" customFormat="1" ht="12.75" customHeight="1" x14ac:dyDescent="0.25"/>
    <row r="151" s="436" customFormat="1" ht="12.75" customHeight="1" x14ac:dyDescent="0.25"/>
    <row r="152" s="436" customFormat="1" ht="12.75" customHeight="1" x14ac:dyDescent="0.25"/>
    <row r="153" s="436" customFormat="1" ht="12.75" customHeight="1" x14ac:dyDescent="0.25"/>
    <row r="154" s="436" customFormat="1" ht="12.75" customHeight="1" x14ac:dyDescent="0.25"/>
    <row r="155" s="436" customFormat="1" ht="12.75" customHeight="1" x14ac:dyDescent="0.25"/>
    <row r="156" s="436" customFormat="1" ht="12.75" customHeight="1" x14ac:dyDescent="0.25"/>
    <row r="157" s="436" customFormat="1" ht="12.75" customHeight="1" x14ac:dyDescent="0.25"/>
    <row r="158" s="436" customFormat="1" ht="12.75" customHeight="1" x14ac:dyDescent="0.25"/>
    <row r="159" s="436" customFormat="1" ht="12.75" customHeight="1" x14ac:dyDescent="0.25"/>
    <row r="160" s="436" customFormat="1" ht="12.75" customHeight="1" x14ac:dyDescent="0.25"/>
    <row r="161" s="436" customFormat="1" ht="12.75" customHeight="1" x14ac:dyDescent="0.25"/>
    <row r="162" s="436" customFormat="1" ht="12.75" customHeight="1" x14ac:dyDescent="0.25"/>
    <row r="163" s="436" customFormat="1" ht="12.75" customHeight="1" x14ac:dyDescent="0.25"/>
    <row r="164" s="436" customFormat="1" ht="12.75" customHeight="1" x14ac:dyDescent="0.25"/>
    <row r="165" s="436" customFormat="1" ht="12.75" customHeight="1" x14ac:dyDescent="0.25"/>
    <row r="166" s="436" customFormat="1" ht="12.75" customHeight="1" x14ac:dyDescent="0.25"/>
    <row r="167" s="436" customFormat="1" ht="12.75" customHeight="1" x14ac:dyDescent="0.25"/>
    <row r="168" s="436" customFormat="1" ht="12.75" customHeight="1" x14ac:dyDescent="0.25"/>
    <row r="169" s="436" customFormat="1" ht="12.75" customHeight="1" x14ac:dyDescent="0.25"/>
    <row r="170" s="436" customFormat="1" ht="12.75" customHeight="1" x14ac:dyDescent="0.25"/>
    <row r="171" s="436" customFormat="1" ht="12.75" customHeight="1" x14ac:dyDescent="0.25"/>
    <row r="172" s="436" customFormat="1" ht="12.75" customHeight="1" x14ac:dyDescent="0.25"/>
    <row r="173" s="436" customFormat="1" ht="12.75" customHeight="1" x14ac:dyDescent="0.25"/>
    <row r="174" s="436" customFormat="1" ht="12.75" customHeight="1" x14ac:dyDescent="0.25"/>
    <row r="175" s="436" customFormat="1" ht="12.75" customHeight="1" x14ac:dyDescent="0.25"/>
    <row r="176" s="436" customFormat="1" ht="12.75" customHeight="1" x14ac:dyDescent="0.25"/>
    <row r="177" s="436" customFormat="1" ht="12.75" customHeight="1" x14ac:dyDescent="0.25"/>
    <row r="178" s="436" customFormat="1" ht="12.75" customHeight="1" x14ac:dyDescent="0.25"/>
    <row r="179" s="436" customFormat="1" ht="12.75" customHeight="1" x14ac:dyDescent="0.25"/>
    <row r="180" s="436" customFormat="1" ht="12.75" customHeight="1" x14ac:dyDescent="0.25"/>
    <row r="181" s="436" customFormat="1" ht="12.75" customHeight="1" x14ac:dyDescent="0.25"/>
    <row r="182" s="436" customFormat="1" ht="12.75" customHeight="1" x14ac:dyDescent="0.25"/>
    <row r="183" s="436" customFormat="1" ht="12.75" customHeight="1" x14ac:dyDescent="0.25"/>
    <row r="184" s="436" customFormat="1" ht="12.75" customHeight="1" x14ac:dyDescent="0.25"/>
    <row r="185" s="436" customFormat="1" ht="12.75" customHeight="1" x14ac:dyDescent="0.25"/>
    <row r="186" s="436" customFormat="1" ht="12.75" customHeight="1" x14ac:dyDescent="0.25"/>
    <row r="187" s="436" customFormat="1" ht="12.75" customHeight="1" x14ac:dyDescent="0.25"/>
    <row r="188" s="436" customFormat="1" ht="12.75" customHeight="1" x14ac:dyDescent="0.25"/>
    <row r="189" s="436" customFormat="1" ht="12.75" customHeight="1" x14ac:dyDescent="0.25"/>
    <row r="190" s="436" customFormat="1" ht="12.75" customHeight="1" x14ac:dyDescent="0.25"/>
    <row r="191" s="436" customFormat="1" ht="12.75" customHeight="1" x14ac:dyDescent="0.25"/>
    <row r="192" s="436" customFormat="1" ht="12.75" customHeight="1" x14ac:dyDescent="0.25"/>
    <row r="193" s="436" customFormat="1" ht="12.75" customHeight="1" x14ac:dyDescent="0.25"/>
    <row r="194" s="436" customFormat="1" ht="12.75" customHeight="1" x14ac:dyDescent="0.25"/>
    <row r="195" s="436" customFormat="1" ht="12.75" customHeight="1" x14ac:dyDescent="0.25"/>
    <row r="196" s="436" customFormat="1" ht="12.75" customHeight="1" x14ac:dyDescent="0.25"/>
    <row r="197" s="436" customFormat="1" ht="12.75" customHeight="1" x14ac:dyDescent="0.25"/>
    <row r="198" s="436" customFormat="1" ht="12.75" customHeight="1" x14ac:dyDescent="0.25"/>
    <row r="199" s="436" customFormat="1" ht="12.75" customHeight="1" x14ac:dyDescent="0.25"/>
    <row r="200" s="436" customFormat="1" ht="12.75" customHeight="1" x14ac:dyDescent="0.25"/>
    <row r="201" s="436" customFormat="1" ht="12.75" customHeight="1" x14ac:dyDescent="0.25"/>
    <row r="202" s="436" customFormat="1" ht="12.75" customHeight="1" x14ac:dyDescent="0.25"/>
    <row r="203" s="436" customFormat="1" ht="12.75" customHeight="1" x14ac:dyDescent="0.25"/>
    <row r="204" s="436" customFormat="1" ht="12.75" customHeight="1" x14ac:dyDescent="0.25"/>
    <row r="205" s="436" customFormat="1" ht="12.75" customHeight="1" x14ac:dyDescent="0.25"/>
    <row r="206" s="436" customFormat="1" ht="12.75" customHeight="1" x14ac:dyDescent="0.25"/>
    <row r="207" s="436" customFormat="1" ht="12.75" customHeight="1" x14ac:dyDescent="0.25"/>
    <row r="208" s="436" customFormat="1" ht="12.75" customHeight="1" x14ac:dyDescent="0.25"/>
    <row r="209" s="436" customFormat="1" ht="12.75" customHeight="1" x14ac:dyDescent="0.25"/>
    <row r="210" s="436" customFormat="1" ht="12.75" customHeight="1" x14ac:dyDescent="0.25"/>
    <row r="211" s="436" customFormat="1" ht="12.75" customHeight="1" x14ac:dyDescent="0.25"/>
    <row r="212" s="436" customFormat="1" ht="12.75" customHeight="1" x14ac:dyDescent="0.25"/>
    <row r="213" s="436" customFormat="1" ht="12.75" customHeight="1" x14ac:dyDescent="0.25"/>
    <row r="214" s="436" customFormat="1" ht="12.75" customHeight="1" x14ac:dyDescent="0.25"/>
    <row r="215" s="436" customFormat="1" ht="12.75" customHeight="1" x14ac:dyDescent="0.25"/>
    <row r="216" s="436" customFormat="1" ht="12.75" customHeight="1" x14ac:dyDescent="0.25"/>
    <row r="217" s="436" customFormat="1" ht="12.75" customHeight="1" x14ac:dyDescent="0.25"/>
    <row r="218" s="436" customFormat="1" ht="12.75" customHeight="1" x14ac:dyDescent="0.25"/>
    <row r="219" s="436" customFormat="1" ht="12.75" customHeight="1" x14ac:dyDescent="0.25"/>
    <row r="220" s="436" customFormat="1" ht="12.75" customHeight="1" x14ac:dyDescent="0.25"/>
    <row r="221" s="436" customFormat="1" ht="12.75" customHeight="1" x14ac:dyDescent="0.25"/>
    <row r="222" s="436" customFormat="1" ht="12.75" customHeight="1" x14ac:dyDescent="0.25"/>
    <row r="223" s="436" customFormat="1" ht="12.75" customHeight="1" x14ac:dyDescent="0.25"/>
    <row r="224" s="436" customFormat="1" ht="12.75" customHeight="1" x14ac:dyDescent="0.25"/>
    <row r="225" s="436" customFormat="1" ht="12.75" customHeight="1" x14ac:dyDescent="0.25"/>
    <row r="226" s="436" customFormat="1" ht="12.75" customHeight="1" x14ac:dyDescent="0.25"/>
    <row r="227" s="436" customFormat="1" ht="12.75" customHeight="1" x14ac:dyDescent="0.25"/>
    <row r="228" s="436" customFormat="1" ht="12.75" customHeight="1" x14ac:dyDescent="0.25"/>
    <row r="229" s="436" customFormat="1" ht="12.75" customHeight="1" x14ac:dyDescent="0.25"/>
    <row r="230" s="436" customFormat="1" ht="12.75" customHeight="1" x14ac:dyDescent="0.25"/>
    <row r="231" s="436" customFormat="1" ht="12.75" customHeight="1" x14ac:dyDescent="0.25"/>
    <row r="232" s="436" customFormat="1" ht="12.75" customHeight="1" x14ac:dyDescent="0.25"/>
    <row r="233" s="436" customFormat="1" ht="12.75" customHeight="1" x14ac:dyDescent="0.25"/>
    <row r="234" s="436" customFormat="1" ht="12.75" customHeight="1" x14ac:dyDescent="0.25"/>
    <row r="235" s="436" customFormat="1" ht="12.75" customHeight="1" x14ac:dyDescent="0.25"/>
    <row r="236" s="436" customFormat="1" ht="12.75" customHeight="1" x14ac:dyDescent="0.25"/>
    <row r="237" s="436" customFormat="1" ht="12.75" customHeight="1" x14ac:dyDescent="0.25"/>
    <row r="238" s="436" customFormat="1" ht="12.75" customHeight="1" x14ac:dyDescent="0.25"/>
    <row r="239" s="436" customFormat="1" ht="12.75" customHeight="1" x14ac:dyDescent="0.25"/>
    <row r="240" s="436" customFormat="1" ht="12.75" customHeight="1" x14ac:dyDescent="0.25"/>
    <row r="241" s="436" customFormat="1" ht="12.75" customHeight="1" x14ac:dyDescent="0.25"/>
    <row r="242" s="436" customFormat="1" ht="12.75" customHeight="1" x14ac:dyDescent="0.25"/>
    <row r="243" s="436" customFormat="1" ht="12.75" customHeight="1" x14ac:dyDescent="0.25"/>
    <row r="244" s="436" customFormat="1" ht="12.75" customHeight="1" x14ac:dyDescent="0.25"/>
    <row r="245" s="436" customFormat="1" ht="12.75" customHeight="1" x14ac:dyDescent="0.25"/>
    <row r="246" s="436" customFormat="1" ht="12.75" customHeight="1" x14ac:dyDescent="0.25"/>
    <row r="247" s="436" customFormat="1" ht="12.75" customHeight="1" x14ac:dyDescent="0.25"/>
    <row r="248" s="436" customFormat="1" ht="12.75" customHeight="1" x14ac:dyDescent="0.25"/>
    <row r="249" s="436" customFormat="1" ht="12.75" customHeight="1" x14ac:dyDescent="0.25"/>
    <row r="250" s="436" customFormat="1" ht="12.75" customHeight="1" x14ac:dyDescent="0.25"/>
    <row r="251" s="436" customFormat="1" ht="12.75" customHeight="1" x14ac:dyDescent="0.25"/>
    <row r="252" s="436" customFormat="1" ht="12.75" customHeight="1" x14ac:dyDescent="0.25"/>
    <row r="253" s="436" customFormat="1" ht="12.75" customHeight="1" x14ac:dyDescent="0.25"/>
    <row r="254" s="436" customFormat="1" ht="12.75" customHeight="1" x14ac:dyDescent="0.25"/>
    <row r="255" s="436" customFormat="1" ht="12.75" customHeight="1" x14ac:dyDescent="0.25"/>
    <row r="256" s="436" customFormat="1" ht="12.75" customHeight="1" x14ac:dyDescent="0.25"/>
    <row r="257" s="436" customFormat="1" ht="12.75" customHeight="1" x14ac:dyDescent="0.25"/>
    <row r="258" s="436" customFormat="1" ht="12.75" customHeight="1" x14ac:dyDescent="0.25"/>
    <row r="259" s="436" customFormat="1" ht="12.75" customHeight="1" x14ac:dyDescent="0.25"/>
    <row r="260" s="436" customFormat="1" ht="12.75" customHeight="1" x14ac:dyDescent="0.25"/>
    <row r="261" s="436" customFormat="1" ht="12.75" customHeight="1" x14ac:dyDescent="0.25"/>
    <row r="262" s="436" customFormat="1" ht="12.75" customHeight="1" x14ac:dyDescent="0.25"/>
    <row r="263" s="436" customFormat="1" ht="12.75" customHeight="1" x14ac:dyDescent="0.25"/>
    <row r="264" s="436" customFormat="1" ht="12.75" customHeight="1" x14ac:dyDescent="0.25"/>
    <row r="265" s="436" customFormat="1" ht="12.75" customHeight="1" x14ac:dyDescent="0.25"/>
    <row r="266" s="436" customFormat="1" ht="12.75" customHeight="1" x14ac:dyDescent="0.25"/>
    <row r="267" s="436" customFormat="1" ht="12.75" customHeight="1" x14ac:dyDescent="0.25"/>
    <row r="268" s="436" customFormat="1" ht="12.75" customHeight="1" x14ac:dyDescent="0.25"/>
    <row r="269" s="436" customFormat="1" ht="12.75" customHeight="1" x14ac:dyDescent="0.25"/>
    <row r="270" s="436" customFormat="1" ht="12.75" customHeight="1" x14ac:dyDescent="0.25"/>
    <row r="271" s="436" customFormat="1" ht="12.75" customHeight="1" x14ac:dyDescent="0.25"/>
    <row r="272" s="436" customFormat="1" ht="12.75" customHeight="1" x14ac:dyDescent="0.25"/>
    <row r="273" s="436" customFormat="1" ht="12.75" customHeight="1" x14ac:dyDescent="0.25"/>
    <row r="274" s="436" customFormat="1" ht="12.75" customHeight="1" x14ac:dyDescent="0.25"/>
    <row r="275" s="436" customFormat="1" ht="12.75" customHeight="1" x14ac:dyDescent="0.25"/>
    <row r="276" s="436" customFormat="1" ht="12.75" customHeight="1" x14ac:dyDescent="0.25"/>
    <row r="277" s="436" customFormat="1" ht="12.75" customHeight="1" x14ac:dyDescent="0.25"/>
    <row r="278" s="436" customFormat="1" ht="12.75" customHeight="1" x14ac:dyDescent="0.25"/>
    <row r="279" s="436" customFormat="1" ht="12.75" customHeight="1" x14ac:dyDescent="0.25"/>
    <row r="280" s="436" customFormat="1" ht="12.75" customHeight="1" x14ac:dyDescent="0.25"/>
    <row r="281" s="436" customFormat="1" ht="12.75" customHeight="1" x14ac:dyDescent="0.25"/>
    <row r="282" s="436" customFormat="1" ht="12.75" customHeight="1" x14ac:dyDescent="0.25"/>
    <row r="283" s="436" customFormat="1" ht="12.75" customHeight="1" x14ac:dyDescent="0.25"/>
    <row r="284" s="436" customFormat="1" ht="12.75" customHeight="1" x14ac:dyDescent="0.25"/>
    <row r="285" s="436" customFormat="1" ht="12.75" customHeight="1" x14ac:dyDescent="0.25"/>
    <row r="286" s="436" customFormat="1" ht="12.75" customHeight="1" x14ac:dyDescent="0.25"/>
    <row r="287" s="436" customFormat="1" ht="12.75" customHeight="1" x14ac:dyDescent="0.25"/>
    <row r="288" s="436" customFormat="1" ht="12.75" customHeight="1" x14ac:dyDescent="0.25"/>
    <row r="289" s="436" customFormat="1" ht="12.75" customHeight="1" x14ac:dyDescent="0.25"/>
    <row r="290" s="436" customFormat="1" ht="12.75" customHeight="1" x14ac:dyDescent="0.25"/>
    <row r="291" s="436" customFormat="1" ht="12.75" customHeight="1" x14ac:dyDescent="0.25"/>
    <row r="292" s="436" customFormat="1" ht="12.75" customHeight="1" x14ac:dyDescent="0.25"/>
    <row r="293" s="436" customFormat="1" ht="12.75" customHeight="1" x14ac:dyDescent="0.25"/>
    <row r="294" s="436" customFormat="1" ht="12.75" customHeight="1" x14ac:dyDescent="0.25"/>
    <row r="295" s="436" customFormat="1" ht="12.75" customHeight="1" x14ac:dyDescent="0.25"/>
    <row r="296" s="436" customFormat="1" ht="12.75" customHeight="1" x14ac:dyDescent="0.25"/>
    <row r="297" s="436" customFormat="1" ht="12.75" customHeight="1" x14ac:dyDescent="0.25"/>
    <row r="298" s="436" customFormat="1" ht="12.75" customHeight="1" x14ac:dyDescent="0.25"/>
    <row r="299" s="436" customFormat="1" ht="12.75" customHeight="1" x14ac:dyDescent="0.25"/>
    <row r="300" s="436" customFormat="1" ht="12.75" customHeight="1" x14ac:dyDescent="0.25"/>
    <row r="301" s="436" customFormat="1" ht="12.75" customHeight="1" x14ac:dyDescent="0.25"/>
    <row r="302" s="436" customFormat="1" ht="12.75" customHeight="1" x14ac:dyDescent="0.25"/>
    <row r="303" s="436" customFormat="1" ht="12.75" customHeight="1" x14ac:dyDescent="0.25"/>
    <row r="304" s="436" customFormat="1" ht="12.75" customHeight="1" x14ac:dyDescent="0.25"/>
    <row r="305" s="436" customFormat="1" ht="12.75" customHeight="1" x14ac:dyDescent="0.25"/>
    <row r="306" s="436" customFormat="1" ht="12.75" customHeight="1" x14ac:dyDescent="0.25"/>
    <row r="307" s="436" customFormat="1" ht="12.75" customHeight="1" x14ac:dyDescent="0.25"/>
    <row r="308" s="436" customFormat="1" ht="12.75" customHeight="1" x14ac:dyDescent="0.25"/>
    <row r="309" s="436" customFormat="1" ht="12.75" customHeight="1" x14ac:dyDescent="0.25"/>
    <row r="310" s="436" customFormat="1" ht="12.75" customHeight="1" x14ac:dyDescent="0.25"/>
    <row r="311" s="436" customFormat="1" ht="12.75" customHeight="1" x14ac:dyDescent="0.25"/>
    <row r="312" s="436" customFormat="1" ht="12.75" customHeight="1" x14ac:dyDescent="0.25"/>
    <row r="313" s="436" customFormat="1" ht="12.75" customHeight="1" x14ac:dyDescent="0.25"/>
    <row r="314" s="436" customFormat="1" ht="12.75" customHeight="1" x14ac:dyDescent="0.25"/>
    <row r="315" s="436" customFormat="1" ht="12.75" customHeight="1" x14ac:dyDescent="0.25"/>
    <row r="316" s="436" customFormat="1" ht="12.75" customHeight="1" x14ac:dyDescent="0.25"/>
    <row r="317" s="436" customFormat="1" ht="12.75" customHeight="1" x14ac:dyDescent="0.25"/>
    <row r="318" s="436" customFormat="1" ht="12.75" customHeight="1" x14ac:dyDescent="0.25"/>
    <row r="319" s="436" customFormat="1" ht="12.75" customHeight="1" x14ac:dyDescent="0.25"/>
    <row r="320" s="436" customFormat="1" ht="12.75" customHeight="1" x14ac:dyDescent="0.25"/>
    <row r="321" s="436" customFormat="1" ht="12.75" customHeight="1" x14ac:dyDescent="0.25"/>
    <row r="322" s="436" customFormat="1" ht="12.75" customHeight="1" x14ac:dyDescent="0.25"/>
    <row r="323" s="436" customFormat="1" ht="12.75" customHeight="1" x14ac:dyDescent="0.25"/>
    <row r="324" s="436" customFormat="1" ht="12.75" customHeight="1" x14ac:dyDescent="0.25"/>
    <row r="325" s="436" customFormat="1" ht="12.75" customHeight="1" x14ac:dyDescent="0.25"/>
    <row r="326" s="436" customFormat="1" ht="12.75" customHeight="1" x14ac:dyDescent="0.25"/>
    <row r="327" s="436" customFormat="1" ht="12.75" customHeight="1" x14ac:dyDescent="0.25"/>
    <row r="328" s="436" customFormat="1" ht="12.75" customHeight="1" x14ac:dyDescent="0.25"/>
    <row r="329" s="436" customFormat="1" ht="12.75" customHeight="1" x14ac:dyDescent="0.25"/>
    <row r="330" s="436" customFormat="1" ht="12.75" customHeight="1" x14ac:dyDescent="0.25"/>
    <row r="331" s="436" customFormat="1" ht="12.75" customHeight="1" x14ac:dyDescent="0.25"/>
    <row r="332" s="436" customFormat="1" ht="12.75" customHeight="1" x14ac:dyDescent="0.25"/>
    <row r="333" s="436" customFormat="1" ht="12.75" customHeight="1" x14ac:dyDescent="0.25"/>
    <row r="334" s="436" customFormat="1" ht="12.75" customHeight="1" x14ac:dyDescent="0.25"/>
    <row r="335" s="436" customFormat="1" ht="12.75" customHeight="1" x14ac:dyDescent="0.25"/>
    <row r="336" s="436" customFormat="1" ht="12.75" customHeight="1" x14ac:dyDescent="0.25"/>
    <row r="337" s="436" customFormat="1" ht="12.75" customHeight="1" x14ac:dyDescent="0.25"/>
    <row r="338" s="436" customFormat="1" ht="12.75" customHeight="1" x14ac:dyDescent="0.25"/>
    <row r="339" s="436" customFormat="1" ht="12.75" customHeight="1" x14ac:dyDescent="0.25"/>
    <row r="340" s="436" customFormat="1" ht="12.75" customHeight="1" x14ac:dyDescent="0.25"/>
    <row r="341" s="436" customFormat="1" ht="12.75" customHeight="1" x14ac:dyDescent="0.25"/>
    <row r="342" s="436" customFormat="1" ht="12.75" customHeight="1" x14ac:dyDescent="0.25"/>
    <row r="343" s="436" customFormat="1" ht="12.75" customHeight="1" x14ac:dyDescent="0.25"/>
    <row r="344" s="436" customFormat="1" ht="12.75" customHeight="1" x14ac:dyDescent="0.25"/>
    <row r="345" s="436" customFormat="1" ht="12.75" customHeight="1" x14ac:dyDescent="0.25"/>
    <row r="346" s="436" customFormat="1" ht="12.75" customHeight="1" x14ac:dyDescent="0.25"/>
    <row r="347" s="436" customFormat="1" ht="12.75" customHeight="1" x14ac:dyDescent="0.25"/>
    <row r="348" s="436" customFormat="1" ht="12.75" customHeight="1" x14ac:dyDescent="0.25"/>
    <row r="349" s="436" customFormat="1" ht="12.75" customHeight="1" x14ac:dyDescent="0.25"/>
    <row r="350" s="436" customFormat="1" ht="12.75" customHeight="1" x14ac:dyDescent="0.25"/>
    <row r="351" s="436" customFormat="1" ht="12.75" customHeight="1" x14ac:dyDescent="0.25"/>
    <row r="352" s="436" customFormat="1" ht="12.75" customHeight="1" x14ac:dyDescent="0.25"/>
    <row r="353" s="436" customFormat="1" ht="12.75" customHeight="1" x14ac:dyDescent="0.25"/>
    <row r="354" s="436" customFormat="1" ht="12.75" customHeight="1" x14ac:dyDescent="0.25"/>
    <row r="355" s="436" customFormat="1" ht="12.75" customHeight="1" x14ac:dyDescent="0.25"/>
    <row r="356" s="436" customFormat="1" ht="12.75" customHeight="1" x14ac:dyDescent="0.25"/>
    <row r="357" s="436" customFormat="1" ht="12.75" customHeight="1" x14ac:dyDescent="0.25"/>
    <row r="358" s="436" customFormat="1" ht="12.75" customHeight="1" x14ac:dyDescent="0.25"/>
    <row r="359" s="436" customFormat="1" ht="12.75" customHeight="1" x14ac:dyDescent="0.25"/>
    <row r="360" s="436" customFormat="1" ht="12.75" customHeight="1" x14ac:dyDescent="0.25"/>
    <row r="361" s="436" customFormat="1" ht="12.75" customHeight="1" x14ac:dyDescent="0.25"/>
    <row r="362" s="436" customFormat="1" ht="12.75" customHeight="1" x14ac:dyDescent="0.25"/>
    <row r="363" s="436" customFormat="1" ht="12.75" customHeight="1" x14ac:dyDescent="0.25"/>
    <row r="364" s="436" customFormat="1" ht="12.75" customHeight="1" x14ac:dyDescent="0.25"/>
    <row r="365" s="436" customFormat="1" ht="12.75" customHeight="1" x14ac:dyDescent="0.25"/>
    <row r="366" s="436" customFormat="1" ht="12.75" customHeight="1" x14ac:dyDescent="0.25"/>
    <row r="367" s="436" customFormat="1" ht="12.75" customHeight="1" x14ac:dyDescent="0.25"/>
    <row r="368" s="436" customFormat="1" ht="12.75" customHeight="1" x14ac:dyDescent="0.25"/>
    <row r="369" s="436" customFormat="1" ht="12.75" customHeight="1" x14ac:dyDescent="0.25"/>
    <row r="370" s="436" customFormat="1" ht="12.75" customHeight="1" x14ac:dyDescent="0.25"/>
    <row r="371" s="436" customFormat="1" ht="12.75" customHeight="1" x14ac:dyDescent="0.25"/>
    <row r="372" s="436" customFormat="1" ht="12.75" customHeight="1" x14ac:dyDescent="0.25"/>
    <row r="373" s="436" customFormat="1" ht="12.75" customHeight="1" x14ac:dyDescent="0.25"/>
    <row r="374" s="436" customFormat="1" ht="12.75" customHeight="1" x14ac:dyDescent="0.25"/>
    <row r="375" s="436" customFormat="1" ht="12.75" customHeight="1" x14ac:dyDescent="0.25"/>
    <row r="376" s="436" customFormat="1" ht="12.75" customHeight="1" x14ac:dyDescent="0.25"/>
    <row r="377" s="436" customFormat="1" ht="12.75" customHeight="1" x14ac:dyDescent="0.25"/>
    <row r="378" s="436" customFormat="1" ht="12.75" customHeight="1" x14ac:dyDescent="0.25"/>
    <row r="379" s="436" customFormat="1" ht="12.75" customHeight="1" x14ac:dyDescent="0.25"/>
    <row r="380" s="436" customFormat="1" ht="12.75" customHeight="1" x14ac:dyDescent="0.25"/>
    <row r="381" s="436" customFormat="1" ht="12.75" customHeight="1" x14ac:dyDescent="0.25"/>
    <row r="382" s="436" customFormat="1" ht="12.75" customHeight="1" x14ac:dyDescent="0.25"/>
    <row r="383" s="436" customFormat="1" ht="12.75" customHeight="1" x14ac:dyDescent="0.25"/>
    <row r="384" s="436" customFormat="1" ht="12.75" customHeight="1" x14ac:dyDescent="0.25"/>
    <row r="385" s="436" customFormat="1" ht="12.75" customHeight="1" x14ac:dyDescent="0.25"/>
    <row r="386" s="436" customFormat="1" ht="12.75" customHeight="1" x14ac:dyDescent="0.25"/>
    <row r="387" s="436" customFormat="1" ht="12.75" customHeight="1" x14ac:dyDescent="0.25"/>
    <row r="388" s="436" customFormat="1" ht="12.75" customHeight="1" x14ac:dyDescent="0.25"/>
    <row r="389" s="436" customFormat="1" ht="12.75" customHeight="1" x14ac:dyDescent="0.25"/>
    <row r="390" s="436" customFormat="1" ht="12.75" customHeight="1" x14ac:dyDescent="0.25"/>
    <row r="391" s="436" customFormat="1" ht="12.75" customHeight="1" x14ac:dyDescent="0.25"/>
    <row r="392" s="436" customFormat="1" ht="12.75" customHeight="1" x14ac:dyDescent="0.25"/>
    <row r="393" s="436" customFormat="1" ht="12.75" customHeight="1" x14ac:dyDescent="0.25"/>
    <row r="394" s="436" customFormat="1" ht="12.75" customHeight="1" x14ac:dyDescent="0.25"/>
    <row r="395" s="436" customFormat="1" ht="12.75" customHeight="1" x14ac:dyDescent="0.25"/>
    <row r="396" s="436" customFormat="1" ht="12.75" customHeight="1" x14ac:dyDescent="0.25"/>
    <row r="397" s="436" customFormat="1" ht="12.75" customHeight="1" x14ac:dyDescent="0.25"/>
    <row r="398" s="436" customFormat="1" ht="12.75" customHeight="1" x14ac:dyDescent="0.25"/>
    <row r="399" s="436" customFormat="1" ht="12.75" customHeight="1" x14ac:dyDescent="0.25"/>
    <row r="400" s="436" customFormat="1" ht="12.75" customHeight="1" x14ac:dyDescent="0.25"/>
    <row r="401" s="436" customFormat="1" ht="12.75" customHeight="1" x14ac:dyDescent="0.25"/>
    <row r="402" s="436" customFormat="1" ht="12.75" customHeight="1" x14ac:dyDescent="0.25"/>
    <row r="403" s="436" customFormat="1" ht="12.75" customHeight="1" x14ac:dyDescent="0.25"/>
    <row r="404" s="436" customFormat="1" ht="12.75" customHeight="1" x14ac:dyDescent="0.25"/>
    <row r="405" s="436" customFormat="1" ht="12.75" customHeight="1" x14ac:dyDescent="0.25"/>
    <row r="406" s="436" customFormat="1" ht="12.75" customHeight="1" x14ac:dyDescent="0.25"/>
    <row r="407" s="436" customFormat="1" ht="12.75" customHeight="1" x14ac:dyDescent="0.25"/>
    <row r="408" s="436" customFormat="1" ht="12.75" customHeight="1" x14ac:dyDescent="0.25"/>
    <row r="409" s="436" customFormat="1" ht="12.75" customHeight="1" x14ac:dyDescent="0.25"/>
    <row r="410" s="436" customFormat="1" ht="12.75" customHeight="1" x14ac:dyDescent="0.25"/>
    <row r="411" s="436" customFormat="1" ht="12.75" customHeight="1" x14ac:dyDescent="0.25"/>
    <row r="412" s="436" customFormat="1" ht="12.75" customHeight="1" x14ac:dyDescent="0.25"/>
    <row r="413" s="436" customFormat="1" ht="12.75" customHeight="1" x14ac:dyDescent="0.25"/>
    <row r="414" s="436" customFormat="1" ht="12.75" customHeight="1" x14ac:dyDescent="0.25"/>
    <row r="415" s="436" customFormat="1" ht="12.75" customHeight="1" x14ac:dyDescent="0.25"/>
    <row r="416" s="436" customFormat="1" ht="12.75" customHeight="1" x14ac:dyDescent="0.25"/>
    <row r="417" s="436" customFormat="1" ht="12.75" customHeight="1" x14ac:dyDescent="0.25"/>
    <row r="418" s="436" customFormat="1" ht="12.75" customHeight="1" x14ac:dyDescent="0.25"/>
    <row r="419" s="436" customFormat="1" ht="12.75" customHeight="1" x14ac:dyDescent="0.25"/>
    <row r="420" s="436" customFormat="1" ht="12.75" customHeight="1" x14ac:dyDescent="0.25"/>
    <row r="421" s="436" customFormat="1" ht="12.75" customHeight="1" x14ac:dyDescent="0.25"/>
    <row r="422" s="436" customFormat="1" ht="12.75" customHeight="1" x14ac:dyDescent="0.25"/>
    <row r="423" s="436" customFormat="1" ht="12.75" customHeight="1" x14ac:dyDescent="0.25"/>
    <row r="424" s="436" customFormat="1" ht="12.75" customHeight="1" x14ac:dyDescent="0.25"/>
    <row r="425" s="436" customFormat="1" ht="12.75" customHeight="1" x14ac:dyDescent="0.25"/>
    <row r="426" s="436" customFormat="1" ht="12.75" customHeight="1" x14ac:dyDescent="0.25"/>
    <row r="427" s="436" customFormat="1" ht="12.75" customHeight="1" x14ac:dyDescent="0.25"/>
    <row r="428" s="436" customFormat="1" ht="12.75" customHeight="1" x14ac:dyDescent="0.25"/>
    <row r="429" s="436" customFormat="1" ht="12.75" customHeight="1" x14ac:dyDescent="0.25"/>
    <row r="430" s="436" customFormat="1" ht="12.75" customHeight="1" x14ac:dyDescent="0.25"/>
    <row r="431" s="436" customFormat="1" ht="12.75" customHeight="1" x14ac:dyDescent="0.25"/>
    <row r="432" s="436" customFormat="1" ht="12.75" customHeight="1" x14ac:dyDescent="0.25"/>
    <row r="433" s="436" customFormat="1" ht="12.75" customHeight="1" x14ac:dyDescent="0.25"/>
    <row r="434" s="436" customFormat="1" ht="12.75" customHeight="1" x14ac:dyDescent="0.25"/>
    <row r="435" s="436" customFormat="1" ht="12.75" customHeight="1" x14ac:dyDescent="0.25"/>
    <row r="436" s="436" customFormat="1" ht="12.75" customHeight="1" x14ac:dyDescent="0.25"/>
    <row r="437" s="436" customFormat="1" ht="12.75" customHeight="1" x14ac:dyDescent="0.25"/>
    <row r="438" s="436" customFormat="1" ht="12.75" customHeight="1" x14ac:dyDescent="0.25"/>
    <row r="439" s="436" customFormat="1" ht="12.75" customHeight="1" x14ac:dyDescent="0.25"/>
    <row r="440" s="436" customFormat="1" ht="12.75" customHeight="1" x14ac:dyDescent="0.25"/>
    <row r="441" s="436" customFormat="1" ht="12.75" customHeight="1" x14ac:dyDescent="0.25"/>
    <row r="442" s="436" customFormat="1" ht="12.75" customHeight="1" x14ac:dyDescent="0.25"/>
    <row r="443" s="436" customFormat="1" ht="12.75" customHeight="1" x14ac:dyDescent="0.25"/>
    <row r="444" s="436" customFormat="1" ht="12.75" customHeight="1" x14ac:dyDescent="0.25"/>
    <row r="445" s="436" customFormat="1" ht="12.75" customHeight="1" x14ac:dyDescent="0.25"/>
    <row r="446" s="436" customFormat="1" ht="12.75" customHeight="1" x14ac:dyDescent="0.25"/>
    <row r="447" s="436" customFormat="1" ht="12.75" customHeight="1" x14ac:dyDescent="0.25"/>
    <row r="448" s="436" customFormat="1" ht="12.75" customHeight="1" x14ac:dyDescent="0.25"/>
    <row r="449" s="436" customFormat="1" ht="12.75" customHeight="1" x14ac:dyDescent="0.25"/>
    <row r="450" s="436" customFormat="1" ht="12.75" customHeight="1" x14ac:dyDescent="0.25"/>
    <row r="451" s="436" customFormat="1" ht="12.75" customHeight="1" x14ac:dyDescent="0.25"/>
    <row r="452" s="436" customFormat="1" ht="12.75" customHeight="1" x14ac:dyDescent="0.25"/>
    <row r="453" s="436" customFormat="1" ht="12.75" customHeight="1" x14ac:dyDescent="0.25"/>
    <row r="454" s="436" customFormat="1" ht="12.75" customHeight="1" x14ac:dyDescent="0.25"/>
    <row r="455" s="436" customFormat="1" ht="12.75" customHeight="1" x14ac:dyDescent="0.25"/>
    <row r="456" s="436" customFormat="1" ht="12.75" customHeight="1" x14ac:dyDescent="0.25"/>
    <row r="457" s="436" customFormat="1" ht="12.75" customHeight="1" x14ac:dyDescent="0.25"/>
    <row r="458" s="436" customFormat="1" ht="12.75" customHeight="1" x14ac:dyDescent="0.25"/>
    <row r="459" s="436" customFormat="1" ht="12.75" customHeight="1" x14ac:dyDescent="0.25"/>
    <row r="460" s="436" customFormat="1" ht="12.75" customHeight="1" x14ac:dyDescent="0.25"/>
    <row r="461" s="436" customFormat="1" ht="12.75" customHeight="1" x14ac:dyDescent="0.25"/>
    <row r="462" s="436" customFormat="1" ht="12.75" customHeight="1" x14ac:dyDescent="0.25"/>
    <row r="463" s="436" customFormat="1" ht="12.75" customHeight="1" x14ac:dyDescent="0.25"/>
    <row r="464" s="436" customFormat="1" ht="12.75" customHeight="1" x14ac:dyDescent="0.25"/>
    <row r="465" s="436" customFormat="1" ht="12.75" customHeight="1" x14ac:dyDescent="0.25"/>
    <row r="466" s="436" customFormat="1" ht="12.75" customHeight="1" x14ac:dyDescent="0.25"/>
    <row r="467" s="436" customFormat="1" ht="12.75" customHeight="1" x14ac:dyDescent="0.25"/>
    <row r="468" s="436" customFormat="1" ht="12.75" customHeight="1" x14ac:dyDescent="0.25"/>
    <row r="469" s="436" customFormat="1" ht="12.75" customHeight="1" x14ac:dyDescent="0.25"/>
    <row r="470" s="436" customFormat="1" ht="12.75" customHeight="1" x14ac:dyDescent="0.25"/>
    <row r="471" s="436" customFormat="1" ht="12.75" customHeight="1" x14ac:dyDescent="0.25"/>
    <row r="472" s="436" customFormat="1" ht="12.75" customHeight="1" x14ac:dyDescent="0.25"/>
    <row r="473" s="436" customFormat="1" ht="12.75" customHeight="1" x14ac:dyDescent="0.25"/>
    <row r="474" s="436" customFormat="1" ht="12.75" customHeight="1" x14ac:dyDescent="0.25"/>
    <row r="475" s="436" customFormat="1" ht="12.75" customHeight="1" x14ac:dyDescent="0.25"/>
    <row r="476" s="436" customFormat="1" ht="12.75" customHeight="1" x14ac:dyDescent="0.25"/>
    <row r="477" s="436" customFormat="1" ht="12.75" customHeight="1" x14ac:dyDescent="0.25"/>
    <row r="478" s="436" customFormat="1" ht="12.75" customHeight="1" x14ac:dyDescent="0.25"/>
    <row r="479" s="436" customFormat="1" ht="12.75" customHeight="1" x14ac:dyDescent="0.25"/>
    <row r="480" s="436" customFormat="1" ht="12.75" customHeight="1" x14ac:dyDescent="0.25"/>
    <row r="481" s="436" customFormat="1" ht="12.75" customHeight="1" x14ac:dyDescent="0.25"/>
    <row r="482" s="436" customFormat="1" ht="12.75" customHeight="1" x14ac:dyDescent="0.25"/>
    <row r="483" s="436" customFormat="1" ht="12.75" customHeight="1" x14ac:dyDescent="0.25"/>
    <row r="484" s="436" customFormat="1" ht="12.75" customHeight="1" x14ac:dyDescent="0.25"/>
    <row r="485" s="436" customFormat="1" ht="12.75" customHeight="1" x14ac:dyDescent="0.25"/>
    <row r="486" s="436" customFormat="1" ht="12.75" customHeight="1" x14ac:dyDescent="0.25"/>
    <row r="487" s="436" customFormat="1" ht="12.75" customHeight="1" x14ac:dyDescent="0.25"/>
    <row r="488" s="436" customFormat="1" ht="12.75" customHeight="1" x14ac:dyDescent="0.25"/>
    <row r="489" s="436" customFormat="1" ht="12.75" customHeight="1" x14ac:dyDescent="0.25"/>
    <row r="490" s="436" customFormat="1" ht="12.75" customHeight="1" x14ac:dyDescent="0.25"/>
    <row r="491" s="436" customFormat="1" ht="12.75" customHeight="1" x14ac:dyDescent="0.25"/>
    <row r="492" s="436" customFormat="1" ht="12.75" customHeight="1" x14ac:dyDescent="0.25"/>
    <row r="493" s="436" customFormat="1" ht="12.75" customHeight="1" x14ac:dyDescent="0.25"/>
    <row r="494" s="436" customFormat="1" ht="12.75" customHeight="1" x14ac:dyDescent="0.25"/>
    <row r="495" s="436" customFormat="1" ht="12.75" customHeight="1" x14ac:dyDescent="0.25"/>
    <row r="496" s="436" customFormat="1" ht="12.75" customHeight="1" x14ac:dyDescent="0.25"/>
    <row r="497" s="436" customFormat="1" ht="12.75" customHeight="1" x14ac:dyDescent="0.25"/>
    <row r="498" s="436" customFormat="1" ht="12.75" customHeight="1" x14ac:dyDescent="0.25"/>
    <row r="499" s="436" customFormat="1" ht="12.75" customHeight="1" x14ac:dyDescent="0.25"/>
    <row r="500" s="436" customFormat="1" ht="12.75" customHeight="1" x14ac:dyDescent="0.25"/>
    <row r="501" s="436" customFormat="1" ht="12.75" customHeight="1" x14ac:dyDescent="0.25"/>
    <row r="502" s="436" customFormat="1" ht="12.75" customHeight="1" x14ac:dyDescent="0.25"/>
    <row r="503" s="436" customFormat="1" ht="12.75" customHeight="1" x14ac:dyDescent="0.25"/>
    <row r="504" s="436" customFormat="1" ht="12.75" customHeight="1" x14ac:dyDescent="0.25"/>
    <row r="505" s="436" customFormat="1" ht="12.75" customHeight="1" x14ac:dyDescent="0.25"/>
    <row r="506" s="436" customFormat="1" ht="12.75" customHeight="1" x14ac:dyDescent="0.25"/>
    <row r="507" s="436" customFormat="1" ht="12.75" customHeight="1" x14ac:dyDescent="0.25"/>
    <row r="508" s="436" customFormat="1" ht="12.75" customHeight="1" x14ac:dyDescent="0.25"/>
    <row r="509" s="436" customFormat="1" ht="12.75" customHeight="1" x14ac:dyDescent="0.25"/>
    <row r="510" s="436" customFormat="1" ht="12.75" customHeight="1" x14ac:dyDescent="0.25"/>
    <row r="511" s="436" customFormat="1" ht="12.75" customHeight="1" x14ac:dyDescent="0.25"/>
    <row r="512" s="436" customFormat="1" ht="12.75" customHeight="1" x14ac:dyDescent="0.25"/>
    <row r="513" s="436" customFormat="1" ht="12.75" customHeight="1" x14ac:dyDescent="0.25"/>
    <row r="514" s="436" customFormat="1" ht="12.75" customHeight="1" x14ac:dyDescent="0.25"/>
    <row r="515" s="436" customFormat="1" ht="12.75" customHeight="1" x14ac:dyDescent="0.25"/>
    <row r="516" s="436" customFormat="1" ht="12.75" customHeight="1" x14ac:dyDescent="0.25"/>
    <row r="517" s="436" customFormat="1" ht="12.75" customHeight="1" x14ac:dyDescent="0.25"/>
    <row r="518" s="436" customFormat="1" ht="12.75" customHeight="1" x14ac:dyDescent="0.25"/>
    <row r="519" s="436" customFormat="1" ht="12.75" customHeight="1" x14ac:dyDescent="0.25"/>
    <row r="520" s="436" customFormat="1" ht="12.75" customHeight="1" x14ac:dyDescent="0.25"/>
    <row r="521" s="436" customFormat="1" ht="12.75" customHeight="1" x14ac:dyDescent="0.25"/>
    <row r="522" s="436" customFormat="1" ht="12.75" customHeight="1" x14ac:dyDescent="0.25"/>
    <row r="523" s="436" customFormat="1" ht="12.75" customHeight="1" x14ac:dyDescent="0.25"/>
    <row r="524" s="436" customFormat="1" ht="12.75" customHeight="1" x14ac:dyDescent="0.25"/>
    <row r="525" s="436" customFormat="1" ht="12.75" customHeight="1" x14ac:dyDescent="0.25"/>
    <row r="526" s="436" customFormat="1" ht="12.75" customHeight="1" x14ac:dyDescent="0.25"/>
    <row r="527" s="436" customFormat="1" ht="12.75" customHeight="1" x14ac:dyDescent="0.25"/>
    <row r="528" s="436" customFormat="1" ht="12.75" customHeight="1" x14ac:dyDescent="0.25"/>
    <row r="529" s="436" customFormat="1" ht="12.75" customHeight="1" x14ac:dyDescent="0.25"/>
    <row r="530" s="436" customFormat="1" ht="12.75" customHeight="1" x14ac:dyDescent="0.25"/>
    <row r="531" s="436" customFormat="1" ht="12.75" customHeight="1" x14ac:dyDescent="0.25"/>
    <row r="532" s="436" customFormat="1" ht="12.75" customHeight="1" x14ac:dyDescent="0.25"/>
    <row r="533" s="436" customFormat="1" ht="12.75" customHeight="1" x14ac:dyDescent="0.25"/>
    <row r="534" s="436" customFormat="1" ht="12.75" customHeight="1" x14ac:dyDescent="0.25"/>
    <row r="535" s="436" customFormat="1" ht="12.75" customHeight="1" x14ac:dyDescent="0.25"/>
    <row r="536" s="436" customFormat="1" ht="12.75" customHeight="1" x14ac:dyDescent="0.25"/>
    <row r="537" s="436" customFormat="1" ht="12.75" customHeight="1" x14ac:dyDescent="0.25"/>
    <row r="538" s="436" customFormat="1" ht="12.75" customHeight="1" x14ac:dyDescent="0.25"/>
    <row r="539" s="436" customFormat="1" ht="12.75" customHeight="1" x14ac:dyDescent="0.25"/>
    <row r="540" s="436" customFormat="1" ht="12.75" customHeight="1" x14ac:dyDescent="0.25"/>
    <row r="541" s="436" customFormat="1" ht="12.75" customHeight="1" x14ac:dyDescent="0.25"/>
    <row r="542" s="436" customFormat="1" ht="12.75" customHeight="1" x14ac:dyDescent="0.25"/>
    <row r="543" s="436" customFormat="1" ht="12.75" customHeight="1" x14ac:dyDescent="0.25"/>
    <row r="544" s="436" customFormat="1" ht="12.75" customHeight="1" x14ac:dyDescent="0.25"/>
    <row r="545" s="436" customFormat="1" ht="12.75" customHeight="1" x14ac:dyDescent="0.25"/>
    <row r="546" s="436" customFormat="1" ht="12.75" customHeight="1" x14ac:dyDescent="0.25"/>
    <row r="547" s="436" customFormat="1" ht="12.75" customHeight="1" x14ac:dyDescent="0.25"/>
    <row r="548" s="436" customFormat="1" ht="12.75" customHeight="1" x14ac:dyDescent="0.25"/>
    <row r="549" s="436" customFormat="1" ht="12.75" customHeight="1" x14ac:dyDescent="0.25"/>
    <row r="550" s="436" customFormat="1" ht="12.75" customHeight="1" x14ac:dyDescent="0.25"/>
    <row r="551" s="436" customFormat="1" ht="12.75" customHeight="1" x14ac:dyDescent="0.25"/>
    <row r="552" s="436" customFormat="1" ht="12.75" customHeight="1" x14ac:dyDescent="0.25"/>
    <row r="553" s="436" customFormat="1" ht="12.75" customHeight="1" x14ac:dyDescent="0.25"/>
    <row r="554" s="436" customFormat="1" ht="12.75" customHeight="1" x14ac:dyDescent="0.25"/>
    <row r="555" s="436" customFormat="1" ht="12.75" customHeight="1" x14ac:dyDescent="0.25"/>
    <row r="556" s="436" customFormat="1" ht="12.75" customHeight="1" x14ac:dyDescent="0.25"/>
    <row r="557" s="436" customFormat="1" ht="12.75" customHeight="1" x14ac:dyDescent="0.25"/>
    <row r="558" s="436" customFormat="1" ht="12.75" customHeight="1" x14ac:dyDescent="0.25"/>
    <row r="559" s="436" customFormat="1" ht="12.75" customHeight="1" x14ac:dyDescent="0.25"/>
    <row r="560" s="436" customFormat="1" ht="12.75" customHeight="1" x14ac:dyDescent="0.25"/>
    <row r="561" s="436" customFormat="1" ht="12.75" customHeight="1" x14ac:dyDescent="0.25"/>
    <row r="562" s="436" customFormat="1" ht="12.75" customHeight="1" x14ac:dyDescent="0.25"/>
    <row r="563" s="436" customFormat="1" ht="12.75" customHeight="1" x14ac:dyDescent="0.25"/>
    <row r="564" s="436" customFormat="1" ht="12.75" customHeight="1" x14ac:dyDescent="0.25"/>
    <row r="565" s="436" customFormat="1" ht="12.75" customHeight="1" x14ac:dyDescent="0.25"/>
    <row r="566" s="436" customFormat="1" ht="12.75" customHeight="1" x14ac:dyDescent="0.25"/>
    <row r="567" s="436" customFormat="1" ht="12.75" customHeight="1" x14ac:dyDescent="0.25"/>
    <row r="568" s="436" customFormat="1" ht="12.75" customHeight="1" x14ac:dyDescent="0.25"/>
    <row r="569" s="436" customFormat="1" ht="12.75" customHeight="1" x14ac:dyDescent="0.25"/>
    <row r="570" s="436" customFormat="1" ht="12.75" customHeight="1" x14ac:dyDescent="0.25"/>
    <row r="571" s="436" customFormat="1" ht="12.75" customHeight="1" x14ac:dyDescent="0.25"/>
    <row r="572" s="436" customFormat="1" ht="12.75" customHeight="1" x14ac:dyDescent="0.25"/>
    <row r="573" s="436" customFormat="1" ht="12.75" customHeight="1" x14ac:dyDescent="0.25"/>
    <row r="574" s="436" customFormat="1" ht="12.75" customHeight="1" x14ac:dyDescent="0.25"/>
    <row r="575" s="436" customFormat="1" ht="12.75" customHeight="1" x14ac:dyDescent="0.25"/>
    <row r="576" s="436" customFormat="1" ht="12.75" customHeight="1" x14ac:dyDescent="0.25"/>
    <row r="577" s="436" customFormat="1" ht="12.75" customHeight="1" x14ac:dyDescent="0.25"/>
    <row r="578" s="436" customFormat="1" ht="12.75" customHeight="1" x14ac:dyDescent="0.25"/>
    <row r="579" s="436" customFormat="1" ht="12.75" customHeight="1" x14ac:dyDescent="0.25"/>
    <row r="580" s="436" customFormat="1" ht="12.75" customHeight="1" x14ac:dyDescent="0.25"/>
    <row r="581" s="436" customFormat="1" ht="12.75" customHeight="1" x14ac:dyDescent="0.25"/>
    <row r="582" s="436" customFormat="1" ht="12.75" customHeight="1" x14ac:dyDescent="0.25"/>
    <row r="583" s="436" customFormat="1" ht="12.75" customHeight="1" x14ac:dyDescent="0.25"/>
    <row r="584" s="436" customFormat="1" ht="12.75" customHeight="1" x14ac:dyDescent="0.25"/>
    <row r="585" s="436" customFormat="1" ht="12.75" customHeight="1" x14ac:dyDescent="0.25"/>
    <row r="586" s="436" customFormat="1" ht="12.75" customHeight="1" x14ac:dyDescent="0.25"/>
    <row r="587" s="436" customFormat="1" ht="12.75" customHeight="1" x14ac:dyDescent="0.25"/>
    <row r="588" s="436" customFormat="1" ht="12.75" customHeight="1" x14ac:dyDescent="0.25"/>
    <row r="589" s="436" customFormat="1" ht="12.75" customHeight="1" x14ac:dyDescent="0.25"/>
    <row r="590" s="436" customFormat="1" ht="12.75" customHeight="1" x14ac:dyDescent="0.25"/>
    <row r="591" s="436" customFormat="1" ht="12.75" customHeight="1" x14ac:dyDescent="0.25"/>
    <row r="592" s="436" customFormat="1" ht="12.75" customHeight="1" x14ac:dyDescent="0.25"/>
    <row r="593" s="436" customFormat="1" ht="12.75" customHeight="1" x14ac:dyDescent="0.25"/>
    <row r="594" s="436" customFormat="1" ht="12.75" customHeight="1" x14ac:dyDescent="0.25"/>
    <row r="595" s="436" customFormat="1" ht="12.75" customHeight="1" x14ac:dyDescent="0.25"/>
    <row r="596" s="436" customFormat="1" ht="12.75" customHeight="1" x14ac:dyDescent="0.25"/>
    <row r="597" s="436" customFormat="1" ht="12.75" customHeight="1" x14ac:dyDescent="0.25"/>
    <row r="598" s="436" customFormat="1" ht="12.75" customHeight="1" x14ac:dyDescent="0.25"/>
    <row r="599" s="436" customFormat="1" ht="12.75" customHeight="1" x14ac:dyDescent="0.25"/>
    <row r="600" s="436" customFormat="1" ht="12.75" customHeight="1" x14ac:dyDescent="0.25"/>
    <row r="601" s="436" customFormat="1" ht="12.75" customHeight="1" x14ac:dyDescent="0.25"/>
    <row r="602" s="436" customFormat="1" ht="12.75" customHeight="1" x14ac:dyDescent="0.25"/>
    <row r="603" s="436" customFormat="1" ht="12.75" customHeight="1" x14ac:dyDescent="0.25"/>
    <row r="604" s="436" customFormat="1" ht="12.75" customHeight="1" x14ac:dyDescent="0.25"/>
    <row r="605" s="436" customFormat="1" ht="12.75" customHeight="1" x14ac:dyDescent="0.25"/>
    <row r="606" s="436" customFormat="1" ht="12.75" customHeight="1" x14ac:dyDescent="0.25"/>
    <row r="607" s="436" customFormat="1" ht="12.75" customHeight="1" x14ac:dyDescent="0.25"/>
    <row r="608" s="436" customFormat="1" ht="12.75" customHeight="1" x14ac:dyDescent="0.25"/>
    <row r="609" s="436" customFormat="1" ht="12.75" customHeight="1" x14ac:dyDescent="0.25"/>
    <row r="610" s="436" customFormat="1" ht="12.75" customHeight="1" x14ac:dyDescent="0.25"/>
    <row r="611" s="436" customFormat="1" ht="12.75" customHeight="1" x14ac:dyDescent="0.25"/>
    <row r="612" s="436" customFormat="1" ht="12.75" customHeight="1" x14ac:dyDescent="0.25"/>
    <row r="613" s="436" customFormat="1" ht="12.75" customHeight="1" x14ac:dyDescent="0.25"/>
    <row r="614" s="436" customFormat="1" ht="12.75" customHeight="1" x14ac:dyDescent="0.25"/>
    <row r="615" s="436" customFormat="1" ht="12.75" customHeight="1" x14ac:dyDescent="0.25"/>
    <row r="616" s="436" customFormat="1" ht="12.75" customHeight="1" x14ac:dyDescent="0.25"/>
    <row r="617" s="436" customFormat="1" ht="12.75" customHeight="1" x14ac:dyDescent="0.25"/>
    <row r="618" s="436" customFormat="1" ht="12.75" customHeight="1" x14ac:dyDescent="0.25"/>
    <row r="619" s="436" customFormat="1" ht="12.75" customHeight="1" x14ac:dyDescent="0.25"/>
    <row r="620" s="436" customFormat="1" ht="12.75" customHeight="1" x14ac:dyDescent="0.25"/>
    <row r="621" s="436" customFormat="1" ht="12.75" customHeight="1" x14ac:dyDescent="0.25"/>
    <row r="622" s="436" customFormat="1" ht="12.75" customHeight="1" x14ac:dyDescent="0.25"/>
    <row r="623" s="436" customFormat="1" ht="12.75" customHeight="1" x14ac:dyDescent="0.25"/>
    <row r="624" s="436" customFormat="1" ht="12.75" customHeight="1" x14ac:dyDescent="0.25"/>
    <row r="625" s="436" customFormat="1" ht="12.75" customHeight="1" x14ac:dyDescent="0.25"/>
    <row r="626" s="436" customFormat="1" ht="12.75" customHeight="1" x14ac:dyDescent="0.25"/>
    <row r="627" s="436" customFormat="1" ht="12.75" customHeight="1" x14ac:dyDescent="0.25"/>
    <row r="628" s="436" customFormat="1" ht="12.75" customHeight="1" x14ac:dyDescent="0.25"/>
    <row r="629" s="436" customFormat="1" ht="12.75" customHeight="1" x14ac:dyDescent="0.25"/>
    <row r="630" s="436" customFormat="1" ht="12.75" customHeight="1" x14ac:dyDescent="0.25"/>
    <row r="631" s="436" customFormat="1" ht="12.75" customHeight="1" x14ac:dyDescent="0.25"/>
    <row r="632" s="436" customFormat="1" ht="12.75" customHeight="1" x14ac:dyDescent="0.25"/>
    <row r="633" s="436" customFormat="1" ht="12.75" customHeight="1" x14ac:dyDescent="0.25"/>
    <row r="634" s="436" customFormat="1" ht="12.75" customHeight="1" x14ac:dyDescent="0.25"/>
    <row r="635" s="436" customFormat="1" ht="12.75" customHeight="1" x14ac:dyDescent="0.25"/>
    <row r="636" s="436" customFormat="1" ht="12.75" customHeight="1" x14ac:dyDescent="0.25"/>
    <row r="637" s="436" customFormat="1" ht="12.75" customHeight="1" x14ac:dyDescent="0.25"/>
    <row r="638" s="436" customFormat="1" ht="12.75" customHeight="1" x14ac:dyDescent="0.25"/>
    <row r="639" s="436" customFormat="1" ht="12.75" customHeight="1" x14ac:dyDescent="0.25"/>
    <row r="640" s="436" customFormat="1" ht="12.75" customHeight="1" x14ac:dyDescent="0.25"/>
    <row r="641" s="436" customFormat="1" ht="12.75" customHeight="1" x14ac:dyDescent="0.25"/>
    <row r="642" s="436" customFormat="1" ht="12.75" customHeight="1" x14ac:dyDescent="0.25"/>
    <row r="643" s="436" customFormat="1" ht="12.75" customHeight="1" x14ac:dyDescent="0.25"/>
    <row r="644" s="436" customFormat="1" ht="12.75" customHeight="1" x14ac:dyDescent="0.25"/>
    <row r="645" s="436" customFormat="1" ht="12.75" customHeight="1" x14ac:dyDescent="0.25"/>
    <row r="646" s="436" customFormat="1" ht="12.75" customHeight="1" x14ac:dyDescent="0.25"/>
    <row r="647" s="436" customFormat="1" ht="12.75" customHeight="1" x14ac:dyDescent="0.25"/>
    <row r="648" s="436" customFormat="1" ht="12.75" customHeight="1" x14ac:dyDescent="0.25"/>
    <row r="649" s="436" customFormat="1" ht="12.75" customHeight="1" x14ac:dyDescent="0.25"/>
    <row r="650" s="436" customFormat="1" ht="12.75" customHeight="1" x14ac:dyDescent="0.25"/>
    <row r="651" s="436" customFormat="1" ht="12.75" customHeight="1" x14ac:dyDescent="0.25"/>
    <row r="652" s="436" customFormat="1" ht="12.75" customHeight="1" x14ac:dyDescent="0.25"/>
    <row r="653" s="436" customFormat="1" ht="12.75" customHeight="1" x14ac:dyDescent="0.25"/>
    <row r="654" s="436" customFormat="1" ht="12.75" customHeight="1" x14ac:dyDescent="0.25"/>
    <row r="655" s="436" customFormat="1" ht="12.75" customHeight="1" x14ac:dyDescent="0.25"/>
    <row r="656" s="436" customFormat="1" ht="12.75" customHeight="1" x14ac:dyDescent="0.25"/>
    <row r="657" s="436" customFormat="1" ht="12.75" customHeight="1" x14ac:dyDescent="0.25"/>
    <row r="658" s="436" customFormat="1" ht="12.75" customHeight="1" x14ac:dyDescent="0.25"/>
    <row r="659" s="436" customFormat="1" ht="12.75" customHeight="1" x14ac:dyDescent="0.25"/>
    <row r="660" s="436" customFormat="1" ht="12.75" customHeight="1" x14ac:dyDescent="0.25"/>
    <row r="661" s="436" customFormat="1" ht="12.75" customHeight="1" x14ac:dyDescent="0.25"/>
    <row r="662" s="436" customFormat="1" ht="12.75" customHeight="1" x14ac:dyDescent="0.25"/>
    <row r="663" s="436" customFormat="1" ht="12.75" customHeight="1" x14ac:dyDescent="0.25"/>
    <row r="664" s="436" customFormat="1" ht="12.75" customHeight="1" x14ac:dyDescent="0.25"/>
    <row r="665" s="436" customFormat="1" ht="12.75" customHeight="1" x14ac:dyDescent="0.25"/>
    <row r="666" s="436" customFormat="1" ht="12.75" customHeight="1" x14ac:dyDescent="0.25"/>
    <row r="667" s="436" customFormat="1" ht="12.75" customHeight="1" x14ac:dyDescent="0.25"/>
    <row r="668" s="436" customFormat="1" ht="12.75" customHeight="1" x14ac:dyDescent="0.25"/>
    <row r="669" s="436" customFormat="1" ht="12.75" customHeight="1" x14ac:dyDescent="0.25"/>
    <row r="670" s="436" customFormat="1" ht="12.75" customHeight="1" x14ac:dyDescent="0.25"/>
    <row r="671" s="436" customFormat="1" ht="12.75" customHeight="1" x14ac:dyDescent="0.25"/>
    <row r="672" s="436" customFormat="1" ht="12.75" customHeight="1" x14ac:dyDescent="0.25"/>
    <row r="673" s="436" customFormat="1" ht="12.75" customHeight="1" x14ac:dyDescent="0.25"/>
    <row r="674" s="436" customFormat="1" ht="12.75" customHeight="1" x14ac:dyDescent="0.25"/>
    <row r="675" s="436" customFormat="1" ht="12.75" customHeight="1" x14ac:dyDescent="0.25"/>
    <row r="676" s="436" customFormat="1" ht="12.75" customHeight="1" x14ac:dyDescent="0.25"/>
    <row r="677" s="436" customFormat="1" ht="12.75" customHeight="1" x14ac:dyDescent="0.25"/>
    <row r="678" s="436" customFormat="1" ht="12.75" customHeight="1" x14ac:dyDescent="0.25"/>
    <row r="679" s="436" customFormat="1" ht="12.75" customHeight="1" x14ac:dyDescent="0.25"/>
    <row r="680" s="436" customFormat="1" ht="12.75" customHeight="1" x14ac:dyDescent="0.25"/>
    <row r="681" s="436" customFormat="1" ht="12.75" customHeight="1" x14ac:dyDescent="0.25"/>
    <row r="682" s="436" customFormat="1" ht="12.75" customHeight="1" x14ac:dyDescent="0.25"/>
    <row r="683" s="436" customFormat="1" ht="12.75" customHeight="1" x14ac:dyDescent="0.25"/>
    <row r="684" s="436" customFormat="1" ht="12.75" customHeight="1" x14ac:dyDescent="0.25"/>
    <row r="685" s="436" customFormat="1" ht="12.75" customHeight="1" x14ac:dyDescent="0.25"/>
    <row r="686" s="436" customFormat="1" ht="12.75" customHeight="1" x14ac:dyDescent="0.25"/>
    <row r="687" s="436" customFormat="1" ht="12.75" customHeight="1" x14ac:dyDescent="0.25"/>
    <row r="688" s="436" customFormat="1" ht="12.75" customHeight="1" x14ac:dyDescent="0.25"/>
    <row r="689" s="436" customFormat="1" ht="12.75" customHeight="1" x14ac:dyDescent="0.25"/>
    <row r="690" s="436" customFormat="1" ht="12.75" customHeight="1" x14ac:dyDescent="0.25"/>
    <row r="691" s="436" customFormat="1" ht="12.75" customHeight="1" x14ac:dyDescent="0.25"/>
    <row r="692" s="436" customFormat="1" ht="12.75" customHeight="1" x14ac:dyDescent="0.25"/>
    <row r="693" s="436" customFormat="1" ht="12.75" customHeight="1" x14ac:dyDescent="0.25"/>
    <row r="694" s="436" customFormat="1" ht="12.75" customHeight="1" x14ac:dyDescent="0.25"/>
    <row r="695" s="436" customFormat="1" ht="12.75" customHeight="1" x14ac:dyDescent="0.25"/>
    <row r="696" s="436" customFormat="1" ht="12.75" customHeight="1" x14ac:dyDescent="0.25"/>
    <row r="697" s="436" customFormat="1" ht="12.75" customHeight="1" x14ac:dyDescent="0.25"/>
    <row r="698" s="436" customFormat="1" ht="12.75" customHeight="1" x14ac:dyDescent="0.25"/>
    <row r="699" s="436" customFormat="1" ht="12.75" customHeight="1" x14ac:dyDescent="0.25"/>
    <row r="700" s="436" customFormat="1" ht="12.75" customHeight="1" x14ac:dyDescent="0.25"/>
    <row r="701" s="436" customFormat="1" ht="12.75" customHeight="1" x14ac:dyDescent="0.25"/>
    <row r="702" s="436" customFormat="1" ht="12.75" customHeight="1" x14ac:dyDescent="0.25"/>
    <row r="703" s="436" customFormat="1" ht="12.75" customHeight="1" x14ac:dyDescent="0.25"/>
    <row r="704" s="436" customFormat="1" ht="12.75" customHeight="1" x14ac:dyDescent="0.25"/>
    <row r="705" s="436" customFormat="1" ht="12.75" customHeight="1" x14ac:dyDescent="0.25"/>
    <row r="706" s="436" customFormat="1" ht="12.75" customHeight="1" x14ac:dyDescent="0.25"/>
    <row r="707" s="436" customFormat="1" ht="12.75" customHeight="1" x14ac:dyDescent="0.25"/>
    <row r="708" s="436" customFormat="1" ht="12.75" customHeight="1" x14ac:dyDescent="0.25"/>
    <row r="709" s="436" customFormat="1" ht="12.75" customHeight="1" x14ac:dyDescent="0.25"/>
    <row r="710" s="436" customFormat="1" ht="12.75" customHeight="1" x14ac:dyDescent="0.25"/>
    <row r="711" s="436" customFormat="1" ht="12.75" customHeight="1" x14ac:dyDescent="0.25"/>
    <row r="712" s="436" customFormat="1" ht="12.75" customHeight="1" x14ac:dyDescent="0.25"/>
    <row r="713" s="436" customFormat="1" ht="12.75" customHeight="1" x14ac:dyDescent="0.25"/>
    <row r="714" s="436" customFormat="1" ht="12.75" customHeight="1" x14ac:dyDescent="0.25"/>
    <row r="715" s="436" customFormat="1" ht="12.75" customHeight="1" x14ac:dyDescent="0.25"/>
    <row r="716" s="436" customFormat="1" ht="12.75" customHeight="1" x14ac:dyDescent="0.25"/>
    <row r="717" s="436" customFormat="1" ht="12.75" customHeight="1" x14ac:dyDescent="0.25"/>
    <row r="718" s="436" customFormat="1" ht="12.75" customHeight="1" x14ac:dyDescent="0.25"/>
    <row r="719" s="436" customFormat="1" ht="12.75" customHeight="1" x14ac:dyDescent="0.25"/>
    <row r="720" s="436" customFormat="1" ht="12.75" customHeight="1" x14ac:dyDescent="0.25"/>
    <row r="721" s="436" customFormat="1" ht="12.75" customHeight="1" x14ac:dyDescent="0.25"/>
    <row r="722" s="436" customFormat="1" ht="12.75" customHeight="1" x14ac:dyDescent="0.25"/>
    <row r="723" s="436" customFormat="1" ht="12.75" customHeight="1" x14ac:dyDescent="0.25"/>
    <row r="724" s="436" customFormat="1" ht="12.75" customHeight="1" x14ac:dyDescent="0.25"/>
    <row r="725" s="436" customFormat="1" ht="12.75" customHeight="1" x14ac:dyDescent="0.25"/>
    <row r="726" s="436" customFormat="1" ht="12.75" customHeight="1" x14ac:dyDescent="0.25"/>
    <row r="727" s="436" customFormat="1" ht="12.75" customHeight="1" x14ac:dyDescent="0.25"/>
    <row r="728" s="436" customFormat="1" ht="12.75" customHeight="1" x14ac:dyDescent="0.25"/>
    <row r="729" s="436" customFormat="1" ht="12.75" customHeight="1" x14ac:dyDescent="0.25"/>
    <row r="730" s="436" customFormat="1" ht="12.75" customHeight="1" x14ac:dyDescent="0.25"/>
    <row r="731" s="436" customFormat="1" ht="12.75" customHeight="1" x14ac:dyDescent="0.25"/>
    <row r="732" s="436" customFormat="1" ht="12.75" customHeight="1" x14ac:dyDescent="0.25"/>
    <row r="733" s="436" customFormat="1" ht="12.75" customHeight="1" x14ac:dyDescent="0.25"/>
    <row r="734" s="436" customFormat="1" ht="12.75" customHeight="1" x14ac:dyDescent="0.25"/>
    <row r="735" s="436" customFormat="1" ht="12.75" customHeight="1" x14ac:dyDescent="0.25"/>
    <row r="736" s="436" customFormat="1" ht="12.75" customHeight="1" x14ac:dyDescent="0.25"/>
    <row r="737" s="436" customFormat="1" ht="12.75" customHeight="1" x14ac:dyDescent="0.25"/>
    <row r="738" s="436" customFormat="1" ht="12.75" customHeight="1" x14ac:dyDescent="0.25"/>
    <row r="739" s="436" customFormat="1" ht="12.75" customHeight="1" x14ac:dyDescent="0.25"/>
    <row r="740" s="436" customFormat="1" ht="12.75" customHeight="1" x14ac:dyDescent="0.25"/>
    <row r="741" s="436" customFormat="1" ht="12.75" customHeight="1" x14ac:dyDescent="0.25"/>
    <row r="742" s="436" customFormat="1" ht="12.75" customHeight="1" x14ac:dyDescent="0.25"/>
    <row r="743" s="436" customFormat="1" ht="12.75" customHeight="1" x14ac:dyDescent="0.25"/>
    <row r="744" s="436" customFormat="1" ht="12.75" customHeight="1" x14ac:dyDescent="0.25"/>
    <row r="745" s="436" customFormat="1" ht="12.75" customHeight="1" x14ac:dyDescent="0.25"/>
    <row r="746" s="436" customFormat="1" ht="12.75" customHeight="1" x14ac:dyDescent="0.25"/>
    <row r="747" s="436" customFormat="1" ht="12.75" customHeight="1" x14ac:dyDescent="0.25"/>
    <row r="748" s="436" customFormat="1" ht="12.75" customHeight="1" x14ac:dyDescent="0.25"/>
    <row r="749" s="436" customFormat="1" ht="12.75" customHeight="1" x14ac:dyDescent="0.25"/>
    <row r="750" s="436" customFormat="1" ht="12.75" customHeight="1" x14ac:dyDescent="0.25"/>
    <row r="751" s="436" customFormat="1" ht="12.75" customHeight="1" x14ac:dyDescent="0.25"/>
    <row r="752" s="436" customFormat="1" ht="12.75" customHeight="1" x14ac:dyDescent="0.25"/>
    <row r="753" s="436" customFormat="1" ht="12.75" customHeight="1" x14ac:dyDescent="0.25"/>
    <row r="754" s="436" customFormat="1" ht="12.75" customHeight="1" x14ac:dyDescent="0.25"/>
    <row r="755" s="436" customFormat="1" ht="12.75" customHeight="1" x14ac:dyDescent="0.25"/>
    <row r="756" s="436" customFormat="1" ht="12.75" customHeight="1" x14ac:dyDescent="0.25"/>
    <row r="757" s="436" customFormat="1" ht="12.75" customHeight="1" x14ac:dyDescent="0.25"/>
    <row r="758" s="436" customFormat="1" ht="12.75" customHeight="1" x14ac:dyDescent="0.25"/>
    <row r="759" s="436" customFormat="1" ht="12.75" customHeight="1" x14ac:dyDescent="0.25"/>
    <row r="760" s="436" customFormat="1" ht="12.75" customHeight="1" x14ac:dyDescent="0.25"/>
    <row r="761" s="436" customFormat="1" ht="12.75" customHeight="1" x14ac:dyDescent="0.25"/>
    <row r="762" s="436" customFormat="1" ht="12.75" customHeight="1" x14ac:dyDescent="0.25"/>
    <row r="763" s="436" customFormat="1" ht="12.75" customHeight="1" x14ac:dyDescent="0.25"/>
    <row r="764" s="436" customFormat="1" ht="12.75" customHeight="1" x14ac:dyDescent="0.25"/>
    <row r="765" s="436" customFormat="1" ht="12.75" customHeight="1" x14ac:dyDescent="0.25"/>
    <row r="766" s="436" customFormat="1" ht="12.75" customHeight="1" x14ac:dyDescent="0.25"/>
    <row r="767" s="436" customFormat="1" ht="12.75" customHeight="1" x14ac:dyDescent="0.25"/>
    <row r="768" s="436" customFormat="1" ht="12.75" customHeight="1" x14ac:dyDescent="0.25"/>
    <row r="769" s="436" customFormat="1" ht="12.75" customHeight="1" x14ac:dyDescent="0.25"/>
    <row r="770" s="436" customFormat="1" ht="12.75" customHeight="1" x14ac:dyDescent="0.25"/>
    <row r="771" s="436" customFormat="1" ht="12.75" customHeight="1" x14ac:dyDescent="0.25"/>
    <row r="772" s="436" customFormat="1" ht="12.75" customHeight="1" x14ac:dyDescent="0.25"/>
    <row r="773" s="436" customFormat="1" ht="12.75" customHeight="1" x14ac:dyDescent="0.25"/>
    <row r="774" s="436" customFormat="1" ht="12.75" customHeight="1" x14ac:dyDescent="0.25"/>
    <row r="775" s="436" customFormat="1" ht="12.75" customHeight="1" x14ac:dyDescent="0.25"/>
    <row r="776" s="436" customFormat="1" ht="12.75" customHeight="1" x14ac:dyDescent="0.25"/>
    <row r="777" s="436" customFormat="1" ht="12.75" customHeight="1" x14ac:dyDescent="0.25"/>
    <row r="778" s="436" customFormat="1" ht="12.75" customHeight="1" x14ac:dyDescent="0.25"/>
    <row r="779" s="436" customFormat="1" ht="12.75" customHeight="1" x14ac:dyDescent="0.25"/>
    <row r="780" s="436" customFormat="1" ht="12.75" customHeight="1" x14ac:dyDescent="0.25"/>
    <row r="781" s="436" customFormat="1" ht="12.75" customHeight="1" x14ac:dyDescent="0.25"/>
    <row r="782" s="436" customFormat="1" ht="12.75" customHeight="1" x14ac:dyDescent="0.25"/>
    <row r="783" s="436" customFormat="1" ht="12.75" customHeight="1" x14ac:dyDescent="0.25"/>
    <row r="784" s="436" customFormat="1" ht="12.75" customHeight="1" x14ac:dyDescent="0.25"/>
    <row r="785" s="436" customFormat="1" ht="12.75" customHeight="1" x14ac:dyDescent="0.25"/>
    <row r="786" s="436" customFormat="1" ht="12.75" customHeight="1" x14ac:dyDescent="0.25"/>
    <row r="787" s="436" customFormat="1" ht="12.75" customHeight="1" x14ac:dyDescent="0.25"/>
    <row r="788" s="436" customFormat="1" ht="12.75" customHeight="1" x14ac:dyDescent="0.25"/>
    <row r="789" s="436" customFormat="1" ht="12.75" customHeight="1" x14ac:dyDescent="0.25"/>
    <row r="790" s="436" customFormat="1" ht="12.75" customHeight="1" x14ac:dyDescent="0.25"/>
    <row r="791" s="436" customFormat="1" ht="12.75" customHeight="1" x14ac:dyDescent="0.25"/>
    <row r="792" s="436" customFormat="1" ht="12.75" customHeight="1" x14ac:dyDescent="0.25"/>
    <row r="793" s="436" customFormat="1" ht="12.75" customHeight="1" x14ac:dyDescent="0.25"/>
    <row r="794" s="436" customFormat="1" ht="12.75" customHeight="1" x14ac:dyDescent="0.25"/>
    <row r="795" s="436" customFormat="1" ht="12.75" customHeight="1" x14ac:dyDescent="0.25"/>
    <row r="796" s="436" customFormat="1" ht="12.75" customHeight="1" x14ac:dyDescent="0.25"/>
    <row r="797" s="436" customFormat="1" ht="12.75" customHeight="1" x14ac:dyDescent="0.25"/>
    <row r="798" s="436" customFormat="1" ht="12.75" customHeight="1" x14ac:dyDescent="0.25"/>
    <row r="799" s="436" customFormat="1" ht="12.75" customHeight="1" x14ac:dyDescent="0.25"/>
    <row r="800" s="436" customFormat="1" ht="12.75" customHeight="1" x14ac:dyDescent="0.25"/>
    <row r="801" s="436" customFormat="1" ht="12.75" customHeight="1" x14ac:dyDescent="0.25"/>
    <row r="802" s="436" customFormat="1" ht="12.75" customHeight="1" x14ac:dyDescent="0.25"/>
    <row r="803" s="436" customFormat="1" ht="12.75" customHeight="1" x14ac:dyDescent="0.25"/>
    <row r="804" s="436" customFormat="1" ht="12.75" customHeight="1" x14ac:dyDescent="0.25"/>
    <row r="805" s="436" customFormat="1" ht="12.75" customHeight="1" x14ac:dyDescent="0.25"/>
    <row r="806" s="436" customFormat="1" ht="12.75" customHeight="1" x14ac:dyDescent="0.25"/>
    <row r="807" s="436" customFormat="1" ht="12.75" customHeight="1" x14ac:dyDescent="0.25"/>
    <row r="808" s="436" customFormat="1" ht="12.75" customHeight="1" x14ac:dyDescent="0.25"/>
    <row r="809" s="436" customFormat="1" ht="12.75" customHeight="1" x14ac:dyDescent="0.25"/>
    <row r="810" s="436" customFormat="1" ht="12.75" customHeight="1" x14ac:dyDescent="0.25"/>
    <row r="811" s="436" customFormat="1" ht="12.75" customHeight="1" x14ac:dyDescent="0.25"/>
    <row r="812" s="436" customFormat="1" ht="12.75" customHeight="1" x14ac:dyDescent="0.25"/>
    <row r="813" s="436" customFormat="1" ht="12.75" customHeight="1" x14ac:dyDescent="0.25"/>
    <row r="814" s="436" customFormat="1" ht="12.75" customHeight="1" x14ac:dyDescent="0.25"/>
    <row r="815" s="436" customFormat="1" ht="12.75" customHeight="1" x14ac:dyDescent="0.25"/>
    <row r="816" s="436" customFormat="1" ht="12.75" customHeight="1" x14ac:dyDescent="0.25"/>
    <row r="817" s="436" customFormat="1" ht="12.75" customHeight="1" x14ac:dyDescent="0.25"/>
    <row r="818" s="436" customFormat="1" ht="12.75" customHeight="1" x14ac:dyDescent="0.25"/>
    <row r="819" s="436" customFormat="1" ht="12.75" customHeight="1" x14ac:dyDescent="0.25"/>
    <row r="820" s="436" customFormat="1" ht="12.75" customHeight="1" x14ac:dyDescent="0.25"/>
    <row r="821" s="436" customFormat="1" ht="12.75" customHeight="1" x14ac:dyDescent="0.25"/>
    <row r="822" s="436" customFormat="1" ht="12.75" customHeight="1" x14ac:dyDescent="0.25"/>
    <row r="823" s="436" customFormat="1" ht="12.75" customHeight="1" x14ac:dyDescent="0.25"/>
    <row r="824" s="436" customFormat="1" ht="12.75" customHeight="1" x14ac:dyDescent="0.25"/>
    <row r="825" s="436" customFormat="1" ht="12.75" customHeight="1" x14ac:dyDescent="0.25"/>
    <row r="826" s="436" customFormat="1" ht="12.75" customHeight="1" x14ac:dyDescent="0.25"/>
    <row r="827" s="436" customFormat="1" ht="12.75" customHeight="1" x14ac:dyDescent="0.25"/>
    <row r="828" s="436" customFormat="1" ht="12.75" customHeight="1" x14ac:dyDescent="0.25"/>
    <row r="829" s="436" customFormat="1" ht="12.75" customHeight="1" x14ac:dyDescent="0.25"/>
    <row r="830" s="436" customFormat="1" ht="12.75" customHeight="1" x14ac:dyDescent="0.25"/>
    <row r="831" s="436" customFormat="1" ht="12.75" customHeight="1" x14ac:dyDescent="0.25"/>
    <row r="832" s="436" customFormat="1" ht="12.75" customHeight="1" x14ac:dyDescent="0.25"/>
    <row r="833" s="436" customFormat="1" ht="12.75" customHeight="1" x14ac:dyDescent="0.25"/>
    <row r="834" s="436" customFormat="1" ht="12.75" customHeight="1" x14ac:dyDescent="0.25"/>
    <row r="835" s="436" customFormat="1" ht="12.75" customHeight="1" x14ac:dyDescent="0.25"/>
    <row r="836" s="436" customFormat="1" ht="12.75" customHeight="1" x14ac:dyDescent="0.25"/>
    <row r="837" s="436" customFormat="1" ht="12.75" customHeight="1" x14ac:dyDescent="0.25"/>
    <row r="838" s="436" customFormat="1" ht="12.75" customHeight="1" x14ac:dyDescent="0.25"/>
    <row r="839" s="436" customFormat="1" ht="12.75" customHeight="1" x14ac:dyDescent="0.25"/>
    <row r="840" s="436" customFormat="1" ht="12.75" customHeight="1" x14ac:dyDescent="0.25"/>
    <row r="841" s="436" customFormat="1" ht="12.75" customHeight="1" x14ac:dyDescent="0.25"/>
    <row r="842" s="436" customFormat="1" ht="12.75" customHeight="1" x14ac:dyDescent="0.25"/>
    <row r="843" s="436" customFormat="1" ht="12.75" customHeight="1" x14ac:dyDescent="0.25"/>
    <row r="844" s="436" customFormat="1" ht="12.75" customHeight="1" x14ac:dyDescent="0.25"/>
    <row r="845" s="436" customFormat="1" ht="12.75" customHeight="1" x14ac:dyDescent="0.25"/>
    <row r="846" s="436" customFormat="1" ht="12.75" customHeight="1" x14ac:dyDescent="0.25"/>
    <row r="847" s="436" customFormat="1" ht="12.75" customHeight="1" x14ac:dyDescent="0.25"/>
    <row r="848" s="436" customFormat="1" ht="12.75" customHeight="1" x14ac:dyDescent="0.25"/>
    <row r="849" s="436" customFormat="1" ht="12.75" customHeight="1" x14ac:dyDescent="0.25"/>
    <row r="850" s="436" customFormat="1" ht="12.75" customHeight="1" x14ac:dyDescent="0.25"/>
    <row r="851" s="436" customFormat="1" ht="12.75" customHeight="1" x14ac:dyDescent="0.25"/>
    <row r="852" s="436" customFormat="1" ht="12.75" customHeight="1" x14ac:dyDescent="0.25"/>
    <row r="853" s="436" customFormat="1" ht="12.75" customHeight="1" x14ac:dyDescent="0.25"/>
    <row r="854" s="436" customFormat="1" ht="12.75" customHeight="1" x14ac:dyDescent="0.25"/>
    <row r="855" s="436" customFormat="1" ht="12.75" customHeight="1" x14ac:dyDescent="0.25"/>
    <row r="856" s="436" customFormat="1" ht="12.75" customHeight="1" x14ac:dyDescent="0.25"/>
    <row r="857" s="436" customFormat="1" ht="12.75" customHeight="1" x14ac:dyDescent="0.25"/>
    <row r="858" s="436" customFormat="1" ht="12.75" customHeight="1" x14ac:dyDescent="0.25"/>
    <row r="859" s="436" customFormat="1" ht="12.75" customHeight="1" x14ac:dyDescent="0.25"/>
    <row r="860" s="436" customFormat="1" ht="12.75" customHeight="1" x14ac:dyDescent="0.25"/>
    <row r="861" s="436" customFormat="1" ht="12.75" customHeight="1" x14ac:dyDescent="0.25"/>
    <row r="862" s="436" customFormat="1" ht="12.75" customHeight="1" x14ac:dyDescent="0.25"/>
    <row r="863" s="436" customFormat="1" ht="12.75" customHeight="1" x14ac:dyDescent="0.25"/>
    <row r="864" s="436" customFormat="1" ht="12.75" customHeight="1" x14ac:dyDescent="0.25"/>
    <row r="865" s="436" customFormat="1" ht="12.75" customHeight="1" x14ac:dyDescent="0.25"/>
    <row r="866" s="436" customFormat="1" ht="12.75" customHeight="1" x14ac:dyDescent="0.25"/>
    <row r="867" s="436" customFormat="1" ht="12.75" customHeight="1" x14ac:dyDescent="0.25"/>
    <row r="868" s="436" customFormat="1" ht="12.75" customHeight="1" x14ac:dyDescent="0.25"/>
    <row r="869" s="436" customFormat="1" ht="12.75" customHeight="1" x14ac:dyDescent="0.25"/>
    <row r="870" s="436" customFormat="1" ht="12.75" customHeight="1" x14ac:dyDescent="0.25"/>
    <row r="871" s="436" customFormat="1" ht="12.75" customHeight="1" x14ac:dyDescent="0.25"/>
    <row r="872" s="436" customFormat="1" ht="12.75" customHeight="1" x14ac:dyDescent="0.25"/>
    <row r="873" s="436" customFormat="1" ht="12.75" customHeight="1" x14ac:dyDescent="0.25"/>
    <row r="874" s="436" customFormat="1" ht="12.75" customHeight="1" x14ac:dyDescent="0.25"/>
    <row r="875" s="436" customFormat="1" ht="12.75" customHeight="1" x14ac:dyDescent="0.25"/>
    <row r="876" s="436" customFormat="1" ht="12.75" customHeight="1" x14ac:dyDescent="0.25"/>
    <row r="877" s="436" customFormat="1" ht="12.75" customHeight="1" x14ac:dyDescent="0.25"/>
    <row r="878" s="436" customFormat="1" ht="12.75" customHeight="1" x14ac:dyDescent="0.25"/>
    <row r="879" s="436" customFormat="1" ht="12.75" customHeight="1" x14ac:dyDescent="0.25"/>
    <row r="880" s="436" customFormat="1" ht="12.75" customHeight="1" x14ac:dyDescent="0.25"/>
    <row r="881" s="436" customFormat="1" ht="12.75" customHeight="1" x14ac:dyDescent="0.25"/>
    <row r="882" s="436" customFormat="1" ht="12.75" customHeight="1" x14ac:dyDescent="0.25"/>
    <row r="883" s="436" customFormat="1" ht="12.75" customHeight="1" x14ac:dyDescent="0.25"/>
    <row r="884" s="436" customFormat="1" ht="12.75" customHeight="1" x14ac:dyDescent="0.25"/>
    <row r="885" s="436" customFormat="1" ht="12.75" customHeight="1" x14ac:dyDescent="0.25"/>
    <row r="886" s="436" customFormat="1" ht="12.75" customHeight="1" x14ac:dyDescent="0.25"/>
    <row r="887" s="436" customFormat="1" ht="12.75" customHeight="1" x14ac:dyDescent="0.25"/>
    <row r="888" s="436" customFormat="1" ht="12.75" customHeight="1" x14ac:dyDescent="0.25"/>
    <row r="889" s="436" customFormat="1" ht="12.75" customHeight="1" x14ac:dyDescent="0.25"/>
    <row r="890" s="436" customFormat="1" ht="12.75" customHeight="1" x14ac:dyDescent="0.25"/>
    <row r="891" s="436" customFormat="1" ht="12.75" customHeight="1" x14ac:dyDescent="0.25"/>
    <row r="892" s="436" customFormat="1" ht="12.75" customHeight="1" x14ac:dyDescent="0.25"/>
    <row r="893" s="436" customFormat="1" ht="12.75" customHeight="1" x14ac:dyDescent="0.25"/>
    <row r="894" s="436" customFormat="1" ht="12.75" customHeight="1" x14ac:dyDescent="0.25"/>
    <row r="895" s="436" customFormat="1" ht="12.75" customHeight="1" x14ac:dyDescent="0.25"/>
    <row r="896" s="436" customFormat="1" ht="12.75" customHeight="1" x14ac:dyDescent="0.25"/>
    <row r="897" s="436" customFormat="1" ht="12.75" customHeight="1" x14ac:dyDescent="0.25"/>
    <row r="898" s="436" customFormat="1" ht="12.75" customHeight="1" x14ac:dyDescent="0.25"/>
    <row r="899" s="436" customFormat="1" ht="12.75" customHeight="1" x14ac:dyDescent="0.25"/>
    <row r="900" s="436" customFormat="1" ht="12.75" customHeight="1" x14ac:dyDescent="0.25"/>
    <row r="901" s="436" customFormat="1" ht="12.75" customHeight="1" x14ac:dyDescent="0.25"/>
    <row r="902" s="436" customFormat="1" ht="12.75" customHeight="1" x14ac:dyDescent="0.25"/>
    <row r="903" s="436" customFormat="1" ht="12.75" customHeight="1" x14ac:dyDescent="0.25"/>
    <row r="904" s="436" customFormat="1" ht="12.75" customHeight="1" x14ac:dyDescent="0.25"/>
    <row r="905" s="436" customFormat="1" ht="12.75" customHeight="1" x14ac:dyDescent="0.25"/>
    <row r="906" s="436" customFormat="1" ht="12.75" customHeight="1" x14ac:dyDescent="0.25"/>
    <row r="907" s="436" customFormat="1" ht="12.75" customHeight="1" x14ac:dyDescent="0.25"/>
    <row r="908" s="436" customFormat="1" ht="12.75" customHeight="1" x14ac:dyDescent="0.25"/>
    <row r="909" s="436" customFormat="1" ht="12.75" customHeight="1" x14ac:dyDescent="0.25"/>
    <row r="910" s="436" customFormat="1" ht="12.75" customHeight="1" x14ac:dyDescent="0.25"/>
    <row r="911" s="436" customFormat="1" ht="12.75" customHeight="1" x14ac:dyDescent="0.25"/>
    <row r="912" s="436" customFormat="1" ht="12.75" customHeight="1" x14ac:dyDescent="0.25"/>
    <row r="913" s="436" customFormat="1" ht="12.75" customHeight="1" x14ac:dyDescent="0.25"/>
    <row r="914" s="436" customFormat="1" ht="12.75" customHeight="1" x14ac:dyDescent="0.25"/>
    <row r="915" s="436" customFormat="1" ht="12.75" customHeight="1" x14ac:dyDescent="0.25"/>
    <row r="916" s="436" customFormat="1" ht="12.75" customHeight="1" x14ac:dyDescent="0.25"/>
    <row r="917" s="436" customFormat="1" ht="12.75" customHeight="1" x14ac:dyDescent="0.25"/>
    <row r="918" s="436" customFormat="1" ht="12.75" customHeight="1" x14ac:dyDescent="0.25"/>
    <row r="919" s="436" customFormat="1" ht="12.75" customHeight="1" x14ac:dyDescent="0.25"/>
    <row r="920" s="436" customFormat="1" ht="12.75" customHeight="1" x14ac:dyDescent="0.25"/>
    <row r="921" s="436" customFormat="1" ht="12.75" customHeight="1" x14ac:dyDescent="0.25"/>
    <row r="922" s="436" customFormat="1" ht="12.75" customHeight="1" x14ac:dyDescent="0.25"/>
    <row r="923" s="436" customFormat="1" ht="12.75" customHeight="1" x14ac:dyDescent="0.25"/>
    <row r="924" s="436" customFormat="1" ht="12.75" customHeight="1" x14ac:dyDescent="0.25"/>
    <row r="925" s="436" customFormat="1" ht="12.75" customHeight="1" x14ac:dyDescent="0.25"/>
    <row r="926" s="436" customFormat="1" ht="12.75" customHeight="1" x14ac:dyDescent="0.25"/>
    <row r="927" s="436" customFormat="1" ht="12.75" customHeight="1" x14ac:dyDescent="0.25"/>
    <row r="928" s="436" customFormat="1" ht="12.75" customHeight="1" x14ac:dyDescent="0.25"/>
    <row r="929" s="436" customFormat="1" ht="12.75" customHeight="1" x14ac:dyDescent="0.25"/>
    <row r="930" s="436" customFormat="1" ht="12.75" customHeight="1" x14ac:dyDescent="0.25"/>
    <row r="931" s="436" customFormat="1" ht="12.75" customHeight="1" x14ac:dyDescent="0.25"/>
    <row r="932" s="436" customFormat="1" ht="12.75" customHeight="1" x14ac:dyDescent="0.25"/>
    <row r="933" s="436" customFormat="1" ht="12.75" customHeight="1" x14ac:dyDescent="0.25"/>
    <row r="934" s="436" customFormat="1" ht="12.75" customHeight="1" x14ac:dyDescent="0.25"/>
    <row r="935" s="436" customFormat="1" ht="12.75" customHeight="1" x14ac:dyDescent="0.25"/>
    <row r="936" s="436" customFormat="1" ht="12.75" customHeight="1" x14ac:dyDescent="0.25"/>
    <row r="937" s="436" customFormat="1" ht="12.75" customHeight="1" x14ac:dyDescent="0.25"/>
    <row r="938" s="436" customFormat="1" ht="12.75" customHeight="1" x14ac:dyDescent="0.25"/>
    <row r="939" s="436" customFormat="1" ht="12.75" customHeight="1" x14ac:dyDescent="0.25"/>
    <row r="940" s="436" customFormat="1" ht="12.75" customHeight="1" x14ac:dyDescent="0.25"/>
    <row r="941" s="436" customFormat="1" ht="12.75" customHeight="1" x14ac:dyDescent="0.25"/>
    <row r="942" s="436" customFormat="1" ht="12.75" customHeight="1" x14ac:dyDescent="0.25"/>
    <row r="943" s="436" customFormat="1" ht="12.75" customHeight="1" x14ac:dyDescent="0.25"/>
    <row r="944" s="436" customFormat="1" ht="12.75" customHeight="1" x14ac:dyDescent="0.25"/>
    <row r="945" s="436" customFormat="1" ht="12.75" customHeight="1" x14ac:dyDescent="0.25"/>
    <row r="946" s="436" customFormat="1" ht="12.75" customHeight="1" x14ac:dyDescent="0.25"/>
    <row r="947" s="436" customFormat="1" ht="12.75" customHeight="1" x14ac:dyDescent="0.25"/>
    <row r="948" s="436" customFormat="1" ht="12.75" customHeight="1" x14ac:dyDescent="0.25"/>
    <row r="949" s="436" customFormat="1" ht="12.75" customHeight="1" x14ac:dyDescent="0.25"/>
    <row r="950" s="436" customFormat="1" ht="12.75" customHeight="1" x14ac:dyDescent="0.25"/>
    <row r="951" s="436" customFormat="1" ht="12.75" customHeight="1" x14ac:dyDescent="0.25"/>
    <row r="952" s="436" customFormat="1" ht="12.75" customHeight="1" x14ac:dyDescent="0.25"/>
    <row r="953" s="436" customFormat="1" ht="12.75" customHeight="1" x14ac:dyDescent="0.25"/>
    <row r="954" s="436" customFormat="1" ht="12.75" customHeight="1" x14ac:dyDescent="0.25"/>
    <row r="955" s="436" customFormat="1" ht="12.75" customHeight="1" x14ac:dyDescent="0.25"/>
    <row r="956" s="436" customFormat="1" ht="12.75" customHeight="1" x14ac:dyDescent="0.25"/>
    <row r="957" s="436" customFormat="1" ht="12.75" customHeight="1" x14ac:dyDescent="0.25"/>
    <row r="958" s="436" customFormat="1" ht="12.75" customHeight="1" x14ac:dyDescent="0.25"/>
    <row r="959" s="436" customFormat="1" ht="12.75" customHeight="1" x14ac:dyDescent="0.25"/>
    <row r="960" s="436" customFormat="1" ht="12.75" customHeight="1" x14ac:dyDescent="0.25"/>
    <row r="961" s="436" customFormat="1" ht="12.75" customHeight="1" x14ac:dyDescent="0.25"/>
    <row r="962" s="436" customFormat="1" ht="12.75" customHeight="1" x14ac:dyDescent="0.25"/>
    <row r="963" s="436" customFormat="1" ht="12.75" customHeight="1" x14ac:dyDescent="0.25"/>
    <row r="964" s="436" customFormat="1" ht="12.75" customHeight="1" x14ac:dyDescent="0.25"/>
    <row r="965" s="436" customFormat="1" ht="12.75" customHeight="1" x14ac:dyDescent="0.25"/>
    <row r="966" s="436" customFormat="1" ht="12.75" customHeight="1" x14ac:dyDescent="0.25"/>
    <row r="967" s="436" customFormat="1" ht="12.75" customHeight="1" x14ac:dyDescent="0.25"/>
    <row r="968" s="436" customFormat="1" ht="12.75" customHeight="1" x14ac:dyDescent="0.25"/>
    <row r="969" s="436" customFormat="1" ht="12.75" customHeight="1" x14ac:dyDescent="0.25"/>
    <row r="970" s="436" customFormat="1" ht="12.75" customHeight="1" x14ac:dyDescent="0.25"/>
    <row r="971" s="436" customFormat="1" ht="12.75" customHeight="1" x14ac:dyDescent="0.25"/>
    <row r="972" s="436" customFormat="1" ht="12.75" customHeight="1" x14ac:dyDescent="0.25"/>
    <row r="973" s="436" customFormat="1" ht="12.75" customHeight="1" x14ac:dyDescent="0.25"/>
    <row r="974" s="436" customFormat="1" ht="12.75" customHeight="1" x14ac:dyDescent="0.25"/>
    <row r="975" s="436" customFormat="1" ht="12.75" customHeight="1" x14ac:dyDescent="0.25"/>
    <row r="976" s="436" customFormat="1" ht="12.75" customHeight="1" x14ac:dyDescent="0.25"/>
    <row r="977" s="436" customFormat="1" ht="12.75" customHeight="1" x14ac:dyDescent="0.25"/>
    <row r="978" s="436" customFormat="1" ht="12.75" customHeight="1" x14ac:dyDescent="0.25"/>
    <row r="979" s="436" customFormat="1" ht="12.75" customHeight="1" x14ac:dyDescent="0.25"/>
    <row r="980" s="436" customFormat="1" ht="12.75" customHeight="1" x14ac:dyDescent="0.25"/>
    <row r="981" s="436" customFormat="1" ht="12.75" customHeight="1" x14ac:dyDescent="0.25"/>
    <row r="982" s="436" customFormat="1" ht="12.75" customHeight="1" x14ac:dyDescent="0.25"/>
    <row r="983" s="436" customFormat="1" ht="12.75" customHeight="1" x14ac:dyDescent="0.25"/>
    <row r="984" s="436" customFormat="1" ht="12.75" customHeight="1" x14ac:dyDescent="0.25"/>
    <row r="985" s="436" customFormat="1" ht="12.75" customHeight="1" x14ac:dyDescent="0.25"/>
    <row r="986" s="436" customFormat="1" ht="12.75" customHeight="1" x14ac:dyDescent="0.25"/>
    <row r="987" s="436" customFormat="1" ht="12.75" customHeight="1" x14ac:dyDescent="0.25"/>
    <row r="988" s="436" customFormat="1" ht="12.75" customHeight="1" x14ac:dyDescent="0.25"/>
    <row r="989" s="436" customFormat="1" ht="12.75" customHeight="1" x14ac:dyDescent="0.25"/>
    <row r="990" s="436" customFormat="1" ht="12.75" customHeight="1" x14ac:dyDescent="0.25"/>
    <row r="991" s="436" customFormat="1" ht="12.75" customHeight="1" x14ac:dyDescent="0.25"/>
    <row r="992" s="436" customFormat="1" ht="12.75" customHeight="1" x14ac:dyDescent="0.25"/>
    <row r="993" s="436" customFormat="1" ht="12.75" customHeight="1" x14ac:dyDescent="0.25"/>
    <row r="994" s="436" customFormat="1" ht="12.75" customHeight="1" x14ac:dyDescent="0.25"/>
    <row r="995" s="436" customFormat="1" ht="12.75" customHeight="1" x14ac:dyDescent="0.25"/>
    <row r="996" s="436" customFormat="1" ht="12.75" customHeight="1" x14ac:dyDescent="0.25"/>
    <row r="997" s="436" customFormat="1" ht="12.75" customHeight="1" x14ac:dyDescent="0.25"/>
    <row r="998" s="436" customFormat="1" ht="12.75" customHeight="1" x14ac:dyDescent="0.25"/>
    <row r="999" s="436" customFormat="1" ht="12.75" customHeight="1" x14ac:dyDescent="0.25"/>
    <row r="1000" s="436" customFormat="1" ht="12.75" customHeight="1" x14ac:dyDescent="0.25"/>
    <row r="1001" s="436" customFormat="1" ht="12.75" customHeight="1" x14ac:dyDescent="0.25"/>
    <row r="1002" s="436" customFormat="1" ht="12.75" customHeight="1" x14ac:dyDescent="0.25"/>
    <row r="1003" s="436" customFormat="1" ht="12.75" customHeight="1" x14ac:dyDescent="0.25"/>
    <row r="1004" s="436" customFormat="1" ht="12.75" customHeight="1" x14ac:dyDescent="0.25"/>
    <row r="1005" s="436" customFormat="1" ht="12.75" customHeight="1" x14ac:dyDescent="0.25"/>
    <row r="1006" s="436" customFormat="1" ht="12.75" customHeight="1" x14ac:dyDescent="0.25"/>
    <row r="1007" s="436" customFormat="1" ht="12.75" customHeight="1" x14ac:dyDescent="0.25"/>
    <row r="1008" s="436" customFormat="1" ht="12.75" customHeight="1" x14ac:dyDescent="0.25"/>
    <row r="1009" s="436" customFormat="1" ht="12.75" customHeight="1" x14ac:dyDescent="0.25"/>
  </sheetData>
  <mergeCells count="25">
    <mergeCell ref="J42:N42"/>
    <mergeCell ref="M12:M13"/>
    <mergeCell ref="N12:N13"/>
    <mergeCell ref="J34:N34"/>
    <mergeCell ref="J35:N35"/>
    <mergeCell ref="J36:N36"/>
    <mergeCell ref="J41:N41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A2:N2"/>
    <mergeCell ref="A3:N3"/>
    <mergeCell ref="A4:N4"/>
    <mergeCell ref="A5:N5"/>
    <mergeCell ref="A6:N6"/>
    <mergeCell ref="A7:N7"/>
  </mergeCell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Word.Picture.8" shapeId="8193" r:id="rId3">
          <objectPr defaultSize="0" autoPict="0" r:id="rId4">
            <anchor moveWithCells="1">
              <from>
                <xdr:col>0</xdr:col>
                <xdr:colOff>121920</xdr:colOff>
                <xdr:row>1</xdr:row>
                <xdr:rowOff>0</xdr:rowOff>
              </from>
              <to>
                <xdr:col>1</xdr:col>
                <xdr:colOff>228600</xdr:colOff>
                <xdr:row>3</xdr:row>
                <xdr:rowOff>15240</xdr:rowOff>
              </to>
            </anchor>
          </objectPr>
        </oleObject>
      </mc:Choice>
      <mc:Fallback>
        <oleObject progId="Word.Picture.8" shapeId="819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2º Quadrimestre22</vt:lpstr>
      <vt:lpstr>Balanço Orçamentário</vt:lpstr>
      <vt:lpstr>Primário e nominal</vt:lpstr>
      <vt:lpstr>Restos a pagar</vt:lpstr>
      <vt:lpstr>Gestão fical</vt:lpstr>
      <vt:lpstr>Receita Corrente Líquida</vt:lpstr>
      <vt:lpstr>Despesa de pessoal</vt:lpstr>
      <vt:lpstr>'2º Quadrimestre22'!Area_de_impressao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Helena Desti</dc:creator>
  <cp:lastModifiedBy>Maria Gabriela Gadiolli Angeli</cp:lastModifiedBy>
  <cp:lastPrinted>2022-09-30T11:07:27Z</cp:lastPrinted>
  <dcterms:created xsi:type="dcterms:W3CDTF">2012-03-07T15:02:43Z</dcterms:created>
  <dcterms:modified xsi:type="dcterms:W3CDTF">2023-02-03T15:10:25Z</dcterms:modified>
</cp:coreProperties>
</file>