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13_ncr:1_{C7673BA0-9EE7-48B7-A699-39517EF31CE2}" xr6:coauthVersionLast="47" xr6:coauthVersionMax="47" xr10:uidLastSave="{00000000-0000-0000-0000-000000000000}"/>
  <bookViews>
    <workbookView xWindow="-108" yWindow="-108" windowWidth="23256" windowHeight="12576" xr2:uid="{54C85753-3E58-574C-9A76-FC254C6DB88B}"/>
  </bookViews>
  <sheets>
    <sheet name="Valuation (FCF)" sheetId="1" r:id="rId1"/>
    <sheet name="Planilha1" sheetId="3" r:id="rId2"/>
    <sheet name="SN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" l="1"/>
  <c r="F175" i="1"/>
  <c r="O39" i="1" l="1"/>
  <c r="F167" i="1"/>
  <c r="O43" i="1"/>
  <c r="O42" i="1"/>
  <c r="F156" i="1" l="1"/>
  <c r="AA113" i="1"/>
  <c r="AA165" i="1"/>
  <c r="AA164" i="1"/>
  <c r="AA173" i="1"/>
  <c r="AA172" i="1"/>
  <c r="AA139" i="1"/>
  <c r="AA138" i="1"/>
  <c r="AC160" i="1"/>
  <c r="O10" i="1"/>
  <c r="O9" i="1"/>
  <c r="E7" i="3"/>
  <c r="E5" i="3"/>
  <c r="E3" i="3" s="1"/>
  <c r="J195" i="1"/>
  <c r="J192" i="1"/>
  <c r="J193" i="1"/>
  <c r="J194" i="1"/>
  <c r="J191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4" i="1"/>
  <c r="AB133" i="1"/>
  <c r="AD160" i="1" l="1"/>
  <c r="AC132" i="1"/>
  <c r="AK132" i="1"/>
  <c r="AS132" i="1"/>
  <c r="BA132" i="1"/>
  <c r="AF132" i="1"/>
  <c r="AV132" i="1"/>
  <c r="BD132" i="1"/>
  <c r="AN132" i="1"/>
  <c r="AD132" i="1"/>
  <c r="AT132" i="1"/>
  <c r="BB132" i="1"/>
  <c r="AL132" i="1"/>
  <c r="AE132" i="1"/>
  <c r="AM132" i="1"/>
  <c r="AU132" i="1"/>
  <c r="BC132" i="1"/>
  <c r="AJ132" i="1"/>
  <c r="AR132" i="1"/>
  <c r="AZ132" i="1"/>
  <c r="BH132" i="1"/>
  <c r="BI132" i="1"/>
  <c r="BJ132" i="1"/>
  <c r="AG132" i="1"/>
  <c r="AO132" i="1"/>
  <c r="AW132" i="1"/>
  <c r="BE132" i="1"/>
  <c r="AI132" i="1"/>
  <c r="AQ132" i="1"/>
  <c r="AY132" i="1"/>
  <c r="BG132" i="1"/>
  <c r="AH132" i="1"/>
  <c r="AP132" i="1"/>
  <c r="AX132" i="1"/>
  <c r="BF132" i="1"/>
  <c r="AB132" i="1"/>
  <c r="F176" i="1"/>
  <c r="E16" i="3"/>
  <c r="E19" i="3" s="1"/>
  <c r="O86" i="1"/>
  <c r="O87" i="1"/>
  <c r="O88" i="1"/>
  <c r="O89" i="1"/>
  <c r="AB185" i="1"/>
  <c r="AC186" i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J185" i="1" s="1"/>
  <c r="O55" i="1"/>
  <c r="AB3" i="1"/>
  <c r="O82" i="1"/>
  <c r="O81" i="1"/>
  <c r="O95" i="1"/>
  <c r="O94" i="1"/>
  <c r="O69" i="1"/>
  <c r="O68" i="1"/>
  <c r="O67" i="1"/>
  <c r="O66" i="1"/>
  <c r="O65" i="1"/>
  <c r="O64" i="1"/>
  <c r="O57" i="1"/>
  <c r="O56" i="1"/>
  <c r="O53" i="1"/>
  <c r="O52" i="1"/>
  <c r="O51" i="1"/>
  <c r="O50" i="1"/>
  <c r="P2" i="1"/>
  <c r="P39" i="1" s="1"/>
  <c r="O38" i="1"/>
  <c r="O31" i="1"/>
  <c r="O30" i="1"/>
  <c r="O27" i="1"/>
  <c r="O26" i="1"/>
  <c r="O21" i="1"/>
  <c r="O20" i="1"/>
  <c r="O13" i="1"/>
  <c r="O12" i="1"/>
  <c r="O8" i="1"/>
  <c r="F168" i="1" l="1"/>
  <c r="F157" i="1"/>
  <c r="AB171" i="1"/>
  <c r="O59" i="1"/>
  <c r="E20" i="3"/>
  <c r="E17" i="3"/>
  <c r="AC3" i="1"/>
  <c r="AC171" i="1" s="1"/>
  <c r="AB95" i="1"/>
  <c r="AB94" i="1"/>
  <c r="P42" i="1"/>
  <c r="P43" i="1"/>
  <c r="P10" i="1"/>
  <c r="P9" i="1"/>
  <c r="Q2" i="1"/>
  <c r="Q39" i="1" s="1"/>
  <c r="P87" i="1"/>
  <c r="P89" i="1"/>
  <c r="P88" i="1"/>
  <c r="P86" i="1"/>
  <c r="AF185" i="1"/>
  <c r="AP185" i="1"/>
  <c r="AV185" i="1"/>
  <c r="AW185" i="1"/>
  <c r="AX185" i="1"/>
  <c r="AG185" i="1"/>
  <c r="BD185" i="1"/>
  <c r="AH185" i="1"/>
  <c r="BE185" i="1"/>
  <c r="AN185" i="1"/>
  <c r="BF185" i="1"/>
  <c r="AO185" i="1"/>
  <c r="AE185" i="1"/>
  <c r="AM185" i="1"/>
  <c r="AU185" i="1"/>
  <c r="BC185" i="1"/>
  <c r="AI185" i="1"/>
  <c r="AQ185" i="1"/>
  <c r="AY185" i="1"/>
  <c r="BG185" i="1"/>
  <c r="AJ185" i="1"/>
  <c r="AR185" i="1"/>
  <c r="AZ185" i="1"/>
  <c r="BH185" i="1"/>
  <c r="AC185" i="1"/>
  <c r="AK185" i="1"/>
  <c r="AS185" i="1"/>
  <c r="BA185" i="1"/>
  <c r="BI185" i="1"/>
  <c r="AD185" i="1"/>
  <c r="AL185" i="1"/>
  <c r="AT185" i="1"/>
  <c r="BB185" i="1"/>
  <c r="O97" i="1"/>
  <c r="O92" i="1"/>
  <c r="O91" i="1"/>
  <c r="O84" i="1"/>
  <c r="P55" i="1"/>
  <c r="O46" i="1"/>
  <c r="O34" i="1"/>
  <c r="P82" i="1"/>
  <c r="P81" i="1"/>
  <c r="P95" i="1"/>
  <c r="P94" i="1"/>
  <c r="O75" i="1"/>
  <c r="O76" i="1"/>
  <c r="O77" i="1"/>
  <c r="O72" i="1"/>
  <c r="O74" i="1"/>
  <c r="O73" i="1"/>
  <c r="P69" i="1"/>
  <c r="P68" i="1"/>
  <c r="P67" i="1"/>
  <c r="P66" i="1"/>
  <c r="P65" i="1"/>
  <c r="P64" i="1"/>
  <c r="P57" i="1"/>
  <c r="P56" i="1"/>
  <c r="P53" i="1"/>
  <c r="P52" i="1"/>
  <c r="P51" i="1"/>
  <c r="P50" i="1"/>
  <c r="P38" i="1"/>
  <c r="O44" i="1"/>
  <c r="O40" i="1"/>
  <c r="O32" i="1"/>
  <c r="P31" i="1"/>
  <c r="P30" i="1"/>
  <c r="O28" i="1"/>
  <c r="P27" i="1"/>
  <c r="P26" i="1"/>
  <c r="O22" i="1"/>
  <c r="P21" i="1"/>
  <c r="P20" i="1"/>
  <c r="P17" i="1" s="1"/>
  <c r="P13" i="1"/>
  <c r="P12" i="1"/>
  <c r="P8" i="1"/>
  <c r="Q95" i="1" l="1"/>
  <c r="Q38" i="1"/>
  <c r="Q40" i="1" s="1"/>
  <c r="Q21" i="1"/>
  <c r="Q12" i="1"/>
  <c r="Q26" i="1"/>
  <c r="Q53" i="1"/>
  <c r="Q89" i="1"/>
  <c r="Q30" i="1"/>
  <c r="Q81" i="1"/>
  <c r="Q31" i="1"/>
  <c r="Q52" i="1"/>
  <c r="Q8" i="1"/>
  <c r="Q66" i="1"/>
  <c r="Q88" i="1"/>
  <c r="P59" i="1"/>
  <c r="Q87" i="1"/>
  <c r="Q42" i="1"/>
  <c r="Q43" i="1"/>
  <c r="AD3" i="1"/>
  <c r="AD171" i="1" s="1"/>
  <c r="Q64" i="1"/>
  <c r="Q50" i="1"/>
  <c r="Q67" i="1"/>
  <c r="Q13" i="1"/>
  <c r="Q27" i="1"/>
  <c r="Q51" i="1"/>
  <c r="Q57" i="1"/>
  <c r="Q68" i="1"/>
  <c r="Q20" i="1"/>
  <c r="Q17" i="1" s="1"/>
  <c r="Q56" i="1"/>
  <c r="Q82" i="1"/>
  <c r="Q65" i="1"/>
  <c r="Q69" i="1"/>
  <c r="Q94" i="1"/>
  <c r="Q9" i="1"/>
  <c r="Q10" i="1"/>
  <c r="Q55" i="1"/>
  <c r="Q86" i="1"/>
  <c r="R2" i="1"/>
  <c r="R39" i="1" s="1"/>
  <c r="P97" i="1"/>
  <c r="P92" i="1"/>
  <c r="P91" i="1"/>
  <c r="P84" i="1"/>
  <c r="P46" i="1"/>
  <c r="P34" i="1"/>
  <c r="P77" i="1"/>
  <c r="P76" i="1"/>
  <c r="P75" i="1"/>
  <c r="P72" i="1"/>
  <c r="P73" i="1"/>
  <c r="P74" i="1"/>
  <c r="P44" i="1"/>
  <c r="P40" i="1"/>
  <c r="P32" i="1"/>
  <c r="P28" i="1"/>
  <c r="P22" i="1"/>
  <c r="Q32" i="1" l="1"/>
  <c r="Q34" i="1"/>
  <c r="Q28" i="1"/>
  <c r="Q97" i="1"/>
  <c r="Q44" i="1"/>
  <c r="Q77" i="1"/>
  <c r="Q84" i="1"/>
  <c r="Q72" i="1"/>
  <c r="Q76" i="1"/>
  <c r="Q92" i="1"/>
  <c r="Q46" i="1"/>
  <c r="Q59" i="1"/>
  <c r="Q75" i="1"/>
  <c r="AE3" i="1"/>
  <c r="AE171" i="1" s="1"/>
  <c r="Q73" i="1"/>
  <c r="Q22" i="1"/>
  <c r="R42" i="1"/>
  <c r="R43" i="1"/>
  <c r="Q74" i="1"/>
  <c r="R9" i="1"/>
  <c r="R10" i="1"/>
  <c r="Q91" i="1"/>
  <c r="S2" i="1"/>
  <c r="S39" i="1" s="1"/>
  <c r="R94" i="1"/>
  <c r="R68" i="1"/>
  <c r="R57" i="1"/>
  <c r="R52" i="1"/>
  <c r="R30" i="1"/>
  <c r="R26" i="1"/>
  <c r="R13" i="1"/>
  <c r="R51" i="1"/>
  <c r="R38" i="1"/>
  <c r="R53" i="1"/>
  <c r="R31" i="1"/>
  <c r="R20" i="1"/>
  <c r="R21" i="1"/>
  <c r="R66" i="1"/>
  <c r="R95" i="1"/>
  <c r="R81" i="1"/>
  <c r="R69" i="1"/>
  <c r="R56" i="1"/>
  <c r="R50" i="1"/>
  <c r="R67" i="1"/>
  <c r="R8" i="1"/>
  <c r="R64" i="1"/>
  <c r="R27" i="1"/>
  <c r="R88" i="1"/>
  <c r="R65" i="1"/>
  <c r="R12" i="1"/>
  <c r="R89" i="1"/>
  <c r="R86" i="1"/>
  <c r="R55" i="1"/>
  <c r="R87" i="1"/>
  <c r="R82" i="1"/>
  <c r="R59" i="1" l="1"/>
  <c r="AF3" i="1"/>
  <c r="AF161" i="1" s="1"/>
  <c r="S43" i="1"/>
  <c r="S42" i="1"/>
  <c r="S9" i="1"/>
  <c r="S10" i="1"/>
  <c r="R77" i="1"/>
  <c r="R91" i="1"/>
  <c r="R72" i="1"/>
  <c r="R76" i="1"/>
  <c r="R75" i="1"/>
  <c r="R34" i="1"/>
  <c r="R28" i="1"/>
  <c r="R73" i="1"/>
  <c r="R32" i="1"/>
  <c r="R44" i="1"/>
  <c r="R40" i="1"/>
  <c r="R46" i="1"/>
  <c r="R22" i="1"/>
  <c r="R17" i="1"/>
  <c r="R92" i="1"/>
  <c r="R74" i="1"/>
  <c r="R97" i="1"/>
  <c r="R84" i="1"/>
  <c r="T2" i="1"/>
  <c r="T39" i="1" s="1"/>
  <c r="S55" i="1"/>
  <c r="S81" i="1"/>
  <c r="S69" i="1"/>
  <c r="S68" i="1"/>
  <c r="S50" i="1"/>
  <c r="S95" i="1"/>
  <c r="S52" i="1"/>
  <c r="S38" i="1"/>
  <c r="S86" i="1"/>
  <c r="S66" i="1"/>
  <c r="S56" i="1"/>
  <c r="S31" i="1"/>
  <c r="S27" i="1"/>
  <c r="S53" i="1"/>
  <c r="S57" i="1"/>
  <c r="S67" i="1"/>
  <c r="S51" i="1"/>
  <c r="S21" i="1"/>
  <c r="S65" i="1"/>
  <c r="S20" i="1"/>
  <c r="S88" i="1"/>
  <c r="S64" i="1"/>
  <c r="S89" i="1"/>
  <c r="S82" i="1"/>
  <c r="S94" i="1"/>
  <c r="S30" i="1"/>
  <c r="S26" i="1"/>
  <c r="S13" i="1"/>
  <c r="S12" i="1"/>
  <c r="S87" i="1"/>
  <c r="S8" i="1"/>
  <c r="AF171" i="1" l="1"/>
  <c r="S59" i="1"/>
  <c r="T43" i="1"/>
  <c r="T42" i="1"/>
  <c r="AG3" i="1"/>
  <c r="AG161" i="1" s="1"/>
  <c r="AF160" i="1"/>
  <c r="T9" i="1"/>
  <c r="T10" i="1"/>
  <c r="S44" i="1"/>
  <c r="S76" i="1"/>
  <c r="S91" i="1"/>
  <c r="S34" i="1"/>
  <c r="S28" i="1"/>
  <c r="S40" i="1"/>
  <c r="S46" i="1"/>
  <c r="S32" i="1"/>
  <c r="S22" i="1"/>
  <c r="S17" i="1"/>
  <c r="U2" i="1"/>
  <c r="U39" i="1" s="1"/>
  <c r="T87" i="1"/>
  <c r="T66" i="1"/>
  <c r="T52" i="1"/>
  <c r="T8" i="1"/>
  <c r="T65" i="1"/>
  <c r="T26" i="1"/>
  <c r="T86" i="1"/>
  <c r="T55" i="1"/>
  <c r="T68" i="1"/>
  <c r="T67" i="1"/>
  <c r="T95" i="1"/>
  <c r="T64" i="1"/>
  <c r="T57" i="1"/>
  <c r="T56" i="1"/>
  <c r="T31" i="1"/>
  <c r="T27" i="1"/>
  <c r="T20" i="1"/>
  <c r="T12" i="1"/>
  <c r="T94" i="1"/>
  <c r="T53" i="1"/>
  <c r="T51" i="1"/>
  <c r="T38" i="1"/>
  <c r="T13" i="1"/>
  <c r="T82" i="1"/>
  <c r="T88" i="1"/>
  <c r="T89" i="1"/>
  <c r="T30" i="1"/>
  <c r="T81" i="1"/>
  <c r="T69" i="1"/>
  <c r="T50" i="1"/>
  <c r="T21" i="1"/>
  <c r="S77" i="1"/>
  <c r="S72" i="1"/>
  <c r="S75" i="1"/>
  <c r="S74" i="1"/>
  <c r="S97" i="1"/>
  <c r="S84" i="1"/>
  <c r="S73" i="1"/>
  <c r="S92" i="1"/>
  <c r="AG171" i="1" l="1"/>
  <c r="T59" i="1"/>
  <c r="U43" i="1"/>
  <c r="U42" i="1"/>
  <c r="AH3" i="1"/>
  <c r="AH161" i="1" s="1"/>
  <c r="AG9" i="1"/>
  <c r="AG13" i="1"/>
  <c r="AG160" i="1"/>
  <c r="AG91" i="1"/>
  <c r="AG10" i="1"/>
  <c r="AG8" i="1"/>
  <c r="AG12" i="1"/>
  <c r="U10" i="1"/>
  <c r="U9" i="1"/>
  <c r="T44" i="1"/>
  <c r="T77" i="1"/>
  <c r="T76" i="1"/>
  <c r="T75" i="1"/>
  <c r="T91" i="1"/>
  <c r="V2" i="1"/>
  <c r="V39" i="1" s="1"/>
  <c r="U53" i="1"/>
  <c r="U20" i="1"/>
  <c r="U13" i="1"/>
  <c r="U51" i="1"/>
  <c r="U95" i="1"/>
  <c r="U67" i="1"/>
  <c r="U65" i="1"/>
  <c r="U31" i="1"/>
  <c r="U27" i="1"/>
  <c r="U12" i="1"/>
  <c r="U56" i="1"/>
  <c r="U57" i="1"/>
  <c r="U26" i="1"/>
  <c r="U21" i="1"/>
  <c r="U94" i="1"/>
  <c r="U68" i="1"/>
  <c r="U64" i="1"/>
  <c r="U88" i="1"/>
  <c r="U89" i="1"/>
  <c r="U82" i="1"/>
  <c r="U30" i="1"/>
  <c r="U38" i="1"/>
  <c r="U52" i="1"/>
  <c r="U55" i="1"/>
  <c r="U86" i="1"/>
  <c r="U87" i="1"/>
  <c r="U81" i="1"/>
  <c r="U69" i="1"/>
  <c r="U50" i="1"/>
  <c r="U8" i="1"/>
  <c r="U66" i="1"/>
  <c r="T22" i="1"/>
  <c r="T17" i="1"/>
  <c r="T73" i="1"/>
  <c r="T84" i="1"/>
  <c r="T97" i="1"/>
  <c r="T32" i="1"/>
  <c r="T74" i="1"/>
  <c r="T92" i="1"/>
  <c r="T40" i="1"/>
  <c r="T46" i="1"/>
  <c r="T72" i="1"/>
  <c r="T28" i="1"/>
  <c r="T34" i="1"/>
  <c r="AH171" i="1" l="1"/>
  <c r="U59" i="1"/>
  <c r="V43" i="1"/>
  <c r="V42" i="1"/>
  <c r="AI3" i="1"/>
  <c r="AI161" i="1" s="1"/>
  <c r="AH12" i="1"/>
  <c r="AH9" i="1"/>
  <c r="AH91" i="1"/>
  <c r="AH8" i="1"/>
  <c r="AH160" i="1"/>
  <c r="AH13" i="1"/>
  <c r="AH10" i="1"/>
  <c r="V10" i="1"/>
  <c r="V9" i="1"/>
  <c r="U32" i="1"/>
  <c r="U76" i="1"/>
  <c r="U44" i="1"/>
  <c r="U75" i="1"/>
  <c r="U74" i="1"/>
  <c r="U72" i="1"/>
  <c r="U28" i="1"/>
  <c r="U34" i="1"/>
  <c r="U40" i="1"/>
  <c r="U46" i="1"/>
  <c r="U84" i="1"/>
  <c r="U97" i="1"/>
  <c r="U17" i="1"/>
  <c r="U22" i="1"/>
  <c r="U77" i="1"/>
  <c r="U92" i="1"/>
  <c r="U91" i="1"/>
  <c r="U73" i="1"/>
  <c r="W2" i="1"/>
  <c r="W39" i="1" s="1"/>
  <c r="V86" i="1"/>
  <c r="V95" i="1"/>
  <c r="V65" i="1"/>
  <c r="V31" i="1"/>
  <c r="V27" i="1"/>
  <c r="V21" i="1"/>
  <c r="V57" i="1"/>
  <c r="V51" i="1"/>
  <c r="V50" i="1"/>
  <c r="V87" i="1"/>
  <c r="V52" i="1"/>
  <c r="V94" i="1"/>
  <c r="V64" i="1"/>
  <c r="V30" i="1"/>
  <c r="V13" i="1"/>
  <c r="V81" i="1"/>
  <c r="V69" i="1"/>
  <c r="V67" i="1"/>
  <c r="V89" i="1"/>
  <c r="V82" i="1"/>
  <c r="V68" i="1"/>
  <c r="V20" i="1"/>
  <c r="V26" i="1"/>
  <c r="V56" i="1"/>
  <c r="V8" i="1"/>
  <c r="V88" i="1"/>
  <c r="V12" i="1"/>
  <c r="V55" i="1"/>
  <c r="V66" i="1"/>
  <c r="V53" i="1"/>
  <c r="V38" i="1"/>
  <c r="AG92" i="1"/>
  <c r="AI171" i="1" l="1"/>
  <c r="V59" i="1"/>
  <c r="AJ3" i="1"/>
  <c r="AJ161" i="1" s="1"/>
  <c r="AI91" i="1"/>
  <c r="AI10" i="1"/>
  <c r="AI160" i="1"/>
  <c r="AI12" i="1"/>
  <c r="AI9" i="1"/>
  <c r="AI13" i="1"/>
  <c r="AI8" i="1"/>
  <c r="W43" i="1"/>
  <c r="W42" i="1"/>
  <c r="W10" i="1"/>
  <c r="W9" i="1"/>
  <c r="V74" i="1"/>
  <c r="V77" i="1"/>
  <c r="V75" i="1"/>
  <c r="V46" i="1"/>
  <c r="V40" i="1"/>
  <c r="X2" i="1"/>
  <c r="X39" i="1" s="1"/>
  <c r="W86" i="1"/>
  <c r="W12" i="1"/>
  <c r="W20" i="1"/>
  <c r="W68" i="1"/>
  <c r="W57" i="1"/>
  <c r="W26" i="1"/>
  <c r="W65" i="1"/>
  <c r="W53" i="1"/>
  <c r="W55" i="1"/>
  <c r="W95" i="1"/>
  <c r="W52" i="1"/>
  <c r="W51" i="1"/>
  <c r="W30" i="1"/>
  <c r="W67" i="1"/>
  <c r="W8" i="1"/>
  <c r="W66" i="1"/>
  <c r="W56" i="1"/>
  <c r="W13" i="1"/>
  <c r="W94" i="1"/>
  <c r="W50" i="1"/>
  <c r="W87" i="1"/>
  <c r="W82" i="1"/>
  <c r="W88" i="1"/>
  <c r="W64" i="1"/>
  <c r="W27" i="1"/>
  <c r="W21" i="1"/>
  <c r="W81" i="1"/>
  <c r="W69" i="1"/>
  <c r="W38" i="1"/>
  <c r="W31" i="1"/>
  <c r="W89" i="1"/>
  <c r="V91" i="1"/>
  <c r="V34" i="1"/>
  <c r="V28" i="1"/>
  <c r="V97" i="1"/>
  <c r="V84" i="1"/>
  <c r="V17" i="1"/>
  <c r="V22" i="1"/>
  <c r="V32" i="1"/>
  <c r="V92" i="1"/>
  <c r="V44" i="1"/>
  <c r="V73" i="1"/>
  <c r="V76" i="1"/>
  <c r="V72" i="1"/>
  <c r="AH92" i="1"/>
  <c r="AJ171" i="1" l="1"/>
  <c r="W59" i="1"/>
  <c r="X42" i="1"/>
  <c r="X43" i="1"/>
  <c r="AK3" i="1"/>
  <c r="AK161" i="1" s="1"/>
  <c r="AJ8" i="1"/>
  <c r="AJ9" i="1"/>
  <c r="AJ91" i="1"/>
  <c r="AJ10" i="1"/>
  <c r="AJ12" i="1"/>
  <c r="AJ160" i="1"/>
  <c r="AJ13" i="1"/>
  <c r="X10" i="1"/>
  <c r="X9" i="1"/>
  <c r="W44" i="1"/>
  <c r="W73" i="1"/>
  <c r="W40" i="1"/>
  <c r="W46" i="1"/>
  <c r="W75" i="1"/>
  <c r="W77" i="1"/>
  <c r="W32" i="1"/>
  <c r="W92" i="1"/>
  <c r="W72" i="1"/>
  <c r="W76" i="1"/>
  <c r="Y2" i="1"/>
  <c r="Y39" i="1" s="1"/>
  <c r="X89" i="1"/>
  <c r="X95" i="1"/>
  <c r="X64" i="1"/>
  <c r="X31" i="1"/>
  <c r="X26" i="1"/>
  <c r="X86" i="1"/>
  <c r="X38" i="1"/>
  <c r="X20" i="1"/>
  <c r="X8" i="1"/>
  <c r="X51" i="1"/>
  <c r="X82" i="1"/>
  <c r="X67" i="1"/>
  <c r="X65" i="1"/>
  <c r="X53" i="1"/>
  <c r="X12" i="1"/>
  <c r="X81" i="1"/>
  <c r="X68" i="1"/>
  <c r="X13" i="1"/>
  <c r="X94" i="1"/>
  <c r="X30" i="1"/>
  <c r="X52" i="1"/>
  <c r="X55" i="1"/>
  <c r="X69" i="1"/>
  <c r="X50" i="1"/>
  <c r="X87" i="1"/>
  <c r="X88" i="1"/>
  <c r="X66" i="1"/>
  <c r="X56" i="1"/>
  <c r="X21" i="1"/>
  <c r="X27" i="1"/>
  <c r="X57" i="1"/>
  <c r="W84" i="1"/>
  <c r="W97" i="1"/>
  <c r="W34" i="1"/>
  <c r="W28" i="1"/>
  <c r="W91" i="1"/>
  <c r="W74" i="1"/>
  <c r="W22" i="1"/>
  <c r="W17" i="1"/>
  <c r="AI92" i="1"/>
  <c r="AK171" i="1" l="1"/>
  <c r="X59" i="1"/>
  <c r="Y42" i="1"/>
  <c r="Y43" i="1"/>
  <c r="AL3" i="1"/>
  <c r="AL161" i="1" s="1"/>
  <c r="AK13" i="1"/>
  <c r="AK9" i="1"/>
  <c r="AK10" i="1"/>
  <c r="AK160" i="1"/>
  <c r="AK8" i="1"/>
  <c r="AK12" i="1"/>
  <c r="AK91" i="1"/>
  <c r="Y9" i="1"/>
  <c r="Y10" i="1"/>
  <c r="X91" i="1"/>
  <c r="X77" i="1"/>
  <c r="X76" i="1"/>
  <c r="X32" i="1"/>
  <c r="X75" i="1"/>
  <c r="X28" i="1"/>
  <c r="X34" i="1"/>
  <c r="X97" i="1"/>
  <c r="X84" i="1"/>
  <c r="X72" i="1"/>
  <c r="X44" i="1"/>
  <c r="X17" i="1"/>
  <c r="X22" i="1"/>
  <c r="X74" i="1"/>
  <c r="X40" i="1"/>
  <c r="X46" i="1"/>
  <c r="X92" i="1"/>
  <c r="X73" i="1"/>
  <c r="Z2" i="1"/>
  <c r="Z39" i="1" s="1"/>
  <c r="Y82" i="1"/>
  <c r="Y20" i="1"/>
  <c r="Y26" i="1"/>
  <c r="Y50" i="1"/>
  <c r="Y38" i="1"/>
  <c r="Y13" i="1"/>
  <c r="Y57" i="1"/>
  <c r="Y89" i="1"/>
  <c r="Y94" i="1"/>
  <c r="Y65" i="1"/>
  <c r="Y56" i="1"/>
  <c r="Y51" i="1"/>
  <c r="Y69" i="1"/>
  <c r="Y66" i="1"/>
  <c r="Y8" i="1"/>
  <c r="Y64" i="1"/>
  <c r="Y30" i="1"/>
  <c r="Y81" i="1"/>
  <c r="Y12" i="1"/>
  <c r="Y53" i="1"/>
  <c r="Y21" i="1"/>
  <c r="Y87" i="1"/>
  <c r="Y88" i="1"/>
  <c r="Y27" i="1"/>
  <c r="Y55" i="1"/>
  <c r="Y95" i="1"/>
  <c r="Y31" i="1"/>
  <c r="Y68" i="1"/>
  <c r="Y67" i="1"/>
  <c r="Y52" i="1"/>
  <c r="Y86" i="1"/>
  <c r="AJ92" i="1"/>
  <c r="AL171" i="1" l="1"/>
  <c r="Y59" i="1"/>
  <c r="Z42" i="1"/>
  <c r="Z43" i="1"/>
  <c r="AM3" i="1"/>
  <c r="AM161" i="1" s="1"/>
  <c r="AL13" i="1"/>
  <c r="AL10" i="1"/>
  <c r="AL91" i="1"/>
  <c r="AL8" i="1"/>
  <c r="AL160" i="1"/>
  <c r="AL92" i="1"/>
  <c r="AL12" i="1"/>
  <c r="AL9" i="1"/>
  <c r="Z10" i="1"/>
  <c r="K10" i="1" s="1"/>
  <c r="AB10" i="1" s="1"/>
  <c r="AC10" i="1" s="1"/>
  <c r="AD10" i="1" s="1"/>
  <c r="AE10" i="1" s="1"/>
  <c r="AF10" i="1" s="1"/>
  <c r="Z9" i="1"/>
  <c r="Y44" i="1"/>
  <c r="Y76" i="1"/>
  <c r="Y74" i="1"/>
  <c r="Y77" i="1"/>
  <c r="Y40" i="1"/>
  <c r="Y46" i="1"/>
  <c r="Z88" i="1"/>
  <c r="Z12" i="1"/>
  <c r="K12" i="1" s="1"/>
  <c r="AB12" i="1" s="1"/>
  <c r="AC12" i="1" s="1"/>
  <c r="AD12" i="1" s="1"/>
  <c r="AE12" i="1" s="1"/>
  <c r="AF12" i="1" s="1"/>
  <c r="Z56" i="1"/>
  <c r="Z31" i="1"/>
  <c r="Z27" i="1"/>
  <c r="Z38" i="1"/>
  <c r="Z30" i="1"/>
  <c r="AB9" i="1"/>
  <c r="AC9" i="1" s="1"/>
  <c r="AD9" i="1" s="1"/>
  <c r="AE9" i="1" s="1"/>
  <c r="AF9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Z81" i="1"/>
  <c r="Z69" i="1"/>
  <c r="Z68" i="1"/>
  <c r="Z52" i="1"/>
  <c r="K52" i="1" s="1"/>
  <c r="AB52" i="1" s="1"/>
  <c r="Z50" i="1"/>
  <c r="L50" i="1" s="1"/>
  <c r="Z21" i="1"/>
  <c r="Z95" i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Z51" i="1"/>
  <c r="K51" i="1" s="1"/>
  <c r="AB51" i="1" s="1"/>
  <c r="Z86" i="1"/>
  <c r="Z66" i="1"/>
  <c r="Z13" i="1"/>
  <c r="K13" i="1" s="1"/>
  <c r="AB13" i="1" s="1"/>
  <c r="AC13" i="1" s="1"/>
  <c r="AD13" i="1" s="1"/>
  <c r="AE13" i="1" s="1"/>
  <c r="AF13" i="1" s="1"/>
  <c r="Z8" i="1"/>
  <c r="K8" i="1" s="1"/>
  <c r="AB8" i="1" s="1"/>
  <c r="AC8" i="1" s="1"/>
  <c r="AD8" i="1" s="1"/>
  <c r="AE8" i="1" s="1"/>
  <c r="AF8" i="1" s="1"/>
  <c r="Z89" i="1"/>
  <c r="Z26" i="1"/>
  <c r="Z64" i="1"/>
  <c r="Z87" i="1"/>
  <c r="Z82" i="1"/>
  <c r="Z67" i="1"/>
  <c r="Z65" i="1"/>
  <c r="Z57" i="1"/>
  <c r="Z53" i="1"/>
  <c r="K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Z20" i="1"/>
  <c r="Z55" i="1"/>
  <c r="Z94" i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Y34" i="1"/>
  <c r="Y28" i="1"/>
  <c r="Y32" i="1"/>
  <c r="Y73" i="1"/>
  <c r="Y97" i="1"/>
  <c r="Y84" i="1"/>
  <c r="Y72" i="1"/>
  <c r="Y17" i="1"/>
  <c r="Y22" i="1"/>
  <c r="Y92" i="1"/>
  <c r="Y75" i="1"/>
  <c r="Y91" i="1"/>
  <c r="AK92" i="1"/>
  <c r="L97" i="1" l="1"/>
  <c r="AM171" i="1"/>
  <c r="AM94" i="1"/>
  <c r="AM95" i="1"/>
  <c r="AM53" i="1"/>
  <c r="Z59" i="1"/>
  <c r="K50" i="1"/>
  <c r="AN3" i="1"/>
  <c r="AN161" i="1" s="1"/>
  <c r="AM9" i="1"/>
  <c r="AM12" i="1"/>
  <c r="AM91" i="1"/>
  <c r="AM8" i="1"/>
  <c r="AM10" i="1"/>
  <c r="AM13" i="1"/>
  <c r="AM160" i="1"/>
  <c r="AM92" i="1"/>
  <c r="Z75" i="1"/>
  <c r="K75" i="1" s="1"/>
  <c r="L75" i="1" s="1"/>
  <c r="Z76" i="1"/>
  <c r="K76" i="1" s="1"/>
  <c r="Z72" i="1"/>
  <c r="K72" i="1" s="1"/>
  <c r="L72" i="1" s="1"/>
  <c r="Z32" i="1"/>
  <c r="Z91" i="1"/>
  <c r="AB91" i="1" s="1"/>
  <c r="AC91" i="1" s="1"/>
  <c r="AD91" i="1" s="1"/>
  <c r="AE91" i="1" s="1"/>
  <c r="AF91" i="1" s="1"/>
  <c r="Z46" i="1"/>
  <c r="K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Z40" i="1"/>
  <c r="Z74" i="1"/>
  <c r="K74" i="1" s="1"/>
  <c r="Z77" i="1"/>
  <c r="K77" i="1" s="1"/>
  <c r="L77" i="1" s="1"/>
  <c r="Z44" i="1"/>
  <c r="Z28" i="1"/>
  <c r="Z34" i="1"/>
  <c r="K34" i="1" s="1"/>
  <c r="Z73" i="1"/>
  <c r="K73" i="1" s="1"/>
  <c r="L73" i="1" s="1"/>
  <c r="Z92" i="1"/>
  <c r="AB92" i="1" s="1"/>
  <c r="Z97" i="1"/>
  <c r="Z84" i="1"/>
  <c r="K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Z22" i="1"/>
  <c r="Z17" i="1"/>
  <c r="K17" i="1" s="1"/>
  <c r="AB17" i="1" s="1"/>
  <c r="L76" i="1" l="1"/>
  <c r="AK76" i="1" s="1"/>
  <c r="K97" i="1"/>
  <c r="AB50" i="1"/>
  <c r="AC50" i="1" s="1"/>
  <c r="AD50" i="1" s="1"/>
  <c r="AM50" i="1"/>
  <c r="AB34" i="1"/>
  <c r="L52" i="1" s="1"/>
  <c r="L51" i="1" s="1"/>
  <c r="AN84" i="1"/>
  <c r="AN171" i="1"/>
  <c r="AB72" i="1"/>
  <c r="AM72" i="1"/>
  <c r="AL75" i="1"/>
  <c r="AB75" i="1"/>
  <c r="AN95" i="1"/>
  <c r="AO3" i="1"/>
  <c r="AO161" i="1" s="1"/>
  <c r="AN13" i="1"/>
  <c r="AN8" i="1"/>
  <c r="AN12" i="1"/>
  <c r="AN92" i="1"/>
  <c r="AN9" i="1"/>
  <c r="AN10" i="1"/>
  <c r="AN160" i="1"/>
  <c r="AN91" i="1"/>
  <c r="AG50" i="1"/>
  <c r="AH50" i="1"/>
  <c r="AI50" i="1"/>
  <c r="AJ50" i="1"/>
  <c r="AK50" i="1"/>
  <c r="AL50" i="1"/>
  <c r="AN53" i="1"/>
  <c r="AN94" i="1"/>
  <c r="AB76" i="1"/>
  <c r="AC76" i="1" s="1"/>
  <c r="AB73" i="1"/>
  <c r="AB18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B77" i="1"/>
  <c r="AC92" i="1"/>
  <c r="L74" i="1"/>
  <c r="AB74" i="1"/>
  <c r="AN50" i="1"/>
  <c r="AM46" i="1"/>
  <c r="AN52" i="1" l="1"/>
  <c r="AM52" i="1"/>
  <c r="AC52" i="1"/>
  <c r="AD52" i="1" s="1"/>
  <c r="AE52" i="1" s="1"/>
  <c r="AF52" i="1" s="1"/>
  <c r="AG52" i="1" s="1"/>
  <c r="AH52" i="1" s="1"/>
  <c r="AI52" i="1" s="1"/>
  <c r="AJ52" i="1" s="1"/>
  <c r="AK52" i="1" s="1"/>
  <c r="AL52" i="1" s="1"/>
  <c r="AC34" i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N51" i="1"/>
  <c r="AC51" i="1"/>
  <c r="AD51" i="1" s="1"/>
  <c r="AE51" i="1" s="1"/>
  <c r="AF51" i="1" s="1"/>
  <c r="AG51" i="1" s="1"/>
  <c r="AH51" i="1" s="1"/>
  <c r="AI51" i="1" s="1"/>
  <c r="AJ51" i="1" s="1"/>
  <c r="AK51" i="1" s="1"/>
  <c r="AL51" i="1" s="1"/>
  <c r="AM51" i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H76" i="1"/>
  <c r="AI76" i="1"/>
  <c r="AL76" i="1"/>
  <c r="AJ76" i="1"/>
  <c r="AG76" i="1"/>
  <c r="AN76" i="1"/>
  <c r="AM76" i="1"/>
  <c r="AD92" i="1"/>
  <c r="AE92" i="1" s="1"/>
  <c r="AO17" i="1"/>
  <c r="AC75" i="1"/>
  <c r="AD75" i="1" s="1"/>
  <c r="AC72" i="1"/>
  <c r="AD72" i="1" s="1"/>
  <c r="AJ72" i="1"/>
  <c r="AN75" i="1"/>
  <c r="AK72" i="1"/>
  <c r="AG72" i="1"/>
  <c r="AG75" i="1"/>
  <c r="AJ75" i="1"/>
  <c r="AH75" i="1"/>
  <c r="AI72" i="1"/>
  <c r="AH72" i="1"/>
  <c r="AI75" i="1"/>
  <c r="AK75" i="1"/>
  <c r="AO171" i="1"/>
  <c r="AO97" i="1"/>
  <c r="AL72" i="1"/>
  <c r="AO53" i="1"/>
  <c r="AN72" i="1"/>
  <c r="AM75" i="1"/>
  <c r="AO52" i="1"/>
  <c r="AO76" i="1"/>
  <c r="AO95" i="1"/>
  <c r="AO75" i="1"/>
  <c r="AP3" i="1"/>
  <c r="AP161" i="1" s="1"/>
  <c r="AO10" i="1"/>
  <c r="AO12" i="1"/>
  <c r="AO13" i="1"/>
  <c r="AO8" i="1"/>
  <c r="AO92" i="1"/>
  <c r="AO160" i="1"/>
  <c r="AO91" i="1"/>
  <c r="AO9" i="1"/>
  <c r="AO72" i="1"/>
  <c r="AO84" i="1"/>
  <c r="AO94" i="1"/>
  <c r="AO51" i="1"/>
  <c r="AN74" i="1"/>
  <c r="AM74" i="1"/>
  <c r="AO74" i="1"/>
  <c r="AL74" i="1"/>
  <c r="AG74" i="1"/>
  <c r="AH74" i="1"/>
  <c r="AI74" i="1"/>
  <c r="AJ74" i="1"/>
  <c r="AK74" i="1"/>
  <c r="AE50" i="1"/>
  <c r="AM77" i="1"/>
  <c r="AL77" i="1"/>
  <c r="AN77" i="1"/>
  <c r="AO77" i="1"/>
  <c r="AG77" i="1"/>
  <c r="AH77" i="1"/>
  <c r="AI77" i="1"/>
  <c r="AJ77" i="1"/>
  <c r="AK77" i="1"/>
  <c r="AB20" i="1"/>
  <c r="AC18" i="1"/>
  <c r="AC73" i="1"/>
  <c r="AC77" i="1"/>
  <c r="AC74" i="1"/>
  <c r="AM73" i="1"/>
  <c r="AL73" i="1"/>
  <c r="AN73" i="1"/>
  <c r="AO73" i="1"/>
  <c r="AG73" i="1"/>
  <c r="AH73" i="1"/>
  <c r="AI73" i="1"/>
  <c r="AJ73" i="1"/>
  <c r="AK73" i="1"/>
  <c r="AD76" i="1"/>
  <c r="AO50" i="1"/>
  <c r="AN46" i="1"/>
  <c r="AP97" i="1" l="1"/>
  <c r="AP171" i="1"/>
  <c r="AP74" i="1"/>
  <c r="AP17" i="1"/>
  <c r="AP77" i="1"/>
  <c r="AP94" i="1"/>
  <c r="AP53" i="1"/>
  <c r="AP52" i="1"/>
  <c r="AP73" i="1"/>
  <c r="AP51" i="1"/>
  <c r="AP84" i="1"/>
  <c r="AP95" i="1"/>
  <c r="AQ3" i="1"/>
  <c r="AQ161" i="1" s="1"/>
  <c r="AP10" i="1"/>
  <c r="AP13" i="1"/>
  <c r="AP12" i="1"/>
  <c r="AP8" i="1"/>
  <c r="AP160" i="1"/>
  <c r="AP92" i="1"/>
  <c r="AP91" i="1"/>
  <c r="AP9" i="1"/>
  <c r="AP75" i="1"/>
  <c r="AP76" i="1"/>
  <c r="AP72" i="1"/>
  <c r="AP34" i="1"/>
  <c r="AF50" i="1"/>
  <c r="AD77" i="1"/>
  <c r="AF92" i="1"/>
  <c r="AE72" i="1"/>
  <c r="AD73" i="1"/>
  <c r="AE76" i="1"/>
  <c r="AD18" i="1"/>
  <c r="AC20" i="1"/>
  <c r="AD74" i="1"/>
  <c r="AB26" i="1"/>
  <c r="AB30" i="1" s="1"/>
  <c r="AB105" i="1" s="1"/>
  <c r="AB38" i="1"/>
  <c r="AB42" i="1" s="1"/>
  <c r="AB106" i="1" s="1"/>
  <c r="AE75" i="1"/>
  <c r="AP50" i="1"/>
  <c r="AO46" i="1"/>
  <c r="AQ171" i="1" l="1"/>
  <c r="AQ94" i="1"/>
  <c r="AQ51" i="1"/>
  <c r="AQ97" i="1"/>
  <c r="AQ52" i="1"/>
  <c r="AQ95" i="1"/>
  <c r="AQ34" i="1"/>
  <c r="AQ53" i="1"/>
  <c r="AQ84" i="1"/>
  <c r="AR3" i="1"/>
  <c r="AR161" i="1" s="1"/>
  <c r="AQ9" i="1"/>
  <c r="AQ13" i="1"/>
  <c r="AQ91" i="1"/>
  <c r="AQ92" i="1"/>
  <c r="AQ10" i="1"/>
  <c r="AQ160" i="1"/>
  <c r="AQ12" i="1"/>
  <c r="AQ8" i="1"/>
  <c r="AQ72" i="1"/>
  <c r="AQ75" i="1"/>
  <c r="AQ76" i="1"/>
  <c r="AQ77" i="1"/>
  <c r="AQ73" i="1"/>
  <c r="AQ74" i="1"/>
  <c r="AQ17" i="1"/>
  <c r="AE74" i="1"/>
  <c r="AC26" i="1"/>
  <c r="AC38" i="1"/>
  <c r="AC42" i="1" s="1"/>
  <c r="AC106" i="1" s="1"/>
  <c r="AE18" i="1"/>
  <c r="AD20" i="1"/>
  <c r="AE77" i="1"/>
  <c r="AF72" i="1"/>
  <c r="AF75" i="1"/>
  <c r="AF76" i="1"/>
  <c r="AB163" i="1"/>
  <c r="AB55" i="1"/>
  <c r="AB57" i="1" s="1"/>
  <c r="AE73" i="1"/>
  <c r="AQ50" i="1"/>
  <c r="AP46" i="1"/>
  <c r="AB64" i="1" l="1"/>
  <c r="AB125" i="1" s="1"/>
  <c r="AR17" i="1"/>
  <c r="AR94" i="1"/>
  <c r="AR171" i="1"/>
  <c r="AR84" i="1"/>
  <c r="AR53" i="1"/>
  <c r="AR97" i="1"/>
  <c r="AR52" i="1"/>
  <c r="AR51" i="1"/>
  <c r="AR95" i="1"/>
  <c r="AS3" i="1"/>
  <c r="AS161" i="1" s="1"/>
  <c r="AR10" i="1"/>
  <c r="AR8" i="1"/>
  <c r="AR91" i="1"/>
  <c r="AR9" i="1"/>
  <c r="AR92" i="1"/>
  <c r="AR160" i="1"/>
  <c r="AR12" i="1"/>
  <c r="AR13" i="1"/>
  <c r="AR76" i="1"/>
  <c r="AR72" i="1"/>
  <c r="AR75" i="1"/>
  <c r="AR77" i="1"/>
  <c r="AR74" i="1"/>
  <c r="AR73" i="1"/>
  <c r="AR34" i="1"/>
  <c r="AF77" i="1"/>
  <c r="AF18" i="1"/>
  <c r="AE20" i="1"/>
  <c r="AB81" i="1"/>
  <c r="AB82" i="1"/>
  <c r="AB101" i="1" s="1"/>
  <c r="AB56" i="1"/>
  <c r="AC163" i="1"/>
  <c r="AF73" i="1"/>
  <c r="AB107" i="1"/>
  <c r="AB68" i="1"/>
  <c r="AB67" i="1"/>
  <c r="AB128" i="1" s="1"/>
  <c r="AB69" i="1"/>
  <c r="AB130" i="1" s="1"/>
  <c r="AC30" i="1"/>
  <c r="AC55" i="1"/>
  <c r="AC57" i="1" s="1"/>
  <c r="AD38" i="1"/>
  <c r="AD42" i="1" s="1"/>
  <c r="AD106" i="1" s="1"/>
  <c r="AD26" i="1"/>
  <c r="AF74" i="1"/>
  <c r="AR50" i="1"/>
  <c r="AQ46" i="1"/>
  <c r="AB162" i="1" l="1"/>
  <c r="AB159" i="1" s="1"/>
  <c r="AB100" i="1"/>
  <c r="AB115" i="1"/>
  <c r="AS34" i="1"/>
  <c r="AS94" i="1"/>
  <c r="AS171" i="1"/>
  <c r="AS51" i="1"/>
  <c r="AS97" i="1"/>
  <c r="AS53" i="1"/>
  <c r="AS95" i="1"/>
  <c r="AS17" i="1"/>
  <c r="AS84" i="1"/>
  <c r="AT3" i="1"/>
  <c r="AT161" i="1" s="1"/>
  <c r="AS92" i="1"/>
  <c r="AS13" i="1"/>
  <c r="AS9" i="1"/>
  <c r="AS160" i="1"/>
  <c r="AS12" i="1"/>
  <c r="AS91" i="1"/>
  <c r="AS8" i="1"/>
  <c r="AS10" i="1"/>
  <c r="AS76" i="1"/>
  <c r="AS75" i="1"/>
  <c r="AS72" i="1"/>
  <c r="AS74" i="1"/>
  <c r="AS77" i="1"/>
  <c r="AS73" i="1"/>
  <c r="AS52" i="1"/>
  <c r="AD163" i="1"/>
  <c r="AB66" i="1"/>
  <c r="AB127" i="1" s="1"/>
  <c r="AB65" i="1"/>
  <c r="AB126" i="1" s="1"/>
  <c r="AC105" i="1"/>
  <c r="AC107" i="1" s="1"/>
  <c r="AC67" i="1"/>
  <c r="AC128" i="1" s="1"/>
  <c r="AC68" i="1"/>
  <c r="AC64" i="1"/>
  <c r="AC125" i="1" s="1"/>
  <c r="AC69" i="1"/>
  <c r="AC130" i="1" s="1"/>
  <c r="AC81" i="1"/>
  <c r="AC82" i="1"/>
  <c r="AC101" i="1" s="1"/>
  <c r="AC115" i="1" s="1"/>
  <c r="AC56" i="1"/>
  <c r="AE26" i="1"/>
  <c r="AE38" i="1"/>
  <c r="AE42" i="1" s="1"/>
  <c r="AE106" i="1" s="1"/>
  <c r="AG18" i="1"/>
  <c r="AF20" i="1"/>
  <c r="AD30" i="1"/>
  <c r="AC162" i="1" s="1"/>
  <c r="AC159" i="1" s="1"/>
  <c r="AD55" i="1"/>
  <c r="AD57" i="1" s="1"/>
  <c r="AS50" i="1"/>
  <c r="AR46" i="1"/>
  <c r="AB181" i="1" l="1"/>
  <c r="AB183" i="1" s="1"/>
  <c r="AB141" i="1" s="1"/>
  <c r="AB158" i="1"/>
  <c r="AB102" i="1"/>
  <c r="AB116" i="1" s="1"/>
  <c r="AB120" i="1" s="1"/>
  <c r="AC100" i="1"/>
  <c r="AB114" i="1"/>
  <c r="AT94" i="1"/>
  <c r="AT171" i="1"/>
  <c r="AB129" i="1"/>
  <c r="AB124" i="1" s="1"/>
  <c r="AB123" i="1" s="1"/>
  <c r="AT52" i="1"/>
  <c r="AT17" i="1"/>
  <c r="AT97" i="1"/>
  <c r="AT53" i="1"/>
  <c r="AT34" i="1"/>
  <c r="AT84" i="1"/>
  <c r="AT51" i="1"/>
  <c r="AU3" i="1"/>
  <c r="AU161" i="1" s="1"/>
  <c r="AT10" i="1"/>
  <c r="AT92" i="1"/>
  <c r="AT13" i="1"/>
  <c r="AT91" i="1"/>
  <c r="AT160" i="1"/>
  <c r="AT12" i="1"/>
  <c r="AT8" i="1"/>
  <c r="AT9" i="1"/>
  <c r="AT75" i="1"/>
  <c r="AT76" i="1"/>
  <c r="AT72" i="1"/>
  <c r="AT73" i="1"/>
  <c r="AT77" i="1"/>
  <c r="AT74" i="1"/>
  <c r="AT95" i="1"/>
  <c r="AC181" i="1"/>
  <c r="AC183" i="1" s="1"/>
  <c r="AC141" i="1" s="1"/>
  <c r="AC158" i="1"/>
  <c r="AD56" i="1"/>
  <c r="AD81" i="1"/>
  <c r="AD82" i="1"/>
  <c r="AD101" i="1" s="1"/>
  <c r="AD115" i="1" s="1"/>
  <c r="AD105" i="1"/>
  <c r="AD107" i="1" s="1"/>
  <c r="AD64" i="1"/>
  <c r="AD125" i="1" s="1"/>
  <c r="AD68" i="1"/>
  <c r="AD67" i="1"/>
  <c r="AD128" i="1" s="1"/>
  <c r="AD69" i="1"/>
  <c r="AD130" i="1" s="1"/>
  <c r="AH18" i="1"/>
  <c r="AG20" i="1"/>
  <c r="AF26" i="1"/>
  <c r="AF38" i="1"/>
  <c r="AF42" i="1" s="1"/>
  <c r="AF106" i="1" s="1"/>
  <c r="AC66" i="1"/>
  <c r="AC127" i="1" s="1"/>
  <c r="AC65" i="1"/>
  <c r="AC126" i="1" s="1"/>
  <c r="AE163" i="1"/>
  <c r="AE30" i="1"/>
  <c r="AD162" i="1" s="1"/>
  <c r="AD159" i="1" s="1"/>
  <c r="AE55" i="1"/>
  <c r="AE57" i="1" s="1"/>
  <c r="AT50" i="1"/>
  <c r="AS46" i="1"/>
  <c r="AC114" i="1" l="1"/>
  <c r="AC102" i="1"/>
  <c r="AC116" i="1" s="1"/>
  <c r="AC120" i="1" s="1"/>
  <c r="AD100" i="1"/>
  <c r="AU171" i="1"/>
  <c r="AB136" i="1"/>
  <c r="AU95" i="1"/>
  <c r="AU94" i="1"/>
  <c r="AU84" i="1"/>
  <c r="AU52" i="1"/>
  <c r="AU17" i="1"/>
  <c r="AU97" i="1"/>
  <c r="AU34" i="1"/>
  <c r="AU53" i="1"/>
  <c r="AV3" i="1"/>
  <c r="AV161" i="1" s="1"/>
  <c r="AU12" i="1"/>
  <c r="AU91" i="1"/>
  <c r="AU9" i="1"/>
  <c r="AU10" i="1"/>
  <c r="AU13" i="1"/>
  <c r="AU160" i="1"/>
  <c r="AU92" i="1"/>
  <c r="AU8" i="1"/>
  <c r="AU72" i="1"/>
  <c r="AU75" i="1"/>
  <c r="AU76" i="1"/>
  <c r="AU77" i="1"/>
  <c r="AU74" i="1"/>
  <c r="AU73" i="1"/>
  <c r="AU51" i="1"/>
  <c r="AD181" i="1"/>
  <c r="AD183" i="1" s="1"/>
  <c r="AD141" i="1" s="1"/>
  <c r="AD158" i="1"/>
  <c r="AB113" i="1"/>
  <c r="AC129" i="1"/>
  <c r="AC124" i="1" s="1"/>
  <c r="AC123" i="1" s="1"/>
  <c r="AC113" i="1"/>
  <c r="AC119" i="1" s="1"/>
  <c r="AE105" i="1"/>
  <c r="AE107" i="1" s="1"/>
  <c r="AE64" i="1"/>
  <c r="AE125" i="1" s="1"/>
  <c r="AE68" i="1"/>
  <c r="AE67" i="1"/>
  <c r="AE128" i="1" s="1"/>
  <c r="AE69" i="1"/>
  <c r="AE130" i="1" s="1"/>
  <c r="AF163" i="1"/>
  <c r="AF30" i="1"/>
  <c r="AE162" i="1" s="1"/>
  <c r="AE159" i="1" s="1"/>
  <c r="AF55" i="1"/>
  <c r="AF57" i="1" s="1"/>
  <c r="AE82" i="1"/>
  <c r="AE101" i="1" s="1"/>
  <c r="AE115" i="1" s="1"/>
  <c r="AE56" i="1"/>
  <c r="AE81" i="1"/>
  <c r="AG38" i="1"/>
  <c r="AG42" i="1" s="1"/>
  <c r="AG106" i="1" s="1"/>
  <c r="AG26" i="1"/>
  <c r="AI18" i="1"/>
  <c r="AH20" i="1"/>
  <c r="AD66" i="1"/>
  <c r="AD127" i="1" s="1"/>
  <c r="AD65" i="1"/>
  <c r="AD126" i="1" s="1"/>
  <c r="AU50" i="1"/>
  <c r="AT46" i="1"/>
  <c r="AC136" i="1" l="1"/>
  <c r="AB119" i="1"/>
  <c r="AB118" i="1" s="1"/>
  <c r="AB122" i="1" s="1"/>
  <c r="AB138" i="1" s="1"/>
  <c r="AD114" i="1"/>
  <c r="AD102" i="1"/>
  <c r="AD116" i="1" s="1"/>
  <c r="AD120" i="1" s="1"/>
  <c r="AE100" i="1"/>
  <c r="AV52" i="1"/>
  <c r="AV171" i="1"/>
  <c r="AV51" i="1"/>
  <c r="AV97" i="1"/>
  <c r="AV53" i="1"/>
  <c r="AV34" i="1"/>
  <c r="AV95" i="1"/>
  <c r="AV84" i="1"/>
  <c r="AV94" i="1"/>
  <c r="AW3" i="1"/>
  <c r="AW161" i="1" s="1"/>
  <c r="AV91" i="1"/>
  <c r="AV9" i="1"/>
  <c r="AV13" i="1"/>
  <c r="AV8" i="1"/>
  <c r="AV10" i="1"/>
  <c r="AV92" i="1"/>
  <c r="AV12" i="1"/>
  <c r="AV160" i="1"/>
  <c r="AV76" i="1"/>
  <c r="AV75" i="1"/>
  <c r="AV72" i="1"/>
  <c r="AV74" i="1"/>
  <c r="AV77" i="1"/>
  <c r="AV73" i="1"/>
  <c r="AV17" i="1"/>
  <c r="AD129" i="1"/>
  <c r="AD124" i="1" s="1"/>
  <c r="AD123" i="1" s="1"/>
  <c r="AE181" i="1"/>
  <c r="AE183" i="1" s="1"/>
  <c r="AE141" i="1" s="1"/>
  <c r="AE158" i="1"/>
  <c r="AC118" i="1"/>
  <c r="AC122" i="1" s="1"/>
  <c r="AC138" i="1" s="1"/>
  <c r="AE66" i="1"/>
  <c r="AE127" i="1" s="1"/>
  <c r="AE65" i="1"/>
  <c r="AE126" i="1" s="1"/>
  <c r="AG30" i="1"/>
  <c r="AF162" i="1" s="1"/>
  <c r="AF159" i="1" s="1"/>
  <c r="AG55" i="1"/>
  <c r="AG57" i="1" s="1"/>
  <c r="AE114" i="1"/>
  <c r="AG163" i="1"/>
  <c r="AH38" i="1"/>
  <c r="AH42" i="1" s="1"/>
  <c r="AH106" i="1" s="1"/>
  <c r="AH26" i="1"/>
  <c r="AF56" i="1"/>
  <c r="AF82" i="1"/>
  <c r="AF101" i="1" s="1"/>
  <c r="AF115" i="1" s="1"/>
  <c r="AF81" i="1"/>
  <c r="AJ18" i="1"/>
  <c r="AI20" i="1"/>
  <c r="AF105" i="1"/>
  <c r="AF107" i="1" s="1"/>
  <c r="AF64" i="1"/>
  <c r="AF125" i="1" s="1"/>
  <c r="AF67" i="1"/>
  <c r="AF128" i="1" s="1"/>
  <c r="AF68" i="1"/>
  <c r="AF69" i="1"/>
  <c r="AF130" i="1" s="1"/>
  <c r="AV50" i="1"/>
  <c r="AU46" i="1"/>
  <c r="AB139" i="1" l="1"/>
  <c r="AB152" i="1"/>
  <c r="AE102" i="1"/>
  <c r="AE116" i="1" s="1"/>
  <c r="AE120" i="1" s="1"/>
  <c r="AD113" i="1"/>
  <c r="AD119" i="1" s="1"/>
  <c r="AD118" i="1" s="1"/>
  <c r="AD122" i="1" s="1"/>
  <c r="AD136" i="1"/>
  <c r="AF100" i="1"/>
  <c r="AW52" i="1"/>
  <c r="AW171" i="1"/>
  <c r="AW17" i="1"/>
  <c r="AW97" i="1"/>
  <c r="AW53" i="1"/>
  <c r="AW84" i="1"/>
  <c r="AW34" i="1"/>
  <c r="AW51" i="1"/>
  <c r="AW94" i="1"/>
  <c r="AX3" i="1"/>
  <c r="AX161" i="1" s="1"/>
  <c r="AW9" i="1"/>
  <c r="AW12" i="1"/>
  <c r="AW10" i="1"/>
  <c r="AW8" i="1"/>
  <c r="AW92" i="1"/>
  <c r="AW160" i="1"/>
  <c r="AW91" i="1"/>
  <c r="AW13" i="1"/>
  <c r="AW75" i="1"/>
  <c r="AW76" i="1"/>
  <c r="AW72" i="1"/>
  <c r="AW77" i="1"/>
  <c r="AW74" i="1"/>
  <c r="AW73" i="1"/>
  <c r="AW95" i="1"/>
  <c r="AB143" i="1"/>
  <c r="AF181" i="1"/>
  <c r="AF183" i="1" s="1"/>
  <c r="AF141" i="1" s="1"/>
  <c r="AF158" i="1"/>
  <c r="AE129" i="1"/>
  <c r="AE124" i="1" s="1"/>
  <c r="AE123" i="1" s="1"/>
  <c r="AC143" i="1"/>
  <c r="AC145" i="1" s="1"/>
  <c r="AC153" i="1" s="1"/>
  <c r="AC152" i="1"/>
  <c r="AC139" i="1"/>
  <c r="AG105" i="1"/>
  <c r="AG107" i="1" s="1"/>
  <c r="AG68" i="1"/>
  <c r="AG64" i="1"/>
  <c r="AG125" i="1" s="1"/>
  <c r="AG67" i="1"/>
  <c r="AG128" i="1" s="1"/>
  <c r="AG69" i="1"/>
  <c r="AG130" i="1" s="1"/>
  <c r="AF65" i="1"/>
  <c r="AF126" i="1" s="1"/>
  <c r="AF66" i="1"/>
  <c r="AF127" i="1" s="1"/>
  <c r="AH163" i="1"/>
  <c r="AH30" i="1"/>
  <c r="AG162" i="1" s="1"/>
  <c r="AG159" i="1" s="1"/>
  <c r="AH55" i="1"/>
  <c r="AH57" i="1" s="1"/>
  <c r="AI26" i="1"/>
  <c r="AI38" i="1"/>
  <c r="AI42" i="1" s="1"/>
  <c r="AI106" i="1" s="1"/>
  <c r="AK18" i="1"/>
  <c r="AJ20" i="1"/>
  <c r="AG56" i="1"/>
  <c r="AG81" i="1"/>
  <c r="AG82" i="1"/>
  <c r="AG101" i="1" s="1"/>
  <c r="AG115" i="1" s="1"/>
  <c r="AW50" i="1"/>
  <c r="AV46" i="1"/>
  <c r="AB145" i="1" l="1"/>
  <c r="AB153" i="1" s="1"/>
  <c r="AB154" i="1" s="1"/>
  <c r="AB164" i="1" s="1"/>
  <c r="AD138" i="1"/>
  <c r="AF114" i="1"/>
  <c r="AD143" i="1"/>
  <c r="AD145" i="1" s="1"/>
  <c r="AD153" i="1" s="1"/>
  <c r="AE136" i="1"/>
  <c r="AE113" i="1"/>
  <c r="AE119" i="1" s="1"/>
  <c r="AE118" i="1" s="1"/>
  <c r="AE122" i="1" s="1"/>
  <c r="AF102" i="1"/>
  <c r="AF116" i="1" s="1"/>
  <c r="AG100" i="1"/>
  <c r="AX97" i="1"/>
  <c r="AX171" i="1"/>
  <c r="AX95" i="1"/>
  <c r="AX34" i="1"/>
  <c r="AX52" i="1"/>
  <c r="AX51" i="1"/>
  <c r="AX84" i="1"/>
  <c r="AX53" i="1"/>
  <c r="AY3" i="1"/>
  <c r="AY161" i="1" s="1"/>
  <c r="AX160" i="1"/>
  <c r="AX92" i="1"/>
  <c r="AX10" i="1"/>
  <c r="AX9" i="1"/>
  <c r="AX12" i="1"/>
  <c r="AX13" i="1"/>
  <c r="AX91" i="1"/>
  <c r="AX8" i="1"/>
  <c r="AX76" i="1"/>
  <c r="AX72" i="1"/>
  <c r="AX75" i="1"/>
  <c r="AX73" i="1"/>
  <c r="AX74" i="1"/>
  <c r="AX77" i="1"/>
  <c r="AB147" i="1"/>
  <c r="AB148" i="1" s="1"/>
  <c r="AX17" i="1"/>
  <c r="AX94" i="1"/>
  <c r="AG181" i="1"/>
  <c r="AG183" i="1" s="1"/>
  <c r="AG141" i="1" s="1"/>
  <c r="AG158" i="1"/>
  <c r="AF129" i="1"/>
  <c r="AF124" i="1" s="1"/>
  <c r="AF123" i="1" s="1"/>
  <c r="AC154" i="1"/>
  <c r="AC164" i="1" s="1"/>
  <c r="AG114" i="1"/>
  <c r="AI30" i="1"/>
  <c r="AH162" i="1" s="1"/>
  <c r="AH159" i="1" s="1"/>
  <c r="AI55" i="1"/>
  <c r="AI57" i="1" s="1"/>
  <c r="AG65" i="1"/>
  <c r="AG126" i="1" s="1"/>
  <c r="AG66" i="1"/>
  <c r="AG127" i="1" s="1"/>
  <c r="AH82" i="1"/>
  <c r="AH101" i="1" s="1"/>
  <c r="AH115" i="1" s="1"/>
  <c r="AH56" i="1"/>
  <c r="AH81" i="1"/>
  <c r="AL18" i="1"/>
  <c r="AK20" i="1"/>
  <c r="AH105" i="1"/>
  <c r="AH107" i="1" s="1"/>
  <c r="AH68" i="1"/>
  <c r="AH64" i="1"/>
  <c r="AH125" i="1" s="1"/>
  <c r="AH67" i="1"/>
  <c r="AH128" i="1" s="1"/>
  <c r="AH69" i="1"/>
  <c r="AH130" i="1" s="1"/>
  <c r="AJ26" i="1"/>
  <c r="AJ38" i="1"/>
  <c r="AJ42" i="1" s="1"/>
  <c r="AJ106" i="1" s="1"/>
  <c r="AI163" i="1"/>
  <c r="AC147" i="1"/>
  <c r="AC148" i="1" s="1"/>
  <c r="AX50" i="1"/>
  <c r="AW46" i="1"/>
  <c r="AE138" i="1" l="1"/>
  <c r="AF136" i="1"/>
  <c r="AB165" i="1"/>
  <c r="AF113" i="1"/>
  <c r="AF119" i="1" s="1"/>
  <c r="AF120" i="1"/>
  <c r="AD152" i="1"/>
  <c r="AD154" i="1" s="1"/>
  <c r="AD164" i="1" s="1"/>
  <c r="AD165" i="1" s="1"/>
  <c r="AD139" i="1"/>
  <c r="AG102" i="1"/>
  <c r="AG116" i="1" s="1"/>
  <c r="AG120" i="1" s="1"/>
  <c r="AH100" i="1"/>
  <c r="AY171" i="1"/>
  <c r="AZ3" i="1"/>
  <c r="AZ161" i="1" s="1"/>
  <c r="AY8" i="1"/>
  <c r="AY10" i="1"/>
  <c r="AY9" i="1"/>
  <c r="AY160" i="1"/>
  <c r="AY12" i="1"/>
  <c r="AY92" i="1"/>
  <c r="AY91" i="1"/>
  <c r="AY13" i="1"/>
  <c r="AY72" i="1"/>
  <c r="AY75" i="1"/>
  <c r="AY76" i="1"/>
  <c r="AY74" i="1"/>
  <c r="AY73" i="1"/>
  <c r="AY77" i="1"/>
  <c r="AY95" i="1"/>
  <c r="AY34" i="1"/>
  <c r="AZ34" i="1" s="1"/>
  <c r="AY51" i="1"/>
  <c r="AY52" i="1"/>
  <c r="AY94" i="1"/>
  <c r="AY53" i="1"/>
  <c r="AY97" i="1"/>
  <c r="AY17" i="1"/>
  <c r="AY84" i="1"/>
  <c r="AH181" i="1"/>
  <c r="AH183" i="1" s="1"/>
  <c r="AH141" i="1" s="1"/>
  <c r="AH158" i="1"/>
  <c r="AC165" i="1"/>
  <c r="AG129" i="1"/>
  <c r="AG124" i="1" s="1"/>
  <c r="AG123" i="1" s="1"/>
  <c r="AD147" i="1"/>
  <c r="AD148" i="1" s="1"/>
  <c r="AJ163" i="1"/>
  <c r="AE143" i="1"/>
  <c r="AE139" i="1"/>
  <c r="AE152" i="1"/>
  <c r="AJ30" i="1"/>
  <c r="AI162" i="1" s="1"/>
  <c r="AI159" i="1" s="1"/>
  <c r="AJ55" i="1"/>
  <c r="AJ57" i="1" s="1"/>
  <c r="AK26" i="1"/>
  <c r="AK38" i="1"/>
  <c r="AK42" i="1" s="1"/>
  <c r="AK106" i="1" s="1"/>
  <c r="AH114" i="1"/>
  <c r="AI68" i="1"/>
  <c r="AI105" i="1"/>
  <c r="AI107" i="1" s="1"/>
  <c r="AI67" i="1"/>
  <c r="AI128" i="1" s="1"/>
  <c r="AI64" i="1"/>
  <c r="AI125" i="1" s="1"/>
  <c r="AI69" i="1"/>
  <c r="AI130" i="1" s="1"/>
  <c r="AM18" i="1"/>
  <c r="AL20" i="1"/>
  <c r="AH66" i="1"/>
  <c r="AH127" i="1" s="1"/>
  <c r="AH65" i="1"/>
  <c r="AH126" i="1" s="1"/>
  <c r="AI56" i="1"/>
  <c r="AI81" i="1"/>
  <c r="AI82" i="1"/>
  <c r="AI101" i="1" s="1"/>
  <c r="AI115" i="1" s="1"/>
  <c r="AY50" i="1"/>
  <c r="AX46" i="1"/>
  <c r="AF118" i="1" l="1"/>
  <c r="AF122" i="1" s="1"/>
  <c r="AF138" i="1" s="1"/>
  <c r="AG113" i="1"/>
  <c r="AG119" i="1" s="1"/>
  <c r="AG118" i="1" s="1"/>
  <c r="AG122" i="1" s="1"/>
  <c r="AH102" i="1"/>
  <c r="AH116" i="1" s="1"/>
  <c r="AH136" i="1" s="1"/>
  <c r="AG136" i="1"/>
  <c r="AI100" i="1"/>
  <c r="AZ94" i="1"/>
  <c r="AZ171" i="1"/>
  <c r="AZ53" i="1"/>
  <c r="AZ17" i="1"/>
  <c r="AZ97" i="1"/>
  <c r="AZ52" i="1"/>
  <c r="AZ51" i="1"/>
  <c r="AZ84" i="1"/>
  <c r="AZ95" i="1"/>
  <c r="BA3" i="1"/>
  <c r="BA161" i="1" s="1"/>
  <c r="AZ160" i="1"/>
  <c r="AZ13" i="1"/>
  <c r="AZ12" i="1"/>
  <c r="AZ10" i="1"/>
  <c r="AZ8" i="1"/>
  <c r="AZ9" i="1"/>
  <c r="AZ91" i="1"/>
  <c r="AZ92" i="1"/>
  <c r="AZ75" i="1"/>
  <c r="AZ76" i="1"/>
  <c r="AZ72" i="1"/>
  <c r="AZ74" i="1"/>
  <c r="AZ77" i="1"/>
  <c r="AZ73" i="1"/>
  <c r="AF143" i="1"/>
  <c r="AF145" i="1" s="1"/>
  <c r="AF153" i="1" s="1"/>
  <c r="AI181" i="1"/>
  <c r="AI183" i="1" s="1"/>
  <c r="AI141" i="1" s="1"/>
  <c r="AI158" i="1"/>
  <c r="AF139" i="1"/>
  <c r="AF152" i="1"/>
  <c r="AH129" i="1"/>
  <c r="AH124" i="1" s="1"/>
  <c r="AH123" i="1" s="1"/>
  <c r="AL38" i="1"/>
  <c r="AL42" i="1" s="1"/>
  <c r="AL106" i="1" s="1"/>
  <c r="AL26" i="1"/>
  <c r="AE145" i="1"/>
  <c r="AE153" i="1" s="1"/>
  <c r="AE154" i="1" s="1"/>
  <c r="AK163" i="1"/>
  <c r="AK30" i="1"/>
  <c r="AJ162" i="1" s="1"/>
  <c r="AJ159" i="1" s="1"/>
  <c r="AK55" i="1"/>
  <c r="AK57" i="1" s="1"/>
  <c r="AJ81" i="1"/>
  <c r="AJ56" i="1"/>
  <c r="AJ82" i="1"/>
  <c r="AJ101" i="1" s="1"/>
  <c r="AJ115" i="1" s="1"/>
  <c r="AJ68" i="1"/>
  <c r="AJ67" i="1"/>
  <c r="AJ128" i="1" s="1"/>
  <c r="AJ105" i="1"/>
  <c r="AJ107" i="1" s="1"/>
  <c r="AJ64" i="1"/>
  <c r="AJ125" i="1" s="1"/>
  <c r="AJ69" i="1"/>
  <c r="AJ130" i="1" s="1"/>
  <c r="AN18" i="1"/>
  <c r="AM20" i="1"/>
  <c r="AI114" i="1"/>
  <c r="AI66" i="1"/>
  <c r="AI127" i="1" s="1"/>
  <c r="AI65" i="1"/>
  <c r="AI126" i="1" s="1"/>
  <c r="AZ50" i="1"/>
  <c r="AY46" i="1"/>
  <c r="AG138" i="1" l="1"/>
  <c r="AG139" i="1" s="1"/>
  <c r="AH113" i="1"/>
  <c r="AH119" i="1" s="1"/>
  <c r="AH120" i="1"/>
  <c r="AI102" i="1"/>
  <c r="AI116" i="1" s="1"/>
  <c r="AI120" i="1" s="1"/>
  <c r="AJ100" i="1"/>
  <c r="BA52" i="1"/>
  <c r="BA171" i="1"/>
  <c r="BA97" i="1"/>
  <c r="BA51" i="1"/>
  <c r="BA17" i="1"/>
  <c r="BA84" i="1"/>
  <c r="BA34" i="1"/>
  <c r="BB3" i="1"/>
  <c r="BB161" i="1" s="1"/>
  <c r="BA9" i="1"/>
  <c r="BA92" i="1"/>
  <c r="BA8" i="1"/>
  <c r="BA13" i="1"/>
  <c r="BA12" i="1"/>
  <c r="BA160" i="1"/>
  <c r="BA91" i="1"/>
  <c r="BA10" i="1"/>
  <c r="BA75" i="1"/>
  <c r="BA72" i="1"/>
  <c r="BA76" i="1"/>
  <c r="BA74" i="1"/>
  <c r="BA73" i="1"/>
  <c r="BA77" i="1"/>
  <c r="BA94" i="1"/>
  <c r="BA95" i="1"/>
  <c r="BA53" i="1"/>
  <c r="AF154" i="1"/>
  <c r="AF164" i="1" s="1"/>
  <c r="AJ181" i="1"/>
  <c r="AJ183" i="1" s="1"/>
  <c r="AJ141" i="1" s="1"/>
  <c r="AJ158" i="1"/>
  <c r="AI129" i="1"/>
  <c r="AI124" i="1" s="1"/>
  <c r="AI123" i="1" s="1"/>
  <c r="AE164" i="1"/>
  <c r="AE147" i="1"/>
  <c r="AE148" i="1" s="1"/>
  <c r="AF147" i="1"/>
  <c r="AF148" i="1" s="1"/>
  <c r="AK67" i="1"/>
  <c r="AK128" i="1" s="1"/>
  <c r="AK105" i="1"/>
  <c r="AK107" i="1" s="1"/>
  <c r="AK64" i="1"/>
  <c r="AK125" i="1" s="1"/>
  <c r="AK69" i="1"/>
  <c r="AK130" i="1" s="1"/>
  <c r="AK68" i="1"/>
  <c r="AL30" i="1"/>
  <c r="AK162" i="1" s="1"/>
  <c r="AK159" i="1" s="1"/>
  <c r="AL55" i="1"/>
  <c r="AL57" i="1" s="1"/>
  <c r="AK82" i="1"/>
  <c r="AK101" i="1" s="1"/>
  <c r="AK115" i="1" s="1"/>
  <c r="AK56" i="1"/>
  <c r="AK81" i="1"/>
  <c r="AK100" i="1" s="1"/>
  <c r="AL163" i="1"/>
  <c r="AM38" i="1"/>
  <c r="AM42" i="1" s="1"/>
  <c r="AM106" i="1" s="1"/>
  <c r="AM26" i="1"/>
  <c r="AO18" i="1"/>
  <c r="AN20" i="1"/>
  <c r="AJ65" i="1"/>
  <c r="AJ126" i="1" s="1"/>
  <c r="AJ66" i="1"/>
  <c r="AJ127" i="1" s="1"/>
  <c r="BA50" i="1"/>
  <c r="AZ46" i="1"/>
  <c r="AH118" i="1" l="1"/>
  <c r="AH122" i="1" s="1"/>
  <c r="AH138" i="1" s="1"/>
  <c r="AJ114" i="1"/>
  <c r="AI113" i="1"/>
  <c r="AI119" i="1" s="1"/>
  <c r="AI118" i="1" s="1"/>
  <c r="AI122" i="1" s="1"/>
  <c r="AI136" i="1"/>
  <c r="AK181" i="1"/>
  <c r="AK183" i="1" s="1"/>
  <c r="AK141" i="1" s="1"/>
  <c r="AK158" i="1"/>
  <c r="AJ102" i="1"/>
  <c r="AJ116" i="1" s="1"/>
  <c r="AG152" i="1"/>
  <c r="AG143" i="1"/>
  <c r="AG145" i="1" s="1"/>
  <c r="AG153" i="1" s="1"/>
  <c r="BB94" i="1"/>
  <c r="BB52" i="1"/>
  <c r="BB171" i="1"/>
  <c r="BB17" i="1"/>
  <c r="BB51" i="1"/>
  <c r="BB95" i="1"/>
  <c r="BB84" i="1"/>
  <c r="BB97" i="1"/>
  <c r="BC3" i="1"/>
  <c r="BC161" i="1" s="1"/>
  <c r="BB9" i="1"/>
  <c r="BB10" i="1"/>
  <c r="BB8" i="1"/>
  <c r="BB160" i="1"/>
  <c r="BB92" i="1"/>
  <c r="BB13" i="1"/>
  <c r="BB91" i="1"/>
  <c r="BB12" i="1"/>
  <c r="BB75" i="1"/>
  <c r="BB72" i="1"/>
  <c r="BB76" i="1"/>
  <c r="BB77" i="1"/>
  <c r="BB74" i="1"/>
  <c r="BB73" i="1"/>
  <c r="BB53" i="1"/>
  <c r="BB34" i="1"/>
  <c r="AF165" i="1"/>
  <c r="AE165" i="1"/>
  <c r="AJ129" i="1"/>
  <c r="AJ124" i="1" s="1"/>
  <c r="AJ123" i="1" s="1"/>
  <c r="AH139" i="1"/>
  <c r="AH143" i="1"/>
  <c r="AH145" i="1" s="1"/>
  <c r="AH153" i="1" s="1"/>
  <c r="AH152" i="1"/>
  <c r="AK65" i="1"/>
  <c r="AK126" i="1" s="1"/>
  <c r="AK66" i="1"/>
  <c r="AK127" i="1" s="1"/>
  <c r="AM163" i="1"/>
  <c r="AK114" i="1"/>
  <c r="AK102" i="1"/>
  <c r="AK116" i="1" s="1"/>
  <c r="AL56" i="1"/>
  <c r="AL81" i="1"/>
  <c r="AL100" i="1" s="1"/>
  <c r="AL82" i="1"/>
  <c r="AL101" i="1" s="1"/>
  <c r="AL115" i="1" s="1"/>
  <c r="AL64" i="1"/>
  <c r="AL125" i="1" s="1"/>
  <c r="AL69" i="1"/>
  <c r="AL130" i="1" s="1"/>
  <c r="AL68" i="1"/>
  <c r="AL67" i="1"/>
  <c r="AL128" i="1" s="1"/>
  <c r="AL105" i="1"/>
  <c r="AL107" i="1" s="1"/>
  <c r="AN26" i="1"/>
  <c r="AN38" i="1"/>
  <c r="AN42" i="1" s="1"/>
  <c r="AN106" i="1" s="1"/>
  <c r="AP18" i="1"/>
  <c r="AO20" i="1"/>
  <c r="AM55" i="1"/>
  <c r="AM57" i="1" s="1"/>
  <c r="AM30" i="1"/>
  <c r="AL162" i="1" s="1"/>
  <c r="AL159" i="1" s="1"/>
  <c r="BB50" i="1"/>
  <c r="BA46" i="1"/>
  <c r="AJ136" i="1" l="1"/>
  <c r="AI138" i="1"/>
  <c r="AI152" i="1" s="1"/>
  <c r="AJ113" i="1"/>
  <c r="AJ119" i="1" s="1"/>
  <c r="AJ120" i="1"/>
  <c r="AG154" i="1"/>
  <c r="AG164" i="1" s="1"/>
  <c r="AG147" i="1"/>
  <c r="AG148" i="1" s="1"/>
  <c r="AK136" i="1"/>
  <c r="BC53" i="1"/>
  <c r="BC84" i="1"/>
  <c r="BC171" i="1"/>
  <c r="BC17" i="1"/>
  <c r="BC51" i="1"/>
  <c r="BC97" i="1"/>
  <c r="BC34" i="1"/>
  <c r="BD3" i="1"/>
  <c r="BD161" i="1" s="1"/>
  <c r="BC160" i="1"/>
  <c r="BC92" i="1"/>
  <c r="BC8" i="1"/>
  <c r="BC12" i="1"/>
  <c r="BC9" i="1"/>
  <c r="BC91" i="1"/>
  <c r="BC10" i="1"/>
  <c r="BC13" i="1"/>
  <c r="BC76" i="1"/>
  <c r="BC72" i="1"/>
  <c r="BC75" i="1"/>
  <c r="BC77" i="1"/>
  <c r="BC73" i="1"/>
  <c r="BC74" i="1"/>
  <c r="BC95" i="1"/>
  <c r="BC94" i="1"/>
  <c r="BC52" i="1"/>
  <c r="AH154" i="1"/>
  <c r="AH164" i="1" s="1"/>
  <c r="AI143" i="1"/>
  <c r="AI145" i="1" s="1"/>
  <c r="AI153" i="1" s="1"/>
  <c r="AL181" i="1"/>
  <c r="AL183" i="1" s="1"/>
  <c r="AL141" i="1" s="1"/>
  <c r="AL158" i="1"/>
  <c r="AK129" i="1"/>
  <c r="AK124" i="1" s="1"/>
  <c r="AK123" i="1" s="1"/>
  <c r="AH147" i="1"/>
  <c r="AH148" i="1" s="1"/>
  <c r="AM56" i="1"/>
  <c r="AM81" i="1"/>
  <c r="AM100" i="1" s="1"/>
  <c r="AM82" i="1"/>
  <c r="AM101" i="1" s="1"/>
  <c r="AM115" i="1" s="1"/>
  <c r="AN55" i="1"/>
  <c r="AN57" i="1" s="1"/>
  <c r="AN30" i="1"/>
  <c r="AM162" i="1" s="1"/>
  <c r="AM159" i="1" s="1"/>
  <c r="AM69" i="1"/>
  <c r="AM130" i="1" s="1"/>
  <c r="AM68" i="1"/>
  <c r="AM67" i="1"/>
  <c r="AM128" i="1" s="1"/>
  <c r="AM64" i="1"/>
  <c r="AM125" i="1" s="1"/>
  <c r="AM105" i="1"/>
  <c r="AM107" i="1" s="1"/>
  <c r="AK113" i="1"/>
  <c r="AK119" i="1" s="1"/>
  <c r="AQ18" i="1"/>
  <c r="AP20" i="1"/>
  <c r="AK120" i="1"/>
  <c r="AO26" i="1"/>
  <c r="AO38" i="1"/>
  <c r="AO42" i="1" s="1"/>
  <c r="AO106" i="1" s="1"/>
  <c r="AL114" i="1"/>
  <c r="AL102" i="1"/>
  <c r="AL116" i="1" s="1"/>
  <c r="AL66" i="1"/>
  <c r="AL127" i="1" s="1"/>
  <c r="AL65" i="1"/>
  <c r="AL126" i="1" s="1"/>
  <c r="AN163" i="1"/>
  <c r="BC50" i="1"/>
  <c r="BB46" i="1"/>
  <c r="AJ118" i="1" l="1"/>
  <c r="AJ122" i="1" s="1"/>
  <c r="AJ138" i="1" s="1"/>
  <c r="AI139" i="1"/>
  <c r="AG165" i="1"/>
  <c r="BD171" i="1"/>
  <c r="AL136" i="1"/>
  <c r="BD95" i="1"/>
  <c r="AL129" i="1"/>
  <c r="AL124" i="1" s="1"/>
  <c r="AL123" i="1" s="1"/>
  <c r="BD34" i="1"/>
  <c r="BD51" i="1"/>
  <c r="BD84" i="1"/>
  <c r="BD52" i="1"/>
  <c r="BE3" i="1"/>
  <c r="BE161" i="1" s="1"/>
  <c r="BD160" i="1"/>
  <c r="BD91" i="1"/>
  <c r="BD13" i="1"/>
  <c r="BD9" i="1"/>
  <c r="BD8" i="1"/>
  <c r="BD92" i="1"/>
  <c r="BD10" i="1"/>
  <c r="BD12" i="1"/>
  <c r="BD75" i="1"/>
  <c r="BD72" i="1"/>
  <c r="BD76" i="1"/>
  <c r="BD74" i="1"/>
  <c r="BD73" i="1"/>
  <c r="BD77" i="1"/>
  <c r="BD53" i="1"/>
  <c r="BD17" i="1"/>
  <c r="BD94" i="1"/>
  <c r="BD97" i="1"/>
  <c r="AH165" i="1"/>
  <c r="AJ152" i="1"/>
  <c r="AM181" i="1"/>
  <c r="AM183" i="1" s="1"/>
  <c r="AM141" i="1" s="1"/>
  <c r="AM158" i="1"/>
  <c r="AI154" i="1"/>
  <c r="AI164" i="1" s="1"/>
  <c r="AJ139" i="1"/>
  <c r="AJ143" i="1"/>
  <c r="AJ145" i="1" s="1"/>
  <c r="AJ153" i="1" s="1"/>
  <c r="AL113" i="1"/>
  <c r="AL119" i="1" s="1"/>
  <c r="AO30" i="1"/>
  <c r="AN162" i="1" s="1"/>
  <c r="AN159" i="1" s="1"/>
  <c r="AO55" i="1"/>
  <c r="AO57" i="1" s="1"/>
  <c r="AI147" i="1"/>
  <c r="AI148" i="1" s="1"/>
  <c r="AP26" i="1"/>
  <c r="AP38" i="1"/>
  <c r="AP42" i="1" s="1"/>
  <c r="AP106" i="1" s="1"/>
  <c r="AR18" i="1"/>
  <c r="AQ20" i="1"/>
  <c r="AL120" i="1"/>
  <c r="AK118" i="1"/>
  <c r="AK122" i="1" s="1"/>
  <c r="AK138" i="1" s="1"/>
  <c r="AN64" i="1"/>
  <c r="AN125" i="1" s="1"/>
  <c r="AN67" i="1"/>
  <c r="AN128" i="1" s="1"/>
  <c r="AN68" i="1"/>
  <c r="AN69" i="1"/>
  <c r="AN130" i="1" s="1"/>
  <c r="AN105" i="1"/>
  <c r="AN107" i="1" s="1"/>
  <c r="AN56" i="1"/>
  <c r="AN81" i="1"/>
  <c r="AN100" i="1" s="1"/>
  <c r="AN82" i="1"/>
  <c r="AN101" i="1" s="1"/>
  <c r="AN115" i="1" s="1"/>
  <c r="AM114" i="1"/>
  <c r="AM102" i="1"/>
  <c r="AM116" i="1" s="1"/>
  <c r="AO163" i="1"/>
  <c r="AM66" i="1"/>
  <c r="AM127" i="1" s="1"/>
  <c r="AM65" i="1"/>
  <c r="AM126" i="1" s="1"/>
  <c r="BD50" i="1"/>
  <c r="BC46" i="1"/>
  <c r="BE171" i="1" l="1"/>
  <c r="AM136" i="1"/>
  <c r="BE53" i="1"/>
  <c r="BE17" i="1"/>
  <c r="BE51" i="1"/>
  <c r="BF3" i="1"/>
  <c r="BF161" i="1" s="1"/>
  <c r="BE10" i="1"/>
  <c r="BE13" i="1"/>
  <c r="BE12" i="1"/>
  <c r="BE160" i="1"/>
  <c r="BE8" i="1"/>
  <c r="BE91" i="1"/>
  <c r="BE92" i="1"/>
  <c r="BE9" i="1"/>
  <c r="BE75" i="1"/>
  <c r="BE76" i="1"/>
  <c r="BE72" i="1"/>
  <c r="BE74" i="1"/>
  <c r="BE73" i="1"/>
  <c r="BE77" i="1"/>
  <c r="BE97" i="1"/>
  <c r="BE95" i="1"/>
  <c r="BE52" i="1"/>
  <c r="BE84" i="1"/>
  <c r="BE94" i="1"/>
  <c r="BE34" i="1"/>
  <c r="AJ154" i="1"/>
  <c r="AJ164" i="1" s="1"/>
  <c r="AJ165" i="1" s="1"/>
  <c r="AN181" i="1"/>
  <c r="AN183" i="1" s="1"/>
  <c r="AN141" i="1" s="1"/>
  <c r="AN158" i="1"/>
  <c r="AM129" i="1"/>
  <c r="AM124" i="1" s="1"/>
  <c r="AM123" i="1" s="1"/>
  <c r="AI165" i="1"/>
  <c r="AL118" i="1"/>
  <c r="AL122" i="1" s="1"/>
  <c r="AL138" i="1" s="1"/>
  <c r="AJ147" i="1"/>
  <c r="AJ148" i="1" s="1"/>
  <c r="AP30" i="1"/>
  <c r="AO162" i="1" s="1"/>
  <c r="AO159" i="1" s="1"/>
  <c r="AP55" i="1"/>
  <c r="AP57" i="1" s="1"/>
  <c r="AO68" i="1"/>
  <c r="AO64" i="1"/>
  <c r="AO125" i="1" s="1"/>
  <c r="AO67" i="1"/>
  <c r="AO128" i="1" s="1"/>
  <c r="AO69" i="1"/>
  <c r="AO130" i="1" s="1"/>
  <c r="AO105" i="1"/>
  <c r="AO107" i="1" s="1"/>
  <c r="AN114" i="1"/>
  <c r="AN102" i="1"/>
  <c r="AN116" i="1" s="1"/>
  <c r="AS18" i="1"/>
  <c r="AR20" i="1"/>
  <c r="AM120" i="1"/>
  <c r="AO81" i="1"/>
  <c r="AO100" i="1" s="1"/>
  <c r="AO82" i="1"/>
  <c r="AO101" i="1" s="1"/>
  <c r="AO115" i="1" s="1"/>
  <c r="AO56" i="1"/>
  <c r="AQ26" i="1"/>
  <c r="AQ38" i="1"/>
  <c r="AQ42" i="1" s="1"/>
  <c r="AQ106" i="1" s="1"/>
  <c r="AK152" i="1"/>
  <c r="AK143" i="1"/>
  <c r="AK139" i="1"/>
  <c r="AM113" i="1"/>
  <c r="AM119" i="1" s="1"/>
  <c r="AN65" i="1"/>
  <c r="AN126" i="1" s="1"/>
  <c r="AN66" i="1"/>
  <c r="AN127" i="1" s="1"/>
  <c r="AP163" i="1"/>
  <c r="BE50" i="1"/>
  <c r="BD46" i="1"/>
  <c r="BF171" i="1" l="1"/>
  <c r="AN136" i="1"/>
  <c r="BF95" i="1"/>
  <c r="BF52" i="1"/>
  <c r="BF53" i="1"/>
  <c r="BF84" i="1"/>
  <c r="BF97" i="1"/>
  <c r="BG3" i="1"/>
  <c r="BG161" i="1" s="1"/>
  <c r="BF9" i="1"/>
  <c r="BF160" i="1"/>
  <c r="BF92" i="1"/>
  <c r="BF13" i="1"/>
  <c r="BF10" i="1"/>
  <c r="BF12" i="1"/>
  <c r="BF91" i="1"/>
  <c r="BF8" i="1"/>
  <c r="BF72" i="1"/>
  <c r="BF75" i="1"/>
  <c r="BF76" i="1"/>
  <c r="BF77" i="1"/>
  <c r="BF74" i="1"/>
  <c r="BF73" i="1"/>
  <c r="BF34" i="1"/>
  <c r="BF17" i="1"/>
  <c r="BF94" i="1"/>
  <c r="BF51" i="1"/>
  <c r="AO181" i="1"/>
  <c r="AO183" i="1" s="1"/>
  <c r="AO141" i="1" s="1"/>
  <c r="AO158" i="1"/>
  <c r="AN129" i="1"/>
  <c r="AN124" i="1" s="1"/>
  <c r="AN123" i="1" s="1"/>
  <c r="AM118" i="1"/>
  <c r="AM122" i="1" s="1"/>
  <c r="AM138" i="1" s="1"/>
  <c r="AN113" i="1"/>
  <c r="AN119" i="1" s="1"/>
  <c r="AO114" i="1"/>
  <c r="AO102" i="1"/>
  <c r="AO116" i="1" s="1"/>
  <c r="AO120" i="1" s="1"/>
  <c r="AK145" i="1"/>
  <c r="AK153" i="1" s="1"/>
  <c r="AK154" i="1" s="1"/>
  <c r="AK164" i="1" s="1"/>
  <c r="AR26" i="1"/>
  <c r="AR38" i="1"/>
  <c r="AR42" i="1" s="1"/>
  <c r="AR106" i="1" s="1"/>
  <c r="AL143" i="1"/>
  <c r="AL139" i="1"/>
  <c r="AL152" i="1"/>
  <c r="AQ163" i="1"/>
  <c r="AT18" i="1"/>
  <c r="AS20" i="1"/>
  <c r="AQ55" i="1"/>
  <c r="AQ57" i="1" s="1"/>
  <c r="AQ30" i="1"/>
  <c r="AP162" i="1" s="1"/>
  <c r="AP159" i="1" s="1"/>
  <c r="AP56" i="1"/>
  <c r="AP82" i="1"/>
  <c r="AP101" i="1" s="1"/>
  <c r="AP115" i="1" s="1"/>
  <c r="AP81" i="1"/>
  <c r="AP100" i="1" s="1"/>
  <c r="AO65" i="1"/>
  <c r="AO126" i="1" s="1"/>
  <c r="AO66" i="1"/>
  <c r="AO127" i="1" s="1"/>
  <c r="AN120" i="1"/>
  <c r="AP64" i="1"/>
  <c r="AP125" i="1" s="1"/>
  <c r="AP67" i="1"/>
  <c r="AP128" i="1" s="1"/>
  <c r="AP69" i="1"/>
  <c r="AP130" i="1" s="1"/>
  <c r="AP68" i="1"/>
  <c r="AP105" i="1"/>
  <c r="AP107" i="1" s="1"/>
  <c r="BF50" i="1"/>
  <c r="BE46" i="1"/>
  <c r="BG171" i="1" l="1"/>
  <c r="AO136" i="1"/>
  <c r="BG17" i="1"/>
  <c r="BG34" i="1"/>
  <c r="BG97" i="1"/>
  <c r="BH3" i="1"/>
  <c r="BH161" i="1" s="1"/>
  <c r="BG91" i="1"/>
  <c r="BG12" i="1"/>
  <c r="BG9" i="1"/>
  <c r="BG8" i="1"/>
  <c r="BG10" i="1"/>
  <c r="BG160" i="1"/>
  <c r="BG92" i="1"/>
  <c r="BG13" i="1"/>
  <c r="BG72" i="1"/>
  <c r="BG75" i="1"/>
  <c r="BG76" i="1"/>
  <c r="BG73" i="1"/>
  <c r="BG77" i="1"/>
  <c r="BG74" i="1"/>
  <c r="BG51" i="1"/>
  <c r="BG95" i="1"/>
  <c r="BG94" i="1"/>
  <c r="BG53" i="1"/>
  <c r="BG84" i="1"/>
  <c r="BG52" i="1"/>
  <c r="AM139" i="1"/>
  <c r="AP181" i="1"/>
  <c r="AP183" i="1" s="1"/>
  <c r="AP141" i="1" s="1"/>
  <c r="AP158" i="1"/>
  <c r="AK165" i="1"/>
  <c r="AO129" i="1"/>
  <c r="AO124" i="1" s="1"/>
  <c r="AO123" i="1" s="1"/>
  <c r="AN118" i="1"/>
  <c r="AN122" i="1" s="1"/>
  <c r="AN138" i="1" s="1"/>
  <c r="AK147" i="1"/>
  <c r="AK148" i="1" s="1"/>
  <c r="AM152" i="1"/>
  <c r="AM143" i="1"/>
  <c r="AM145" i="1" s="1"/>
  <c r="AM153" i="1" s="1"/>
  <c r="AL145" i="1"/>
  <c r="AL153" i="1" s="1"/>
  <c r="AL154" i="1" s="1"/>
  <c r="AL164" i="1" s="1"/>
  <c r="AR30" i="1"/>
  <c r="AQ162" i="1" s="1"/>
  <c r="AQ159" i="1" s="1"/>
  <c r="AR55" i="1"/>
  <c r="AR57" i="1" s="1"/>
  <c r="AP65" i="1"/>
  <c r="AP126" i="1" s="1"/>
  <c r="AP66" i="1"/>
  <c r="AP127" i="1" s="1"/>
  <c r="AS26" i="1"/>
  <c r="AS38" i="1"/>
  <c r="AS42" i="1" s="1"/>
  <c r="AS106" i="1" s="1"/>
  <c r="AR163" i="1"/>
  <c r="AU18" i="1"/>
  <c r="AT20" i="1"/>
  <c r="AO113" i="1"/>
  <c r="AO119" i="1" s="1"/>
  <c r="AO118" i="1" s="1"/>
  <c r="AO122" i="1" s="1"/>
  <c r="AP114" i="1"/>
  <c r="AP102" i="1"/>
  <c r="AP116" i="1" s="1"/>
  <c r="AQ105" i="1"/>
  <c r="AQ107" i="1" s="1"/>
  <c r="AQ69" i="1"/>
  <c r="AQ130" i="1" s="1"/>
  <c r="AQ67" i="1"/>
  <c r="AQ128" i="1" s="1"/>
  <c r="AQ68" i="1"/>
  <c r="AQ64" i="1"/>
  <c r="AQ125" i="1" s="1"/>
  <c r="AQ82" i="1"/>
  <c r="AQ101" i="1" s="1"/>
  <c r="AQ115" i="1" s="1"/>
  <c r="AQ56" i="1"/>
  <c r="AQ81" i="1"/>
  <c r="AQ100" i="1" s="1"/>
  <c r="BG50" i="1"/>
  <c r="BF46" i="1"/>
  <c r="AO138" i="1" l="1"/>
  <c r="BH171" i="1"/>
  <c r="AP136" i="1"/>
  <c r="BH94" i="1"/>
  <c r="BH95" i="1"/>
  <c r="BH97" i="1"/>
  <c r="BH84" i="1"/>
  <c r="BH53" i="1"/>
  <c r="BH51" i="1"/>
  <c r="BI3" i="1"/>
  <c r="BI161" i="1" s="1"/>
  <c r="BH12" i="1"/>
  <c r="BH91" i="1"/>
  <c r="BH160" i="1"/>
  <c r="BH13" i="1"/>
  <c r="BH8" i="1"/>
  <c r="BH10" i="1"/>
  <c r="BH92" i="1"/>
  <c r="BH9" i="1"/>
  <c r="BH75" i="1"/>
  <c r="BH72" i="1"/>
  <c r="BH76" i="1"/>
  <c r="BH73" i="1"/>
  <c r="BH77" i="1"/>
  <c r="BH74" i="1"/>
  <c r="BH34" i="1"/>
  <c r="BH52" i="1"/>
  <c r="BH17" i="1"/>
  <c r="AN143" i="1"/>
  <c r="AN145" i="1" s="1"/>
  <c r="AN153" i="1" s="1"/>
  <c r="AQ181" i="1"/>
  <c r="AQ183" i="1" s="1"/>
  <c r="AQ141" i="1" s="1"/>
  <c r="AQ158" i="1"/>
  <c r="AL165" i="1"/>
  <c r="AP129" i="1"/>
  <c r="AP124" i="1" s="1"/>
  <c r="AP123" i="1" s="1"/>
  <c r="AN139" i="1"/>
  <c r="AN152" i="1"/>
  <c r="AM154" i="1"/>
  <c r="AM164" i="1" s="1"/>
  <c r="AL147" i="1"/>
  <c r="AL148" i="1" s="1"/>
  <c r="AP113" i="1"/>
  <c r="AP119" i="1" s="1"/>
  <c r="AS163" i="1"/>
  <c r="AM147" i="1"/>
  <c r="AM148" i="1" s="1"/>
  <c r="AV18" i="1"/>
  <c r="AU20" i="1"/>
  <c r="AS30" i="1"/>
  <c r="AR162" i="1" s="1"/>
  <c r="AR159" i="1" s="1"/>
  <c r="AS55" i="1"/>
  <c r="AS57" i="1" s="1"/>
  <c r="AQ114" i="1"/>
  <c r="AQ102" i="1"/>
  <c r="AQ116" i="1" s="1"/>
  <c r="AP120" i="1"/>
  <c r="AR82" i="1"/>
  <c r="AR101" i="1" s="1"/>
  <c r="AR115" i="1" s="1"/>
  <c r="AR56" i="1"/>
  <c r="AR81" i="1"/>
  <c r="AR100" i="1" s="1"/>
  <c r="AT26" i="1"/>
  <c r="AT38" i="1"/>
  <c r="AT42" i="1" s="1"/>
  <c r="AT106" i="1" s="1"/>
  <c r="AQ65" i="1"/>
  <c r="AQ126" i="1" s="1"/>
  <c r="AQ66" i="1"/>
  <c r="AQ127" i="1" s="1"/>
  <c r="AR68" i="1"/>
  <c r="AR67" i="1"/>
  <c r="AR128" i="1" s="1"/>
  <c r="AR69" i="1"/>
  <c r="AR130" i="1" s="1"/>
  <c r="AR105" i="1"/>
  <c r="AR107" i="1" s="1"/>
  <c r="AR64" i="1"/>
  <c r="AR125" i="1" s="1"/>
  <c r="BH50" i="1"/>
  <c r="BG46" i="1"/>
  <c r="BI171" i="1" l="1"/>
  <c r="AQ136" i="1"/>
  <c r="BI52" i="1"/>
  <c r="BI53" i="1"/>
  <c r="BI34" i="1"/>
  <c r="BI84" i="1"/>
  <c r="BJ3" i="1"/>
  <c r="BJ161" i="1" s="1"/>
  <c r="L161" i="1" s="1"/>
  <c r="BI91" i="1"/>
  <c r="BI10" i="1"/>
  <c r="BI12" i="1"/>
  <c r="BI13" i="1"/>
  <c r="BI160" i="1"/>
  <c r="BI92" i="1"/>
  <c r="BI9" i="1"/>
  <c r="BI8" i="1"/>
  <c r="BI72" i="1"/>
  <c r="BI76" i="1"/>
  <c r="BI75" i="1"/>
  <c r="BI74" i="1"/>
  <c r="BI77" i="1"/>
  <c r="BI73" i="1"/>
  <c r="BI51" i="1"/>
  <c r="BI95" i="1"/>
  <c r="BI97" i="1"/>
  <c r="BI17" i="1"/>
  <c r="BI94" i="1"/>
  <c r="AR181" i="1"/>
  <c r="AR183" i="1" s="1"/>
  <c r="AR141" i="1" s="1"/>
  <c r="AR158" i="1"/>
  <c r="AM165" i="1"/>
  <c r="AQ129" i="1"/>
  <c r="AQ124" i="1" s="1"/>
  <c r="AQ123" i="1" s="1"/>
  <c r="AN154" i="1"/>
  <c r="AN164" i="1" s="1"/>
  <c r="AN147" i="1"/>
  <c r="AN148" i="1" s="1"/>
  <c r="AP118" i="1"/>
  <c r="AP122" i="1" s="1"/>
  <c r="AP138" i="1" s="1"/>
  <c r="AT163" i="1"/>
  <c r="AR114" i="1"/>
  <c r="AR102" i="1"/>
  <c r="AR116" i="1" s="1"/>
  <c r="AS105" i="1"/>
  <c r="AS107" i="1" s="1"/>
  <c r="AS68" i="1"/>
  <c r="AS64" i="1"/>
  <c r="AS125" i="1" s="1"/>
  <c r="AS67" i="1"/>
  <c r="AS128" i="1" s="1"/>
  <c r="AS69" i="1"/>
  <c r="AS130" i="1" s="1"/>
  <c r="AO143" i="1"/>
  <c r="AO152" i="1"/>
  <c r="AO139" i="1"/>
  <c r="AQ120" i="1"/>
  <c r="AU26" i="1"/>
  <c r="AU38" i="1"/>
  <c r="AU42" i="1" s="1"/>
  <c r="AU106" i="1" s="1"/>
  <c r="AW18" i="1"/>
  <c r="AV20" i="1"/>
  <c r="AR66" i="1"/>
  <c r="AR127" i="1" s="1"/>
  <c r="AR65" i="1"/>
  <c r="AR126" i="1" s="1"/>
  <c r="AT30" i="1"/>
  <c r="AS162" i="1" s="1"/>
  <c r="AS159" i="1" s="1"/>
  <c r="AT55" i="1"/>
  <c r="AT57" i="1" s="1"/>
  <c r="AQ113" i="1"/>
  <c r="AQ119" i="1" s="1"/>
  <c r="AS81" i="1"/>
  <c r="AS100" i="1" s="1"/>
  <c r="AS82" i="1"/>
  <c r="AS101" i="1" s="1"/>
  <c r="AS115" i="1" s="1"/>
  <c r="AS56" i="1"/>
  <c r="BI50" i="1"/>
  <c r="BH46" i="1"/>
  <c r="AR136" i="1" l="1"/>
  <c r="BJ95" i="1"/>
  <c r="BJ97" i="1"/>
  <c r="BJ51" i="1"/>
  <c r="BJ34" i="1"/>
  <c r="BJ171" i="1"/>
  <c r="L171" i="1" s="1"/>
  <c r="BJ13" i="1"/>
  <c r="BJ8" i="1"/>
  <c r="BJ160" i="1"/>
  <c r="BJ12" i="1"/>
  <c r="BJ10" i="1"/>
  <c r="BJ91" i="1"/>
  <c r="BJ92" i="1"/>
  <c r="BJ9" i="1"/>
  <c r="BJ75" i="1"/>
  <c r="BJ76" i="1"/>
  <c r="BJ72" i="1"/>
  <c r="BJ74" i="1"/>
  <c r="BJ77" i="1"/>
  <c r="BJ73" i="1"/>
  <c r="BJ84" i="1"/>
  <c r="BJ94" i="1"/>
  <c r="BJ53" i="1"/>
  <c r="BJ17" i="1"/>
  <c r="BJ52" i="1"/>
  <c r="AS181" i="1"/>
  <c r="AS183" i="1" s="1"/>
  <c r="AS141" i="1" s="1"/>
  <c r="AS158" i="1"/>
  <c r="AN165" i="1"/>
  <c r="AR129" i="1"/>
  <c r="AR124" i="1" s="1"/>
  <c r="AR123" i="1" s="1"/>
  <c r="AQ118" i="1"/>
  <c r="AQ122" i="1" s="1"/>
  <c r="AQ138" i="1" s="1"/>
  <c r="AP139" i="1"/>
  <c r="AP152" i="1"/>
  <c r="AP143" i="1"/>
  <c r="AP145" i="1" s="1"/>
  <c r="AP153" i="1" s="1"/>
  <c r="AR113" i="1"/>
  <c r="AR119" i="1" s="1"/>
  <c r="AS65" i="1"/>
  <c r="AS126" i="1" s="1"/>
  <c r="AS66" i="1"/>
  <c r="AS127" i="1" s="1"/>
  <c r="AR120" i="1"/>
  <c r="AV26" i="1"/>
  <c r="AV38" i="1"/>
  <c r="AV42" i="1" s="1"/>
  <c r="AV106" i="1" s="1"/>
  <c r="AS114" i="1"/>
  <c r="AS102" i="1"/>
  <c r="AS116" i="1" s="1"/>
  <c r="AU163" i="1"/>
  <c r="AX18" i="1"/>
  <c r="AW20" i="1"/>
  <c r="AO145" i="1"/>
  <c r="AO153" i="1" s="1"/>
  <c r="AO154" i="1" s="1"/>
  <c r="AO164" i="1" s="1"/>
  <c r="AT82" i="1"/>
  <c r="AT101" i="1" s="1"/>
  <c r="AT115" i="1" s="1"/>
  <c r="AT81" i="1"/>
  <c r="AT100" i="1" s="1"/>
  <c r="AT56" i="1"/>
  <c r="AU30" i="1"/>
  <c r="AT162" i="1" s="1"/>
  <c r="AT159" i="1" s="1"/>
  <c r="AU55" i="1"/>
  <c r="AU57" i="1" s="1"/>
  <c r="AT64" i="1"/>
  <c r="AT125" i="1" s="1"/>
  <c r="AT68" i="1"/>
  <c r="AT69" i="1"/>
  <c r="AT130" i="1" s="1"/>
  <c r="AT105" i="1"/>
  <c r="AT107" i="1" s="1"/>
  <c r="AT67" i="1"/>
  <c r="AT128" i="1" s="1"/>
  <c r="BJ50" i="1"/>
  <c r="BI46" i="1"/>
  <c r="L160" i="1" l="1"/>
  <c r="AS136" i="1"/>
  <c r="AU170" i="1"/>
  <c r="BA170" i="1"/>
  <c r="BG170" i="1"/>
  <c r="AW170" i="1"/>
  <c r="BD170" i="1"/>
  <c r="BB170" i="1"/>
  <c r="AS170" i="1"/>
  <c r="AY170" i="1"/>
  <c r="AT170" i="1"/>
  <c r="BF170" i="1"/>
  <c r="AR170" i="1"/>
  <c r="BJ170" i="1"/>
  <c r="AQ170" i="1"/>
  <c r="AV170" i="1"/>
  <c r="BH170" i="1"/>
  <c r="AZ170" i="1"/>
  <c r="AX170" i="1"/>
  <c r="BC170" i="1"/>
  <c r="BI170" i="1"/>
  <c r="BE170" i="1"/>
  <c r="AT181" i="1"/>
  <c r="AT183" i="1" s="1"/>
  <c r="AT141" i="1" s="1"/>
  <c r="AT158" i="1"/>
  <c r="AO165" i="1"/>
  <c r="AS129" i="1"/>
  <c r="AS124" i="1" s="1"/>
  <c r="AS123" i="1" s="1"/>
  <c r="AP154" i="1"/>
  <c r="AP164" i="1" s="1"/>
  <c r="AR118" i="1"/>
  <c r="AR122" i="1" s="1"/>
  <c r="AR138" i="1" s="1"/>
  <c r="AQ139" i="1"/>
  <c r="AQ152" i="1"/>
  <c r="AQ143" i="1"/>
  <c r="AQ145" i="1" s="1"/>
  <c r="AQ153" i="1" s="1"/>
  <c r="AP147" i="1"/>
  <c r="AP148" i="1" s="1"/>
  <c r="AO147" i="1"/>
  <c r="AO148" i="1" s="1"/>
  <c r="AS113" i="1"/>
  <c r="AS119" i="1" s="1"/>
  <c r="AW26" i="1"/>
  <c r="AW38" i="1"/>
  <c r="AW42" i="1" s="1"/>
  <c r="AW106" i="1" s="1"/>
  <c r="AY18" i="1"/>
  <c r="AX20" i="1"/>
  <c r="AT65" i="1"/>
  <c r="AT126" i="1" s="1"/>
  <c r="AT66" i="1"/>
  <c r="AT127" i="1" s="1"/>
  <c r="AV163" i="1"/>
  <c r="AU68" i="1"/>
  <c r="AU67" i="1"/>
  <c r="AU128" i="1" s="1"/>
  <c r="AU105" i="1"/>
  <c r="AU107" i="1" s="1"/>
  <c r="AU64" i="1"/>
  <c r="AU125" i="1" s="1"/>
  <c r="AU69" i="1"/>
  <c r="AU130" i="1" s="1"/>
  <c r="AT114" i="1"/>
  <c r="AT102" i="1"/>
  <c r="AT116" i="1" s="1"/>
  <c r="AV55" i="1"/>
  <c r="AV57" i="1" s="1"/>
  <c r="AV30" i="1"/>
  <c r="AU162" i="1" s="1"/>
  <c r="AU159" i="1" s="1"/>
  <c r="AU56" i="1"/>
  <c r="AU82" i="1"/>
  <c r="AU101" i="1" s="1"/>
  <c r="AU115" i="1" s="1"/>
  <c r="AU81" i="1"/>
  <c r="AU100" i="1" s="1"/>
  <c r="AS120" i="1"/>
  <c r="BJ46" i="1"/>
  <c r="AT136" i="1" l="1"/>
  <c r="AF170" i="1"/>
  <c r="AF172" i="1" s="1"/>
  <c r="AP170" i="1"/>
  <c r="AP172" i="1" s="1"/>
  <c r="AK170" i="1"/>
  <c r="AK172" i="1" s="1"/>
  <c r="AJ170" i="1"/>
  <c r="AJ172" i="1" s="1"/>
  <c r="AN170" i="1"/>
  <c r="AN172" i="1" s="1"/>
  <c r="AG170" i="1"/>
  <c r="AG172" i="1" s="1"/>
  <c r="AE170" i="1"/>
  <c r="AE172" i="1" s="1"/>
  <c r="AC170" i="1"/>
  <c r="AC172" i="1" s="1"/>
  <c r="AL170" i="1"/>
  <c r="AL172" i="1" s="1"/>
  <c r="AH170" i="1"/>
  <c r="AH172" i="1" s="1"/>
  <c r="AM170" i="1"/>
  <c r="AM172" i="1" s="1"/>
  <c r="AI170" i="1"/>
  <c r="AI172" i="1" s="1"/>
  <c r="AO170" i="1"/>
  <c r="AO172" i="1" s="1"/>
  <c r="AB170" i="1"/>
  <c r="AB172" i="1" s="1"/>
  <c r="L170" i="1"/>
  <c r="AD170" i="1"/>
  <c r="AD172" i="1" s="1"/>
  <c r="AU181" i="1"/>
  <c r="AU183" i="1" s="1"/>
  <c r="AU141" i="1" s="1"/>
  <c r="AU158" i="1"/>
  <c r="AQ154" i="1"/>
  <c r="AQ164" i="1" s="1"/>
  <c r="AQ172" i="1" s="1"/>
  <c r="AP165" i="1"/>
  <c r="AR143" i="1"/>
  <c r="AR145" i="1" s="1"/>
  <c r="AR153" i="1" s="1"/>
  <c r="AT129" i="1"/>
  <c r="AT124" i="1" s="1"/>
  <c r="AT123" i="1" s="1"/>
  <c r="AS118" i="1"/>
  <c r="AS122" i="1" s="1"/>
  <c r="AS138" i="1" s="1"/>
  <c r="AT113" i="1"/>
  <c r="AT119" i="1" s="1"/>
  <c r="AT120" i="1"/>
  <c r="AU114" i="1"/>
  <c r="AU102" i="1"/>
  <c r="AU116" i="1" s="1"/>
  <c r="AX38" i="1"/>
  <c r="AX42" i="1" s="1"/>
  <c r="AX106" i="1" s="1"/>
  <c r="AX26" i="1"/>
  <c r="AV67" i="1"/>
  <c r="AV128" i="1" s="1"/>
  <c r="AV68" i="1"/>
  <c r="AV105" i="1"/>
  <c r="AV107" i="1" s="1"/>
  <c r="AV64" i="1"/>
  <c r="AV125" i="1" s="1"/>
  <c r="AV69" i="1"/>
  <c r="AV130" i="1" s="1"/>
  <c r="AZ18" i="1"/>
  <c r="AY20" i="1"/>
  <c r="AU66" i="1"/>
  <c r="AU127" i="1" s="1"/>
  <c r="AU65" i="1"/>
  <c r="AU126" i="1" s="1"/>
  <c r="AQ147" i="1"/>
  <c r="AQ148" i="1" s="1"/>
  <c r="AW163" i="1"/>
  <c r="AV81" i="1"/>
  <c r="AV100" i="1" s="1"/>
  <c r="AV82" i="1"/>
  <c r="AV101" i="1" s="1"/>
  <c r="AV115" i="1" s="1"/>
  <c r="AV56" i="1"/>
  <c r="AW55" i="1"/>
  <c r="AW57" i="1" s="1"/>
  <c r="AW30" i="1"/>
  <c r="AV162" i="1" s="1"/>
  <c r="AV159" i="1" s="1"/>
  <c r="AR139" i="1" l="1"/>
  <c r="AR152" i="1"/>
  <c r="AR154" i="1" s="1"/>
  <c r="AR164" i="1" s="1"/>
  <c r="AR165" i="1" s="1"/>
  <c r="AU136" i="1"/>
  <c r="AB173" i="1"/>
  <c r="AC173" i="1"/>
  <c r="AD173" i="1"/>
  <c r="AH173" i="1"/>
  <c r="AG173" i="1"/>
  <c r="AE173" i="1"/>
  <c r="AF173" i="1"/>
  <c r="AJ173" i="1"/>
  <c r="AI173" i="1"/>
  <c r="AK173" i="1"/>
  <c r="AM173" i="1"/>
  <c r="AP173" i="1"/>
  <c r="AO173" i="1"/>
  <c r="AL173" i="1"/>
  <c r="AN173" i="1"/>
  <c r="AQ165" i="1"/>
  <c r="AS143" i="1"/>
  <c r="AS145" i="1" s="1"/>
  <c r="AS153" i="1" s="1"/>
  <c r="AV181" i="1"/>
  <c r="AV183" i="1" s="1"/>
  <c r="AV141" i="1" s="1"/>
  <c r="AV158" i="1"/>
  <c r="AQ173" i="1"/>
  <c r="AS139" i="1"/>
  <c r="AS152" i="1"/>
  <c r="AT118" i="1"/>
  <c r="AT122" i="1" s="1"/>
  <c r="AT138" i="1" s="1"/>
  <c r="AU129" i="1"/>
  <c r="AU124" i="1" s="1"/>
  <c r="AU123" i="1" s="1"/>
  <c r="AW105" i="1"/>
  <c r="AW107" i="1" s="1"/>
  <c r="AW67" i="1"/>
  <c r="AW128" i="1" s="1"/>
  <c r="AW69" i="1"/>
  <c r="AW130" i="1" s="1"/>
  <c r="AW64" i="1"/>
  <c r="AW125" i="1" s="1"/>
  <c r="AW68" i="1"/>
  <c r="AR147" i="1"/>
  <c r="AR148" i="1" s="1"/>
  <c r="AW81" i="1"/>
  <c r="AW100" i="1" s="1"/>
  <c r="AW82" i="1"/>
  <c r="AW101" i="1" s="1"/>
  <c r="AW115" i="1" s="1"/>
  <c r="AW56" i="1"/>
  <c r="AV114" i="1"/>
  <c r="AV102" i="1"/>
  <c r="AV116" i="1" s="1"/>
  <c r="AY26" i="1"/>
  <c r="AY38" i="1"/>
  <c r="AY42" i="1" s="1"/>
  <c r="AY106" i="1" s="1"/>
  <c r="AX163" i="1"/>
  <c r="AX30" i="1"/>
  <c r="AW162" i="1" s="1"/>
  <c r="AW159" i="1" s="1"/>
  <c r="AX55" i="1"/>
  <c r="AX57" i="1" s="1"/>
  <c r="BA18" i="1"/>
  <c r="AZ20" i="1"/>
  <c r="AU120" i="1"/>
  <c r="AV66" i="1"/>
  <c r="AV127" i="1" s="1"/>
  <c r="AV65" i="1"/>
  <c r="AV126" i="1" s="1"/>
  <c r="AU113" i="1"/>
  <c r="AU119" i="1" s="1"/>
  <c r="AW158" i="1" l="1"/>
  <c r="AW181" i="1"/>
  <c r="AW183" i="1" s="1"/>
  <c r="AW141" i="1" s="1"/>
  <c r="AV136" i="1"/>
  <c r="AV129" i="1"/>
  <c r="AV124" i="1" s="1"/>
  <c r="AV123" i="1" s="1"/>
  <c r="AR172" i="1"/>
  <c r="AT143" i="1"/>
  <c r="AT145" i="1" s="1"/>
  <c r="AT153" i="1" s="1"/>
  <c r="AS154" i="1"/>
  <c r="AS164" i="1" s="1"/>
  <c r="AT139" i="1"/>
  <c r="AU118" i="1"/>
  <c r="AU122" i="1" s="1"/>
  <c r="AU138" i="1" s="1"/>
  <c r="AT152" i="1"/>
  <c r="AW102" i="1"/>
  <c r="AW116" i="1" s="1"/>
  <c r="AW120" i="1" s="1"/>
  <c r="AW114" i="1"/>
  <c r="AX64" i="1"/>
  <c r="AX125" i="1" s="1"/>
  <c r="AX69" i="1"/>
  <c r="AX130" i="1" s="1"/>
  <c r="AX68" i="1"/>
  <c r="AX105" i="1"/>
  <c r="AX107" i="1" s="1"/>
  <c r="AX67" i="1"/>
  <c r="AX128" i="1" s="1"/>
  <c r="AW65" i="1"/>
  <c r="AW126" i="1" s="1"/>
  <c r="AW66" i="1"/>
  <c r="AW127" i="1" s="1"/>
  <c r="AY163" i="1"/>
  <c r="AZ26" i="1"/>
  <c r="AZ38" i="1"/>
  <c r="AZ42" i="1" s="1"/>
  <c r="AZ106" i="1" s="1"/>
  <c r="AY30" i="1"/>
  <c r="AX162" i="1" s="1"/>
  <c r="AX159" i="1" s="1"/>
  <c r="AY55" i="1"/>
  <c r="AY57" i="1" s="1"/>
  <c r="BB18" i="1"/>
  <c r="BA20" i="1"/>
  <c r="AV120" i="1"/>
  <c r="AS147" i="1"/>
  <c r="AS148" i="1" s="1"/>
  <c r="AX82" i="1"/>
  <c r="AX101" i="1" s="1"/>
  <c r="AX115" i="1" s="1"/>
  <c r="AX56" i="1"/>
  <c r="AX81" i="1"/>
  <c r="AX100" i="1" s="1"/>
  <c r="AV113" i="1"/>
  <c r="AV119" i="1" s="1"/>
  <c r="AR173" i="1" l="1"/>
  <c r="AW136" i="1"/>
  <c r="AU152" i="1"/>
  <c r="AX181" i="1"/>
  <c r="AX183" i="1" s="1"/>
  <c r="AX141" i="1" s="1"/>
  <c r="AX158" i="1"/>
  <c r="AS172" i="1"/>
  <c r="AS173" i="1" s="1"/>
  <c r="AS165" i="1"/>
  <c r="AW129" i="1"/>
  <c r="AW124" i="1" s="1"/>
  <c r="AW123" i="1" s="1"/>
  <c r="AU143" i="1"/>
  <c r="AU145" i="1" s="1"/>
  <c r="AU153" i="1" s="1"/>
  <c r="AU139" i="1"/>
  <c r="AT154" i="1"/>
  <c r="AT164" i="1" s="1"/>
  <c r="AV118" i="1"/>
  <c r="AV122" i="1" s="1"/>
  <c r="AV138" i="1" s="1"/>
  <c r="BA38" i="1"/>
  <c r="BA42" i="1" s="1"/>
  <c r="BA106" i="1" s="1"/>
  <c r="BA26" i="1"/>
  <c r="BC18" i="1"/>
  <c r="BB20" i="1"/>
  <c r="AX114" i="1"/>
  <c r="AX102" i="1"/>
  <c r="AX116" i="1" s="1"/>
  <c r="AX65" i="1"/>
  <c r="AX126" i="1" s="1"/>
  <c r="AX66" i="1"/>
  <c r="AX127" i="1" s="1"/>
  <c r="AY81" i="1"/>
  <c r="AY100" i="1" s="1"/>
  <c r="AY82" i="1"/>
  <c r="AY101" i="1" s="1"/>
  <c r="AY115" i="1" s="1"/>
  <c r="AY56" i="1"/>
  <c r="AY69" i="1"/>
  <c r="AY130" i="1" s="1"/>
  <c r="AY64" i="1"/>
  <c r="AY125" i="1" s="1"/>
  <c r="AY105" i="1"/>
  <c r="AY107" i="1" s="1"/>
  <c r="AY67" i="1"/>
  <c r="AY128" i="1" s="1"/>
  <c r="AY68" i="1"/>
  <c r="AZ163" i="1"/>
  <c r="AW113" i="1"/>
  <c r="AW119" i="1" s="1"/>
  <c r="AW118" i="1" s="1"/>
  <c r="AW122" i="1" s="1"/>
  <c r="AT147" i="1"/>
  <c r="AT148" i="1" s="1"/>
  <c r="AZ55" i="1"/>
  <c r="AZ57" i="1" s="1"/>
  <c r="AZ30" i="1"/>
  <c r="AY162" i="1" s="1"/>
  <c r="AY159" i="1" s="1"/>
  <c r="AW138" i="1" l="1"/>
  <c r="AX136" i="1"/>
  <c r="AU154" i="1"/>
  <c r="AU164" i="1" s="1"/>
  <c r="AU165" i="1" s="1"/>
  <c r="AV143" i="1"/>
  <c r="AV145" i="1" s="1"/>
  <c r="AV153" i="1" s="1"/>
  <c r="AY181" i="1"/>
  <c r="AY183" i="1" s="1"/>
  <c r="AY141" i="1" s="1"/>
  <c r="AY158" i="1"/>
  <c r="AT172" i="1"/>
  <c r="AT173" i="1" s="1"/>
  <c r="AT165" i="1"/>
  <c r="AX129" i="1"/>
  <c r="AX124" i="1" s="1"/>
  <c r="AX123" i="1" s="1"/>
  <c r="AV139" i="1"/>
  <c r="AV152" i="1"/>
  <c r="AU147" i="1"/>
  <c r="AU148" i="1" s="1"/>
  <c r="AX120" i="1"/>
  <c r="AZ105" i="1"/>
  <c r="AZ107" i="1" s="1"/>
  <c r="AZ67" i="1"/>
  <c r="AZ128" i="1" s="1"/>
  <c r="AZ68" i="1"/>
  <c r="AZ64" i="1"/>
  <c r="AZ125" i="1" s="1"/>
  <c r="AZ69" i="1"/>
  <c r="AZ130" i="1" s="1"/>
  <c r="AY65" i="1"/>
  <c r="AY126" i="1" s="1"/>
  <c r="AY66" i="1"/>
  <c r="AY127" i="1" s="1"/>
  <c r="AX113" i="1"/>
  <c r="AX119" i="1" s="1"/>
  <c r="AY114" i="1"/>
  <c r="AY102" i="1"/>
  <c r="AY116" i="1" s="1"/>
  <c r="BB26" i="1"/>
  <c r="BB38" i="1"/>
  <c r="BB42" i="1" s="1"/>
  <c r="BB106" i="1" s="1"/>
  <c r="BD18" i="1"/>
  <c r="BC20" i="1"/>
  <c r="BA55" i="1"/>
  <c r="BA57" i="1" s="1"/>
  <c r="BA30" i="1"/>
  <c r="AZ162" i="1" s="1"/>
  <c r="AZ159" i="1" s="1"/>
  <c r="AZ56" i="1"/>
  <c r="AZ82" i="1"/>
  <c r="AZ101" i="1" s="1"/>
  <c r="AZ115" i="1" s="1"/>
  <c r="AZ81" i="1"/>
  <c r="AZ100" i="1" s="1"/>
  <c r="BA163" i="1"/>
  <c r="AX118" i="1" l="1"/>
  <c r="AX122" i="1" s="1"/>
  <c r="AX138" i="1" s="1"/>
  <c r="AU172" i="1"/>
  <c r="AU173" i="1" s="1"/>
  <c r="AY136" i="1"/>
  <c r="AW139" i="1"/>
  <c r="AW152" i="1"/>
  <c r="AW143" i="1"/>
  <c r="AW145" i="1" s="1"/>
  <c r="AW153" i="1" s="1"/>
  <c r="AZ181" i="1"/>
  <c r="AZ183" i="1" s="1"/>
  <c r="AZ141" i="1" s="1"/>
  <c r="AZ158" i="1"/>
  <c r="AV154" i="1"/>
  <c r="AV164" i="1" s="1"/>
  <c r="AY129" i="1"/>
  <c r="AY124" i="1" s="1"/>
  <c r="AY123" i="1" s="1"/>
  <c r="AZ65" i="1"/>
  <c r="AZ126" i="1" s="1"/>
  <c r="AZ66" i="1"/>
  <c r="AZ127" i="1" s="1"/>
  <c r="BB30" i="1"/>
  <c r="BA162" i="1" s="1"/>
  <c r="BA159" i="1" s="1"/>
  <c r="BB55" i="1"/>
  <c r="BB57" i="1" s="1"/>
  <c r="AY120" i="1"/>
  <c r="BC38" i="1"/>
  <c r="BC42" i="1" s="1"/>
  <c r="BC106" i="1" s="1"/>
  <c r="BC26" i="1"/>
  <c r="AY113" i="1"/>
  <c r="AY119" i="1" s="1"/>
  <c r="BA64" i="1"/>
  <c r="BA125" i="1" s="1"/>
  <c r="BA68" i="1"/>
  <c r="BA105" i="1"/>
  <c r="BA107" i="1" s="1"/>
  <c r="BA69" i="1"/>
  <c r="BA130" i="1" s="1"/>
  <c r="BA67" i="1"/>
  <c r="BA128" i="1" s="1"/>
  <c r="AZ102" i="1"/>
  <c r="AZ116" i="1" s="1"/>
  <c r="AZ120" i="1" s="1"/>
  <c r="AZ114" i="1"/>
  <c r="BE18" i="1"/>
  <c r="BD20" i="1"/>
  <c r="BB163" i="1"/>
  <c r="BA56" i="1"/>
  <c r="BA82" i="1"/>
  <c r="BA101" i="1" s="1"/>
  <c r="BA115" i="1" s="1"/>
  <c r="BA81" i="1"/>
  <c r="BA100" i="1" s="1"/>
  <c r="AV147" i="1"/>
  <c r="AV148" i="1" s="1"/>
  <c r="AZ136" i="1" l="1"/>
  <c r="AW154" i="1"/>
  <c r="AW164" i="1" s="1"/>
  <c r="AW165" i="1" s="1"/>
  <c r="AX143" i="1"/>
  <c r="AX145" i="1" s="1"/>
  <c r="AX153" i="1" s="1"/>
  <c r="AX152" i="1"/>
  <c r="AX139" i="1"/>
  <c r="BA181" i="1"/>
  <c r="BA183" i="1" s="1"/>
  <c r="BA141" i="1" s="1"/>
  <c r="BA158" i="1"/>
  <c r="AV172" i="1"/>
  <c r="AV173" i="1" s="1"/>
  <c r="AV165" i="1"/>
  <c r="AZ129" i="1"/>
  <c r="AZ124" i="1" s="1"/>
  <c r="AZ123" i="1" s="1"/>
  <c r="BA114" i="1"/>
  <c r="BA102" i="1"/>
  <c r="BA116" i="1" s="1"/>
  <c r="BD38" i="1"/>
  <c r="BD42" i="1" s="1"/>
  <c r="BD106" i="1" s="1"/>
  <c r="BD26" i="1"/>
  <c r="AY118" i="1"/>
  <c r="AY122" i="1" s="1"/>
  <c r="AY138" i="1" s="1"/>
  <c r="BC30" i="1"/>
  <c r="BB162" i="1" s="1"/>
  <c r="BB159" i="1" s="1"/>
  <c r="BC55" i="1"/>
  <c r="BC57" i="1" s="1"/>
  <c r="BA66" i="1"/>
  <c r="BA127" i="1" s="1"/>
  <c r="BA65" i="1"/>
  <c r="BA126" i="1" s="1"/>
  <c r="BF18" i="1"/>
  <c r="BE20" i="1"/>
  <c r="AZ113" i="1"/>
  <c r="AZ119" i="1" s="1"/>
  <c r="AZ118" i="1" s="1"/>
  <c r="AZ122" i="1" s="1"/>
  <c r="AZ138" i="1" s="1"/>
  <c r="BB82" i="1"/>
  <c r="BB101" i="1" s="1"/>
  <c r="BB115" i="1" s="1"/>
  <c r="BB56" i="1"/>
  <c r="BB81" i="1"/>
  <c r="BB100" i="1" s="1"/>
  <c r="BB68" i="1"/>
  <c r="BB69" i="1"/>
  <c r="BB130" i="1" s="1"/>
  <c r="BB67" i="1"/>
  <c r="BB128" i="1" s="1"/>
  <c r="BB64" i="1"/>
  <c r="BB125" i="1" s="1"/>
  <c r="BB105" i="1"/>
  <c r="BB107" i="1" s="1"/>
  <c r="BC163" i="1"/>
  <c r="AW147" i="1"/>
  <c r="AW148" i="1" s="1"/>
  <c r="BA136" i="1" l="1"/>
  <c r="AW172" i="1"/>
  <c r="AW173" i="1" s="1"/>
  <c r="AX154" i="1"/>
  <c r="AX164" i="1" s="1"/>
  <c r="AX172" i="1" s="1"/>
  <c r="BB181" i="1"/>
  <c r="BB183" i="1" s="1"/>
  <c r="BB141" i="1" s="1"/>
  <c r="BB158" i="1"/>
  <c r="BA129" i="1"/>
  <c r="BA124" i="1" s="1"/>
  <c r="BA123" i="1" s="1"/>
  <c r="AX147" i="1"/>
  <c r="AX148" i="1" s="1"/>
  <c r="BE38" i="1"/>
  <c r="BE42" i="1" s="1"/>
  <c r="BE106" i="1" s="1"/>
  <c r="BE26" i="1"/>
  <c r="BD30" i="1"/>
  <c r="BC162" i="1" s="1"/>
  <c r="BC159" i="1" s="1"/>
  <c r="BD55" i="1"/>
  <c r="BD57" i="1" s="1"/>
  <c r="BD163" i="1"/>
  <c r="BB66" i="1"/>
  <c r="BB127" i="1" s="1"/>
  <c r="BB65" i="1"/>
  <c r="BB126" i="1" s="1"/>
  <c r="BA120" i="1"/>
  <c r="BA113" i="1"/>
  <c r="BA119" i="1" s="1"/>
  <c r="BG18" i="1"/>
  <c r="BF20" i="1"/>
  <c r="BB114" i="1"/>
  <c r="BB102" i="1"/>
  <c r="BB116" i="1" s="1"/>
  <c r="BB120" i="1" s="1"/>
  <c r="BC82" i="1"/>
  <c r="BC101" i="1" s="1"/>
  <c r="BC115" i="1" s="1"/>
  <c r="BC56" i="1"/>
  <c r="BC81" i="1"/>
  <c r="BC100" i="1" s="1"/>
  <c r="BC64" i="1"/>
  <c r="BC125" i="1" s="1"/>
  <c r="BC105" i="1"/>
  <c r="BC107" i="1" s="1"/>
  <c r="BC67" i="1"/>
  <c r="BC128" i="1" s="1"/>
  <c r="BC68" i="1"/>
  <c r="BC69" i="1"/>
  <c r="BC130" i="1" s="1"/>
  <c r="AY152" i="1"/>
  <c r="AY139" i="1" l="1"/>
  <c r="AY143" i="1"/>
  <c r="AY145" i="1" s="1"/>
  <c r="AY153" i="1" s="1"/>
  <c r="AY154" i="1" s="1"/>
  <c r="AY164" i="1" s="1"/>
  <c r="BB136" i="1"/>
  <c r="AX173" i="1"/>
  <c r="AX165" i="1"/>
  <c r="BB129" i="1"/>
  <c r="BB124" i="1" s="1"/>
  <c r="BB123" i="1" s="1"/>
  <c r="AZ143" i="1"/>
  <c r="AZ145" i="1" s="1"/>
  <c r="AZ153" i="1" s="1"/>
  <c r="BC181" i="1"/>
  <c r="BC183" i="1" s="1"/>
  <c r="BC141" i="1" s="1"/>
  <c r="BC158" i="1"/>
  <c r="AZ152" i="1"/>
  <c r="AZ139" i="1"/>
  <c r="BA118" i="1"/>
  <c r="BA122" i="1" s="1"/>
  <c r="BA138" i="1" s="1"/>
  <c r="BB113" i="1"/>
  <c r="BB119" i="1" s="1"/>
  <c r="BB118" i="1" s="1"/>
  <c r="BB122" i="1" s="1"/>
  <c r="BD68" i="1"/>
  <c r="BD64" i="1"/>
  <c r="BD125" i="1" s="1"/>
  <c r="BD69" i="1"/>
  <c r="BD130" i="1" s="1"/>
  <c r="BD105" i="1"/>
  <c r="BD107" i="1" s="1"/>
  <c r="BD67" i="1"/>
  <c r="BD128" i="1" s="1"/>
  <c r="BH18" i="1"/>
  <c r="BG20" i="1"/>
  <c r="BC114" i="1"/>
  <c r="BC102" i="1"/>
  <c r="BC116" i="1" s="1"/>
  <c r="BD56" i="1"/>
  <c r="BD81" i="1"/>
  <c r="BD100" i="1" s="1"/>
  <c r="BD82" i="1"/>
  <c r="BD101" i="1" s="1"/>
  <c r="BD115" i="1" s="1"/>
  <c r="BE55" i="1"/>
  <c r="BE57" i="1" s="1"/>
  <c r="BE30" i="1"/>
  <c r="BD162" i="1" s="1"/>
  <c r="BD159" i="1" s="1"/>
  <c r="BF26" i="1"/>
  <c r="BF38" i="1"/>
  <c r="BF42" i="1" s="1"/>
  <c r="BF106" i="1" s="1"/>
  <c r="BC65" i="1"/>
  <c r="BC126" i="1" s="1"/>
  <c r="BC66" i="1"/>
  <c r="BC127" i="1" s="1"/>
  <c r="BE163" i="1"/>
  <c r="BB138" i="1" l="1"/>
  <c r="BC136" i="1"/>
  <c r="BA143" i="1"/>
  <c r="BA145" i="1" s="1"/>
  <c r="BA153" i="1" s="1"/>
  <c r="AZ154" i="1"/>
  <c r="AZ164" i="1" s="1"/>
  <c r="AZ165" i="1" s="1"/>
  <c r="BD181" i="1"/>
  <c r="BD183" i="1" s="1"/>
  <c r="BD141" i="1" s="1"/>
  <c r="BD158" i="1"/>
  <c r="AY172" i="1"/>
  <c r="AY173" i="1" s="1"/>
  <c r="AY165" i="1"/>
  <c r="AZ147" i="1"/>
  <c r="AZ148" i="1" s="1"/>
  <c r="BC129" i="1"/>
  <c r="BC124" i="1" s="1"/>
  <c r="BC123" i="1" s="1"/>
  <c r="BA139" i="1"/>
  <c r="BA152" i="1"/>
  <c r="AY147" i="1"/>
  <c r="AY148" i="1" s="1"/>
  <c r="BC113" i="1"/>
  <c r="BC119" i="1" s="1"/>
  <c r="BE64" i="1"/>
  <c r="BE125" i="1" s="1"/>
  <c r="BE67" i="1"/>
  <c r="BE128" i="1" s="1"/>
  <c r="BE69" i="1"/>
  <c r="BE130" i="1" s="1"/>
  <c r="BE68" i="1"/>
  <c r="BE105" i="1"/>
  <c r="BE107" i="1" s="1"/>
  <c r="BE82" i="1"/>
  <c r="BE101" i="1" s="1"/>
  <c r="BE115" i="1" s="1"/>
  <c r="BE56" i="1"/>
  <c r="BE81" i="1"/>
  <c r="BE100" i="1" s="1"/>
  <c r="BG26" i="1"/>
  <c r="BG38" i="1"/>
  <c r="BG42" i="1" s="1"/>
  <c r="BG106" i="1" s="1"/>
  <c r="BF30" i="1"/>
  <c r="BE162" i="1" s="1"/>
  <c r="BE159" i="1" s="1"/>
  <c r="BF55" i="1"/>
  <c r="BF57" i="1" s="1"/>
  <c r="BC120" i="1"/>
  <c r="BI18" i="1"/>
  <c r="BH20" i="1"/>
  <c r="BD114" i="1"/>
  <c r="BD102" i="1"/>
  <c r="BD116" i="1" s="1"/>
  <c r="BF163" i="1"/>
  <c r="BD66" i="1"/>
  <c r="BD127" i="1" s="1"/>
  <c r="BD65" i="1"/>
  <c r="BD126" i="1" s="1"/>
  <c r="BD136" i="1" l="1"/>
  <c r="AZ172" i="1"/>
  <c r="AZ173" i="1" s="1"/>
  <c r="BE181" i="1"/>
  <c r="BE183" i="1" s="1"/>
  <c r="BE141" i="1" s="1"/>
  <c r="BE158" i="1"/>
  <c r="BA154" i="1"/>
  <c r="BA164" i="1" s="1"/>
  <c r="BD129" i="1"/>
  <c r="BD124" i="1" s="1"/>
  <c r="BD123" i="1" s="1"/>
  <c r="BA147" i="1"/>
  <c r="BA148" i="1" s="1"/>
  <c r="BC118" i="1"/>
  <c r="BC122" i="1" s="1"/>
  <c r="BC138" i="1" s="1"/>
  <c r="BD113" i="1"/>
  <c r="BD119" i="1" s="1"/>
  <c r="BE65" i="1"/>
  <c r="BE126" i="1" s="1"/>
  <c r="BE66" i="1"/>
  <c r="BE127" i="1" s="1"/>
  <c r="BB143" i="1"/>
  <c r="BB139" i="1"/>
  <c r="BB152" i="1"/>
  <c r="BE114" i="1"/>
  <c r="BE102" i="1"/>
  <c r="BE116" i="1" s="1"/>
  <c r="BJ18" i="1"/>
  <c r="BJ20" i="1" s="1"/>
  <c r="BI20" i="1"/>
  <c r="BF81" i="1"/>
  <c r="BF100" i="1" s="1"/>
  <c r="BF56" i="1"/>
  <c r="BF82" i="1"/>
  <c r="BF101" i="1" s="1"/>
  <c r="BF115" i="1" s="1"/>
  <c r="BF68" i="1"/>
  <c r="BF67" i="1"/>
  <c r="BF128" i="1" s="1"/>
  <c r="BF69" i="1"/>
  <c r="BF130" i="1" s="1"/>
  <c r="BF105" i="1"/>
  <c r="BF107" i="1" s="1"/>
  <c r="BF64" i="1"/>
  <c r="BF125" i="1" s="1"/>
  <c r="BH38" i="1"/>
  <c r="BH42" i="1" s="1"/>
  <c r="BH106" i="1" s="1"/>
  <c r="BH26" i="1"/>
  <c r="BG163" i="1"/>
  <c r="BD120" i="1"/>
  <c r="BG55" i="1"/>
  <c r="BG57" i="1" s="1"/>
  <c r="BG30" i="1"/>
  <c r="BF162" i="1" s="1"/>
  <c r="BF159" i="1" s="1"/>
  <c r="BE136" i="1" l="1"/>
  <c r="BC139" i="1"/>
  <c r="BF181" i="1"/>
  <c r="BF183" i="1" s="1"/>
  <c r="BF141" i="1" s="1"/>
  <c r="BF158" i="1"/>
  <c r="BA172" i="1"/>
  <c r="BA173" i="1" s="1"/>
  <c r="BA165" i="1"/>
  <c r="BE129" i="1"/>
  <c r="BE124" i="1" s="1"/>
  <c r="BE123" i="1" s="1"/>
  <c r="BD118" i="1"/>
  <c r="BD122" i="1" s="1"/>
  <c r="BD138" i="1" s="1"/>
  <c r="BC143" i="1"/>
  <c r="BC145" i="1" s="1"/>
  <c r="BC153" i="1" s="1"/>
  <c r="BC152" i="1"/>
  <c r="BF66" i="1"/>
  <c r="BF127" i="1" s="1"/>
  <c r="BF65" i="1"/>
  <c r="BF126" i="1" s="1"/>
  <c r="BF114" i="1"/>
  <c r="BF102" i="1"/>
  <c r="BF116" i="1" s="1"/>
  <c r="BI26" i="1"/>
  <c r="BI38" i="1"/>
  <c r="BI42" i="1" s="1"/>
  <c r="BI106" i="1" s="1"/>
  <c r="BH30" i="1"/>
  <c r="BG162" i="1" s="1"/>
  <c r="BG159" i="1" s="1"/>
  <c r="BH55" i="1"/>
  <c r="BH57" i="1" s="1"/>
  <c r="BB145" i="1"/>
  <c r="BB153" i="1" s="1"/>
  <c r="BB154" i="1" s="1"/>
  <c r="BB164" i="1" s="1"/>
  <c r="BJ26" i="1"/>
  <c r="BJ38" i="1"/>
  <c r="BJ42" i="1" s="1"/>
  <c r="BJ106" i="1" s="1"/>
  <c r="BG67" i="1"/>
  <c r="BG128" i="1" s="1"/>
  <c r="BG64" i="1"/>
  <c r="BG125" i="1" s="1"/>
  <c r="BG105" i="1"/>
  <c r="BG107" i="1" s="1"/>
  <c r="BG68" i="1"/>
  <c r="BG69" i="1"/>
  <c r="BG130" i="1" s="1"/>
  <c r="BE120" i="1"/>
  <c r="BG56" i="1"/>
  <c r="BG81" i="1"/>
  <c r="BG100" i="1" s="1"/>
  <c r="BG82" i="1"/>
  <c r="BG101" i="1" s="1"/>
  <c r="BG115" i="1" s="1"/>
  <c r="BH163" i="1"/>
  <c r="BE113" i="1"/>
  <c r="BE119" i="1" s="1"/>
  <c r="BF136" i="1" l="1"/>
  <c r="BD143" i="1"/>
  <c r="BD145" i="1" s="1"/>
  <c r="BD153" i="1" s="1"/>
  <c r="BD139" i="1"/>
  <c r="BG181" i="1"/>
  <c r="BG183" i="1" s="1"/>
  <c r="BG141" i="1" s="1"/>
  <c r="BG158" i="1"/>
  <c r="BD152" i="1"/>
  <c r="BB172" i="1"/>
  <c r="BB173" i="1" s="1"/>
  <c r="BB165" i="1"/>
  <c r="BF129" i="1"/>
  <c r="BF124" i="1" s="1"/>
  <c r="BF123" i="1" s="1"/>
  <c r="BC154" i="1"/>
  <c r="BC164" i="1" s="1"/>
  <c r="BC147" i="1"/>
  <c r="BC148" i="1" s="1"/>
  <c r="L134" i="1"/>
  <c r="BF113" i="1"/>
  <c r="BF119" i="1" s="1"/>
  <c r="BF120" i="1"/>
  <c r="BG114" i="1"/>
  <c r="BG102" i="1"/>
  <c r="BG116" i="1" s="1"/>
  <c r="BH81" i="1"/>
  <c r="BH100" i="1" s="1"/>
  <c r="BH82" i="1"/>
  <c r="BH101" i="1" s="1"/>
  <c r="BH115" i="1" s="1"/>
  <c r="BH56" i="1"/>
  <c r="BG66" i="1"/>
  <c r="BG127" i="1" s="1"/>
  <c r="BG65" i="1"/>
  <c r="BG126" i="1" s="1"/>
  <c r="BJ163" i="1"/>
  <c r="BH67" i="1"/>
  <c r="BH128" i="1" s="1"/>
  <c r="BH68" i="1"/>
  <c r="BH105" i="1"/>
  <c r="BH107" i="1" s="1"/>
  <c r="BH64" i="1"/>
  <c r="BH125" i="1" s="1"/>
  <c r="BH69" i="1"/>
  <c r="BH130" i="1" s="1"/>
  <c r="BJ55" i="1"/>
  <c r="BJ57" i="1" s="1"/>
  <c r="BJ30" i="1"/>
  <c r="BI163" i="1"/>
  <c r="BE118" i="1"/>
  <c r="BE122" i="1" s="1"/>
  <c r="BE138" i="1" s="1"/>
  <c r="BI30" i="1"/>
  <c r="BH162" i="1" s="1"/>
  <c r="BH159" i="1" s="1"/>
  <c r="BI55" i="1"/>
  <c r="BI57" i="1" s="1"/>
  <c r="BB147" i="1"/>
  <c r="BB148" i="1" s="1"/>
  <c r="BJ159" i="1" l="1"/>
  <c r="BI162" i="1"/>
  <c r="BI159" i="1" s="1"/>
  <c r="BG136" i="1"/>
  <c r="BH181" i="1"/>
  <c r="BH183" i="1" s="1"/>
  <c r="BH141" i="1" s="1"/>
  <c r="BH158" i="1"/>
  <c r="BC172" i="1"/>
  <c r="BC173" i="1" s="1"/>
  <c r="BC165" i="1"/>
  <c r="BG129" i="1"/>
  <c r="BG124" i="1" s="1"/>
  <c r="BG123" i="1" s="1"/>
  <c r="BF118" i="1"/>
  <c r="BF122" i="1" s="1"/>
  <c r="BF138" i="1" s="1"/>
  <c r="L163" i="1"/>
  <c r="BG120" i="1"/>
  <c r="BJ82" i="1"/>
  <c r="BJ101" i="1" s="1"/>
  <c r="BJ115" i="1" s="1"/>
  <c r="BJ56" i="1"/>
  <c r="BJ81" i="1"/>
  <c r="BJ100" i="1" s="1"/>
  <c r="L133" i="1"/>
  <c r="BE143" i="1"/>
  <c r="BD147" i="1"/>
  <c r="BD148" i="1" s="1"/>
  <c r="BH114" i="1"/>
  <c r="BH102" i="1"/>
  <c r="BH116" i="1" s="1"/>
  <c r="BI82" i="1"/>
  <c r="BI101" i="1" s="1"/>
  <c r="BI115" i="1" s="1"/>
  <c r="BI56" i="1"/>
  <c r="BI81" i="1"/>
  <c r="BI100" i="1" s="1"/>
  <c r="BJ67" i="1"/>
  <c r="BJ128" i="1" s="1"/>
  <c r="BJ105" i="1"/>
  <c r="BJ107" i="1" s="1"/>
  <c r="BJ69" i="1"/>
  <c r="BJ130" i="1" s="1"/>
  <c r="BJ68" i="1"/>
  <c r="BJ64" i="1"/>
  <c r="BJ125" i="1" s="1"/>
  <c r="BI69" i="1"/>
  <c r="BI130" i="1" s="1"/>
  <c r="BI68" i="1"/>
  <c r="BI64" i="1"/>
  <c r="BI125" i="1" s="1"/>
  <c r="BI105" i="1"/>
  <c r="BI107" i="1" s="1"/>
  <c r="BI67" i="1"/>
  <c r="BI128" i="1" s="1"/>
  <c r="BG113" i="1"/>
  <c r="BG119" i="1" s="1"/>
  <c r="BD154" i="1"/>
  <c r="BH65" i="1"/>
  <c r="BH126" i="1" s="1"/>
  <c r="BH66" i="1"/>
  <c r="BH127" i="1" s="1"/>
  <c r="L162" i="1" l="1"/>
  <c r="L159" i="1" s="1"/>
  <c r="BE139" i="1"/>
  <c r="BE152" i="1"/>
  <c r="BH136" i="1"/>
  <c r="BF143" i="1"/>
  <c r="BF145" i="1" s="1"/>
  <c r="BF153" i="1" s="1"/>
  <c r="BJ181" i="1"/>
  <c r="BJ158" i="1"/>
  <c r="BI181" i="1"/>
  <c r="BI183" i="1" s="1"/>
  <c r="BI141" i="1" s="1"/>
  <c r="BI158" i="1"/>
  <c r="BF139" i="1"/>
  <c r="BH129" i="1"/>
  <c r="BH124" i="1" s="1"/>
  <c r="BH123" i="1" s="1"/>
  <c r="BF152" i="1"/>
  <c r="BH113" i="1"/>
  <c r="BH119" i="1" s="1"/>
  <c r="BG118" i="1"/>
  <c r="BG122" i="1" s="1"/>
  <c r="BG138" i="1" s="1"/>
  <c r="BD164" i="1"/>
  <c r="BJ102" i="1"/>
  <c r="BJ116" i="1" s="1"/>
  <c r="BJ120" i="1" s="1"/>
  <c r="BJ114" i="1"/>
  <c r="BJ66" i="1"/>
  <c r="BJ127" i="1" s="1"/>
  <c r="BJ65" i="1"/>
  <c r="BJ126" i="1" s="1"/>
  <c r="BI65" i="1"/>
  <c r="BI126" i="1" s="1"/>
  <c r="BI66" i="1"/>
  <c r="BI127" i="1" s="1"/>
  <c r="BE145" i="1"/>
  <c r="BE153" i="1" s="1"/>
  <c r="BE154" i="1" s="1"/>
  <c r="BI114" i="1"/>
  <c r="BI102" i="1"/>
  <c r="BI116" i="1" s="1"/>
  <c r="BH120" i="1"/>
  <c r="BJ136" i="1" l="1"/>
  <c r="BI136" i="1"/>
  <c r="BF154" i="1"/>
  <c r="BF164" i="1" s="1"/>
  <c r="BF172" i="1" s="1"/>
  <c r="BG143" i="1"/>
  <c r="BG145" i="1" s="1"/>
  <c r="BG153" i="1" s="1"/>
  <c r="BJ183" i="1"/>
  <c r="BJ141" i="1" s="1"/>
  <c r="BD172" i="1"/>
  <c r="BD173" i="1" s="1"/>
  <c r="BD165" i="1"/>
  <c r="BJ129" i="1"/>
  <c r="BJ124" i="1" s="1"/>
  <c r="BJ123" i="1" s="1"/>
  <c r="BI129" i="1"/>
  <c r="BI124" i="1" s="1"/>
  <c r="BI123" i="1" s="1"/>
  <c r="BH118" i="1"/>
  <c r="BH122" i="1" s="1"/>
  <c r="BH138" i="1" s="1"/>
  <c r="BG152" i="1"/>
  <c r="BG139" i="1"/>
  <c r="BE147" i="1"/>
  <c r="BE148" i="1" s="1"/>
  <c r="BE164" i="1"/>
  <c r="BF165" i="1" s="1"/>
  <c r="BF147" i="1"/>
  <c r="BF148" i="1" s="1"/>
  <c r="BJ113" i="1"/>
  <c r="BJ119" i="1" s="1"/>
  <c r="BJ118" i="1" s="1"/>
  <c r="BJ122" i="1" s="1"/>
  <c r="BI120" i="1"/>
  <c r="BI113" i="1"/>
  <c r="BI119" i="1" s="1"/>
  <c r="BJ138" i="1" l="1"/>
  <c r="BH152" i="1"/>
  <c r="BE172" i="1"/>
  <c r="BE173" i="1" s="1"/>
  <c r="BE165" i="1"/>
  <c r="BH143" i="1"/>
  <c r="BH145" i="1" s="1"/>
  <c r="BH153" i="1" s="1"/>
  <c r="BH139" i="1"/>
  <c r="BG154" i="1"/>
  <c r="BG164" i="1" s="1"/>
  <c r="BI118" i="1"/>
  <c r="BI122" i="1" s="1"/>
  <c r="BI138" i="1" s="1"/>
  <c r="BG147" i="1"/>
  <c r="BG148" i="1" s="1"/>
  <c r="BF173" i="1" l="1"/>
  <c r="BI139" i="1"/>
  <c r="BG172" i="1"/>
  <c r="BG173" i="1" s="1"/>
  <c r="BG165" i="1"/>
  <c r="BI143" i="1"/>
  <c r="BI145" i="1" s="1"/>
  <c r="BI153" i="1" s="1"/>
  <c r="BI152" i="1"/>
  <c r="BH147" i="1"/>
  <c r="BH148" i="1" s="1"/>
  <c r="BJ152" i="1"/>
  <c r="BJ139" i="1"/>
  <c r="BJ143" i="1"/>
  <c r="BH154" i="1"/>
  <c r="BI154" i="1" l="1"/>
  <c r="BI164" i="1" s="1"/>
  <c r="BI147" i="1"/>
  <c r="BI148" i="1" s="1"/>
  <c r="BJ145" i="1"/>
  <c r="BJ153" i="1" s="1"/>
  <c r="L153" i="1" s="1"/>
  <c r="BH164" i="1"/>
  <c r="L152" i="1"/>
  <c r="BH172" i="1" l="1"/>
  <c r="BH173" i="1" s="1"/>
  <c r="BH165" i="1"/>
  <c r="BI172" i="1"/>
  <c r="BI165" i="1"/>
  <c r="BJ154" i="1"/>
  <c r="G156" i="1" s="1"/>
  <c r="BJ147" i="1"/>
  <c r="BJ148" i="1" s="1"/>
  <c r="L154" i="1"/>
  <c r="L164" i="1" s="1"/>
  <c r="L172" i="1" s="1"/>
  <c r="BI173" i="1" l="1"/>
  <c r="BJ164" i="1"/>
  <c r="G157" i="1"/>
  <c r="G168" i="1" l="1"/>
  <c r="BJ165" i="1"/>
  <c r="G167" i="1"/>
  <c r="BJ172" i="1"/>
  <c r="G176" i="1" l="1"/>
  <c r="BJ173" i="1"/>
  <c r="G175" i="1"/>
  <c r="F177" i="1"/>
</calcChain>
</file>

<file path=xl/sharedStrings.xml><?xml version="1.0" encoding="utf-8"?>
<sst xmlns="http://schemas.openxmlformats.org/spreadsheetml/2006/main" count="661" uniqueCount="375">
  <si>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</si>
  <si>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</si>
  <si>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</si>
  <si>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</si>
  <si>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</si>
  <si>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</si>
  <si>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</si>
  <si>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</si>
  <si>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</si>
  <si>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</si>
  <si>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</si>
  <si>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</si>
  <si>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</si>
  <si>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</si>
  <si>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</si>
  <si>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</si>
  <si>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</si>
  <si>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</si>
  <si>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</si>
  <si>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</si>
  <si>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</si>
  <si>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</si>
  <si>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GE019 - Onde atende com abastecimento de água</t>
  </si>
  <si>
    <t>GE020 - Onde atende com esgotamento sanitário</t>
  </si>
  <si>
    <t>GE030 - Quantidade de municípios não atendidos com esgotamento sanitário e sem delegação para prestar esse serviço</t>
  </si>
  <si>
    <t>POP_TOT - População total do município do ano de referência (Fonte: IBGE):</t>
  </si>
  <si>
    <t>POP_URB - População urbana do município do ano de referência (Fonte: IBGE):</t>
  </si>
  <si>
    <t>AG001 - População total atendida com abastecimento de água</t>
  </si>
  <si>
    <t>AG001A - População total atendida com abastecimento de água no ano anterior ao de referência.</t>
  </si>
  <si>
    <t>AG002 - Quantidade de ligações ativas de água</t>
  </si>
  <si>
    <t>AG002A - Quantidade de ligações ativas de água no ano anterior ao de referência.</t>
  </si>
  <si>
    <t>AG003 - Quantidade de economias ativas de água</t>
  </si>
  <si>
    <t>AG003A - Quantidade de economias ativas de água no ano anterior ao de referência.</t>
  </si>
  <si>
    <t>AG004 - Quantidade de ligações ativas de água micromedidas</t>
  </si>
  <si>
    <t>AG004A - Quantidade de ligações ativas de água micromedidas no ano anterior ao de referência.</t>
  </si>
  <si>
    <t>AG005 - Extensão da rede de água</t>
  </si>
  <si>
    <t>AG005A - Extensão da rede de água no ano anterior ao de referência.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</si>
  <si>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</si>
  <si>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</si>
  <si>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</si>
  <si>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</si>
  <si>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</si>
  <si>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</si>
  <si>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</si>
  <si>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AG013A - Quantidade de economias residenciais ativas de água no ano anterior ao de referência.</t>
  </si>
  <si>
    <t>AG014 - Quantidade de economias ativas de água micromedidas</t>
  </si>
  <si>
    <t>AG014A - Quantidade de economias ativas de água micromedidas no ano anterior ao de referência.</t>
  </si>
  <si>
    <t>AG015 - Volume de água tratada por simples desinfecção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</si>
  <si>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</si>
  <si>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</si>
  <si>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</si>
  <si>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</si>
  <si>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</si>
  <si>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AG021A - Quantidade de ligações totais de água no ano anterior ao de referência.</t>
  </si>
  <si>
    <t>AG022 - Quantidade de economias residenciais ativas de água micromedidas</t>
  </si>
  <si>
    <t>AG022A - Quantidade de economias residenciais ativas de água micromedidas no ano anterior ao de referência.</t>
  </si>
  <si>
    <t>AG024 - Volume de serviço</t>
  </si>
  <si>
    <t>AG025A - População rural atendida com abastecimento de água no ano anterior ao de referência.</t>
  </si>
  <si>
    <t>AG026 - População urbana atendida com abastecimento de água</t>
  </si>
  <si>
    <t>AG026A - População urbana atendida com abastecimento de água no ano anterior ao de referência.</t>
  </si>
  <si>
    <t>AG027 - Volume de água fluoretada</t>
  </si>
  <si>
    <t>AG028 - Consumo total de energia elétrica nos sistemas de água</t>
  </si>
  <si>
    <t>ES001 - População total atendida com esgotamento sanitário</t>
  </si>
  <si>
    <t>ES001A - População total atendida com esgotamento sanitário no ano anterior ao de referência.</t>
  </si>
  <si>
    <t>ES002 - Quantidade de ligações ativas de esgotos</t>
  </si>
  <si>
    <t>ES002A - Quantidade de ligações ativas de esgoto no ano anterior ao de referência.</t>
  </si>
  <si>
    <t>ES003 - Quantidade de economias ativas de esgotos</t>
  </si>
  <si>
    <t>ES003A - Quantidade de economias ativas de esgoto no ano anterior ao de referência.</t>
  </si>
  <si>
    <t>ES004 - Extensão da rede de esgotos</t>
  </si>
  <si>
    <t>ES004A - Extensão da rede de esgoto no ano anterior ao de referência.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</si>
  <si>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</si>
  <si>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</si>
  <si>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</si>
  <si>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</si>
  <si>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ES008A - Quantidade de economias residenciais ativas de esgoto no ano anterior ao de referência.</t>
  </si>
  <si>
    <t>ES009 - Quantidade de ligações totais de esgotos</t>
  </si>
  <si>
    <t>ES009A - Quantidade de ligações totais de esgoto no ano anterior ao de referência.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</si>
  <si>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</si>
  <si>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</si>
  <si>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</si>
  <si>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</si>
  <si>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ES025A - População rural atendida com esgotamento sanitário no ano anterior ao de referência.</t>
  </si>
  <si>
    <t>ES026 - População urbana atendida com esgotamento sanitário</t>
  </si>
  <si>
    <t>ES026A - População urbana atendida com esgotamento sanitário no ano anterior ao de referência.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</si>
  <si>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</si>
  <si>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</si>
  <si>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</si>
  <si>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</si>
  <si>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</si>
  <si>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</si>
  <si>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</si>
  <si>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</si>
  <si>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</si>
  <si>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FN008A - Crédito de contas a receber no ano anterior ao de referência.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</si>
  <si>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</si>
  <si>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</si>
  <si>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</si>
  <si>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</si>
  <si>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</t>
  </si>
  <si>
    <t>FN016 - Despesas com juros e encargos do serviço da dívida</t>
  </si>
  <si>
    <t>FN017 - Despesas totais com os serviços (DTS)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</si>
  <si>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</si>
  <si>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</si>
  <si>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</si>
  <si>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</si>
  <si>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</si>
  <si>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</si>
  <si>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</si>
  <si>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</si>
  <si>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</si>
  <si>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FN026A - Quantidade total de empregados próprios no ano anterior ao de referência.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</si>
  <si>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</si>
  <si>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</si>
  <si>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</si>
  <si>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</si>
  <si>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</si>
  <si>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</si>
  <si>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</si>
  <si>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</si>
  <si>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</si>
  <si>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</si>
  <si>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</si>
  <si>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</si>
  <si>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</si>
  <si>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</si>
  <si>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</si>
  <si>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</si>
  <si>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</si>
  <si>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</si>
  <si>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</si>
  <si>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</si>
  <si>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</si>
  <si>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</si>
  <si>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</si>
  <si>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</si>
  <si>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</si>
  <si>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</si>
  <si>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</si>
  <si>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</si>
  <si>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</si>
  <si>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</si>
  <si>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</si>
  <si>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</si>
  <si>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</si>
  <si>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</si>
  <si>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</si>
  <si>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</si>
  <si>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</si>
  <si>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</si>
  <si>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</si>
  <si>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</si>
  <si>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</si>
  <si>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</si>
  <si>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</si>
  <si>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</si>
  <si>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</si>
  <si>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</si>
  <si>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</si>
  <si>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</si>
  <si>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</si>
  <si>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</si>
  <si>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</si>
  <si>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</si>
  <si>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</si>
  <si>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</si>
  <si>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</si>
  <si>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</si>
  <si>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</si>
  <si>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</si>
  <si>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</si>
  <si>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</si>
  <si>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</si>
  <si>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</si>
  <si>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</si>
  <si>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</si>
  <si>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</si>
  <si>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</si>
  <si>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</si>
  <si>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</si>
  <si>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</si>
  <si>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</si>
  <si>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</si>
  <si>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</si>
  <si>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</si>
  <si>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</si>
  <si>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</si>
  <si>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</si>
  <si>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</si>
  <si>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</si>
  <si>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</si>
  <si>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</si>
  <si>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</si>
  <si>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</si>
  <si>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</si>
  <si>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</si>
  <si>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</si>
  <si>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</si>
  <si>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</si>
  <si>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</si>
  <si>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</si>
  <si>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</si>
  <si>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</si>
  <si>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</si>
  <si>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</si>
  <si>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</si>
  <si>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</si>
  <si>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</si>
  <si>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</si>
  <si>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</si>
  <si>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</si>
  <si>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</si>
  <si>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</si>
  <si>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</si>
  <si>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</si>
  <si>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</si>
  <si>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</si>
  <si>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</si>
  <si>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</si>
  <si>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</si>
  <si>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</si>
  <si>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IN071 - Economias atingidas por paralisações</t>
  </si>
  <si>
    <t>IN072 - Duração média das paralisações</t>
  </si>
  <si>
    <t>IN073 - Economias atingidas por intermitências</t>
  </si>
  <si>
    <t>IN074 - Duração média das intermitências</t>
  </si>
  <si>
    <t>IN075 - Incidência das análises de cloro residual fora do padrão</t>
  </si>
  <si>
    <t>IN076 - Incidência das análises de turbidez fora do padrão</t>
  </si>
  <si>
    <t>IN077 - Duração média dos reparos de extravasamentos de esgotos</t>
  </si>
  <si>
    <t>IN079 - Índice de conformidade da quantidade de amostras - cloro residual</t>
  </si>
  <si>
    <t>IN080 - Índice de conformidade da quantidade de amostras - turbidez</t>
  </si>
  <si>
    <t>IN082 - Extravasamentos de esgotos por extensão de rede</t>
  </si>
  <si>
    <t>IN083 - Duração média dos serviços executados</t>
  </si>
  <si>
    <t>IN084 - Incidência das análises de coliformes totais fora do padrão</t>
  </si>
  <si>
    <t>IN085 - Índice de conformidade da quantidade de amostras - coliformes totais</t>
  </si>
  <si>
    <t>IN101 - Índice de suficiência de caixa</t>
  </si>
  <si>
    <t>IN102 - Índice de produtividade de pessoal total (equivalente)</t>
  </si>
  <si>
    <t>Valinhos</t>
  </si>
  <si>
    <t>SP</t>
  </si>
  <si>
    <t>Departamento de Águas e Esgotos de Valinhos</t>
  </si>
  <si>
    <t>DAEV</t>
  </si>
  <si>
    <t>Local</t>
  </si>
  <si>
    <t>Água e Esgoto</t>
  </si>
  <si>
    <t>Autarquia</t>
  </si>
  <si>
    <t>Sede Municipal</t>
  </si>
  <si>
    <t>Ambos</t>
  </si>
  <si>
    <t>Atende integralmente</t>
  </si>
  <si>
    <t>TOTAL da AMOSTRA:</t>
  </si>
  <si>
    <t>---</t>
  </si>
  <si>
    <t xml:space="preserve"> </t>
  </si>
  <si>
    <t>Modelo Econonômico Financeiro</t>
  </si>
  <si>
    <t>Índice de Atendimento Urbano de Água</t>
  </si>
  <si>
    <t>Índice de Atendimento Total de Água</t>
  </si>
  <si>
    <t>Índice de Hidrometração</t>
  </si>
  <si>
    <t>Índice de Perdas</t>
  </si>
  <si>
    <t>Índices</t>
  </si>
  <si>
    <t>População Total</t>
  </si>
  <si>
    <t>População</t>
  </si>
  <si>
    <t>População Urbana</t>
  </si>
  <si>
    <t>População Rural</t>
  </si>
  <si>
    <t>Ligações de Água Totais</t>
  </si>
  <si>
    <t>Ligações de Água Ativas</t>
  </si>
  <si>
    <t>Ligações de Água Inativas</t>
  </si>
  <si>
    <t>Atendimento em Água</t>
  </si>
  <si>
    <t>Atendimento em Esgoto</t>
  </si>
  <si>
    <t>Ligações de Esgoto Totais</t>
  </si>
  <si>
    <t>Ligações de Esgoto Ativas</t>
  </si>
  <si>
    <t>Ligações de Esgoto Inativas</t>
  </si>
  <si>
    <t>Consumo Per Capita</t>
  </si>
  <si>
    <t>Consumo de água faturado por economia</t>
  </si>
  <si>
    <t>Consumo de água medido por economia</t>
  </si>
  <si>
    <t>Consumos e Volumes</t>
  </si>
  <si>
    <t>Densidade de economias por ligação</t>
  </si>
  <si>
    <t>Custos e Despesas</t>
  </si>
  <si>
    <t>Pessoal</t>
  </si>
  <si>
    <t>Energia</t>
  </si>
  <si>
    <t>Produtos Quiímicos</t>
  </si>
  <si>
    <t>Serviços de Terceiros</t>
  </si>
  <si>
    <t>Outras despesas de exploração</t>
  </si>
  <si>
    <t>Outras despesas com os serviços</t>
  </si>
  <si>
    <t>Valores Totais</t>
  </si>
  <si>
    <t>Indicadores</t>
  </si>
  <si>
    <t>Receita</t>
  </si>
  <si>
    <t>Receita de Água</t>
  </si>
  <si>
    <t>Receita de Esgoto</t>
  </si>
  <si>
    <t>Receita de Serviços</t>
  </si>
  <si>
    <t>Arrecadação</t>
  </si>
  <si>
    <t>Tarifa Média de Água</t>
  </si>
  <si>
    <t>Tarifa Média de Esgoto</t>
  </si>
  <si>
    <t>Volume Faturado de Água</t>
  </si>
  <si>
    <t>Volume Faturado de Esgoto</t>
  </si>
  <si>
    <t>Volume médio faturado por ligação de água ativa</t>
  </si>
  <si>
    <t>Índice de Atendimento Total  de Esgoto</t>
  </si>
  <si>
    <t>Densidade de População por Ligação Ativa</t>
  </si>
  <si>
    <t>Curva de Crescimento</t>
  </si>
  <si>
    <t>Crescimento Acumulado</t>
  </si>
  <si>
    <t>Relação entre consumo e faturado</t>
  </si>
  <si>
    <t>Método de Receita 1 - Tarifa Média</t>
  </si>
  <si>
    <t>Serviços sobre Água e Esgoto</t>
  </si>
  <si>
    <t>Inadimplência</t>
  </si>
  <si>
    <t>Método de Receita 2 - Valor Mensal</t>
  </si>
  <si>
    <t>Demonstrativo de Resultado</t>
  </si>
  <si>
    <t>=</t>
  </si>
  <si>
    <t>Receita Bruta</t>
  </si>
  <si>
    <t>&lt; Método</t>
  </si>
  <si>
    <t>-</t>
  </si>
  <si>
    <t>Impostos sobre Receita</t>
  </si>
  <si>
    <t>PIS, Cofins</t>
  </si>
  <si>
    <t>ISS</t>
  </si>
  <si>
    <t>Receita Líquida</t>
  </si>
  <si>
    <t>Custos Operacionais</t>
  </si>
  <si>
    <t>EBITDA</t>
  </si>
  <si>
    <t>Demonstrativo de Fluxo de Caixa</t>
  </si>
  <si>
    <t>IR/CSLL</t>
  </si>
  <si>
    <t>Fluxo de Caixa, após atividades de operação</t>
  </si>
  <si>
    <t>VPL</t>
  </si>
  <si>
    <t>Investimentos</t>
  </si>
  <si>
    <t>ETE Capuava</t>
  </si>
  <si>
    <t>Fluxo de Caixa, após atividades de investimentos</t>
  </si>
  <si>
    <t>Auxiliar</t>
  </si>
  <si>
    <t>Amortização</t>
  </si>
  <si>
    <t>Curva de Amortização</t>
  </si>
  <si>
    <t>Período</t>
  </si>
  <si>
    <t>Amortização / Depreciação</t>
  </si>
  <si>
    <t>Margem EBITDA</t>
  </si>
  <si>
    <t>%</t>
  </si>
  <si>
    <t>EBIT</t>
  </si>
  <si>
    <t>Lucro Líquido</t>
  </si>
  <si>
    <t>Margem Líquida</t>
  </si>
  <si>
    <t xml:space="preserve">Ano-Projeto &gt; </t>
  </si>
  <si>
    <t xml:space="preserve">Ano-Calendário &gt; </t>
  </si>
  <si>
    <t>Produtos Químicos</t>
  </si>
  <si>
    <t>Fluxo de Caixa, após atividades de financiamento</t>
  </si>
  <si>
    <t>TIR</t>
  </si>
  <si>
    <t>a.a.</t>
  </si>
  <si>
    <t>R$</t>
  </si>
  <si>
    <t>Base de Ativos</t>
  </si>
  <si>
    <t>Gestão Comercial</t>
  </si>
  <si>
    <t>PDD</t>
  </si>
  <si>
    <t>Taxas de Retorno</t>
  </si>
  <si>
    <t>NTN-B</t>
  </si>
  <si>
    <t>Spread</t>
  </si>
  <si>
    <t>PPP Sanepar</t>
  </si>
  <si>
    <t>WACC</t>
  </si>
  <si>
    <t>Tarifas Discricionárias</t>
  </si>
  <si>
    <t>Sabesp</t>
  </si>
  <si>
    <t>Sanepar</t>
  </si>
  <si>
    <t>Embasa</t>
  </si>
  <si>
    <t>Copasa</t>
  </si>
  <si>
    <t>Tarifas Fixas</t>
  </si>
  <si>
    <t xml:space="preserve"> BNDES, Rio de Janeiro</t>
  </si>
  <si>
    <t xml:space="preserve"> BNDES, Alagoas - Bloco A</t>
  </si>
  <si>
    <t xml:space="preserve"> BNDES, Alagoas - Bloco B</t>
  </si>
  <si>
    <t xml:space="preserve"> BNDES, Alagoas - Bloco C</t>
  </si>
  <si>
    <t>Taxa</t>
  </si>
  <si>
    <t>Impostos Diretos</t>
  </si>
  <si>
    <t>Custos e Despesas de Exploração</t>
  </si>
  <si>
    <t>(DAEV, 23 Ajustado em R$ 4 MM)</t>
  </si>
  <si>
    <t>Materiais</t>
  </si>
  <si>
    <t>Energia Elétrica</t>
  </si>
  <si>
    <t>Outros</t>
  </si>
  <si>
    <t>Adicionais devido a transformação em SA</t>
  </si>
  <si>
    <t>% Margem EBITDA</t>
  </si>
  <si>
    <t>Múltiplo</t>
  </si>
  <si>
    <t>Financiamento (PRONURB)</t>
  </si>
  <si>
    <t>Volume de Água Consumida anual</t>
  </si>
  <si>
    <t>Volume de Água Produzida anual</t>
  </si>
  <si>
    <t>Volume de Esgoto Tratado anual</t>
  </si>
  <si>
    <t>Fluxo de Caixa, após atividades de investimentos - Acumulado</t>
  </si>
  <si>
    <t>Fluxo de Caixa, após atividades de financiamento - Acumulado</t>
  </si>
  <si>
    <t>Relação entre Esgoto e Água Consumida</t>
  </si>
  <si>
    <t>Fluxo da Dívida</t>
  </si>
  <si>
    <t>Desassoreamento da Captação</t>
  </si>
  <si>
    <t>Renovação/Ampliações do SAA e SES</t>
  </si>
  <si>
    <t>Custos com Reposição/Manutenção</t>
  </si>
  <si>
    <t>Reposição/Manutenção do SAA</t>
  </si>
  <si>
    <t>Reposição/Manutenção do 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</si>
</sst>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3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Avenir Next LT Pro"/>
    </font>
    <font>
      <sz val="10"/>
      <color rgb="FF000000"/>
      <name val="Avenir Next"/>
      <family val="2"/>
    </font>
    <font>
      <b/>
      <sz val="10"/>
      <color rgb="FF000000"/>
      <name val="Avenir Next LT Pro"/>
    </font>
    <font>
      <sz val="10"/>
      <name val="Arial"/>
      <family val="2"/>
    </font>
    <font>
      <sz val="10"/>
      <color theme="0"/>
      <name val="Calibri"/>
      <family val="2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Font="1"/>
    <xf numFmtId="0" fontId="4" fillId="0" borderId="0" xfId="0" applyFont="1"/>
    <xf numFmtId="3" fontId="0" fillId="0" borderId="0" xfId="1" applyNumberFormat="1" applyFont="1"/>
    <xf numFmtId="0" fontId="3" fillId="0" borderId="0" xfId="0" applyFont="1"/>
    <xf numFmtId="164" fontId="0" fillId="0" borderId="0" xfId="1" applyNumberFormat="1" applyFont="1"/>
    <xf numFmtId="4" fontId="0" fillId="0" borderId="0" xfId="1" applyNumberFormat="1" applyFont="1"/>
    <xf numFmtId="0" fontId="2" fillId="2" borderId="0" xfId="0" applyFont="1" applyFill="1"/>
    <xf numFmtId="9" fontId="0" fillId="0" borderId="0" xfId="0" applyNumberFormat="1"/>
    <xf numFmtId="10" fontId="5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3" fontId="0" fillId="1" borderId="0" xfId="1" applyNumberFormat="1" applyFont="1" applyFill="1"/>
    <xf numFmtId="4" fontId="5" fillId="0" borderId="0" xfId="1" applyNumberFormat="1" applyFont="1"/>
    <xf numFmtId="0" fontId="0" fillId="0" borderId="0" xfId="0" applyAlignment="1">
      <alignment horizontal="center"/>
    </xf>
    <xf numFmtId="3" fontId="3" fillId="0" borderId="0" xfId="0" applyNumberFormat="1" applyFont="1"/>
    <xf numFmtId="0" fontId="3" fillId="0" borderId="0" xfId="0" applyFont="1" applyAlignment="1">
      <alignment horizontal="center"/>
    </xf>
    <xf numFmtId="10" fontId="0" fillId="0" borderId="0" xfId="1" applyNumberFormat="1" applyFont="1"/>
    <xf numFmtId="9" fontId="3" fillId="0" borderId="0" xfId="1" applyFont="1"/>
    <xf numFmtId="10" fontId="3" fillId="0" borderId="0" xfId="0" applyNumberFormat="1" applyFont="1"/>
    <xf numFmtId="0" fontId="3" fillId="0" borderId="0" xfId="0" applyFont="1" applyAlignment="1">
      <alignment horizontal="right"/>
    </xf>
    <xf numFmtId="3" fontId="6" fillId="0" borderId="0" xfId="0" applyNumberFormat="1" applyFont="1"/>
    <xf numFmtId="3" fontId="3" fillId="0" borderId="0" xfId="0" applyNumberFormat="1" applyFont="1" applyAlignment="1">
      <alignment horizontal="right"/>
    </xf>
    <xf numFmtId="0" fontId="9" fillId="0" borderId="1" xfId="0" applyFont="1" applyBorder="1" applyAlignment="1">
      <alignment readingOrder="1"/>
    </xf>
    <xf numFmtId="0" fontId="9" fillId="0" borderId="1" xfId="0" applyFont="1" applyBorder="1" applyAlignment="1">
      <alignment horizontal="left" readingOrder="1"/>
    </xf>
    <xf numFmtId="0" fontId="9" fillId="0" borderId="1" xfId="0" applyFont="1" applyBorder="1" applyAlignment="1">
      <alignment horizontal="right" readingOrder="1"/>
    </xf>
    <xf numFmtId="0" fontId="7" fillId="0" borderId="2" xfId="0" applyFont="1" applyBorder="1" applyAlignment="1">
      <alignment readingOrder="1"/>
    </xf>
    <xf numFmtId="0" fontId="10" fillId="0" borderId="2" xfId="0" applyFont="1" applyBorder="1" applyAlignment="1">
      <alignment vertical="center"/>
    </xf>
    <xf numFmtId="0" fontId="7" fillId="0" borderId="2" xfId="0" applyFont="1" applyBorder="1" applyAlignment="1">
      <alignment horizontal="right" readingOrder="1"/>
    </xf>
    <xf numFmtId="0" fontId="7" fillId="0" borderId="0" xfId="0" applyFont="1" applyAlignment="1">
      <alignment readingOrder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right" readingOrder="1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readingOrder="1"/>
    </xf>
    <xf numFmtId="0" fontId="7" fillId="0" borderId="2" xfId="0" applyFont="1" applyBorder="1" applyAlignment="1">
      <alignment horizontal="left" readingOrder="1"/>
    </xf>
    <xf numFmtId="0" fontId="7" fillId="0" borderId="0" xfId="0" applyFont="1" applyAlignment="1">
      <alignment horizontal="left" readingOrder="1"/>
    </xf>
    <xf numFmtId="0" fontId="8" fillId="0" borderId="0" xfId="0" applyFont="1" applyAlignment="1">
      <alignment readingOrder="1"/>
    </xf>
    <xf numFmtId="0" fontId="8" fillId="0" borderId="0" xfId="0" applyFont="1" applyAlignment="1">
      <alignment horizontal="right" readingOrder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readingOrder="1"/>
    </xf>
    <xf numFmtId="0" fontId="9" fillId="0" borderId="2" xfId="0" applyFont="1" applyBorder="1" applyAlignment="1">
      <alignment horizontal="right" readingOrder="1"/>
    </xf>
    <xf numFmtId="10" fontId="9" fillId="0" borderId="1" xfId="0" applyNumberFormat="1" applyFont="1" applyBorder="1" applyAlignment="1">
      <alignment horizontal="right" readingOrder="1"/>
    </xf>
    <xf numFmtId="10" fontId="2" fillId="2" borderId="0" xfId="0" applyNumberFormat="1" applyFont="1" applyFill="1"/>
    <xf numFmtId="10" fontId="0" fillId="0" borderId="0" xfId="1" applyNumberFormat="1" applyFont="1" applyFill="1"/>
    <xf numFmtId="0" fontId="11" fillId="0" borderId="0" xfId="0" applyFont="1"/>
    <xf numFmtId="3" fontId="11" fillId="0" borderId="0" xfId="0" applyNumberFormat="1" applyFont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 applyFill="1"/>
  </cellXfs>
  <cellStyles count="2">
    <cellStyle name="Normal" xfId="0" builtinId="0"/>
    <cellStyle name="Porcentagem" xfId="1" builtinId="5"/>
  </cellStyles>
  <dxfs count="5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'Valuation (FCF)'!$AA$138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(FCF)'!$AB$138:$BJ$138</c:f>
              <c:numCache>
                <c:formatCode>#,##0</c:formatCode>
                <c:ptCount val="35"/>
                <c:pt idx="0">
                  <c:v>25008056.494878542</c:v>
                </c:pt>
                <c:pt idx="1">
                  <c:v>31629160.85083146</c:v>
                </c:pt>
                <c:pt idx="2">
                  <c:v>38493193.247920208</c:v>
                </c:pt>
                <c:pt idx="3">
                  <c:v>45602265.57106401</c:v>
                </c:pt>
                <c:pt idx="4">
                  <c:v>52957696.854840189</c:v>
                </c:pt>
                <c:pt idx="5">
                  <c:v>60560063.88934353</c:v>
                </c:pt>
                <c:pt idx="6">
                  <c:v>61502861.227601029</c:v>
                </c:pt>
                <c:pt idx="7">
                  <c:v>62431349.218385741</c:v>
                </c:pt>
                <c:pt idx="8">
                  <c:v>63344531.371711947</c:v>
                </c:pt>
                <c:pt idx="9">
                  <c:v>64241416.26611536</c:v>
                </c:pt>
                <c:pt idx="10">
                  <c:v>65121019.307082459</c:v>
                </c:pt>
                <c:pt idx="11">
                  <c:v>65982364.496428169</c:v>
                </c:pt>
                <c:pt idx="12">
                  <c:v>66824486.208270431</c:v>
                </c:pt>
                <c:pt idx="13">
                  <c:v>67646430.967164606</c:v>
                </c:pt>
                <c:pt idx="14">
                  <c:v>68447259.223895207</c:v>
                </c:pt>
                <c:pt idx="15">
                  <c:v>69226047.124365553</c:v>
                </c:pt>
                <c:pt idx="16">
                  <c:v>69981888.266988784</c:v>
                </c:pt>
                <c:pt idx="17">
                  <c:v>70713895.443957239</c:v>
                </c:pt>
                <c:pt idx="18">
                  <c:v>71421202.361758694</c:v>
                </c:pt>
                <c:pt idx="19">
                  <c:v>72102965.33631584</c:v>
                </c:pt>
                <c:pt idx="20">
                  <c:v>72758364.958145335</c:v>
                </c:pt>
                <c:pt idx="21">
                  <c:v>73386607.722973734</c:v>
                </c:pt>
                <c:pt idx="22">
                  <c:v>73986927.623298898</c:v>
                </c:pt>
                <c:pt idx="23">
                  <c:v>74558587.696459144</c:v>
                </c:pt>
                <c:pt idx="24">
                  <c:v>75100881.5248546</c:v>
                </c:pt>
                <c:pt idx="25">
                  <c:v>75613134.684069693</c:v>
                </c:pt>
                <c:pt idx="26">
                  <c:v>76094706.13476108</c:v>
                </c:pt>
                <c:pt idx="27">
                  <c:v>76544989.554308087</c:v>
                </c:pt>
                <c:pt idx="28">
                  <c:v>76963414.604369283</c:v>
                </c:pt>
                <c:pt idx="29">
                  <c:v>77349448.130650103</c:v>
                </c:pt>
                <c:pt idx="30">
                  <c:v>77702595.291360572</c:v>
                </c:pt>
                <c:pt idx="31">
                  <c:v>78022400.611032337</c:v>
                </c:pt>
                <c:pt idx="32">
                  <c:v>78308448.956561357</c:v>
                </c:pt>
                <c:pt idx="33">
                  <c:v>78560366.432559952</c:v>
                </c:pt>
                <c:pt idx="34">
                  <c:v>78777821.193320975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5-8241-BB11-5D36292F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34767"/>
        <c:axId val="1868790079"/>
      </c:barChart>
      <c:lineChart>
        <c:grouping val="standard"/>
        <c:varyColors val="0"/>
        <c:ser>
          <c:idx val="1"/>
          <c:order val="1"/>
          <c:tx>
            <c:strRef>
              <c:f>'Valuation (FCF)'!$AA$139</c:f>
              <c:strCache>
                <c:ptCount val="1"/>
                <c:pt idx="0">
                  <c:v>Margem EBITDA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(FCF)'!$AB$139:$BJ$139</c:f>
              <c:numCache>
                <c:formatCode>0%</c:formatCode>
                <c:ptCount val="35"/>
                <c:pt idx="0">
                  <c:v>0.23551697156358009</c:v>
                </c:pt>
                <c:pt idx="1">
                  <c:v>0.28394124000696536</c:v>
                </c:pt>
                <c:pt idx="2">
                  <c:v>0.32975867021192962</c:v>
                </c:pt>
                <c:pt idx="3">
                  <c:v>0.37318980756491432</c:v>
                </c:pt>
                <c:pt idx="4">
                  <c:v>0.41442953503846219</c:v>
                </c:pt>
                <c:pt idx="5">
                  <c:v>0.45365093876366586</c:v>
                </c:pt>
                <c:pt idx="6">
                  <c:v>0.45434068637561237</c:v>
                </c:pt>
                <c:pt idx="7">
                  <c:v>0.45501081521272313</c:v>
                </c:pt>
                <c:pt idx="8">
                  <c:v>0.45566194413796735</c:v>
                </c:pt>
                <c:pt idx="9">
                  <c:v>0.45629466031805888</c:v>
                </c:pt>
                <c:pt idx="10">
                  <c:v>0.45690952059509643</c:v>
                </c:pt>
                <c:pt idx="11">
                  <c:v>0.45750705277842318</c:v>
                </c:pt>
                <c:pt idx="12">
                  <c:v>0.45808775686087172</c:v>
                </c:pt>
                <c:pt idx="13">
                  <c:v>0.45865210616328078</c:v>
                </c:pt>
                <c:pt idx="14">
                  <c:v>0.45920054841092983</c:v>
                </c:pt>
                <c:pt idx="15">
                  <c:v>0.45973350674529229</c:v>
                </c:pt>
                <c:pt idx="16">
                  <c:v>0.46025138067429189</c:v>
                </c:pt>
                <c:pt idx="17">
                  <c:v>0.46075454696403062</c:v>
                </c:pt>
                <c:pt idx="18">
                  <c:v>0.46124336047475689</c:v>
                </c:pt>
                <c:pt idx="19">
                  <c:v>0.46171815494366436</c:v>
                </c:pt>
                <c:pt idx="20">
                  <c:v>0.4621792437169191</c:v>
                </c:pt>
                <c:pt idx="21">
                  <c:v>0.46262692043316173</c:v>
                </c:pt>
                <c:pt idx="22">
                  <c:v>0.46306145966055379</c:v>
                </c:pt>
                <c:pt idx="23">
                  <c:v>0.46348311748930621</c:v>
                </c:pt>
                <c:pt idx="24">
                  <c:v>0.4638921320814649</c:v>
                </c:pt>
                <c:pt idx="25">
                  <c:v>0.46428872417960471</c:v>
                </c:pt>
                <c:pt idx="26">
                  <c:v>0.46467309757594738</c:v>
                </c:pt>
                <c:pt idx="27">
                  <c:v>0.46504543954329552</c:v>
                </c:pt>
                <c:pt idx="28">
                  <c:v>0.46540592122905255</c:v>
                </c:pt>
                <c:pt idx="29">
                  <c:v>0.46575469801348951</c:v>
                </c:pt>
                <c:pt idx="30">
                  <c:v>0.46609190983330195</c:v>
                </c:pt>
                <c:pt idx="31">
                  <c:v>0.46641768147140356</c:v>
                </c:pt>
                <c:pt idx="32">
                  <c:v>0.46673212281378607</c:v>
                </c:pt>
                <c:pt idx="33">
                  <c:v>0.46703532907419337</c:v>
                </c:pt>
                <c:pt idx="34">
                  <c:v>0.46732738098724325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5-8241-BB11-5D36292F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07872"/>
        <c:axId val="699600464"/>
      </c:lineChart>
      <c:catAx>
        <c:axId val="186893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790079"/>
        <c:crosses val="autoZero"/>
        <c:auto val="1"/>
        <c:lblAlgn val="ctr"/>
        <c:lblOffset val="100"/>
        <c:noMultiLvlLbl val="0"/>
      </c:catAx>
      <c:valAx>
        <c:axId val="186879007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34767"/>
        <c:crosses val="autoZero"/>
        <c:crossBetween val="between"/>
      </c:valAx>
      <c:valAx>
        <c:axId val="699600464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07872"/>
        <c:crosses val="max"/>
        <c:crossBetween val="between"/>
      </c:valAx>
      <c:catAx>
        <c:axId val="70040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9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'Valuation (FCF)'!$AA$164</c:f>
              <c:strCache>
                <c:ptCount val="1"/>
                <c:pt idx="0">
                  <c:v>Fluxo de Caixa, após atividades de investimentos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(FCF)'!$AB$164:$BJ$164</c:f>
              <c:numCache>
                <c:formatCode>#,##0</c:formatCode>
                <c:ptCount val="35"/>
                <c:pt idx="0">
                  <c:v>5539064.93824628</c:v>
                </c:pt>
                <c:pt idx="1">
                  <c:v>-35174408.412718862</c:v>
                </c:pt>
                <c:pt idx="2">
                  <c:v>-45987244.758167557</c:v>
                </c:pt>
                <c:pt idx="3">
                  <c:v>30365044.71296908</c:v>
                </c:pt>
                <c:pt idx="4">
                  <c:v>35258277.2311005</c:v>
                </c:pt>
                <c:pt idx="5">
                  <c:v>41421835.63445431</c:v>
                </c:pt>
                <c:pt idx="6">
                  <c:v>42110379.961327754</c:v>
                </c:pt>
                <c:pt idx="7">
                  <c:v>42793540.245671339</c:v>
                </c:pt>
                <c:pt idx="8">
                  <c:v>43470708.774221197</c:v>
                </c:pt>
                <c:pt idx="9">
                  <c:v>44141282.349372029</c:v>
                </c:pt>
                <c:pt idx="10">
                  <c:v>44804664.420511641</c:v>
                </c:pt>
                <c:pt idx="11">
                  <c:v>45460267.446736939</c:v>
                </c:pt>
                <c:pt idx="12">
                  <c:v>46107515.543619357</c:v>
                </c:pt>
                <c:pt idx="13">
                  <c:v>46745847.484173656</c:v>
                </c:pt>
                <c:pt idx="14">
                  <c:v>47374720.148396447</c:v>
                </c:pt>
                <c:pt idx="15">
                  <c:v>47993612.549661122</c:v>
                </c:pt>
                <c:pt idx="16">
                  <c:v>48602030.614513204</c:v>
                </c:pt>
                <c:pt idx="17">
                  <c:v>49199512.962146394</c:v>
                </c:pt>
                <c:pt idx="18">
                  <c:v>49785638.032433398</c:v>
                </c:pt>
                <c:pt idx="19">
                  <c:v>50360033.065310791</c:v>
                </c:pt>
                <c:pt idx="20">
                  <c:v>50922385.670365833</c:v>
                </c:pt>
                <c:pt idx="21">
                  <c:v>51472459.096434943</c:v>
                </c:pt>
                <c:pt idx="22">
                  <c:v>52010112.910290763</c:v>
                </c:pt>
                <c:pt idx="23">
                  <c:v>52535331.792292893</c:v>
                </c:pt>
                <c:pt idx="24">
                  <c:v>53048266.882077649</c:v>
                </c:pt>
                <c:pt idx="25">
                  <c:v>53549297.212731898</c:v>
                </c:pt>
                <c:pt idx="26">
                  <c:v>54039124.637574412</c:v>
                </c:pt>
                <c:pt idx="27">
                  <c:v>54518927.385009795</c:v>
                </c:pt>
                <c:pt idx="28">
                  <c:v>54990622.515463412</c:v>
                </c:pt>
                <c:pt idx="29">
                  <c:v>55457346.210941873</c:v>
                </c:pt>
                <c:pt idx="30">
                  <c:v>55924413.334663995</c:v>
                </c:pt>
                <c:pt idx="31">
                  <c:v>56401475.218762711</c:v>
                </c:pt>
                <c:pt idx="32">
                  <c:v>56908272.213193022</c:v>
                </c:pt>
                <c:pt idx="33">
                  <c:v>57494765.404305264</c:v>
                </c:pt>
                <c:pt idx="34">
                  <c:v>58611242.80757761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9845-8049-8617952D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34767"/>
        <c:axId val="1868790079"/>
      </c:barChart>
      <c:lineChart>
        <c:grouping val="standard"/>
        <c:varyColors val="0"/>
        <c:ser>
          <c:idx val="1"/>
          <c:order val="1"/>
          <c:tx>
            <c:strRef>
              <c:f>'Valuation (FCF)'!$AA$173</c:f>
              <c:strCache>
                <c:ptCount val="1"/>
                <c:pt idx="0">
                  <c:v>Fluxo de Caixa, após atividades de financiamento -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(FCF)'!$AB$165:$BJ$165</c:f>
              <c:numCache>
                <c:formatCode>#,##0</c:formatCode>
                <c:ptCount val="35"/>
                <c:pt idx="0">
                  <c:v>5539064.93824628</c:v>
                </c:pt>
                <c:pt idx="1">
                  <c:v>-29635343.474472582</c:v>
                </c:pt>
                <c:pt idx="2">
                  <c:v>-75622588.232640147</c:v>
                </c:pt>
                <c:pt idx="3">
                  <c:v>-45257543.519671068</c:v>
                </c:pt>
                <c:pt idx="4">
                  <c:v>-9999266.288570568</c:v>
                </c:pt>
                <c:pt idx="5">
                  <c:v>31422569.345883742</c:v>
                </c:pt>
                <c:pt idx="6">
                  <c:v>73532949.307211488</c:v>
                </c:pt>
                <c:pt idx="7">
                  <c:v>116326489.55288282</c:v>
                </c:pt>
                <c:pt idx="8">
                  <c:v>159797198.32710403</c:v>
                </c:pt>
                <c:pt idx="9">
                  <c:v>203938480.67647606</c:v>
                </c:pt>
                <c:pt idx="10">
                  <c:v>248743145.09698769</c:v>
                </c:pt>
                <c:pt idx="11">
                  <c:v>294203412.54372466</c:v>
                </c:pt>
                <c:pt idx="12">
                  <c:v>340310928.08734399</c:v>
                </c:pt>
                <c:pt idx="13">
                  <c:v>387056775.57151765</c:v>
                </c:pt>
                <c:pt idx="14">
                  <c:v>434431495.71991408</c:v>
                </c:pt>
                <c:pt idx="15">
                  <c:v>482425108.26957518</c:v>
                </c:pt>
                <c:pt idx="16">
                  <c:v>531027138.8840884</c:v>
                </c:pt>
                <c:pt idx="17">
                  <c:v>580226651.8462348</c:v>
                </c:pt>
                <c:pt idx="18">
                  <c:v>630012289.87866819</c:v>
                </c:pt>
                <c:pt idx="19">
                  <c:v>680372322.94397902</c:v>
                </c:pt>
                <c:pt idx="20">
                  <c:v>731294708.61434484</c:v>
                </c:pt>
                <c:pt idx="21">
                  <c:v>782767167.71077979</c:v>
                </c:pt>
                <c:pt idx="22">
                  <c:v>834777280.6210705</c:v>
                </c:pt>
                <c:pt idx="23">
                  <c:v>887312612.41336346</c:v>
                </c:pt>
                <c:pt idx="24">
                  <c:v>940360879.29544115</c:v>
                </c:pt>
                <c:pt idx="25">
                  <c:v>993910176.50817299</c:v>
                </c:pt>
                <c:pt idx="26">
                  <c:v>1047949301.1457474</c:v>
                </c:pt>
                <c:pt idx="27">
                  <c:v>1102468228.5307572</c:v>
                </c:pt>
                <c:pt idx="28">
                  <c:v>1157458851.0462205</c:v>
                </c:pt>
                <c:pt idx="29">
                  <c:v>1212916197.2571623</c:v>
                </c:pt>
                <c:pt idx="30">
                  <c:v>1268840610.5918264</c:v>
                </c:pt>
                <c:pt idx="31">
                  <c:v>1325242085.8105891</c:v>
                </c:pt>
                <c:pt idx="32">
                  <c:v>1382150358.023782</c:v>
                </c:pt>
                <c:pt idx="33">
                  <c:v>1439645123.4280872</c:v>
                </c:pt>
                <c:pt idx="34">
                  <c:v>1498256366.2356648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1-9845-8049-8617952D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07872"/>
        <c:axId val="699600464"/>
      </c:lineChart>
      <c:catAx>
        <c:axId val="186893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790079"/>
        <c:crosses val="autoZero"/>
        <c:auto val="1"/>
        <c:lblAlgn val="ctr"/>
        <c:lblOffset val="100"/>
        <c:noMultiLvlLbl val="0"/>
      </c:catAx>
      <c:valAx>
        <c:axId val="1868790079"/>
        <c:scaling>
          <c:orientation val="minMax"/>
          <c:max val="1200000000"/>
          <c:min val="-200000000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34767"/>
        <c:crosses val="autoZero"/>
        <c:crossBetween val="between"/>
      </c:valAx>
      <c:valAx>
        <c:axId val="699600464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07872"/>
        <c:crosses val="max"/>
        <c:crossBetween val="between"/>
      </c:valAx>
      <c:catAx>
        <c:axId val="70040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9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'Valuation (FCF)'!$AA$123</c:f>
              <c:strCache>
                <c:ptCount val="1"/>
                <c:pt idx="0">
                  <c:v>Custos e 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(FCF)'!$AB$123:$BJ$123</c:f>
              <c:numCache>
                <c:formatCode>General</c:formatCode>
                <c:ptCount val="35"/>
                <c:pt idx="0">
                  <c:v>74559551.56782645</c:v>
                </c:pt>
                <c:pt idx="1">
                  <c:v>73038156.219989002</c:v>
                </c:pt>
                <c:pt idx="2">
                  <c:v>71399534.935624704</c:v>
                </c:pt>
                <c:pt idx="3">
                  <c:v>69639628.539649189</c:v>
                </c:pt>
                <c:pt idx="4">
                  <c:v>67754905.107226238</c:v>
                </c:pt>
                <c:pt idx="5">
                  <c:v>65742306.576850757</c:v>
                </c:pt>
                <c:pt idx="6">
                  <c:v>66632417.282568693</c:v>
                </c:pt>
                <c:pt idx="7">
                  <c:v>67506288.215069875</c:v>
                </c:pt>
                <c:pt idx="8">
                  <c:v>68362957.876815438</c:v>
                </c:pt>
                <c:pt idx="9">
                  <c:v>69201473.681928575</c:v>
                </c:pt>
                <c:pt idx="10">
                  <c:v>70020893.694081634</c:v>
                </c:pt>
                <c:pt idx="11">
                  <c:v>70820288.3652367</c:v>
                </c:pt>
                <c:pt idx="12">
                  <c:v>71598742.270822361</c:v>
                </c:pt>
                <c:pt idx="13">
                  <c:v>72355355.836880252</c:v>
                </c:pt>
                <c:pt idx="14">
                  <c:v>73089247.054680645</c:v>
                </c:pt>
                <c:pt idx="15">
                  <c:v>73799553.178286776</c:v>
                </c:pt>
                <c:pt idx="16">
                  <c:v>74485432.400542706</c:v>
                </c:pt>
                <c:pt idx="17">
                  <c:v>75146065.502970785</c:v>
                </c:pt>
                <c:pt idx="18">
                  <c:v>75780657.47509101</c:v>
                </c:pt>
                <c:pt idx="19">
                  <c:v>76388439.098715588</c:v>
                </c:pt>
                <c:pt idx="20">
                  <c:v>76968668.492831007</c:v>
                </c:pt>
                <c:pt idx="21">
                  <c:v>77520632.614750475</c:v>
                </c:pt>
                <c:pt idx="22">
                  <c:v>78043648.713310525</c:v>
                </c:pt>
                <c:pt idx="23">
                  <c:v>78537065.72998631</c:v>
                </c:pt>
                <c:pt idx="24">
                  <c:v>79000265.643920913</c:v>
                </c:pt>
                <c:pt idx="25">
                  <c:v>79432664.756995529</c:v>
                </c:pt>
                <c:pt idx="26">
                  <c:v>79833714.915215313</c:v>
                </c:pt>
                <c:pt idx="27">
                  <c:v>80202904.662846565</c:v>
                </c:pt>
                <c:pt idx="28">
                  <c:v>80539760.325916171</c:v>
                </c:pt>
                <c:pt idx="29">
                  <c:v>80843847.021870047</c:v>
                </c:pt>
                <c:pt idx="30">
                  <c:v>81114769.592388302</c:v>
                </c:pt>
                <c:pt idx="31">
                  <c:v>81352173.456564069</c:v>
                </c:pt>
                <c:pt idx="32">
                  <c:v>81555745.381875932</c:v>
                </c:pt>
                <c:pt idx="33">
                  <c:v>81725214.170614123</c:v>
                </c:pt>
                <c:pt idx="34">
                  <c:v>81860351.259662062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A-A847-95DB-19E3EA0EB1DB}"/>
            </c:ext>
          </c:extLst>
        </c:ser>
        <c:ser>
          <c:idx val="2"/>
          <c:order val="2"/>
          <c:tx>
            <c:strRef>
              <c:f>'Valuation (FCF)'!$AA$158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(FCF)'!$AB$158:$BJ$158</c:f>
              <c:numCache>
                <c:formatCode>#,##0</c:formatCode>
                <c:ptCount val="35"/>
                <c:pt idx="0">
                  <c:v>14507179.232344907</c:v>
                </c:pt>
                <c:pt idx="1">
                  <c:v>60192506.52347371</c:v>
                </c:pt>
                <c:pt idx="2">
                  <c:v>76321951.631446183</c:v>
                </c:pt>
                <c:pt idx="3">
                  <c:v>4711711.8317973036</c:v>
                </c:pt>
                <c:pt idx="4">
                  <c:v>4724885.2834214922</c:v>
                </c:pt>
                <c:pt idx="5">
                  <c:v>3619914.8241806021</c:v>
                </c:pt>
                <c:pt idx="6">
                  <c:v>3595774.091980326</c:v>
                </c:pt>
                <c:pt idx="7">
                  <c:v>3568750.7116243732</c:v>
                </c:pt>
                <c:pt idx="8">
                  <c:v>3538845.6457346263</c:v>
                </c:pt>
                <c:pt idx="9">
                  <c:v>3506064.6384700323</c:v>
                </c:pt>
                <c:pt idx="10">
                  <c:v>3470418.2627420011</c:v>
                </c:pt>
                <c:pt idx="11">
                  <c:v>3431921.9558595484</c:v>
                </c:pt>
                <c:pt idx="12">
                  <c:v>3390596.0433468418</c:v>
                </c:pt>
                <c:pt idx="13">
                  <c:v>3346465.7507192609</c:v>
                </c:pt>
                <c:pt idx="14">
                  <c:v>3299561.2030354366</c:v>
                </c:pt>
                <c:pt idx="15">
                  <c:v>3249917.4120866624</c:v>
                </c:pt>
                <c:pt idx="16">
                  <c:v>3197574.2511228477</c:v>
                </c:pt>
                <c:pt idx="17">
                  <c:v>3142576.4170554411</c:v>
                </c:pt>
                <c:pt idx="18">
                  <c:v>3084973.3801197903</c:v>
                </c:pt>
                <c:pt idx="19">
                  <c:v>3024819.3210218335</c:v>
                </c:pt>
                <c:pt idx="20">
                  <c:v>2962173.0556353256</c:v>
                </c:pt>
                <c:pt idx="21">
                  <c:v>2897097.9473602851</c:v>
                </c:pt>
                <c:pt idx="22">
                  <c:v>2829661.8072944544</c:v>
                </c:pt>
                <c:pt idx="23">
                  <c:v>2759936.7824131381</c:v>
                </c:pt>
                <c:pt idx="24">
                  <c:v>2687999.231994668</c:v>
                </c:pt>
                <c:pt idx="25">
                  <c:v>2613929.5925697507</c:v>
                </c:pt>
                <c:pt idx="26">
                  <c:v>2537812.2317150068</c:v>
                </c:pt>
                <c:pt idx="27">
                  <c:v>2459735.2910502828</c:v>
                </c:pt>
                <c:pt idx="28">
                  <c:v>2379790.5188377462</c:v>
                </c:pt>
                <c:pt idx="29">
                  <c:v>2298073.0926197572</c:v>
                </c:pt>
                <c:pt idx="30">
                  <c:v>2214681.4323675251</c:v>
                </c:pt>
                <c:pt idx="31">
                  <c:v>2129717.0046471921</c:v>
                </c:pt>
                <c:pt idx="32">
                  <c:v>2043284.1183451486</c:v>
                </c:pt>
                <c:pt idx="33">
                  <c:v>1955489.7125204601</c:v>
                </c:pt>
                <c:pt idx="34">
                  <c:v>1488685.5323490687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A-A847-95DB-19E3EA0E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8934767"/>
        <c:axId val="1868790079"/>
      </c:barChart>
      <c:lineChart>
        <c:grouping val="standard"/>
        <c:varyColors val="0"/>
        <c:ser>
          <c:idx val="0"/>
          <c:order val="0"/>
          <c:tx>
            <c:strRef>
              <c:f>'Valuation (FCF)'!$AA$113</c:f>
              <c:strCache>
                <c:ptCount val="1"/>
                <c:pt idx="0">
                  <c:v>Receita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,,;\-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'Valuation (FCF)'!$AB$113:$BJ$113</c:f>
              <c:numCache>
                <c:formatCode>#,##0</c:formatCode>
                <c:ptCount val="35"/>
                <c:pt idx="0">
                  <c:v>112053119.57478464</c:v>
                </c:pt>
                <c:pt idx="1">
                  <c:v>117550752.48907749</c:v>
                </c:pt>
                <c:pt idx="2">
                  <c:v>123183895.88575169</c:v>
                </c:pt>
                <c:pt idx="3">
                  <c:v>128950450.53002964</c:v>
                </c:pt>
                <c:pt idx="4">
                  <c:v>134848030.86259729</c:v>
                </c:pt>
                <c:pt idx="5">
                  <c:v>140873962.00154415</c:v>
                </c:pt>
                <c:pt idx="6">
                  <c:v>142849889.56435135</c:v>
                </c:pt>
                <c:pt idx="7">
                  <c:v>144792884.29684639</c:v>
                </c:pt>
                <c:pt idx="8">
                  <c:v>146700835.43219072</c:v>
                </c:pt>
                <c:pt idx="9">
                  <c:v>148571647.27458537</c:v>
                </c:pt>
                <c:pt idx="10">
                  <c:v>150403242.96840072</c:v>
                </c:pt>
                <c:pt idx="11">
                  <c:v>152193568.28002885</c:v>
                </c:pt>
                <c:pt idx="12">
                  <c:v>153940595.38300559</c:v>
                </c:pt>
                <c:pt idx="13">
                  <c:v>155642326.63680401</c:v>
                </c:pt>
                <c:pt idx="14">
                  <c:v>157296798.34959409</c:v>
                </c:pt>
                <c:pt idx="15">
                  <c:v>158902084.5151796</c:v>
                </c:pt>
                <c:pt idx="16">
                  <c:v>160456300.51427934</c:v>
                </c:pt>
                <c:pt idx="17">
                  <c:v>161957606.7703023</c:v>
                </c:pt>
                <c:pt idx="18">
                  <c:v>163404212.34978664</c:v>
                </c:pt>
                <c:pt idx="19">
                  <c:v>164794378.49772382</c:v>
                </c:pt>
                <c:pt idx="20">
                  <c:v>166126422.09807512</c:v>
                </c:pt>
                <c:pt idx="21">
                  <c:v>167398719.04990804</c:v>
                </c:pt>
                <c:pt idx="22">
                  <c:v>168609707.54973295</c:v>
                </c:pt>
                <c:pt idx="23">
                  <c:v>169757891.27080876</c:v>
                </c:pt>
                <c:pt idx="24">
                  <c:v>170841842.43040481</c:v>
                </c:pt>
                <c:pt idx="25">
                  <c:v>171860204.73626128</c:v>
                </c:pt>
                <c:pt idx="26">
                  <c:v>172811696.20377332</c:v>
                </c:pt>
                <c:pt idx="27">
                  <c:v>173695111.83574167</c:v>
                </c:pt>
                <c:pt idx="28">
                  <c:v>174509326.15687856</c:v>
                </c:pt>
                <c:pt idx="29">
                  <c:v>175253295.59563261</c:v>
                </c:pt>
                <c:pt idx="30">
                  <c:v>175926060.70630014</c:v>
                </c:pt>
                <c:pt idx="31">
                  <c:v>176526748.2248216</c:v>
                </c:pt>
                <c:pt idx="32">
                  <c:v>177054572.95211414</c:v>
                </c:pt>
                <c:pt idx="33">
                  <c:v>177508839.4592739</c:v>
                </c:pt>
                <c:pt idx="34">
                  <c:v>177888943.60947862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A847-95DB-19E3EA0E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34767"/>
        <c:axId val="1868790079"/>
      </c:lineChart>
      <c:catAx>
        <c:axId val="186893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790079"/>
        <c:crosses val="autoZero"/>
        <c:auto val="1"/>
        <c:lblAlgn val="ctr"/>
        <c:lblOffset val="100"/>
        <c:noMultiLvlLbl val="0"/>
      </c:catAx>
      <c:valAx>
        <c:axId val="186879007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'Valuation (FCF)'!$AA$172</c:f>
              <c:strCache>
                <c:ptCount val="1"/>
                <c:pt idx="0">
                  <c:v>Fluxo de Caixa, após atividades de financiamento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'Valuation (FCF)'!$AB$172:$BJ$172</c:f>
              <c:numCache>
                <c:formatCode>#,##0</c:formatCode>
                <c:ptCount val="35"/>
                <c:pt idx="0">
                  <c:v>-31281659.322484158</c:v>
                </c:pt>
                <c:pt idx="1">
                  <c:v>-71995132.673449308</c:v>
                </c:pt>
                <c:pt idx="2">
                  <c:v>-82807969.018897995</c:v>
                </c:pt>
                <c:pt idx="3">
                  <c:v>-6455679.5477613583</c:v>
                </c:pt>
                <c:pt idx="4">
                  <c:v>-1562447.0296299383</c:v>
                </c:pt>
                <c:pt idx="5">
                  <c:v>4601111.373723872</c:v>
                </c:pt>
                <c:pt idx="6">
                  <c:v>5289655.700597316</c:v>
                </c:pt>
                <c:pt idx="7">
                  <c:v>42793540.245671339</c:v>
                </c:pt>
                <c:pt idx="8">
                  <c:v>43470708.774221197</c:v>
                </c:pt>
                <c:pt idx="9">
                  <c:v>44141282.349372029</c:v>
                </c:pt>
                <c:pt idx="10">
                  <c:v>44804664.420511641</c:v>
                </c:pt>
                <c:pt idx="11">
                  <c:v>45460267.446736939</c:v>
                </c:pt>
                <c:pt idx="12">
                  <c:v>46107515.543619357</c:v>
                </c:pt>
                <c:pt idx="13">
                  <c:v>46745847.484173656</c:v>
                </c:pt>
                <c:pt idx="14">
                  <c:v>47374720.148396447</c:v>
                </c:pt>
                <c:pt idx="15">
                  <c:v>47993612.549661122</c:v>
                </c:pt>
                <c:pt idx="16">
                  <c:v>48602030.614513204</c:v>
                </c:pt>
                <c:pt idx="17">
                  <c:v>49199512.962146394</c:v>
                </c:pt>
                <c:pt idx="18">
                  <c:v>49785638.032433398</c:v>
                </c:pt>
                <c:pt idx="19">
                  <c:v>50360033.065310791</c:v>
                </c:pt>
                <c:pt idx="20">
                  <c:v>50922385.670365833</c:v>
                </c:pt>
                <c:pt idx="21">
                  <c:v>51472459.096434943</c:v>
                </c:pt>
                <c:pt idx="22">
                  <c:v>52010112.910290763</c:v>
                </c:pt>
                <c:pt idx="23">
                  <c:v>52535331.792292893</c:v>
                </c:pt>
                <c:pt idx="24">
                  <c:v>53048266.882077649</c:v>
                </c:pt>
                <c:pt idx="25">
                  <c:v>53549297.212731898</c:v>
                </c:pt>
                <c:pt idx="26">
                  <c:v>54039124.637574412</c:v>
                </c:pt>
                <c:pt idx="27">
                  <c:v>54518927.385009795</c:v>
                </c:pt>
                <c:pt idx="28">
                  <c:v>54990622.515463412</c:v>
                </c:pt>
                <c:pt idx="29">
                  <c:v>55457346.210941873</c:v>
                </c:pt>
                <c:pt idx="30">
                  <c:v>55924413.334663995</c:v>
                </c:pt>
                <c:pt idx="31">
                  <c:v>56401475.218762711</c:v>
                </c:pt>
                <c:pt idx="32">
                  <c:v>56908272.213193022</c:v>
                </c:pt>
                <c:pt idx="33">
                  <c:v>57494765.404305264</c:v>
                </c:pt>
                <c:pt idx="34">
                  <c:v>58611242.80757761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144A-9269-CC828EC1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34767"/>
        <c:axId val="1868790079"/>
      </c:barChart>
      <c:lineChart>
        <c:grouping val="standard"/>
        <c:varyColors val="0"/>
        <c:ser>
          <c:idx val="1"/>
          <c:order val="1"/>
          <c:tx>
            <c:strRef>
              <c:f>'Valuation (FCF)'!$AA$173</c:f>
              <c:strCache>
                <c:ptCount val="1"/>
                <c:pt idx="0">
                  <c:v>Fluxo de Caixa, após atividades de financiamento -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'Valuation (FCF)'!$AB$173:$BJ$173</c:f>
              <c:numCache>
                <c:formatCode>#,##0</c:formatCode>
                <c:ptCount val="35"/>
                <c:pt idx="0">
                  <c:v>-31281659.322484158</c:v>
                </c:pt>
                <c:pt idx="1">
                  <c:v>-103276791.99593347</c:v>
                </c:pt>
                <c:pt idx="2">
                  <c:v>-186084761.01483148</c:v>
                </c:pt>
                <c:pt idx="3">
                  <c:v>-192540440.56259283</c:v>
                </c:pt>
                <c:pt idx="4">
                  <c:v>-194102887.59222278</c:v>
                </c:pt>
                <c:pt idx="5">
                  <c:v>-189501776.21849892</c:v>
                </c:pt>
                <c:pt idx="6">
                  <c:v>-184212120.5179016</c:v>
                </c:pt>
                <c:pt idx="7">
                  <c:v>-141418580.27223027</c:v>
                </c:pt>
                <c:pt idx="8">
                  <c:v>-97947871.498009071</c:v>
                </c:pt>
                <c:pt idx="9">
                  <c:v>-53806589.148637041</c:v>
                </c:pt>
                <c:pt idx="10">
                  <c:v>-9001924.7281254008</c:v>
                </c:pt>
                <c:pt idx="11">
                  <c:v>36458342.718611538</c:v>
                </c:pt>
                <c:pt idx="12">
                  <c:v>82565858.262230903</c:v>
                </c:pt>
                <c:pt idx="13">
                  <c:v>129311705.74640456</c:v>
                </c:pt>
                <c:pt idx="14">
                  <c:v>176686425.89480102</c:v>
                </c:pt>
                <c:pt idx="15">
                  <c:v>224680038.44446215</c:v>
                </c:pt>
                <c:pt idx="16">
                  <c:v>273282069.05897534</c:v>
                </c:pt>
                <c:pt idx="17">
                  <c:v>322481582.02112174</c:v>
                </c:pt>
                <c:pt idx="18">
                  <c:v>372267220.05355513</c:v>
                </c:pt>
                <c:pt idx="19">
                  <c:v>422627253.11886591</c:v>
                </c:pt>
                <c:pt idx="20">
                  <c:v>473549638.78923172</c:v>
                </c:pt>
                <c:pt idx="21">
                  <c:v>525022097.88566667</c:v>
                </c:pt>
                <c:pt idx="22">
                  <c:v>577032210.79595745</c:v>
                </c:pt>
                <c:pt idx="23">
                  <c:v>629567542.5882504</c:v>
                </c:pt>
                <c:pt idx="24">
                  <c:v>682615809.47032809</c:v>
                </c:pt>
                <c:pt idx="25">
                  <c:v>736165106.68305993</c:v>
                </c:pt>
                <c:pt idx="26">
                  <c:v>790204231.32063437</c:v>
                </c:pt>
                <c:pt idx="27">
                  <c:v>844723158.70564413</c:v>
                </c:pt>
                <c:pt idx="28">
                  <c:v>899713781.22110748</c:v>
                </c:pt>
                <c:pt idx="29">
                  <c:v>955171127.43204939</c:v>
                </c:pt>
                <c:pt idx="30">
                  <c:v>1011095540.7667134</c:v>
                </c:pt>
                <c:pt idx="31">
                  <c:v>1067497015.9854761</c:v>
                </c:pt>
                <c:pt idx="32">
                  <c:v>1124405288.1986692</c:v>
                </c:pt>
                <c:pt idx="33">
                  <c:v>1181900053.6029744</c:v>
                </c:pt>
                <c:pt idx="34">
                  <c:v>1240511296.410552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9-144A-9269-CC828EC1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07872"/>
        <c:axId val="699600464"/>
      </c:lineChart>
      <c:catAx>
        <c:axId val="186893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790079"/>
        <c:crosses val="autoZero"/>
        <c:auto val="1"/>
        <c:lblAlgn val="ctr"/>
        <c:lblOffset val="100"/>
        <c:noMultiLvlLbl val="0"/>
      </c:catAx>
      <c:valAx>
        <c:axId val="1868790079"/>
        <c:scaling>
          <c:orientation val="minMax"/>
          <c:max val="1200000000"/>
          <c:min val="-200000000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934767"/>
        <c:crosses val="autoZero"/>
        <c:crossBetween val="between"/>
      </c:valAx>
      <c:valAx>
        <c:axId val="699600464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07872"/>
        <c:crosses val="max"/>
        <c:crossBetween val="between"/>
      </c:valAx>
      <c:catAx>
        <c:axId val="70040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9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137</xdr:row>
      <xdr:rowOff>0</xdr:rowOff>
    </xdr:from>
    <xdr:to>
      <xdr:col>78</xdr:col>
      <xdr:colOff>372119</xdr:colOff>
      <xdr:row>161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3F4423-17A8-4C47-9F03-CF5D3C0DB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164</xdr:row>
      <xdr:rowOff>0</xdr:rowOff>
    </xdr:from>
    <xdr:to>
      <xdr:col>78</xdr:col>
      <xdr:colOff>372119</xdr:colOff>
      <xdr:row>188</xdr:row>
      <xdr:rowOff>61560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AE4CC6-8149-074D-8C97-65715CC1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112</xdr:row>
      <xdr:rowOff>0</xdr:rowOff>
    </xdr:from>
    <xdr:to>
      <xdr:col>78</xdr:col>
      <xdr:colOff>372119</xdr:colOff>
      <xdr:row>140</xdr:row>
      <xdr:rowOff>61560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D53FEB-FE72-514C-B901-C1C70AEE4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190</xdr:row>
      <xdr:rowOff>0</xdr:rowOff>
    </xdr:from>
    <xdr:to>
      <xdr:col>78</xdr:col>
      <xdr:colOff>372119</xdr:colOff>
      <xdr:row>223</xdr:row>
      <xdr:rowOff>61560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50FE2-66BB-BD48-9967-5729AD53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922ED-7294-3D43-9A55-D910A29B3956}" name="Tabela1" displayName="Tabela1" ref="A1:IA27" totalsRowShown="0">
  <autoFilter ref="A1:IA27" xr:uid="{D66922ED-7294-3D43-9A55-D910A29B3956}"/>
  <tableColumns count="235">
    <tableColumn id="1" xr3:uid="{31EDE190-45C3-F042-A865-D51D69EA09F8}" name="Código do Município"/>
    <tableColumn id="2" xr3:uid="{2FC62B78-264F-3B4B-B724-1C95EE93DFB7}" name="Município"/>
    <tableColumn id="3" xr3:uid="{9FA467A9-758F-3C43-A871-DDF2952E9175}" name="Estado"/>
    <tableColumn id="4" xr3:uid="{F39B5AAF-BE6C-4F48-9D95-98A7F203F283}" name="Ano de Referência"/>
    <tableColumn id="5" xr3:uid="{813C890E-5407-7D4D-9389-7D6A491EB6CD}" name="Código do Prestador"/>
    <tableColumn id="6" xr3:uid="{EAC5E018-7CB8-2641-B724-3CAEC5CC6EEE}" name="Prestador"/>
    <tableColumn id="7" xr3:uid="{734CC29F-7838-A64F-A115-1ABE9F402D75}" name="Sigla do Prestador"/>
    <tableColumn id="8" xr3:uid="{4E5C1060-FA27-5E44-9545-77518E8EB9EC}" name="Abrangência"/>
    <tableColumn id="9" xr3:uid="{ADB3F15D-F9AD-D249-9A64-0007345F0AA2}" name="Tipo de serviço"/>
    <tableColumn id="10" xr3:uid="{1CDDA585-ACE2-C74F-B018-6D82AD979DF6}" name="Natureza jurídica"/>
    <tableColumn id="11" xr3:uid="{3551796D-A3AB-8647-A1C1-6E7F890FDA86}" name="GE001 - Quantidade de municípios atendidos com abastecimento de água com delegação em vigor"/>
    <tableColumn id="12" xr3:uid="{5A702592-D6D8-BF43-9F65-68DFDA1DF319}" name="GE002 - Quantidade de municípios atendidos com abastecimento de água com delegação vencida"/>
    <tableColumn id="13" xr3:uid="{4ABAF6A7-F72B-E44F-9C75-4C0B2A8470EC}" name="GE003 - Quantidade de municípios atendidos com abastecimento de água sem delegação"/>
    <tableColumn id="14" xr3:uid="{FCD2183F-7075-5347-9711-D56CAC6D5B8B}" name="GE008 - Quantidade de Sedes municipais atendidas com abastecimento de água"/>
    <tableColumn id="15" xr3:uid="{ABAB0AEA-90EE-0F4A-BD17-DF2CC332A6DB}" name="GE009 - Quantidade de Sedes municipais atendidas com esgotamento sanitário"/>
    <tableColumn id="16" xr3:uid="{A259A657-C25C-2C4E-890E-90365E2FC4CF}" name="GE010 - Quantidade de Localidades (excluídas as sedes) atendidas com abastecimento de água"/>
    <tableColumn id="17" xr3:uid="{5FE3BCDE-D53E-AB4A-AFC7-16FE46D3F012}" name="GE011 - Quantidade de Localidades (excluídas as sedes) atendidas com esgotamento sanitário"/>
    <tableColumn id="18" xr3:uid="{FC3E0BFE-4203-2442-BA3C-B0CF8A8FA1D2}" name="GE014 - Quantidade de municípios atendidos com esgotamento sanitário com delegação em vigor"/>
    <tableColumn id="19" xr3:uid="{19E705F0-6634-0348-BE73-3BE2BF7E8C75}" name="GE015 - Quantidade de municípios atendidos com esgotamento sanitário com delegação vencida"/>
    <tableColumn id="20" xr3:uid="{285869C1-8D09-794C-91B3-AC87F463763D}" name="GE016 - Quantidade de municípios atendidos com esgotamento sanitário sem delegação"/>
    <tableColumn id="21" xr3:uid="{AE480085-3F12-5D4E-97DE-405118B92340}" name="GE017 - Ano de vencimento da delegação de abastecimento de água"/>
    <tableColumn id="22" xr3:uid="{9141B628-8A80-644B-9208-9A567F10FDB8}" name="GE018 - Ano de vencimento da delegação de esgotamento sanitário"/>
    <tableColumn id="23" xr3:uid="{EED8272B-700E-804F-9C32-1266F6E7C0D2}" name="GE019 - Onde atende com abastecimento de água"/>
    <tableColumn id="24" xr3:uid="{2E54CE93-C126-004C-A0B2-960CC73BD29E}" name="GE020 - Onde atende com esgotamento sanitário"/>
    <tableColumn id="25" xr3:uid="{E1146AE4-75BF-C749-8C81-3E52818C03F0}" name="GE030 - Quantidade de municípios não atendidos com esgotamento sanitário e sem delegação para prestar esse serviço"/>
    <tableColumn id="26" xr3:uid="{D96FFA23-8882-7044-89E3-B498DDA5BA04}" name="POP_TOT - População total do município do ano de referência (Fonte: IBGE):" dataDxfId="58"/>
    <tableColumn id="27" xr3:uid="{ABDB4C1E-24A8-D341-A3BB-EAA9D9FA3FD1}" name="POP_URB - População urbana do município do ano de referência (Fonte: IBGE):" dataDxfId="57"/>
    <tableColumn id="28" xr3:uid="{70434A9A-5AFE-B040-8552-03321BF4BCB1}" name="AG001 - População total atendida com abastecimento de água" dataDxfId="56"/>
    <tableColumn id="29" xr3:uid="{1F46A903-7A9E-D54A-9EA0-21507D3AB936}" name="AG001A - População total atendida com abastecimento de água no ano anterior ao de referência." dataDxfId="55"/>
    <tableColumn id="30" xr3:uid="{742D6CEB-D3B5-014D-A36B-D4114685D320}" name="AG002 - Quantidade de ligações ativas de água" dataDxfId="54"/>
    <tableColumn id="31" xr3:uid="{C09EFC07-FDD1-7441-9406-2676C752FE73}" name="AG002A - Quantidade de ligações ativas de água no ano anterior ao de referência." dataDxfId="53"/>
    <tableColumn id="32" xr3:uid="{22558862-D016-3948-A62E-819BF1FB2FB7}" name="AG003 - Quantidade de economias ativas de água" dataDxfId="52"/>
    <tableColumn id="33" xr3:uid="{342617F6-961E-DC43-9539-DF549599E87F}" name="AG003A - Quantidade de economias ativas de água no ano anterior ao de referência." dataDxfId="51"/>
    <tableColumn id="34" xr3:uid="{671402B6-DB5E-004F-A23A-35DC9B9C01A8}" name="AG004 - Quantidade de ligações ativas de água micromedidas" dataDxfId="50"/>
    <tableColumn id="35" xr3:uid="{89C2D207-45A1-B843-968C-54BFE5AB0E2F}" name="AG004A - Quantidade de ligações ativas de água micromedidas no ano anterior ao de referência." dataDxfId="49"/>
    <tableColumn id="36" xr3:uid="{1E30220B-BB7F-0F49-A746-4DA28F3D8B0F}" name="AG005 - Extensão da rede de água"/>
    <tableColumn id="37" xr3:uid="{CEBE4C95-2359-4743-940C-937C8B70BA74}" name="AG005A - Extensão da rede de água no ano anterior ao de referência."/>
    <tableColumn id="38" xr3:uid="{1A75D4A4-633A-AB49-ABAC-EA0DB832AABC}" name="AG006 - Volume de água produzido" dataDxfId="48"/>
    <tableColumn id="39" xr3:uid="{00FE5211-D89B-034D-8A3F-E87D05037FD0}" name="AG007 - Volume de água tratada em ETAs" dataDxfId="47"/>
    <tableColumn id="40" xr3:uid="{45DDE498-30C1-2C46-A8E0-3ED3927D119B}" name="AG008 - Volume de água micromedido" dataDxfId="46"/>
    <tableColumn id="41" xr3:uid="{7CAC3E1C-21E7-504C-B967-1848AFB71655}" name="AG010 - Volume de água consumido" dataDxfId="45"/>
    <tableColumn id="42" xr3:uid="{B0C0156F-006A-E94E-B516-739F40023CAF}" name="AG011 - Volume de água faturado" dataDxfId="44"/>
    <tableColumn id="43" xr3:uid="{160950C1-8828-D34F-A72D-10F2BFA715D7}" name="AG012 - Volume de água macromedido"/>
    <tableColumn id="44" xr3:uid="{E0612D05-57C3-1243-8AA1-39EBDC491132}" name="AG013 - Quantidade de economias residenciais ativas de água" dataDxfId="43"/>
    <tableColumn id="45" xr3:uid="{EBB17304-A7A2-9348-96E1-9371E112B878}" name="AG013A - Quantidade de economias residenciais ativas de água no ano anterior ao de referência." dataDxfId="42"/>
    <tableColumn id="46" xr3:uid="{DFE6827D-ED55-7544-AAED-B74B1081C792}" name="AG014 - Quantidade de economias ativas de água micromedidas" dataDxfId="41"/>
    <tableColumn id="47" xr3:uid="{CA8177FA-6BBC-8C4C-966A-1872C6AB45DA}" name="AG014A - Quantidade de economias ativas de água micromedidas no ano anterior ao de referência." dataDxfId="40"/>
    <tableColumn id="48" xr3:uid="{233DB907-73F6-2C4E-B059-7670F3DE12AC}" name="AG015 - Volume de água tratada por simples desinfecção"/>
    <tableColumn id="49" xr3:uid="{F49F3882-8905-B148-87B5-01272868A89C}" name="AG017 - Volume de água bruta exportado"/>
    <tableColumn id="50" xr3:uid="{F1177EE1-1258-FA4E-816A-F9966A200331}" name="AG018 - Volume de água tratada importado"/>
    <tableColumn id="51" xr3:uid="{50976BDC-25A5-0F40-B998-B1EF8E939121}" name="AG019 - Volume de água tratada exportado"/>
    <tableColumn id="52" xr3:uid="{4508DDD8-7A03-604C-9E97-11C787496D11}" name="AG020 - Volume micromedido nas economias residenciais ativas de água" dataDxfId="39"/>
    <tableColumn id="53" xr3:uid="{60B30010-20E6-0343-BD61-8B7E12CEA6CC}" name="AG021 - Quantidade de ligações totais de água" dataDxfId="38"/>
    <tableColumn id="54" xr3:uid="{8B7620F8-D918-EA42-884E-330A50F1826A}" name="AG021A - Quantidade de ligações totais de água no ano anterior ao de referência." dataDxfId="37"/>
    <tableColumn id="55" xr3:uid="{3188D2E8-70B0-1047-854A-0AF784728332}" name="AG022 - Quantidade de economias residenciais ativas de água micromedidas" dataDxfId="36"/>
    <tableColumn id="56" xr3:uid="{D931EC80-FB16-F744-BCC5-B4210A4552A7}" name="AG022A - Quantidade de economias residenciais ativas de água micromedidas no ano anterior ao de referência." dataDxfId="35"/>
    <tableColumn id="57" xr3:uid="{5A14649A-B906-0749-9E43-0552C7536045}" name="AG024 - Volume de serviço"/>
    <tableColumn id="58" xr3:uid="{31AE4B0E-ABDB-5C4F-AD8B-FBF8C0241F3C}" name="AG025A - População rural atendida com abastecimento de água no ano anterior ao de referência."/>
    <tableColumn id="59" xr3:uid="{67EDF3C3-75EE-D942-9443-6C818086918F}" name="AG026 - População urbana atendida com abastecimento de água"/>
    <tableColumn id="60" xr3:uid="{45F4EDBB-A95B-844E-9919-CAC6ACED1880}" name="AG026A - População urbana atendida com abastecimento de água no ano anterior ao de referência."/>
    <tableColumn id="61" xr3:uid="{2600B526-FC96-8944-9D4F-3A363E2360A7}" name="AG027 - Volume de água fluoretada"/>
    <tableColumn id="62" xr3:uid="{1BDD37FD-1B26-1947-8965-1B038CA995C1}" name="AG028 - Consumo total de energia elétrica nos sistemas de água"/>
    <tableColumn id="63" xr3:uid="{442DB37A-9221-7E42-A59E-60449B422844}" name="ES001 - População total atendida com esgotamento sanitário" dataDxfId="34"/>
    <tableColumn id="64" xr3:uid="{C7CC75F8-28FE-124D-9826-4A477DA68748}" name="ES001A - População total atendida com esgotamento sanitário no ano anterior ao de referência." dataDxfId="33"/>
    <tableColumn id="65" xr3:uid="{877D7ABD-8DD4-0E47-9C39-7CB58854294C}" name="ES002 - Quantidade de ligações ativas de esgotos" dataDxfId="32"/>
    <tableColumn id="66" xr3:uid="{9010B6F8-4143-7548-8B8A-338F8BF0D0ED}" name="ES002A - Quantidade de ligações ativas de esgoto no ano anterior ao de referência." dataDxfId="31"/>
    <tableColumn id="67" xr3:uid="{D0B5ECD8-0419-054A-A21A-7F5C0DBE45CE}" name="ES003 - Quantidade de economias ativas de esgotos" dataDxfId="30"/>
    <tableColumn id="68" xr3:uid="{018CBFCE-B7A7-C34E-9D0C-F1EFAFC3E347}" name="ES003A - Quantidade de economias ativas de esgoto no ano anterior ao de referência." dataDxfId="29"/>
    <tableColumn id="69" xr3:uid="{2526DAEF-5521-264A-A47B-F27D3DCBEA05}" name="ES004 - Extensão da rede de esgotos"/>
    <tableColumn id="70" xr3:uid="{9239EBF1-9B36-9B4A-8952-D6821B4EEEC7}" name="ES004A - Extensão da rede de esgoto no ano anterior ao de referência."/>
    <tableColumn id="71" xr3:uid="{37E67EB2-E19C-674D-AAC9-9C002F81688C}" name="ES005 - Volume de esgotos coletado" dataDxfId="28"/>
    <tableColumn id="72" xr3:uid="{CE5BE2AA-5D0B-334C-884C-CF2841455ABF}" name="ES006 - Volume de esgotos tratado"/>
    <tableColumn id="73" xr3:uid="{93FECF2C-212F-604D-8177-678087064646}" name="ES007 - Volume de esgotos faturado" dataDxfId="27"/>
    <tableColumn id="74" xr3:uid="{37DD8CC4-71CB-1947-AFCA-EDCC2FA27EA9}" name="ES008 - Quantidade de economias residenciais ativas de esgotos" dataDxfId="26"/>
    <tableColumn id="75" xr3:uid="{AA8D16C8-9907-C142-8006-1183A8D55D32}" name="ES008A - Quantidade de economias residenciais ativas de esgoto no ano anterior ao de referência." dataDxfId="25"/>
    <tableColumn id="76" xr3:uid="{0E5905CB-B28C-D44C-8142-31529E87A793}" name="ES009 - Quantidade de ligações totais de esgotos" dataDxfId="24"/>
    <tableColumn id="77" xr3:uid="{C7771502-0CFD-6A4E-8CCD-5D54B6DE00DB}" name="ES009A - Quantidade de ligações totais de esgoto no ano anterior ao de referência." dataDxfId="23"/>
    <tableColumn id="78" xr3:uid="{B472EB37-9C2F-F348-AECA-A0974DDD2C37}" name="ES012 - Volume de esgoto bruto exportado"/>
    <tableColumn id="79" xr3:uid="{DAA870EB-C695-964A-9D0B-045DA05640CC}" name="ES013 - Volume de esgotos bruto importado"/>
    <tableColumn id="80" xr3:uid="{F7966179-7289-0A4E-B1E3-FC09DD3AA5B9}" name="ES014 - Volume de esgoto importado tratado nas instalações do importador"/>
    <tableColumn id="81" xr3:uid="{8CC1ADD8-0013-8A40-B188-65BD542EC868}" name="ES015 - Volume de esgoto bruto exportado tratado nas instalações do importador"/>
    <tableColumn id="82" xr3:uid="{AE2AA951-76F9-DD4A-B24B-6BD5AB173052}" name="ES025A - População rural atendida com esgotamento sanitário no ano anterior ao de referência."/>
    <tableColumn id="83" xr3:uid="{4A42F02F-19D3-3A4D-ADD2-27BF087ACE29}" name="ES026 - População urbana atendida com esgotamento sanitário"/>
    <tableColumn id="84" xr3:uid="{E89936F3-F9F3-114C-B2ED-C5ACEC970E13}" name="ES026A - População urbana atendida com esgotamento sanitário no ano anterior ao de referência."/>
    <tableColumn id="85" xr3:uid="{6D93C52B-3A83-8340-A959-9B914828A581}" name="ES028 - Consumo total de energia elétrica nos sistemas de esgotos"/>
    <tableColumn id="86" xr3:uid="{DF855CF6-68E7-D74B-A57B-840FE8868F49}" name="FN001 - Receita operacional direta total" dataDxfId="22"/>
    <tableColumn id="87" xr3:uid="{7BBE3FBF-CF27-2245-A6A7-4E66A61D56C5}" name="FN002 - Receita operacional direta de água" dataDxfId="21"/>
    <tableColumn id="88" xr3:uid="{7A337BCA-7ACD-4645-85D6-B4D3F55C7A55}" name="FN003 - Receita operacional direta de esgoto" dataDxfId="20"/>
    <tableColumn id="89" xr3:uid="{56A6C96C-C0A4-5941-9086-C06443D90E58}" name="FN004 - Receita operacional indireta" dataDxfId="19"/>
    <tableColumn id="90" xr3:uid="{750E4668-3139-FE43-AD80-1C06B5BB45BD}" name="FN005 - Receita operacional total (direta + indireta)" dataDxfId="18"/>
    <tableColumn id="91" xr3:uid="{2C438164-402E-BC43-8536-ADE8AFE30D64}" name="FN006 - Arrecadação total" dataDxfId="17"/>
    <tableColumn id="92" xr3:uid="{09C19E91-B322-2141-B45F-7EB731E89133}" name="FN007 - Receita operacional direta de água exportada (bruta ou tratada)"/>
    <tableColumn id="93" xr3:uid="{F7718298-A62C-DA46-8717-5E9438C5735C}" name="FN008 - Créditos de contas a receber" dataDxfId="16"/>
    <tableColumn id="94" xr3:uid="{0426588C-D8E1-4F46-8A83-85E70892081F}" name="FN008A - Crédito de contas a receber no ano anterior ao de referência." dataDxfId="15"/>
    <tableColumn id="95" xr3:uid="{8BCC7662-A0C4-7343-9E33-E952230FE78B}" name="FN010 - Despesa com pessoal próprio" dataDxfId="14"/>
    <tableColumn id="96" xr3:uid="{5BD02715-6C8D-924A-97D0-C8A2EAD6925C}" name="FN011 - Despesa com produtos químicos" dataDxfId="13"/>
    <tableColumn id="97" xr3:uid="{B6374F0E-492B-B34B-A724-F10C499D9E98}" name="FN013 - Despesa com energia elétrica" dataDxfId="12"/>
    <tableColumn id="98" xr3:uid="{E9AB91C7-D930-E244-B48F-C136595EA3DC}" name="FN014 - Despesa com serviços de terceiros" dataDxfId="11"/>
    <tableColumn id="99" xr3:uid="{C80447EC-7426-994F-BCF1-43DC7163796B}" name="FN015 - Despesas de Exploração (DEX)" dataDxfId="10"/>
    <tableColumn id="100" xr3:uid="{597F302D-AA7A-0F45-957F-4984D9521F8D}" name="FN016 - Despesas com juros e encargos do serviço da dívida"/>
    <tableColumn id="101" xr3:uid="{5D4B92F5-75E0-2546-A583-C740E6AA336F}" name="FN017 - Despesas totais com os serviços (DTS)" dataDxfId="9"/>
    <tableColumn id="102" xr3:uid="{96F0A969-A0E8-B742-A04A-604B012AD4D7}" name="FN018 - Despesas capitalizáveis realizadas pelo prestador de serviços"/>
    <tableColumn id="103" xr3:uid="{2961E502-DA28-C847-BD58-5D781B1113E4}" name="FN019 - Despesas com depreciação, amortização do ativo diferido e provisão para devedores duvidosos" dataDxfId="8"/>
    <tableColumn id="104" xr3:uid="{E1AF9FEC-124B-BE48-98B9-D32FC1A7DE88}" name="FN020 - Despesa com água importada (bruta ou tratada)"/>
    <tableColumn id="105" xr3:uid="{DE3B9B52-DEFD-8648-BD40-29FCD2CCB7DD}" name="FN021 - Despesas fiscais ou tributárias computadas na DEX"/>
    <tableColumn id="106" xr3:uid="{5475E95C-65A9-DF41-A797-4E44A2FBBD3E}" name="FN022 - Despesas fiscais ou tributárias não computadas na DEX"/>
    <tableColumn id="107" xr3:uid="{1661463D-1573-3C42-98E4-F3EE56CEB12D}" name="FN023 - Investimento realizado em abastecimento de água pelo prestador de serviços" dataDxfId="7"/>
    <tableColumn id="108" xr3:uid="{68C66E1A-A436-B047-8F54-197BFB96CA0A}" name="FN024 - Investimento realizado em esgotamento sanitário pelo prestador de serviços" dataDxfId="6"/>
    <tableColumn id="109" xr3:uid="{E0906F61-497A-A145-B80F-49B45FDF8A68}" name="FN025 - Outros investimentos realizados pelo prestador de serviços" dataDxfId="5"/>
    <tableColumn id="110" xr3:uid="{4F7E88C3-795E-CC49-A16A-00A9D32BBEAB}" name="FN026 - Quantidade total de empregados próprios"/>
    <tableColumn id="111" xr3:uid="{2BC0EFEA-431C-BE40-BB9D-0E893DA75380}" name="FN026A - Quantidade total de empregados próprios no ano anterior ao de referência."/>
    <tableColumn id="112" xr3:uid="{4FA5841A-C23B-A845-BA36-8CB48E21569A}" name="FN027 - Outras despesas de exploração" dataDxfId="4"/>
    <tableColumn id="113" xr3:uid="{9467B90D-A0D3-4B48-9386-78354F5EAF66}" name="FN028 - Outras despesas com os serviços" dataDxfId="3"/>
    <tableColumn id="114" xr3:uid="{C51847FF-5339-D241-AFC9-F353FED1F393}" name="FN030 - Investimento com recursos próprios realizado pelo prestador de serviços." dataDxfId="2"/>
    <tableColumn id="115" xr3:uid="{97C4FCE4-DE6D-E148-99C0-B72D2A93B18A}" name="FN031 - Investimento com recursos onerosos realizado pelo prestador de serviços."/>
    <tableColumn id="116" xr3:uid="{CD521303-326D-9948-A091-54B1C8755F5E}" name="FN032 - Investimento com recursos não onerosos realizado pelo prestador de serviços."/>
    <tableColumn id="117" xr3:uid="{11839380-662E-BC4A-9920-95E7A4C769A2}" name="FN033 - Investimentos totais realizados pelo prestador de serviços" dataDxfId="1"/>
    <tableColumn id="118" xr3:uid="{91577C76-A80E-484B-9125-E1307C6220D3}" name="FN034 - Despesas com amortizações do serviço da dívida"/>
    <tableColumn id="119" xr3:uid="{F2B9C49E-B77E-384B-A28B-D11F1756BC91}" name="FN035 - Despesas com juros e encargos do serviço da dívida, exceto variações monetária e cambial"/>
    <tableColumn id="120" xr3:uid="{55175E95-23FF-E04E-A663-C38705B21015}" name="FN036 - Despesa com variações monetárias e cambiais das dívidas"/>
    <tableColumn id="121" xr3:uid="{F83E579F-8F27-9342-BE41-14C678140287}" name="FN037 - Despesas totais com o serviço da dívida"/>
    <tableColumn id="122" xr3:uid="{B6F3DA93-7BCC-DE41-A890-69AE0FB07511}" name="FN038 - Receita operacional direta - esgoto bruto importado"/>
    <tableColumn id="123" xr3:uid="{E53FA799-89BF-674C-97F6-95F0B7BA6EB2}" name="FN039 - Despesa com esgoto exportado"/>
    <tableColumn id="124" xr3:uid="{19ADC0D5-91DB-384A-8D46-7A772B3228AD}" name="FN041 - Despesas capitalizáveis realizadas pelo(s) município(s)"/>
    <tableColumn id="125" xr3:uid="{F3896F3D-7DA0-6149-A4AF-7968A81B8DEA}" name="FN042 - Investimento realizado em abastecimento de água pelo(s) município(s)"/>
    <tableColumn id="126" xr3:uid="{DE4B7769-4C49-0144-857D-D3A44A6E5C7F}" name="FN043 - Investimento realizado em esgotamento sanitário pelo(s) município(s)"/>
    <tableColumn id="127" xr3:uid="{1BFB7335-FAE3-0544-98D1-2B77EEBDE149}" name="FN044 - Outros investimentos realizados pelo(s) município(s)"/>
    <tableColumn id="128" xr3:uid="{9811E7C3-D86B-344D-ADD6-459AFE70DCBF}" name="FN045 - Investimento com recursos próprios realizado pelo(s) município(s)"/>
    <tableColumn id="129" xr3:uid="{A3DD0D46-BBEA-A04F-A294-443AF85F9D88}" name="FN046 - Investimento com recursos onerosos realizado pelo(s) município(s)"/>
    <tableColumn id="130" xr3:uid="{51048754-B6EB-E24A-BEC3-BF70A0AAD325}" name="FN047 - Investimento com recursos não onerosos realizado pelo(s) município(s)"/>
    <tableColumn id="131" xr3:uid="{7192EA51-1A51-A140-A029-6DC0B4F8131E}" name="FN048 - Investimentos totais realizados pelo(s) município(s)"/>
    <tableColumn id="132" xr3:uid="{FB38F001-CF28-B145-ACD8-54A4F6E76E0E}" name="FN051 - Despesas capitalizáveis realizadas pelo estado"/>
    <tableColumn id="133" xr3:uid="{E08CD557-E2B3-7E4B-B46D-742DD689C364}" name="FN052 - Investimento realizado em abastecimento de água pelo estado"/>
    <tableColumn id="134" xr3:uid="{99D43834-5E06-9A48-A35B-480A3C4418D6}" name="FN053 - Investimento realizado em esgotamento sanitário pelo estado"/>
    <tableColumn id="135" xr3:uid="{F6F7856A-A8AA-EE48-8A95-18566B1533CC}" name="FN054 - Outros investimentos realizados pelo estado"/>
    <tableColumn id="136" xr3:uid="{6F88C3B4-B500-844A-938B-7F7D98C603C8}" name="FN055 - Investimento com recursos próprios realizado pelo estado"/>
    <tableColumn id="137" xr3:uid="{8E3AEB02-1997-3043-854F-9DEE533D3933}" name="FN056 - Investimento com recursos onerosos realizado pelo estado"/>
    <tableColumn id="138" xr3:uid="{D8C59E46-A2C4-0449-891D-2649F789288A}" name="FN057 - Investimento com recursos não onerosos realizado pelo estado"/>
    <tableColumn id="139" xr3:uid="{4970E70C-CD3C-774A-8C9B-0092461AEA9A}" name="FN058 - Investimentos totais realizados pelo estado"/>
    <tableColumn id="140" xr3:uid="{0D5D124F-D022-E64F-8810-7177E1DE411D}" name="QD001 - Tipo de atendimento da portaria sobre qualidade da água"/>
    <tableColumn id="141" xr3:uid="{FCA708D1-4808-A749-8163-AB1DFC3B6765}" name="QD002 - Quantidades de paralisações no sistema de distribuição de água"/>
    <tableColumn id="142" xr3:uid="{EBF26575-8E10-444E-8320-EFED3B961FE1}" name="QD003 - Duração das paralisações"/>
    <tableColumn id="143" xr3:uid="{CB16AE0D-A197-9240-932F-79E803FF30BF}" name="QD004 - Quantidade de economias ativas atingidas por paralisações"/>
    <tableColumn id="144" xr3:uid="{7A88975A-F83D-FE40-8292-C20AB4668517}" name="QD006 - Quantidade de amostras para cloro residual (analisadas)"/>
    <tableColumn id="145" xr3:uid="{68AC5447-1E45-B140-BF73-12C8DC062440}" name="QD007 - Quantidade de amostras para cloro residual com resultados fora do padrão"/>
    <tableColumn id="146" xr3:uid="{AAFE3181-81DC-204D-BC18-7499EDF1D654}" name="QD008 - Quantidade de amostras para turbidez (analisadas)"/>
    <tableColumn id="147" xr3:uid="{30698A2C-2459-DE4C-ADC6-143AFCFFC27C}" name="QD009 - Quantidade de amostras para turbidez fora do padrão"/>
    <tableColumn id="148" xr3:uid="{83D0AEC8-2BA0-2A41-A103-4A8885E91760}" name="QD011 - Quantidades de extravasamentos de esgotos registrados"/>
    <tableColumn id="149" xr3:uid="{7245C757-F967-AF4E-8CD3-28E706005914}" name="QD012 - Duração dos extravasamentos registrados"/>
    <tableColumn id="150" xr3:uid="{1CD01585-2C0F-8144-8928-5C54C4FB1095}" name="QD015 - Quantidade de economias ativas atingidas por interrupções sistemáticas"/>
    <tableColumn id="151" xr3:uid="{1871786D-6B09-2E4C-93F5-4B0B28B9B7F8}" name="QD019 - Quantidade mínima de amostras para turbidez (obrigatórias)"/>
    <tableColumn id="152" xr3:uid="{D5B679FF-240B-B248-B97B-D862B792A37B}" name="QD020 - Quantidade mínima de amostras para cloro residual (obrigatórias)"/>
    <tableColumn id="153" xr3:uid="{47B0A8CC-9056-9C4C-A3AD-4C730A12A464}" name="QD021 - Quantidade de interrupções sistemáticas"/>
    <tableColumn id="154" xr3:uid="{E76CE539-1F83-AD4F-A972-DA5D1ED5E5E1}" name="QD022 - Duração das interrupções sistemáticas"/>
    <tableColumn id="155" xr3:uid="{7338D1EA-192F-5D43-84F8-C72187AFB6A7}" name="QD023 - Quantidade de reclamações ou solicitações de serviços"/>
    <tableColumn id="156" xr3:uid="{A17520D8-3181-F24D-A2F3-8A7746A50F4C}" name="QD024 - Quantidade de serviços executados"/>
    <tableColumn id="157" xr3:uid="{978D3997-F8DB-B647-AD89-DD5EAC3E8CDE}" name="QD025 - Tempo total de execução dos serviços"/>
    <tableColumn id="158" xr3:uid="{AECE8B6F-4408-F140-8895-B1EBA162D015}" name="QD026 - Quantidade de amostras para coliformes totais (analisadas)"/>
    <tableColumn id="159" xr3:uid="{EDD7CC53-B82F-2747-BAAF-D31B75519113}" name="QD027 - Quantidade de amostras para coliformes totais com resultados fora do padrão"/>
    <tableColumn id="160" xr3:uid="{06104016-2E77-434B-B9B4-E4C0276AC236}" name="QD028 - Quantidade mínima de amostras para coliformes totais (obrigatórias)"/>
    <tableColumn id="161" xr3:uid="{0CF97567-891B-0145-BE90-9BAC8AB553ED}" name="IN001 - Densidade de economias de água por ligação"/>
    <tableColumn id="162" xr3:uid="{11618394-750D-A14C-9199-60D67B166C33}" name="IN002 - Índice de produtividade: economias ativas por pessoal próprio"/>
    <tableColumn id="163" xr3:uid="{5F1FF151-0B45-A445-9DD8-E375F0EF2C9F}" name="IN003 - Despesa total com os serviços por m3 faturado"/>
    <tableColumn id="164" xr3:uid="{BF9698B2-B4E8-1D43-868D-88EE484EC395}" name="IN004 - Tarifa média praticada"/>
    <tableColumn id="165" xr3:uid="{267012A2-13BE-D046-A8C4-D391DB462FC7}" name="IN005 - Tarifa média de água"/>
    <tableColumn id="166" xr3:uid="{1ACDA8F8-D53A-B147-A531-BBB8DD5BE302}" name="IN006 - Tarifa média de esgoto"/>
    <tableColumn id="167" xr3:uid="{23AFF730-6732-F14E-866C-08EF9355D8BC}" name="IN007 - Incidência da desp. de pessoal e de serv. de terc. nas despesas totais com os serviços"/>
    <tableColumn id="168" xr3:uid="{29BCB47C-45BE-264C-AC9B-F22634DA6DB8}" name="IN008 - Despesa média anual por empregado" dataDxfId="0"/>
    <tableColumn id="169" xr3:uid="{69A243F8-7B56-AD4B-9FFB-9F47BF7AD352}" name="IN009 - Índice de hidrometração"/>
    <tableColumn id="170" xr3:uid="{D029967A-B84B-8146-B4B6-2CF27431ED71}" name="IN010 - Índice de micromedição relativo ao volume disponibilizado"/>
    <tableColumn id="171" xr3:uid="{4F6CCA1E-0C22-BE4B-A8AC-4941A2EB9A41}" name="IN011 - Índice de macromedição"/>
    <tableColumn id="172" xr3:uid="{0944BBE0-DAAC-664F-90C1-BAD7A228E0B3}" name="IN012 - Indicador de desempenho financeiro"/>
    <tableColumn id="173" xr3:uid="{07B0F244-321F-7444-890E-33D2BE70982F}" name="IN013 - Índice de perdas faturamento"/>
    <tableColumn id="174" xr3:uid="{DEFBC2EC-7F2A-434F-B631-E4072C2AD416}" name="IN014 - Consumo micromedido por economia"/>
    <tableColumn id="175" xr3:uid="{BA65B167-922F-4D46-81EF-2D94925491F4}" name="IN015 - Índice de coleta de esgoto"/>
    <tableColumn id="176" xr3:uid="{6749F227-A2CC-1643-9CBF-840844367A07}" name="IN016 - Índice de tratamento de esgoto"/>
    <tableColumn id="177" xr3:uid="{903B8980-4D10-5249-BDB0-F2C16639AD69}" name="IN017 - Consumo de água faturado por economia"/>
    <tableColumn id="178" xr3:uid="{BB7D5C2F-342F-E446-8960-65B084C8B857}" name="IN018 - Quantidade equivalente de pessoal total"/>
    <tableColumn id="179" xr3:uid="{4DD4BCE7-FDE5-914B-A850-223E44BA4DFD}" name="IN019 - Índice de produtividade: economias ativas por pessoal total (equivalente)"/>
    <tableColumn id="180" xr3:uid="{85C63A7E-52F7-E741-902F-381FDB7B78CD}" name="IN020 - Extensão da rede de água por ligação"/>
    <tableColumn id="181" xr3:uid="{C2A85CCB-6A73-6F44-8AFC-B9BEEC45D958}" name="IN021 - Extensão da rede de esgoto por ligação"/>
    <tableColumn id="182" xr3:uid="{35E525D0-55E5-2943-8057-DD444768926E}" name="IN022 - Consumo médio percapita de água"/>
    <tableColumn id="183" xr3:uid="{3374DADC-E2D8-1343-B8BB-4014058390FD}" name="IN023 - Índice de atendimento urbano de água"/>
    <tableColumn id="184" xr3:uid="{5A0F8D1D-062B-D247-9CBA-70C0C347B175}" name="IN024 - Índice de atendimento urbano de esgoto referido aos municípios atendidos com água"/>
    <tableColumn id="185" xr3:uid="{7494E416-17BA-C844-BE97-6BCB903C9452}" name="IN025 - Volume de água disponibilizado por economia"/>
    <tableColumn id="186" xr3:uid="{30CD2D20-92B1-DD43-BE23-CD598BA3811F}" name="IN026 - Despesa de exploração por m3 faturado"/>
    <tableColumn id="187" xr3:uid="{3B7D3A7B-EF52-FE45-A956-781883A82610}" name="IN027 - Despesa de exploração por economia"/>
    <tableColumn id="188" xr3:uid="{F351BB3B-8DA5-BB41-B96E-C9F4485019AB}" name="IN028 - Índice de faturamento de água"/>
    <tableColumn id="189" xr3:uid="{8B093977-B569-1744-8724-E837FDB18975}" name="IN029 - Índice de evasão de receitas"/>
    <tableColumn id="190" xr3:uid="{C36A2AEC-3A12-0647-9754-60C644FD2C1D}" name="IN030 - Margem da despesa de exploração"/>
    <tableColumn id="191" xr3:uid="{B9063153-F4A2-884E-8F52-397606FF69C4}" name="IN031 - Margem da despesa com pessoal próprio"/>
    <tableColumn id="192" xr3:uid="{F1FC34DB-426C-7441-842F-360424EBB7BE}" name="IN032 - Margem da despesa com pessoal total (equivalente)"/>
    <tableColumn id="193" xr3:uid="{09F6E29F-4A3B-C042-82D5-441472EEDCDD}" name="IN033 - Margem do serviço da divida"/>
    <tableColumn id="194" xr3:uid="{6E6738CE-7FBA-E748-863D-90D2AF9B262B}" name="IN034 - Margem das outras despesas de exploração"/>
    <tableColumn id="195" xr3:uid="{DEC605A8-F40E-3E43-9BFE-EA4D2A9D7408}" name="IN035 - Participação da despesa com pessoal próprio nas despesas de exploração"/>
    <tableColumn id="196" xr3:uid="{4467DD09-13CB-3649-855F-0FA448AC02E9}" name="IN036 - Participação da despesa com pessoal total (equivalente) nas despesas de exploração"/>
    <tableColumn id="197" xr3:uid="{7192B240-7B2A-B040-8031-9F9198833526}" name="IN037 - Participação da despesa com energia elétrica nas despesas de exploração"/>
    <tableColumn id="198" xr3:uid="{C2E316F1-3851-244B-A233-686782359232}" name="IN038 - Participação da despesa com produtos químicos nas despesas de exploração (DEX)"/>
    <tableColumn id="199" xr3:uid="{600B72A1-3155-3243-8FAC-0D3172BCC82F}" name="IN039 - Participação das outras despesas nas despesas de exploração"/>
    <tableColumn id="200" xr3:uid="{0AD9ECF5-CBC6-9A44-BE83-C4DF23E9642E}" name="IN040 - Participação da receita operacional direta de água na receita operacional total"/>
    <tableColumn id="201" xr3:uid="{7B5A4925-9A14-7C49-BD75-A2FB7AA572BB}" name="IN041 - Participação da receita operacional direta de esgoto na receita operacional total"/>
    <tableColumn id="202" xr3:uid="{B1D558A5-0163-FD47-876C-EFE2242BE9E5}" name="IN042 - Participação da receita operacional indireta na receita operacional total"/>
    <tableColumn id="203" xr3:uid="{2CE6D1BA-6AE1-1A4B-8F69-1D3EDCCFA513}" name="IN043 - Participação das economias residenciais de água no total das economias de água"/>
    <tableColumn id="204" xr3:uid="{A3072C97-77D4-1D47-A00C-39010BE06560}" name="IN044 - Índice de micromedição relativo ao consumo"/>
    <tableColumn id="205" xr3:uid="{E5DE8A60-E2DB-4545-8E99-80C38E076B7D}" name="IN045 - Índice de produtividade: empregados próprios por 1000 ligações de água"/>
    <tableColumn id="206" xr3:uid="{2F603B66-E05E-D246-87BF-08C704C0B339}" name="IN046 - Índice de esgoto tratado referido à água consumida"/>
    <tableColumn id="207" xr3:uid="{4406BC8E-5C16-6A46-BD18-38F51F17D803}" name="IN047 - Índice de atendimento urbano de esgoto referido aos municípios atendidos com esgoto"/>
    <tableColumn id="208" xr3:uid="{D92F2A9E-2E53-5349-9B59-9AFF4456AF6E}" name="IN048 - Índice de produtividade: empregados próprios por 1000 ligações de água + esgoto"/>
    <tableColumn id="209" xr3:uid="{516146C3-64DA-3B4C-B8AD-5494ADB14AC2}" name="IN049 - Índice de perdas na distribuição"/>
    <tableColumn id="210" xr3:uid="{F9C54467-CB7E-0644-B49E-0265320EB6E0}" name="IN050 - Índice bruto de perdas lineares"/>
    <tableColumn id="211" xr3:uid="{EB6F11A8-D05B-444D-9E22-012C745BDBE0}" name="IN051 - Índice de perdas por ligação"/>
    <tableColumn id="212" xr3:uid="{06041699-5518-8E49-A46A-71F22C8CCF62}" name="IN052 - Índice de consumo de água"/>
    <tableColumn id="213" xr3:uid="{7478E2D4-9651-654A-9483-9DD9939BEF7F}" name="IN053 - Consumo médio de água por economia"/>
    <tableColumn id="214" xr3:uid="{7C91EC8A-4F46-9642-A5E7-F99C5C807082}" name="IN054 - Dias de faturamento comprometidos com contas a receber"/>
    <tableColumn id="215" xr3:uid="{0304FEEE-2F91-5949-AC95-D16C70304414}" name="IN055 - Índice de atendimento total de água"/>
    <tableColumn id="216" xr3:uid="{0BCDDD86-0548-4D4E-8EAE-B2004B09216C}" name="IN056 - Índice de atendimento total de esgoto referido aos municípios atendidos com água"/>
    <tableColumn id="217" xr3:uid="{952EA381-8712-E54F-B2F7-8C0FECBA3C60}" name="IN057 - Índice de fluoretação de água"/>
    <tableColumn id="218" xr3:uid="{676D6582-BACB-1C4D-99CE-D233FA9E2BD6}" name="IN058 - Índice de consumo de energia elétrica em sistemas de abastecimento de água"/>
    <tableColumn id="219" xr3:uid="{648501C8-CD28-B44F-BD7E-3C76F4835FCC}" name="IN059 - Índice de consumo de energia elétrica em sistemas de esgotamento sanitário"/>
    <tableColumn id="220" xr3:uid="{FD41E597-0240-4D4E-AFC1-0276709E3D19}" name="IN060 - Índice de despesas por consumo de energia elétrica nos sistemas de água e esgotos"/>
    <tableColumn id="221" xr3:uid="{8D853969-01B5-CD4C-B6BD-341A84422C93}" name="IN071 - Economias atingidas por paralisações"/>
    <tableColumn id="222" xr3:uid="{B7C24855-9BEF-5E42-9B6F-184041A40D38}" name="IN072 - Duração média das paralisações"/>
    <tableColumn id="223" xr3:uid="{D603476E-ABFF-D04E-8890-32AFEC3EE0B8}" name="IN073 - Economias atingidas por intermitências"/>
    <tableColumn id="224" xr3:uid="{DEEDAA6E-2EE3-744A-8CF7-3E3AE1ED0A67}" name="IN074 - Duração média das intermitências"/>
    <tableColumn id="225" xr3:uid="{70B248A5-0C0D-2E45-97FC-AE58EEB6B9D3}" name="IN075 - Incidência das análises de cloro residual fora do padrão"/>
    <tableColumn id="226" xr3:uid="{B0B047F8-0D01-844B-AD7E-D3730DE2E691}" name="IN076 - Incidência das análises de turbidez fora do padrão"/>
    <tableColumn id="227" xr3:uid="{1D5F5DBC-5497-D14E-802C-818DDFB6C192}" name="IN077 - Duração média dos reparos de extravasamentos de esgotos"/>
    <tableColumn id="228" xr3:uid="{9EEF2AAC-FBB6-A347-A428-00E888E58559}" name="IN079 - Índice de conformidade da quantidade de amostras - cloro residual"/>
    <tableColumn id="229" xr3:uid="{C8416A9D-D8D3-7B49-ABC2-73EEDF058C2C}" name="IN080 - Índice de conformidade da quantidade de amostras - turbidez"/>
    <tableColumn id="230" xr3:uid="{F72F5492-3634-5949-A92F-0A58C6206DAD}" name="IN082 - Extravasamentos de esgotos por extensão de rede"/>
    <tableColumn id="231" xr3:uid="{89DFAA2B-1141-434D-BC69-64B013E5A927}" name="IN083 - Duração média dos serviços executados"/>
    <tableColumn id="232" xr3:uid="{56A73F38-B3AA-EE4F-B68A-08B81CD5EF26}" name="IN084 - Incidência das análises de coliformes totais fora do padrão"/>
    <tableColumn id="233" xr3:uid="{D05A9008-5016-2746-B6C8-478983E34465}" name="IN085 - Índice de conformidade da quantidade de amostras - coliformes totais"/>
    <tableColumn id="234" xr3:uid="{E0BC5918-92BC-404F-9105-A3DBC304AA77}" name="IN101 - Índice de suficiência de caixa"/>
    <tableColumn id="235" xr3:uid="{56BBDB3F-B9B4-9441-88D6-243F83B333D9}" name="IN102 - Índice de produtividade de pessoal total (equivalen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2E78-A79B-824E-AE1E-F6BEFEF2EE16}">
  <dimension ref="B1:BJ200"/>
  <sheetViews>
    <sheetView showGridLines="0" tabSelected="1" zoomScale="106" zoomScaleNormal="100" workbookViewId="0">
      <pane xSplit="13" ySplit="4" topLeftCell="N5" activePane="bottomRight" state="frozen"/>
      <selection pane="topRight" activeCell="L1" sqref="L1"/>
      <selection pane="bottomLeft" activeCell="A5" sqref="A5"/>
      <selection pane="bottomRight" activeCell="M178" sqref="M178"/>
    </sheetView>
  </sheetViews>
  <sheetFormatPr defaultColWidth="11.44140625" defaultRowHeight="13.8" outlineLevelCol="1"/>
  <cols>
    <col min="1" max="1" width="2.21875" customWidth="1"/>
    <col min="2" max="5" width="3" customWidth="1"/>
    <col min="6" max="6" width="17.21875" customWidth="1"/>
    <col min="7" max="7" width="13" customWidth="1"/>
    <col min="8" max="8" width="11.21875" customWidth="1"/>
    <col min="9" max="10" width="11.44140625" customWidth="1"/>
    <col min="11" max="11" width="17.21875" style="12" customWidth="1"/>
    <col min="12" max="12" width="16.21875" bestFit="1" customWidth="1"/>
    <col min="13" max="14" width="3" customWidth="1"/>
    <col min="15" max="27" width="11.44140625" customWidth="1" outlineLevel="1"/>
    <col min="28" max="62" width="13" customWidth="1"/>
    <col min="63" max="63" width="3" customWidth="1"/>
  </cols>
  <sheetData>
    <row r="1" spans="2:62" ht="4.95" customHeight="1"/>
    <row r="2" spans="2:62" s="6" customFormat="1">
      <c r="B2" s="6" t="s">
        <v>248</v>
      </c>
      <c r="K2" s="21"/>
      <c r="L2" s="22" t="s">
        <v>328</v>
      </c>
      <c r="O2" s="6">
        <v>2010</v>
      </c>
      <c r="P2" s="6">
        <f>O2+1</f>
        <v>2011</v>
      </c>
      <c r="Q2" s="6">
        <f t="shared" ref="Q2:BJ3" si="0">P2+1</f>
        <v>2012</v>
      </c>
      <c r="R2" s="6">
        <f t="shared" si="0"/>
        <v>2013</v>
      </c>
      <c r="S2" s="6">
        <f t="shared" si="0"/>
        <v>2014</v>
      </c>
      <c r="T2" s="6">
        <f t="shared" si="0"/>
        <v>2015</v>
      </c>
      <c r="U2" s="6">
        <f t="shared" si="0"/>
        <v>2016</v>
      </c>
      <c r="V2" s="6">
        <f t="shared" si="0"/>
        <v>2017</v>
      </c>
      <c r="W2" s="6">
        <f t="shared" si="0"/>
        <v>2018</v>
      </c>
      <c r="X2" s="6">
        <f t="shared" si="0"/>
        <v>2019</v>
      </c>
      <c r="Y2" s="6">
        <f t="shared" si="0"/>
        <v>2020</v>
      </c>
      <c r="Z2" s="6">
        <f t="shared" si="0"/>
        <v>2021</v>
      </c>
      <c r="AA2" s="6">
        <f t="shared" si="0"/>
        <v>2022</v>
      </c>
      <c r="AB2" s="6">
        <f t="shared" si="0"/>
        <v>2023</v>
      </c>
      <c r="AC2" s="6">
        <f t="shared" si="0"/>
        <v>2024</v>
      </c>
      <c r="AD2" s="6">
        <f t="shared" si="0"/>
        <v>2025</v>
      </c>
      <c r="AE2" s="6">
        <f t="shared" si="0"/>
        <v>2026</v>
      </c>
      <c r="AF2" s="6">
        <f t="shared" si="0"/>
        <v>2027</v>
      </c>
      <c r="AG2" s="6">
        <f t="shared" si="0"/>
        <v>2028</v>
      </c>
      <c r="AH2" s="6">
        <f t="shared" si="0"/>
        <v>2029</v>
      </c>
      <c r="AI2" s="6">
        <f t="shared" si="0"/>
        <v>2030</v>
      </c>
      <c r="AJ2" s="6">
        <f t="shared" si="0"/>
        <v>2031</v>
      </c>
      <c r="AK2" s="6">
        <f t="shared" si="0"/>
        <v>2032</v>
      </c>
      <c r="AL2" s="6">
        <f t="shared" si="0"/>
        <v>2033</v>
      </c>
      <c r="AM2" s="6">
        <f t="shared" si="0"/>
        <v>2034</v>
      </c>
      <c r="AN2" s="6">
        <f t="shared" si="0"/>
        <v>2035</v>
      </c>
      <c r="AO2" s="6">
        <f t="shared" si="0"/>
        <v>2036</v>
      </c>
      <c r="AP2" s="6">
        <f t="shared" si="0"/>
        <v>2037</v>
      </c>
      <c r="AQ2" s="6">
        <f t="shared" si="0"/>
        <v>2038</v>
      </c>
      <c r="AR2" s="6">
        <f t="shared" si="0"/>
        <v>2039</v>
      </c>
      <c r="AS2" s="6">
        <f t="shared" si="0"/>
        <v>2040</v>
      </c>
      <c r="AT2" s="6">
        <f t="shared" si="0"/>
        <v>2041</v>
      </c>
      <c r="AU2" s="6">
        <f t="shared" si="0"/>
        <v>2042</v>
      </c>
      <c r="AV2" s="6">
        <f t="shared" si="0"/>
        <v>2043</v>
      </c>
      <c r="AW2" s="6">
        <f t="shared" si="0"/>
        <v>2044</v>
      </c>
      <c r="AX2" s="6">
        <f t="shared" si="0"/>
        <v>2045</v>
      </c>
      <c r="AY2" s="6">
        <f t="shared" si="0"/>
        <v>2046</v>
      </c>
      <c r="AZ2" s="6">
        <f t="shared" si="0"/>
        <v>2047</v>
      </c>
      <c r="BA2" s="6">
        <f t="shared" si="0"/>
        <v>2048</v>
      </c>
      <c r="BB2" s="6">
        <f t="shared" si="0"/>
        <v>2049</v>
      </c>
      <c r="BC2" s="6">
        <f t="shared" si="0"/>
        <v>2050</v>
      </c>
      <c r="BD2" s="6">
        <f t="shared" si="0"/>
        <v>2051</v>
      </c>
      <c r="BE2" s="6">
        <f t="shared" si="0"/>
        <v>2052</v>
      </c>
      <c r="BF2" s="6">
        <f t="shared" si="0"/>
        <v>2053</v>
      </c>
      <c r="BG2" s="6">
        <f t="shared" si="0"/>
        <v>2054</v>
      </c>
      <c r="BH2" s="6">
        <f t="shared" si="0"/>
        <v>2055</v>
      </c>
      <c r="BI2" s="6">
        <f t="shared" si="0"/>
        <v>2056</v>
      </c>
      <c r="BJ2" s="6">
        <f t="shared" si="0"/>
        <v>2057</v>
      </c>
    </row>
    <row r="3" spans="2:62" s="6" customFormat="1">
      <c r="K3" s="21"/>
      <c r="L3" s="22" t="s">
        <v>327</v>
      </c>
      <c r="AB3" s="6">
        <f t="shared" si="0"/>
        <v>1</v>
      </c>
      <c r="AC3" s="6">
        <f t="shared" si="0"/>
        <v>2</v>
      </c>
      <c r="AD3" s="6">
        <f t="shared" si="0"/>
        <v>3</v>
      </c>
      <c r="AE3" s="6">
        <f t="shared" si="0"/>
        <v>4</v>
      </c>
      <c r="AF3" s="6">
        <f t="shared" si="0"/>
        <v>5</v>
      </c>
      <c r="AG3" s="6">
        <f t="shared" si="0"/>
        <v>6</v>
      </c>
      <c r="AH3" s="6">
        <f t="shared" si="0"/>
        <v>7</v>
      </c>
      <c r="AI3" s="6">
        <f t="shared" si="0"/>
        <v>8</v>
      </c>
      <c r="AJ3" s="6">
        <f t="shared" si="0"/>
        <v>9</v>
      </c>
      <c r="AK3" s="6">
        <f t="shared" si="0"/>
        <v>10</v>
      </c>
      <c r="AL3" s="6">
        <f t="shared" si="0"/>
        <v>11</v>
      </c>
      <c r="AM3" s="6">
        <f t="shared" si="0"/>
        <v>12</v>
      </c>
      <c r="AN3" s="6">
        <f t="shared" si="0"/>
        <v>13</v>
      </c>
      <c r="AO3" s="6">
        <f t="shared" si="0"/>
        <v>14</v>
      </c>
      <c r="AP3" s="6">
        <f t="shared" si="0"/>
        <v>15</v>
      </c>
      <c r="AQ3" s="6">
        <f t="shared" si="0"/>
        <v>16</v>
      </c>
      <c r="AR3" s="6">
        <f t="shared" si="0"/>
        <v>17</v>
      </c>
      <c r="AS3" s="6">
        <f t="shared" si="0"/>
        <v>18</v>
      </c>
      <c r="AT3" s="6">
        <f t="shared" si="0"/>
        <v>19</v>
      </c>
      <c r="AU3" s="6">
        <f t="shared" si="0"/>
        <v>20</v>
      </c>
      <c r="AV3" s="6">
        <f t="shared" si="0"/>
        <v>21</v>
      </c>
      <c r="AW3" s="6">
        <f t="shared" si="0"/>
        <v>22</v>
      </c>
      <c r="AX3" s="6">
        <f t="shared" si="0"/>
        <v>23</v>
      </c>
      <c r="AY3" s="6">
        <f t="shared" si="0"/>
        <v>24</v>
      </c>
      <c r="AZ3" s="6">
        <f t="shared" si="0"/>
        <v>25</v>
      </c>
      <c r="BA3" s="6">
        <f t="shared" si="0"/>
        <v>26</v>
      </c>
      <c r="BB3" s="6">
        <f t="shared" si="0"/>
        <v>27</v>
      </c>
      <c r="BC3" s="6">
        <f t="shared" si="0"/>
        <v>28</v>
      </c>
      <c r="BD3" s="6">
        <f t="shared" si="0"/>
        <v>29</v>
      </c>
      <c r="BE3" s="6">
        <f t="shared" si="0"/>
        <v>30</v>
      </c>
      <c r="BF3" s="6">
        <f t="shared" si="0"/>
        <v>31</v>
      </c>
      <c r="BG3" s="6">
        <f t="shared" si="0"/>
        <v>32</v>
      </c>
      <c r="BH3" s="6">
        <f t="shared" si="0"/>
        <v>33</v>
      </c>
      <c r="BI3" s="6">
        <f t="shared" si="0"/>
        <v>34</v>
      </c>
      <c r="BJ3" s="6">
        <f t="shared" si="0"/>
        <v>35</v>
      </c>
    </row>
    <row r="4" spans="2:62" ht="4.95" customHeight="1"/>
    <row r="5" spans="2:62" ht="4.95" customHeight="1"/>
    <row r="6" spans="2:62" s="9" customFormat="1">
      <c r="B6" s="9" t="s">
        <v>253</v>
      </c>
      <c r="K6" s="45"/>
    </row>
    <row r="8" spans="2:62">
      <c r="B8" t="s">
        <v>250</v>
      </c>
      <c r="I8">
        <v>1</v>
      </c>
      <c r="J8">
        <v>5</v>
      </c>
      <c r="K8" s="12">
        <f>Z8</f>
        <v>0.94</v>
      </c>
      <c r="L8" s="10">
        <v>1</v>
      </c>
      <c r="O8" s="3">
        <f>SUMIFS(Tabela1[IN055 - Índice de atendimento total de água],Tabela1[Ano de Referência],'Valuation (FCF)'!O$2)/100</f>
        <v>1</v>
      </c>
      <c r="P8" s="3">
        <f>SUMIFS(Tabela1[IN055 - Índice de atendimento total de água],Tabela1[Ano de Referência],'Valuation (FCF)'!P$2)/100</f>
        <v>1</v>
      </c>
      <c r="Q8" s="3">
        <f>SUMIFS(Tabela1[IN055 - Índice de atendimento total de água],Tabela1[Ano de Referência],'Valuation (FCF)'!Q$2)/100</f>
        <v>0.99730000000000008</v>
      </c>
      <c r="R8" s="3">
        <f>SUMIFS(Tabela1[IN055 - Índice de atendimento total de água],Tabela1[Ano de Referência],'Valuation (FCF)'!R$2)/100</f>
        <v>0.97030000000000005</v>
      </c>
      <c r="S8" s="3">
        <f>SUMIFS(Tabela1[IN055 - Índice de atendimento total de água],Tabela1[Ano de Referência],'Valuation (FCF)'!S$2)/100</f>
        <v>0.90249999999999997</v>
      </c>
      <c r="T8" s="3">
        <f>SUMIFS(Tabela1[IN055 - Índice de atendimento total de água],Tabela1[Ano de Referência],'Valuation (FCF)'!T$2)/100</f>
        <v>0.90249999999999997</v>
      </c>
      <c r="U8" s="3">
        <f>SUMIFS(Tabela1[IN055 - Índice de atendimento total de água],Tabela1[Ano de Referência],'Valuation (FCF)'!U$2)/100</f>
        <v>0.90249999999999997</v>
      </c>
      <c r="V8" s="3">
        <f>SUMIFS(Tabela1[IN055 - Índice de atendimento total de água],Tabela1[Ano de Referência],'Valuation (FCF)'!V$2)/100</f>
        <v>0.90249999999999997</v>
      </c>
      <c r="W8" s="3">
        <f>SUMIFS(Tabela1[IN055 - Índice de atendimento total de água],Tabela1[Ano de Referência],'Valuation (FCF)'!W$2)/100</f>
        <v>0.93099999999999994</v>
      </c>
      <c r="X8" s="3">
        <f>SUMIFS(Tabela1[IN055 - Índice de atendimento total de água],Tabela1[Ano de Referência],'Valuation (FCF)'!X$2)/100</f>
        <v>0.9326000000000001</v>
      </c>
      <c r="Y8" s="3">
        <f>SUMIFS(Tabela1[IN055 - Índice de atendimento total de água],Tabela1[Ano de Referência],'Valuation (FCF)'!Y$2)/100</f>
        <v>0.94</v>
      </c>
      <c r="Z8" s="3">
        <f>SUMIFS(Tabela1[IN055 - Índice de atendimento total de água],Tabela1[Ano de Referência],'Valuation (FCF)'!Z$2)/100</f>
        <v>0.94</v>
      </c>
      <c r="AA8" s="3"/>
      <c r="AB8" s="3">
        <f>IF(AND($I8&lt;AB$3,AB$3&lt;=$J8),AA8+($L8-$K8)/($J8-$I8+1),IF($I8&gt;=AB$3,$K8,$L8))</f>
        <v>0.94</v>
      </c>
      <c r="AC8" s="3">
        <f t="shared" ref="AC8:BJ8" si="1">IF(AND($I8&lt;AC$3,AC$3&lt;=$J8),AB8+($L8-$K8)/($J8-$I8+1),IF($I8&gt;=AC$3,$K8,$L8))</f>
        <v>0.95199999999999996</v>
      </c>
      <c r="AD8" s="3">
        <f t="shared" si="1"/>
        <v>0.96399999999999997</v>
      </c>
      <c r="AE8" s="3">
        <f t="shared" si="1"/>
        <v>0.97599999999999998</v>
      </c>
      <c r="AF8" s="3">
        <f t="shared" si="1"/>
        <v>0.98799999999999999</v>
      </c>
      <c r="AG8" s="3">
        <f t="shared" si="1"/>
        <v>1</v>
      </c>
      <c r="AH8" s="3">
        <f t="shared" si="1"/>
        <v>1</v>
      </c>
      <c r="AI8" s="3">
        <f t="shared" si="1"/>
        <v>1</v>
      </c>
      <c r="AJ8" s="3">
        <f t="shared" si="1"/>
        <v>1</v>
      </c>
      <c r="AK8" s="3">
        <f t="shared" si="1"/>
        <v>1</v>
      </c>
      <c r="AL8" s="3">
        <f t="shared" si="1"/>
        <v>1</v>
      </c>
      <c r="AM8" s="3">
        <f t="shared" si="1"/>
        <v>1</v>
      </c>
      <c r="AN8" s="3">
        <f t="shared" si="1"/>
        <v>1</v>
      </c>
      <c r="AO8" s="3">
        <f t="shared" si="1"/>
        <v>1</v>
      </c>
      <c r="AP8" s="3">
        <f t="shared" si="1"/>
        <v>1</v>
      </c>
      <c r="AQ8" s="3">
        <f t="shared" si="1"/>
        <v>1</v>
      </c>
      <c r="AR8" s="3">
        <f t="shared" si="1"/>
        <v>1</v>
      </c>
      <c r="AS8" s="3">
        <f t="shared" si="1"/>
        <v>1</v>
      </c>
      <c r="AT8" s="3">
        <f t="shared" si="1"/>
        <v>1</v>
      </c>
      <c r="AU8" s="3">
        <f t="shared" si="1"/>
        <v>1</v>
      </c>
      <c r="AV8" s="3">
        <f t="shared" si="1"/>
        <v>1</v>
      </c>
      <c r="AW8" s="3">
        <f t="shared" si="1"/>
        <v>1</v>
      </c>
      <c r="AX8" s="3">
        <f t="shared" si="1"/>
        <v>1</v>
      </c>
      <c r="AY8" s="3">
        <f t="shared" si="1"/>
        <v>1</v>
      </c>
      <c r="AZ8" s="3">
        <f t="shared" si="1"/>
        <v>1</v>
      </c>
      <c r="BA8" s="3">
        <f t="shared" si="1"/>
        <v>1</v>
      </c>
      <c r="BB8" s="3">
        <f t="shared" si="1"/>
        <v>1</v>
      </c>
      <c r="BC8" s="3">
        <f t="shared" si="1"/>
        <v>1</v>
      </c>
      <c r="BD8" s="3">
        <f t="shared" si="1"/>
        <v>1</v>
      </c>
      <c r="BE8" s="3">
        <f t="shared" si="1"/>
        <v>1</v>
      </c>
      <c r="BF8" s="3">
        <f t="shared" si="1"/>
        <v>1</v>
      </c>
      <c r="BG8" s="3">
        <f t="shared" si="1"/>
        <v>1</v>
      </c>
      <c r="BH8" s="3">
        <f t="shared" si="1"/>
        <v>1</v>
      </c>
      <c r="BI8" s="3">
        <f t="shared" si="1"/>
        <v>1</v>
      </c>
      <c r="BJ8" s="3">
        <f t="shared" si="1"/>
        <v>1</v>
      </c>
    </row>
    <row r="9" spans="2:62">
      <c r="B9" t="s">
        <v>249</v>
      </c>
      <c r="I9">
        <v>1</v>
      </c>
      <c r="J9">
        <v>5</v>
      </c>
      <c r="K9" s="12">
        <v>0.98780000000000001</v>
      </c>
      <c r="L9" s="10">
        <v>1</v>
      </c>
      <c r="O9" s="3">
        <f>SUMIFS(Tabela1[IN023 - Índice de atendimento urbano de água],Tabela1[Ano de Referência],'Valuation (FCF)'!O$2)/100</f>
        <v>1</v>
      </c>
      <c r="P9" s="3">
        <f>SUMIFS(Tabela1[IN023 - Índice de atendimento urbano de água],Tabela1[Ano de Referência],'Valuation (FCF)'!P$2)/100</f>
        <v>1</v>
      </c>
      <c r="Q9" s="3">
        <f>SUMIFS(Tabela1[IN023 - Índice de atendimento urbano de água],Tabela1[Ano de Referência],'Valuation (FCF)'!Q$2)/100</f>
        <v>0.998</v>
      </c>
      <c r="R9" s="3">
        <f>SUMIFS(Tabela1[IN023 - Índice de atendimento urbano de água],Tabela1[Ano de Referência],'Valuation (FCF)'!R$2)/100</f>
        <v>0.97120000000000006</v>
      </c>
      <c r="S9" s="3">
        <f>SUMIFS(Tabela1[IN023 - Índice de atendimento urbano de água],Tabela1[Ano de Referência],'Valuation (FCF)'!S$2)/100</f>
        <v>0.94840000000000002</v>
      </c>
      <c r="T9" s="3">
        <f>SUMIFS(Tabela1[IN023 - Índice de atendimento urbano de água],Tabela1[Ano de Referência],'Valuation (FCF)'!T$2)/100</f>
        <v>0.94840000000000002</v>
      </c>
      <c r="U9" s="3">
        <f>SUMIFS(Tabela1[IN023 - Índice de atendimento urbano de água],Tabela1[Ano de Referência],'Valuation (FCF)'!U$2)/100</f>
        <v>0.94840000000000002</v>
      </c>
      <c r="V9" s="3">
        <f>SUMIFS(Tabela1[IN023 - Índice de atendimento urbano de água],Tabela1[Ano de Referência],'Valuation (FCF)'!V$2)/100</f>
        <v>0.94840000000000002</v>
      </c>
      <c r="W9" s="3">
        <f>SUMIFS(Tabela1[IN023 - Índice de atendimento urbano de água],Tabela1[Ano de Referência],'Valuation (FCF)'!W$2)/100</f>
        <v>0.97829999999999995</v>
      </c>
      <c r="X9" s="3">
        <f>SUMIFS(Tabela1[IN023 - Índice de atendimento urbano de água],Tabela1[Ano de Referência],'Valuation (FCF)'!X$2)/100</f>
        <v>0.98</v>
      </c>
      <c r="Y9" s="3">
        <f>SUMIFS(Tabela1[IN023 - Índice de atendimento urbano de água],Tabela1[Ano de Referência],'Valuation (FCF)'!Y$2)/100</f>
        <v>0.98780000000000001</v>
      </c>
      <c r="Z9" s="3">
        <f>SUMIFS(Tabela1[IN023 - Índice de atendimento urbano de água],Tabela1[Ano de Referência],'Valuation (FCF)'!Z$2)/100</f>
        <v>0.98780000000000001</v>
      </c>
      <c r="AA9" s="3"/>
      <c r="AB9" s="3">
        <f t="shared" ref="AB9:BJ9" si="2">IF(AND($I9&lt;AB$3,AB$3&lt;=$J9),AA9+($L9-$K9)/($J9-$I9+1),IF($I9&gt;=AB$3,$K9,$L9))</f>
        <v>0.98780000000000001</v>
      </c>
      <c r="AC9" s="3">
        <f t="shared" si="2"/>
        <v>0.99024000000000001</v>
      </c>
      <c r="AD9" s="3">
        <f t="shared" si="2"/>
        <v>0.99268000000000001</v>
      </c>
      <c r="AE9" s="3">
        <f t="shared" si="2"/>
        <v>0.99512</v>
      </c>
      <c r="AF9" s="3">
        <f t="shared" si="2"/>
        <v>0.99756</v>
      </c>
      <c r="AG9" s="3">
        <f t="shared" si="2"/>
        <v>1</v>
      </c>
      <c r="AH9" s="3">
        <f t="shared" si="2"/>
        <v>1</v>
      </c>
      <c r="AI9" s="3">
        <f t="shared" si="2"/>
        <v>1</v>
      </c>
      <c r="AJ9" s="3">
        <f t="shared" si="2"/>
        <v>1</v>
      </c>
      <c r="AK9" s="3">
        <f t="shared" si="2"/>
        <v>1</v>
      </c>
      <c r="AL9" s="3">
        <f t="shared" si="2"/>
        <v>1</v>
      </c>
      <c r="AM9" s="3">
        <f t="shared" si="2"/>
        <v>1</v>
      </c>
      <c r="AN9" s="3">
        <f t="shared" si="2"/>
        <v>1</v>
      </c>
      <c r="AO9" s="3">
        <f t="shared" si="2"/>
        <v>1</v>
      </c>
      <c r="AP9" s="3">
        <f t="shared" si="2"/>
        <v>1</v>
      </c>
      <c r="AQ9" s="3">
        <f t="shared" si="2"/>
        <v>1</v>
      </c>
      <c r="AR9" s="3">
        <f t="shared" si="2"/>
        <v>1</v>
      </c>
      <c r="AS9" s="3">
        <f t="shared" si="2"/>
        <v>1</v>
      </c>
      <c r="AT9" s="3">
        <f t="shared" si="2"/>
        <v>1</v>
      </c>
      <c r="AU9" s="3">
        <f t="shared" si="2"/>
        <v>1</v>
      </c>
      <c r="AV9" s="3">
        <f t="shared" si="2"/>
        <v>1</v>
      </c>
      <c r="AW9" s="3">
        <f t="shared" si="2"/>
        <v>1</v>
      </c>
      <c r="AX9" s="3">
        <f t="shared" si="2"/>
        <v>1</v>
      </c>
      <c r="AY9" s="3">
        <f t="shared" si="2"/>
        <v>1</v>
      </c>
      <c r="AZ9" s="3">
        <f t="shared" si="2"/>
        <v>1</v>
      </c>
      <c r="BA9" s="3">
        <f t="shared" si="2"/>
        <v>1</v>
      </c>
      <c r="BB9" s="3">
        <f t="shared" si="2"/>
        <v>1</v>
      </c>
      <c r="BC9" s="3">
        <f t="shared" si="2"/>
        <v>1</v>
      </c>
      <c r="BD9" s="3">
        <f t="shared" si="2"/>
        <v>1</v>
      </c>
      <c r="BE9" s="3">
        <f t="shared" si="2"/>
        <v>1</v>
      </c>
      <c r="BF9" s="3">
        <f t="shared" si="2"/>
        <v>1</v>
      </c>
      <c r="BG9" s="3">
        <f t="shared" si="2"/>
        <v>1</v>
      </c>
      <c r="BH9" s="3">
        <f t="shared" si="2"/>
        <v>1</v>
      </c>
      <c r="BI9" s="3">
        <f t="shared" si="2"/>
        <v>1</v>
      </c>
      <c r="BJ9" s="3">
        <f t="shared" si="2"/>
        <v>1</v>
      </c>
    </row>
    <row r="10" spans="2:62">
      <c r="B10" t="s">
        <v>290</v>
      </c>
      <c r="I10">
        <v>1</v>
      </c>
      <c r="J10">
        <v>5</v>
      </c>
      <c r="K10" s="12">
        <f>Z10</f>
        <v>0.9002</v>
      </c>
      <c r="L10" s="10">
        <v>0.9</v>
      </c>
      <c r="O10" s="3">
        <f>SUMIFS(Tabela1[IN056 - Índice de atendimento total de esgoto referido aos municípios atendidos com água],Tabela1[Ano de Referência],'Valuation (FCF)'!O$2)/100</f>
        <v>0.9516</v>
      </c>
      <c r="P10" s="3">
        <f>SUMIFS(Tabela1[IN056 - Índice de atendimento total de esgoto referido aos municípios atendidos com água],Tabela1[Ano de Referência],'Valuation (FCF)'!P$2)/100</f>
        <v>1</v>
      </c>
      <c r="Q10" s="3">
        <f>SUMIFS(Tabela1[IN056 - Índice de atendimento total de esgoto referido aos municípios atendidos com água],Tabela1[Ano de Referência],'Valuation (FCF)'!Q$2)/100</f>
        <v>0.99730000000000008</v>
      </c>
      <c r="R10" s="3">
        <f>SUMIFS(Tabela1[IN056 - Índice de atendimento total de esgoto referido aos municípios atendidos com água],Tabela1[Ano de Referência],'Valuation (FCF)'!R$2)/100</f>
        <v>0.97030000000000005</v>
      </c>
      <c r="S10" s="3">
        <f>SUMIFS(Tabela1[IN056 - Índice de atendimento total de esgoto referido aos municípios atendidos com água],Tabela1[Ano de Referência],'Valuation (FCF)'!S$2)/100</f>
        <v>0.86450000000000005</v>
      </c>
      <c r="T10" s="3">
        <f>SUMIFS(Tabela1[IN056 - Índice de atendimento total de esgoto referido aos municípios atendidos com água],Tabela1[Ano de Referência],'Valuation (FCF)'!T$2)/100</f>
        <v>0.86450000000000005</v>
      </c>
      <c r="U10" s="3">
        <f>SUMIFS(Tabela1[IN056 - Índice de atendimento total de esgoto referido aos municípios atendidos com água],Tabela1[Ano de Referência],'Valuation (FCF)'!U$2)/100</f>
        <v>0.86439999999999995</v>
      </c>
      <c r="V10" s="3">
        <f>SUMIFS(Tabela1[IN056 - Índice de atendimento total de esgoto referido aos municípios atendidos com água],Tabela1[Ano de Referência],'Valuation (FCF)'!V$2)/100</f>
        <v>0.86439999999999995</v>
      </c>
      <c r="W10" s="3">
        <f>SUMIFS(Tabela1[IN056 - Índice de atendimento total de esgoto referido aos municípios atendidos com água],Tabela1[Ano de Referência],'Valuation (FCF)'!W$2)/100</f>
        <v>0.89579999999999993</v>
      </c>
      <c r="X10" s="3">
        <f>SUMIFS(Tabela1[IN056 - Índice de atendimento total de esgoto referido aos municípios atendidos com água],Tabela1[Ano de Referência],'Valuation (FCF)'!X$2)/100</f>
        <v>0.89579999999999993</v>
      </c>
      <c r="Y10" s="3">
        <f>SUMIFS(Tabela1[IN056 - Índice de atendimento total de esgoto referido aos municípios atendidos com água],Tabela1[Ano de Referência],'Valuation (FCF)'!Y$2)/100</f>
        <v>0.9</v>
      </c>
      <c r="Z10" s="3">
        <f>SUMIFS(Tabela1[IN056 - Índice de atendimento total de esgoto referido aos municípios atendidos com água],Tabela1[Ano de Referência],'Valuation (FCF)'!Z$2)/100</f>
        <v>0.9002</v>
      </c>
      <c r="AA10" s="3"/>
      <c r="AB10" s="3">
        <f t="shared" ref="AB10:BJ10" si="3">IF(AND($I10&lt;AB$3,AB$3&lt;=$J10),AA10+($L10-$K10)/($J10-$I10+1),IF($I10&gt;=AB$3,$K10,$L10))</f>
        <v>0.9002</v>
      </c>
      <c r="AC10" s="3">
        <f t="shared" si="3"/>
        <v>0.90015999999999996</v>
      </c>
      <c r="AD10" s="3">
        <f t="shared" si="3"/>
        <v>0.90011999999999992</v>
      </c>
      <c r="AE10" s="3">
        <f t="shared" si="3"/>
        <v>0.90007999999999988</v>
      </c>
      <c r="AF10" s="3">
        <f t="shared" si="3"/>
        <v>0.90003999999999984</v>
      </c>
      <c r="AG10" s="3">
        <f t="shared" si="3"/>
        <v>0.9</v>
      </c>
      <c r="AH10" s="3">
        <f t="shared" si="3"/>
        <v>0.9</v>
      </c>
      <c r="AI10" s="3">
        <f t="shared" si="3"/>
        <v>0.9</v>
      </c>
      <c r="AJ10" s="3">
        <f t="shared" si="3"/>
        <v>0.9</v>
      </c>
      <c r="AK10" s="3">
        <f t="shared" si="3"/>
        <v>0.9</v>
      </c>
      <c r="AL10" s="3">
        <f t="shared" si="3"/>
        <v>0.9</v>
      </c>
      <c r="AM10" s="3">
        <f t="shared" si="3"/>
        <v>0.9</v>
      </c>
      <c r="AN10" s="3">
        <f t="shared" si="3"/>
        <v>0.9</v>
      </c>
      <c r="AO10" s="3">
        <f t="shared" si="3"/>
        <v>0.9</v>
      </c>
      <c r="AP10" s="3">
        <f t="shared" si="3"/>
        <v>0.9</v>
      </c>
      <c r="AQ10" s="3">
        <f t="shared" si="3"/>
        <v>0.9</v>
      </c>
      <c r="AR10" s="3">
        <f t="shared" si="3"/>
        <v>0.9</v>
      </c>
      <c r="AS10" s="3">
        <f t="shared" si="3"/>
        <v>0.9</v>
      </c>
      <c r="AT10" s="3">
        <f t="shared" si="3"/>
        <v>0.9</v>
      </c>
      <c r="AU10" s="3">
        <f t="shared" si="3"/>
        <v>0.9</v>
      </c>
      <c r="AV10" s="3">
        <f t="shared" si="3"/>
        <v>0.9</v>
      </c>
      <c r="AW10" s="3">
        <f t="shared" si="3"/>
        <v>0.9</v>
      </c>
      <c r="AX10" s="3">
        <f t="shared" si="3"/>
        <v>0.9</v>
      </c>
      <c r="AY10" s="3">
        <f t="shared" si="3"/>
        <v>0.9</v>
      </c>
      <c r="AZ10" s="3">
        <f t="shared" si="3"/>
        <v>0.9</v>
      </c>
      <c r="BA10" s="3">
        <f t="shared" si="3"/>
        <v>0.9</v>
      </c>
      <c r="BB10" s="3">
        <f t="shared" si="3"/>
        <v>0.9</v>
      </c>
      <c r="BC10" s="3">
        <f t="shared" si="3"/>
        <v>0.9</v>
      </c>
      <c r="BD10" s="3">
        <f t="shared" si="3"/>
        <v>0.9</v>
      </c>
      <c r="BE10" s="3">
        <f t="shared" si="3"/>
        <v>0.9</v>
      </c>
      <c r="BF10" s="3">
        <f t="shared" si="3"/>
        <v>0.9</v>
      </c>
      <c r="BG10" s="3">
        <f t="shared" si="3"/>
        <v>0.9</v>
      </c>
      <c r="BH10" s="3">
        <f t="shared" si="3"/>
        <v>0.9</v>
      </c>
      <c r="BI10" s="3">
        <f t="shared" si="3"/>
        <v>0.9</v>
      </c>
      <c r="BJ10" s="3">
        <f t="shared" si="3"/>
        <v>0.9</v>
      </c>
    </row>
    <row r="12" spans="2:62">
      <c r="B12" t="s">
        <v>251</v>
      </c>
      <c r="I12">
        <v>1</v>
      </c>
      <c r="J12">
        <v>5</v>
      </c>
      <c r="K12" s="12">
        <f t="shared" ref="K12:K13" si="4">Z12</f>
        <v>1</v>
      </c>
      <c r="L12" s="10">
        <v>1</v>
      </c>
      <c r="O12" s="3">
        <f>SUMIFS(Tabela1[IN009 - Índice de hidrometração],Tabela1[Ano de Referência],'Valuation (FCF)'!O$2)/100</f>
        <v>1</v>
      </c>
      <c r="P12" s="3">
        <f>SUMIFS(Tabela1[IN009 - Índice de hidrometração],Tabela1[Ano de Referência],'Valuation (FCF)'!P$2)/100</f>
        <v>1</v>
      </c>
      <c r="Q12" s="3">
        <f>SUMIFS(Tabela1[IN009 - Índice de hidrometração],Tabela1[Ano de Referência],'Valuation (FCF)'!Q$2)/100</f>
        <v>1</v>
      </c>
      <c r="R12" s="3">
        <f>SUMIFS(Tabela1[IN009 - Índice de hidrometração],Tabela1[Ano de Referência],'Valuation (FCF)'!R$2)/100</f>
        <v>1</v>
      </c>
      <c r="S12" s="3">
        <f>SUMIFS(Tabela1[IN009 - Índice de hidrometração],Tabela1[Ano de Referência],'Valuation (FCF)'!S$2)/100</f>
        <v>1</v>
      </c>
      <c r="T12" s="3">
        <f>SUMIFS(Tabela1[IN009 - Índice de hidrometração],Tabela1[Ano de Referência],'Valuation (FCF)'!T$2)/100</f>
        <v>1</v>
      </c>
      <c r="U12" s="3">
        <f>SUMIFS(Tabela1[IN009 - Índice de hidrometração],Tabela1[Ano de Referência],'Valuation (FCF)'!U$2)/100</f>
        <v>1</v>
      </c>
      <c r="V12" s="3">
        <f>SUMIFS(Tabela1[IN009 - Índice de hidrometração],Tabela1[Ano de Referência],'Valuation (FCF)'!V$2)/100</f>
        <v>1</v>
      </c>
      <c r="W12" s="3">
        <f>SUMIFS(Tabela1[IN009 - Índice de hidrometração],Tabela1[Ano de Referência],'Valuation (FCF)'!W$2)/100</f>
        <v>1</v>
      </c>
      <c r="X12" s="3">
        <f>SUMIFS(Tabela1[IN009 - Índice de hidrometração],Tabela1[Ano de Referência],'Valuation (FCF)'!X$2)/100</f>
        <v>1</v>
      </c>
      <c r="Y12" s="3">
        <f>SUMIFS(Tabela1[IN009 - Índice de hidrometração],Tabela1[Ano de Referência],'Valuation (FCF)'!Y$2)/100</f>
        <v>1</v>
      </c>
      <c r="Z12" s="3">
        <f>SUMIFS(Tabela1[IN009 - Índice de hidrometração],Tabela1[Ano de Referência],'Valuation (FCF)'!Z$2)/100</f>
        <v>1</v>
      </c>
      <c r="AA12" s="3"/>
      <c r="AB12" s="3">
        <f t="shared" ref="AB12:BJ12" si="5">IF(AND($I12&lt;AB$3,AB$3&lt;=$J12),AA12+($L12-$K12)/($J12-$I12+1),IF($I12&gt;=AB$3,$K12,$L12))</f>
        <v>1</v>
      </c>
      <c r="AC12" s="3">
        <f t="shared" si="5"/>
        <v>1</v>
      </c>
      <c r="AD12" s="3">
        <f t="shared" si="5"/>
        <v>1</v>
      </c>
      <c r="AE12" s="3">
        <f t="shared" si="5"/>
        <v>1</v>
      </c>
      <c r="AF12" s="3">
        <f t="shared" si="5"/>
        <v>1</v>
      </c>
      <c r="AG12" s="3">
        <f t="shared" si="5"/>
        <v>1</v>
      </c>
      <c r="AH12" s="3">
        <f t="shared" si="5"/>
        <v>1</v>
      </c>
      <c r="AI12" s="3">
        <f t="shared" si="5"/>
        <v>1</v>
      </c>
      <c r="AJ12" s="3">
        <f t="shared" si="5"/>
        <v>1</v>
      </c>
      <c r="AK12" s="3">
        <f t="shared" si="5"/>
        <v>1</v>
      </c>
      <c r="AL12" s="3">
        <f t="shared" si="5"/>
        <v>1</v>
      </c>
      <c r="AM12" s="3">
        <f t="shared" si="5"/>
        <v>1</v>
      </c>
      <c r="AN12" s="3">
        <f t="shared" si="5"/>
        <v>1</v>
      </c>
      <c r="AO12" s="3">
        <f t="shared" si="5"/>
        <v>1</v>
      </c>
      <c r="AP12" s="3">
        <f t="shared" si="5"/>
        <v>1</v>
      </c>
      <c r="AQ12" s="3">
        <f t="shared" si="5"/>
        <v>1</v>
      </c>
      <c r="AR12" s="3">
        <f t="shared" si="5"/>
        <v>1</v>
      </c>
      <c r="AS12" s="3">
        <f t="shared" si="5"/>
        <v>1</v>
      </c>
      <c r="AT12" s="3">
        <f t="shared" si="5"/>
        <v>1</v>
      </c>
      <c r="AU12" s="3">
        <f t="shared" si="5"/>
        <v>1</v>
      </c>
      <c r="AV12" s="3">
        <f t="shared" si="5"/>
        <v>1</v>
      </c>
      <c r="AW12" s="3">
        <f t="shared" si="5"/>
        <v>1</v>
      </c>
      <c r="AX12" s="3">
        <f t="shared" si="5"/>
        <v>1</v>
      </c>
      <c r="AY12" s="3">
        <f t="shared" si="5"/>
        <v>1</v>
      </c>
      <c r="AZ12" s="3">
        <f t="shared" si="5"/>
        <v>1</v>
      </c>
      <c r="BA12" s="3">
        <f t="shared" si="5"/>
        <v>1</v>
      </c>
      <c r="BB12" s="3">
        <f t="shared" si="5"/>
        <v>1</v>
      </c>
      <c r="BC12" s="3">
        <f t="shared" si="5"/>
        <v>1</v>
      </c>
      <c r="BD12" s="3">
        <f t="shared" si="5"/>
        <v>1</v>
      </c>
      <c r="BE12" s="3">
        <f t="shared" si="5"/>
        <v>1</v>
      </c>
      <c r="BF12" s="3">
        <f t="shared" si="5"/>
        <v>1</v>
      </c>
      <c r="BG12" s="3">
        <f t="shared" si="5"/>
        <v>1</v>
      </c>
      <c r="BH12" s="3">
        <f t="shared" si="5"/>
        <v>1</v>
      </c>
      <c r="BI12" s="3">
        <f t="shared" si="5"/>
        <v>1</v>
      </c>
      <c r="BJ12" s="3">
        <f t="shared" si="5"/>
        <v>1</v>
      </c>
    </row>
    <row r="13" spans="2:62">
      <c r="B13" t="s">
        <v>252</v>
      </c>
      <c r="I13">
        <v>1</v>
      </c>
      <c r="J13">
        <v>5</v>
      </c>
      <c r="K13" s="12">
        <f t="shared" si="4"/>
        <v>0.39390000000000003</v>
      </c>
      <c r="L13" s="10">
        <v>0.25</v>
      </c>
      <c r="O13" s="3">
        <f>SUMIFS(Tabela1[IN049 - Índice de perdas na distribuição],Tabela1[Ano de Referência],'Valuation (FCF)'!O$2)/100</f>
        <v>0.28550000000000003</v>
      </c>
      <c r="P13" s="3">
        <f>SUMIFS(Tabela1[IN049 - Índice de perdas na distribuição],Tabela1[Ano de Referência],'Valuation (FCF)'!P$2)/100</f>
        <v>0.31390000000000001</v>
      </c>
      <c r="Q13" s="3">
        <f>SUMIFS(Tabela1[IN049 - Índice de perdas na distribuição],Tabela1[Ano de Referência],'Valuation (FCF)'!Q$2)/100</f>
        <v>0.30990000000000001</v>
      </c>
      <c r="R13" s="3">
        <f>SUMIFS(Tabela1[IN049 - Índice de perdas na distribuição],Tabela1[Ano de Referência],'Valuation (FCF)'!R$2)/100</f>
        <v>0.33539999999999998</v>
      </c>
      <c r="S13" s="3">
        <f>SUMIFS(Tabela1[IN049 - Índice de perdas na distribuição],Tabela1[Ano de Referência],'Valuation (FCF)'!S$2)/100</f>
        <v>0.34740000000000004</v>
      </c>
      <c r="T13" s="3">
        <f>SUMIFS(Tabela1[IN049 - Índice de perdas na distribuição],Tabela1[Ano de Referência],'Valuation (FCF)'!T$2)/100</f>
        <v>0.37840000000000001</v>
      </c>
      <c r="U13" s="3">
        <f>SUMIFS(Tabela1[IN049 - Índice de perdas na distribuição],Tabela1[Ano de Referência],'Valuation (FCF)'!U$2)/100</f>
        <v>0.35770000000000002</v>
      </c>
      <c r="V13" s="3">
        <f>SUMIFS(Tabela1[IN049 - Índice de perdas na distribuição],Tabela1[Ano de Referência],'Valuation (FCF)'!V$2)/100</f>
        <v>0.35520000000000002</v>
      </c>
      <c r="W13" s="3">
        <f>SUMIFS(Tabela1[IN049 - Índice de perdas na distribuição],Tabela1[Ano de Referência],'Valuation (FCF)'!W$2)/100</f>
        <v>0.35049999999999998</v>
      </c>
      <c r="X13" s="3">
        <f>SUMIFS(Tabela1[IN049 - Índice de perdas na distribuição],Tabela1[Ano de Referência],'Valuation (FCF)'!X$2)/100</f>
        <v>0.35680000000000001</v>
      </c>
      <c r="Y13" s="3">
        <f>SUMIFS(Tabela1[IN049 - Índice de perdas na distribuição],Tabela1[Ano de Referência],'Valuation (FCF)'!Y$2)/100</f>
        <v>0.36349999999999999</v>
      </c>
      <c r="Z13" s="3">
        <f>SUMIFS(Tabela1[IN049 - Índice de perdas na distribuição],Tabela1[Ano de Referência],'Valuation (FCF)'!Z$2)/100</f>
        <v>0.39390000000000003</v>
      </c>
      <c r="AA13" s="3"/>
      <c r="AB13" s="3">
        <f t="shared" ref="AB13:BJ13" si="6">IF(AND($I13&lt;AB$3,AB$3&lt;=$J13),AA13+($L13-$K13)/($J13-$I13+1),IF($I13&gt;=AB$3,$K13,$L13))</f>
        <v>0.39390000000000003</v>
      </c>
      <c r="AC13" s="3">
        <f t="shared" si="6"/>
        <v>0.36512</v>
      </c>
      <c r="AD13" s="3">
        <f t="shared" si="6"/>
        <v>0.33633999999999997</v>
      </c>
      <c r="AE13" s="3">
        <f t="shared" si="6"/>
        <v>0.30755999999999994</v>
      </c>
      <c r="AF13" s="3">
        <f t="shared" si="6"/>
        <v>0.27877999999999992</v>
      </c>
      <c r="AG13" s="3">
        <f t="shared" si="6"/>
        <v>0.25</v>
      </c>
      <c r="AH13" s="3">
        <f t="shared" si="6"/>
        <v>0.25</v>
      </c>
      <c r="AI13" s="3">
        <f t="shared" si="6"/>
        <v>0.25</v>
      </c>
      <c r="AJ13" s="3">
        <f t="shared" si="6"/>
        <v>0.25</v>
      </c>
      <c r="AK13" s="3">
        <f t="shared" si="6"/>
        <v>0.25</v>
      </c>
      <c r="AL13" s="3">
        <f t="shared" si="6"/>
        <v>0.25</v>
      </c>
      <c r="AM13" s="3">
        <f t="shared" si="6"/>
        <v>0.25</v>
      </c>
      <c r="AN13" s="3">
        <f t="shared" si="6"/>
        <v>0.25</v>
      </c>
      <c r="AO13" s="3">
        <f t="shared" si="6"/>
        <v>0.25</v>
      </c>
      <c r="AP13" s="3">
        <f t="shared" si="6"/>
        <v>0.25</v>
      </c>
      <c r="AQ13" s="3">
        <f t="shared" si="6"/>
        <v>0.25</v>
      </c>
      <c r="AR13" s="3">
        <f t="shared" si="6"/>
        <v>0.25</v>
      </c>
      <c r="AS13" s="3">
        <f t="shared" si="6"/>
        <v>0.25</v>
      </c>
      <c r="AT13" s="3">
        <f t="shared" si="6"/>
        <v>0.25</v>
      </c>
      <c r="AU13" s="3">
        <f t="shared" si="6"/>
        <v>0.25</v>
      </c>
      <c r="AV13" s="3">
        <f t="shared" si="6"/>
        <v>0.25</v>
      </c>
      <c r="AW13" s="3">
        <f t="shared" si="6"/>
        <v>0.25</v>
      </c>
      <c r="AX13" s="3">
        <f t="shared" si="6"/>
        <v>0.25</v>
      </c>
      <c r="AY13" s="3">
        <f t="shared" si="6"/>
        <v>0.25</v>
      </c>
      <c r="AZ13" s="3">
        <f t="shared" si="6"/>
        <v>0.25</v>
      </c>
      <c r="BA13" s="3">
        <f t="shared" si="6"/>
        <v>0.25</v>
      </c>
      <c r="BB13" s="3">
        <f t="shared" si="6"/>
        <v>0.25</v>
      </c>
      <c r="BC13" s="3">
        <f t="shared" si="6"/>
        <v>0.25</v>
      </c>
      <c r="BD13" s="3">
        <f t="shared" si="6"/>
        <v>0.25</v>
      </c>
      <c r="BE13" s="3">
        <f t="shared" si="6"/>
        <v>0.25</v>
      </c>
      <c r="BF13" s="3">
        <f t="shared" si="6"/>
        <v>0.25</v>
      </c>
      <c r="BG13" s="3">
        <f t="shared" si="6"/>
        <v>0.25</v>
      </c>
      <c r="BH13" s="3">
        <f t="shared" si="6"/>
        <v>0.25</v>
      </c>
      <c r="BI13" s="3">
        <f t="shared" si="6"/>
        <v>0.25</v>
      </c>
      <c r="BJ13" s="3">
        <f t="shared" si="6"/>
        <v>0.25</v>
      </c>
    </row>
    <row r="15" spans="2:62" s="9" customFormat="1">
      <c r="B15" s="9" t="s">
        <v>255</v>
      </c>
      <c r="K15" s="45"/>
    </row>
    <row r="17" spans="2:62">
      <c r="B17" t="s">
        <v>292</v>
      </c>
      <c r="I17">
        <v>1</v>
      </c>
      <c r="J17">
        <v>35</v>
      </c>
      <c r="K17" s="12">
        <f t="shared" ref="K17" si="7">Z17</f>
        <v>1.4930264461550102E-2</v>
      </c>
      <c r="L17" s="10">
        <v>0</v>
      </c>
      <c r="O17" s="3">
        <v>0</v>
      </c>
      <c r="P17" s="11">
        <f t="shared" ref="P17:Z17" si="8">P20/O20-1</f>
        <v>1.7126590694146682E-2</v>
      </c>
      <c r="Q17" s="11">
        <f t="shared" si="8"/>
        <v>1.6276629043840085E-2</v>
      </c>
      <c r="R17" s="11">
        <f t="shared" si="8"/>
        <v>5.3609928435546683E-2</v>
      </c>
      <c r="S17" s="11">
        <f t="shared" si="8"/>
        <v>1.7230113147848725E-2</v>
      </c>
      <c r="T17" s="11">
        <f t="shared" si="8"/>
        <v>1.6448035702211206E-2</v>
      </c>
      <c r="U17" s="11">
        <f t="shared" si="8"/>
        <v>1.5840941974754275E-2</v>
      </c>
      <c r="V17" s="11">
        <f t="shared" si="8"/>
        <v>1.5233745078297112E-2</v>
      </c>
      <c r="W17" s="11">
        <f t="shared" si="8"/>
        <v>2.4987099271108759E-2</v>
      </c>
      <c r="X17" s="11">
        <f t="shared" si="8"/>
        <v>1.6283442020720074E-2</v>
      </c>
      <c r="Y17" s="11">
        <f t="shared" si="8"/>
        <v>1.5612300976059146E-2</v>
      </c>
      <c r="Z17" s="11">
        <f t="shared" si="8"/>
        <v>1.4930264461550102E-2</v>
      </c>
      <c r="AA17" s="3"/>
      <c r="AB17" s="11">
        <f t="shared" ref="AB17:BJ17" si="9">IF(AND($I17&lt;AB$3,AB$3&lt;=$J17),AA17+($L17-$K17)/($J17-$I17+1),IF($I17&gt;=AB$3,$K17,$L17))</f>
        <v>1.4930264461550102E-2</v>
      </c>
      <c r="AC17" s="11">
        <f t="shared" si="9"/>
        <v>1.4503685476934385E-2</v>
      </c>
      <c r="AD17" s="11">
        <f t="shared" si="9"/>
        <v>1.4077106492318667E-2</v>
      </c>
      <c r="AE17" s="11">
        <f t="shared" si="9"/>
        <v>1.365052750770295E-2</v>
      </c>
      <c r="AF17" s="11">
        <f t="shared" si="9"/>
        <v>1.3223948523087233E-2</v>
      </c>
      <c r="AG17" s="11">
        <f t="shared" si="9"/>
        <v>1.2797369538471515E-2</v>
      </c>
      <c r="AH17" s="11">
        <f t="shared" si="9"/>
        <v>1.2370790553855798E-2</v>
      </c>
      <c r="AI17" s="11">
        <f t="shared" si="9"/>
        <v>1.194421156924008E-2</v>
      </c>
      <c r="AJ17" s="11">
        <f t="shared" si="9"/>
        <v>1.1517632584624363E-2</v>
      </c>
      <c r="AK17" s="11">
        <f t="shared" si="9"/>
        <v>1.1091053600008645E-2</v>
      </c>
      <c r="AL17" s="11">
        <f t="shared" si="9"/>
        <v>1.0664474615392928E-2</v>
      </c>
      <c r="AM17" s="11">
        <f t="shared" si="9"/>
        <v>1.023789563077721E-2</v>
      </c>
      <c r="AN17" s="11">
        <f t="shared" si="9"/>
        <v>9.8113166461614928E-3</v>
      </c>
      <c r="AO17" s="11">
        <f t="shared" si="9"/>
        <v>9.3847376615457754E-3</v>
      </c>
      <c r="AP17" s="11">
        <f t="shared" si="9"/>
        <v>8.9581586769300579E-3</v>
      </c>
      <c r="AQ17" s="11">
        <f t="shared" si="9"/>
        <v>8.5315796923143405E-3</v>
      </c>
      <c r="AR17" s="11">
        <f t="shared" si="9"/>
        <v>8.105000707698623E-3</v>
      </c>
      <c r="AS17" s="11">
        <f t="shared" si="9"/>
        <v>7.6784217230829056E-3</v>
      </c>
      <c r="AT17" s="11">
        <f t="shared" si="9"/>
        <v>7.2518427384671881E-3</v>
      </c>
      <c r="AU17" s="11">
        <f t="shared" si="9"/>
        <v>6.8252637538514706E-3</v>
      </c>
      <c r="AV17" s="11">
        <f t="shared" si="9"/>
        <v>6.3986847692357532E-3</v>
      </c>
      <c r="AW17" s="11">
        <f t="shared" si="9"/>
        <v>5.9721057846200357E-3</v>
      </c>
      <c r="AX17" s="11">
        <f t="shared" si="9"/>
        <v>5.5455268000043183E-3</v>
      </c>
      <c r="AY17" s="11">
        <f t="shared" si="9"/>
        <v>5.1189478153886008E-3</v>
      </c>
      <c r="AZ17" s="11">
        <f t="shared" si="9"/>
        <v>4.6923688307728834E-3</v>
      </c>
      <c r="BA17" s="11">
        <f t="shared" si="9"/>
        <v>4.2657898461571659E-3</v>
      </c>
      <c r="BB17" s="11">
        <f t="shared" si="9"/>
        <v>3.8392108615414489E-3</v>
      </c>
      <c r="BC17" s="11">
        <f t="shared" si="9"/>
        <v>3.4126318769257319E-3</v>
      </c>
      <c r="BD17" s="11">
        <f t="shared" si="9"/>
        <v>2.9860528923100148E-3</v>
      </c>
      <c r="BE17" s="11">
        <f t="shared" si="9"/>
        <v>2.5594739076942978E-3</v>
      </c>
      <c r="BF17" s="11">
        <f t="shared" si="9"/>
        <v>2.1328949230785808E-3</v>
      </c>
      <c r="BG17" s="11">
        <f t="shared" si="9"/>
        <v>1.7063159384628635E-3</v>
      </c>
      <c r="BH17" s="11">
        <f t="shared" si="9"/>
        <v>1.2797369538471463E-3</v>
      </c>
      <c r="BI17" s="11">
        <f t="shared" si="9"/>
        <v>8.5315796923142906E-4</v>
      </c>
      <c r="BJ17" s="11">
        <f t="shared" si="9"/>
        <v>4.2657898461571187E-4</v>
      </c>
    </row>
    <row r="18" spans="2:62">
      <c r="B18" t="s">
        <v>293</v>
      </c>
      <c r="L18" s="10"/>
      <c r="O18" s="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3">
        <v>1</v>
      </c>
      <c r="AB18" s="13">
        <f>AA18*(1+AB17)</f>
        <v>1.0149302644615501</v>
      </c>
      <c r="AC18" s="13">
        <f t="shared" ref="AC18:BJ18" si="10">AB18*(1+AC17)</f>
        <v>1.0296504937983224</v>
      </c>
      <c r="AD18" s="13">
        <f t="shared" si="10"/>
        <v>1.0441449934493898</v>
      </c>
      <c r="AE18" s="13">
        <f t="shared" si="10"/>
        <v>1.058398123404501</v>
      </c>
      <c r="AF18" s="13">
        <f t="shared" si="10"/>
        <v>1.0723943257053341</v>
      </c>
      <c r="AG18" s="13">
        <f t="shared" si="10"/>
        <v>1.0861181521823453</v>
      </c>
      <c r="AH18" s="13">
        <f t="shared" si="10"/>
        <v>1.0995542923597339</v>
      </c>
      <c r="AI18" s="13">
        <f t="shared" si="10"/>
        <v>1.1126876014595446</v>
      </c>
      <c r="AJ18" s="13">
        <f t="shared" si="10"/>
        <v>1.1255031284346226</v>
      </c>
      <c r="AK18" s="13">
        <f t="shared" si="10"/>
        <v>1.1379861439590684</v>
      </c>
      <c r="AL18" s="13">
        <f t="shared" si="10"/>
        <v>1.1501221683039888</v>
      </c>
      <c r="AM18" s="13">
        <f t="shared" si="10"/>
        <v>1.1618969990257282</v>
      </c>
      <c r="AN18" s="13">
        <f t="shared" si="10"/>
        <v>1.1732967383933945</v>
      </c>
      <c r="AO18" s="13">
        <f t="shared" si="10"/>
        <v>1.1843078204823638</v>
      </c>
      <c r="AP18" s="13">
        <f t="shared" si="10"/>
        <v>1.194917037860574</v>
      </c>
      <c r="AQ18" s="13">
        <f t="shared" si="10"/>
        <v>1.2051115677947859</v>
      </c>
      <c r="AR18" s="13">
        <f t="shared" si="10"/>
        <v>1.2148789979046184</v>
      </c>
      <c r="AS18" s="13">
        <f t="shared" si="10"/>
        <v>1.2242073511930465</v>
      </c>
      <c r="AT18" s="13">
        <f t="shared" si="10"/>
        <v>1.2330851103831739</v>
      </c>
      <c r="AU18" s="13">
        <f t="shared" si="10"/>
        <v>1.2415012414924862</v>
      </c>
      <c r="AV18" s="13">
        <f t="shared" si="10"/>
        <v>1.2494452165774113</v>
      </c>
      <c r="AW18" s="13">
        <f t="shared" si="10"/>
        <v>1.2569070355828991</v>
      </c>
      <c r="AX18" s="13">
        <f t="shared" si="10"/>
        <v>1.2638772472338382</v>
      </c>
      <c r="AY18" s="13">
        <f t="shared" si="10"/>
        <v>1.2703469689074851</v>
      </c>
      <c r="AZ18" s="13">
        <f t="shared" si="10"/>
        <v>1.2763079054286535</v>
      </c>
      <c r="BA18" s="13">
        <f t="shared" si="10"/>
        <v>1.2817523667322011</v>
      </c>
      <c r="BB18" s="13">
        <f t="shared" si="10"/>
        <v>1.2866732843403659</v>
      </c>
      <c r="BC18" s="13">
        <f t="shared" si="10"/>
        <v>1.2910642266056944</v>
      </c>
      <c r="BD18" s="13">
        <f t="shared" si="10"/>
        <v>1.2949194126737082</v>
      </c>
      <c r="BE18" s="13">
        <f t="shared" si="10"/>
        <v>1.2982337251230136</v>
      </c>
      <c r="BF18" s="13">
        <f t="shared" si="10"/>
        <v>1.3010027212442978</v>
      </c>
      <c r="BG18" s="13">
        <f t="shared" si="10"/>
        <v>1.3032226429235407</v>
      </c>
      <c r="BH18" s="13">
        <f t="shared" si="10"/>
        <v>1.3048904250987803</v>
      </c>
      <c r="BI18" s="13">
        <f t="shared" si="10"/>
        <v>1.3060037027639271</v>
      </c>
      <c r="BJ18" s="13">
        <f t="shared" si="10"/>
        <v>1.3065608164973563</v>
      </c>
    </row>
    <row r="20" spans="2:62">
      <c r="B20" t="s">
        <v>254</v>
      </c>
      <c r="O20" s="5">
        <f>SUMIFS(Tabela1[POP_TOT - População total do município do ano de referência (Fonte: IBGE):],Tabela1[Ano de Referência],'Valuation (FCF)'!O$2)</f>
        <v>106793</v>
      </c>
      <c r="P20" s="5">
        <f>SUMIFS(Tabela1[POP_TOT - População total do município do ano de referência (Fonte: IBGE):],Tabela1[Ano de Referência],'Valuation (FCF)'!P$2)</f>
        <v>108622</v>
      </c>
      <c r="Q20" s="5">
        <f>SUMIFS(Tabela1[POP_TOT - População total do município do ano de referência (Fonte: IBGE):],Tabela1[Ano de Referência],'Valuation (FCF)'!Q$2)</f>
        <v>110390</v>
      </c>
      <c r="R20" s="5">
        <f>SUMIFS(Tabela1[POP_TOT - População total do município do ano de referência (Fonte: IBGE):],Tabela1[Ano de Referência],'Valuation (FCF)'!R$2)</f>
        <v>116308</v>
      </c>
      <c r="S20" s="5">
        <f>SUMIFS(Tabela1[POP_TOT - População total do município do ano de referência (Fonte: IBGE):],Tabela1[Ano de Referência],'Valuation (FCF)'!S$2)</f>
        <v>118312</v>
      </c>
      <c r="T20" s="5">
        <f>SUMIFS(Tabela1[POP_TOT - População total do município do ano de referência (Fonte: IBGE):],Tabela1[Ano de Referência],'Valuation (FCF)'!T$2)</f>
        <v>120258</v>
      </c>
      <c r="U20" s="5">
        <f>SUMIFS(Tabela1[POP_TOT - População total do município do ano de referência (Fonte: IBGE):],Tabela1[Ano de Referência],'Valuation (FCF)'!U$2)</f>
        <v>122163</v>
      </c>
      <c r="V20" s="5">
        <f>SUMIFS(Tabela1[POP_TOT - População total do município do ano de referência (Fonte: IBGE):],Tabela1[Ano de Referência],'Valuation (FCF)'!V$2)</f>
        <v>124024</v>
      </c>
      <c r="W20" s="5">
        <f>SUMIFS(Tabela1[POP_TOT - População total do município do ano de referência (Fonte: IBGE):],Tabela1[Ano de Referência],'Valuation (FCF)'!W$2)</f>
        <v>127123</v>
      </c>
      <c r="X20" s="5">
        <f>SUMIFS(Tabela1[POP_TOT - População total do município do ano de referência (Fonte: IBGE):],Tabela1[Ano de Referência],'Valuation (FCF)'!X$2)</f>
        <v>129193</v>
      </c>
      <c r="Y20" s="5">
        <f>SUMIFS(Tabela1[POP_TOT - População total do município do ano de referência (Fonte: IBGE):],Tabela1[Ano de Referência],'Valuation (FCF)'!Y$2)</f>
        <v>131210</v>
      </c>
      <c r="Z20" s="5">
        <f>SUMIFS(Tabela1[POP_TOT - População total do município do ano de referência (Fonte: IBGE):],Tabela1[Ano de Referência],'Valuation (FCF)'!Z$2)</f>
        <v>133169</v>
      </c>
      <c r="AA20" s="5"/>
      <c r="AB20" s="5">
        <f>AB$18*$Z20</f>
        <v>135157.24838808016</v>
      </c>
      <c r="AC20" s="5">
        <f t="shared" ref="AC20:AR20" si="11">AC$18*$Z20</f>
        <v>137117.5266086288</v>
      </c>
      <c r="AD20" s="5">
        <f t="shared" si="11"/>
        <v>139047.74463266178</v>
      </c>
      <c r="AE20" s="5">
        <f t="shared" si="11"/>
        <v>140945.81969565401</v>
      </c>
      <c r="AF20" s="5">
        <f t="shared" si="11"/>
        <v>142809.67995985365</v>
      </c>
      <c r="AG20" s="5">
        <f t="shared" si="11"/>
        <v>144637.26820797074</v>
      </c>
      <c r="AH20" s="5">
        <f t="shared" si="11"/>
        <v>146426.5455592534</v>
      </c>
      <c r="AI20" s="5">
        <f t="shared" si="11"/>
        <v>148175.49519876609</v>
      </c>
      <c r="AJ20" s="5">
        <f t="shared" si="11"/>
        <v>149882.12611051026</v>
      </c>
      <c r="AK20" s="5">
        <f t="shared" si="11"/>
        <v>151544.47680488517</v>
      </c>
      <c r="AL20" s="5">
        <f t="shared" si="11"/>
        <v>153160.6190308739</v>
      </c>
      <c r="AM20" s="5">
        <f t="shared" si="11"/>
        <v>154728.66146325719</v>
      </c>
      <c r="AN20" s="5">
        <f t="shared" si="11"/>
        <v>156246.75335510995</v>
      </c>
      <c r="AO20" s="5">
        <f t="shared" si="11"/>
        <v>157713.08814581591</v>
      </c>
      <c r="AP20" s="5">
        <f t="shared" si="11"/>
        <v>159125.90701485478</v>
      </c>
      <c r="AQ20" s="5">
        <f t="shared" si="11"/>
        <v>160483.50237166384</v>
      </c>
      <c r="AR20" s="5">
        <f t="shared" si="11"/>
        <v>161784.22127196012</v>
      </c>
      <c r="AS20" s="5">
        <f t="shared" ref="AS20:BH20" si="12">AS$18*$Z20</f>
        <v>163026.46875102681</v>
      </c>
      <c r="AT20" s="5">
        <f t="shared" si="12"/>
        <v>164208.71106461689</v>
      </c>
      <c r="AU20" s="5">
        <f t="shared" si="12"/>
        <v>165329.47882831289</v>
      </c>
      <c r="AV20" s="5">
        <f t="shared" si="12"/>
        <v>166387.37004639729</v>
      </c>
      <c r="AW20" s="5">
        <f t="shared" si="12"/>
        <v>167381.05302153909</v>
      </c>
      <c r="AX20" s="5">
        <f t="shared" si="12"/>
        <v>168309.269136883</v>
      </c>
      <c r="AY20" s="5">
        <f t="shared" si="12"/>
        <v>169170.8355024409</v>
      </c>
      <c r="AZ20" s="5">
        <f t="shared" si="12"/>
        <v>169964.64745802834</v>
      </c>
      <c r="BA20" s="5">
        <f t="shared" si="12"/>
        <v>170689.68092536047</v>
      </c>
      <c r="BB20" s="5">
        <f t="shared" si="12"/>
        <v>171344.99460232217</v>
      </c>
      <c r="BC20" s="5">
        <f t="shared" si="12"/>
        <v>171929.73199285372</v>
      </c>
      <c r="BD20" s="5">
        <f t="shared" si="12"/>
        <v>172443.12326634506</v>
      </c>
      <c r="BE20" s="5">
        <f t="shared" si="12"/>
        <v>172884.48694090659</v>
      </c>
      <c r="BF20" s="5">
        <f t="shared" si="12"/>
        <v>173253.23138538189</v>
      </c>
      <c r="BG20" s="5">
        <f t="shared" si="12"/>
        <v>173548.856135485</v>
      </c>
      <c r="BH20" s="5">
        <f t="shared" si="12"/>
        <v>173770.95301997947</v>
      </c>
      <c r="BI20" s="5">
        <f t="shared" ref="BI20:BJ20" si="13">BI$18*$Z20</f>
        <v>173919.20709336939</v>
      </c>
      <c r="BJ20" s="5">
        <f t="shared" si="13"/>
        <v>173993.39737213645</v>
      </c>
    </row>
    <row r="21" spans="2:62">
      <c r="B21" t="s">
        <v>256</v>
      </c>
      <c r="O21" s="5">
        <f>SUMIFS(Tabela1[POP_URB - População urbana do município do ano de referência (Fonte: IBGE):],Tabela1[Ano de Referência],'Valuation (FCF)'!O$2)</f>
        <v>101626</v>
      </c>
      <c r="P21" s="5">
        <f>SUMIFS(Tabela1[POP_URB - População urbana do município do ano de referência (Fonte: IBGE):],Tabela1[Ano de Referência],'Valuation (FCF)'!P$2)</f>
        <v>103367</v>
      </c>
      <c r="Q21" s="5">
        <f>SUMIFS(Tabela1[POP_URB - População urbana do município do ano de referência (Fonte: IBGE):],Tabela1[Ano de Referência],'Valuation (FCF)'!Q$2)</f>
        <v>105049</v>
      </c>
      <c r="R21" s="5">
        <f>SUMIFS(Tabela1[POP_URB - População urbana do município do ano de referência (Fonte: IBGE):],Tabela1[Ano de Referência],'Valuation (FCF)'!R$2)</f>
        <v>110681</v>
      </c>
      <c r="S21" s="5">
        <f>SUMIFS(Tabela1[POP_URB - População urbana do município do ano de referência (Fonte: IBGE):],Tabela1[Ano de Referência],'Valuation (FCF)'!S$2)</f>
        <v>112588</v>
      </c>
      <c r="T21" s="5">
        <f>SUMIFS(Tabela1[POP_URB - População urbana do município do ano de referência (Fonte: IBGE):],Tabela1[Ano de Referência],'Valuation (FCF)'!T$2)</f>
        <v>114440</v>
      </c>
      <c r="U21" s="5">
        <f>SUMIFS(Tabela1[POP_URB - População urbana do município do ano de referência (Fonte: IBGE):],Tabela1[Ano de Referência],'Valuation (FCF)'!U$2)</f>
        <v>116252</v>
      </c>
      <c r="V21" s="5">
        <f>SUMIFS(Tabela1[POP_URB - População urbana do município do ano de referência (Fonte: IBGE):],Tabela1[Ano de Referência],'Valuation (FCF)'!V$2)</f>
        <v>118023</v>
      </c>
      <c r="W21" s="5">
        <f>SUMIFS(Tabela1[POP_URB - População urbana do município do ano de referência (Fonte: IBGE):],Tabela1[Ano de Referência],'Valuation (FCF)'!W$2)</f>
        <v>120972</v>
      </c>
      <c r="X21" s="5">
        <f>SUMIFS(Tabela1[POP_URB - População urbana do município do ano de referência (Fonte: IBGE):],Tabela1[Ano de Referência],'Valuation (FCF)'!X$2)</f>
        <v>122942</v>
      </c>
      <c r="Y21" s="5">
        <f>SUMIFS(Tabela1[POP_URB - População urbana do município do ano de referência (Fonte: IBGE):],Tabela1[Ano de Referência],'Valuation (FCF)'!Y$2)</f>
        <v>124862</v>
      </c>
      <c r="Z21" s="5">
        <f>SUMIFS(Tabela1[POP_URB - População urbana do município do ano de referência (Fonte: IBGE):],Tabela1[Ano de Referência],'Valuation (FCF)'!Z$2)</f>
        <v>126726</v>
      </c>
      <c r="AA21" s="5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</row>
    <row r="22" spans="2:62">
      <c r="B22" t="s">
        <v>257</v>
      </c>
      <c r="O22" s="1">
        <f>O20-O21</f>
        <v>5167</v>
      </c>
      <c r="P22" s="1">
        <f t="shared" ref="P22:Z22" si="14">P20-P21</f>
        <v>5255</v>
      </c>
      <c r="Q22" s="1">
        <f t="shared" si="14"/>
        <v>5341</v>
      </c>
      <c r="R22" s="1">
        <f t="shared" si="14"/>
        <v>5627</v>
      </c>
      <c r="S22" s="1">
        <f t="shared" si="14"/>
        <v>5724</v>
      </c>
      <c r="T22" s="1">
        <f t="shared" si="14"/>
        <v>5818</v>
      </c>
      <c r="U22" s="1">
        <f t="shared" si="14"/>
        <v>5911</v>
      </c>
      <c r="V22" s="1">
        <f t="shared" si="14"/>
        <v>6001</v>
      </c>
      <c r="W22" s="1">
        <f t="shared" si="14"/>
        <v>6151</v>
      </c>
      <c r="X22" s="1">
        <f t="shared" si="14"/>
        <v>6251</v>
      </c>
      <c r="Y22" s="1">
        <f t="shared" si="14"/>
        <v>6348</v>
      </c>
      <c r="Z22" s="1">
        <f t="shared" si="14"/>
        <v>6443</v>
      </c>
      <c r="AA22" s="1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</row>
    <row r="24" spans="2:62" s="9" customFormat="1">
      <c r="B24" s="9" t="s">
        <v>261</v>
      </c>
      <c r="K24" s="45"/>
    </row>
    <row r="26" spans="2:62">
      <c r="B26" t="s">
        <v>254</v>
      </c>
      <c r="O26" s="5">
        <f>SUMIFS(Tabela1[AG001 - População total atendida com abastecimento de água],Tabela1[Ano de Referência],'Valuation (FCF)'!O$2)</f>
        <v>106793</v>
      </c>
      <c r="P26" s="5">
        <f>SUMIFS(Tabela1[AG001 - População total atendida com abastecimento de água],Tabela1[Ano de Referência],'Valuation (FCF)'!P$2)</f>
        <v>108622</v>
      </c>
      <c r="Q26" s="5">
        <f>SUMIFS(Tabela1[AG001 - População total atendida com abastecimento de água],Tabela1[Ano de Referência],'Valuation (FCF)'!Q$2)</f>
        <v>110096</v>
      </c>
      <c r="R26" s="5">
        <f>SUMIFS(Tabela1[AG001 - População total atendida com abastecimento de água],Tabela1[Ano de Referência],'Valuation (FCF)'!R$2)</f>
        <v>112848</v>
      </c>
      <c r="S26" s="5">
        <f>SUMIFS(Tabela1[AG001 - População total atendida com abastecimento de água],Tabela1[Ano de Referência],'Valuation (FCF)'!S$2)</f>
        <v>106776</v>
      </c>
      <c r="T26" s="5">
        <f>SUMIFS(Tabela1[AG001 - População total atendida com abastecimento de água],Tabela1[Ano de Referência],'Valuation (FCF)'!T$2)</f>
        <v>108534</v>
      </c>
      <c r="U26" s="5">
        <f>SUMIFS(Tabela1[AG001 - População total atendida com abastecimento de água],Tabela1[Ano de Referência],'Valuation (FCF)'!U$2)</f>
        <v>110252</v>
      </c>
      <c r="V26" s="5">
        <f>SUMIFS(Tabela1[AG001 - População total atendida com abastecimento de água],Tabela1[Ano de Referência],'Valuation (FCF)'!V$2)</f>
        <v>111932</v>
      </c>
      <c r="W26" s="5">
        <f>SUMIFS(Tabela1[AG001 - População total atendida com abastecimento de água],Tabela1[Ano de Referência],'Valuation (FCF)'!W$2)</f>
        <v>118352</v>
      </c>
      <c r="X26" s="5">
        <f>SUMIFS(Tabela1[AG001 - População total atendida com abastecimento de água],Tabela1[Ano de Referência],'Valuation (FCF)'!X$2)</f>
        <v>120483</v>
      </c>
      <c r="Y26" s="5">
        <f>SUMIFS(Tabela1[AG001 - População total atendida com abastecimento de água],Tabela1[Ano de Referência],'Valuation (FCF)'!Y$2)</f>
        <v>123337</v>
      </c>
      <c r="Z26" s="5">
        <f>SUMIFS(Tabela1[AG001 - População total atendida com abastecimento de água],Tabela1[Ano de Referência],'Valuation (FCF)'!Z$2)</f>
        <v>125180</v>
      </c>
      <c r="AA26" s="5"/>
      <c r="AB26" s="5">
        <f>AB20*AB8</f>
        <v>127047.81348479535</v>
      </c>
      <c r="AC26" s="5">
        <f t="shared" ref="AC26:BJ26" si="15">AC20*AC8</f>
        <v>130535.88533141461</v>
      </c>
      <c r="AD26" s="5">
        <f t="shared" si="15"/>
        <v>134042.02582588594</v>
      </c>
      <c r="AE26" s="5">
        <f t="shared" si="15"/>
        <v>137563.12002295832</v>
      </c>
      <c r="AF26" s="5">
        <f t="shared" si="15"/>
        <v>141095.96380033539</v>
      </c>
      <c r="AG26" s="5">
        <f t="shared" si="15"/>
        <v>144637.26820797074</v>
      </c>
      <c r="AH26" s="5">
        <f t="shared" si="15"/>
        <v>146426.5455592534</v>
      </c>
      <c r="AI26" s="5">
        <f t="shared" si="15"/>
        <v>148175.49519876609</v>
      </c>
      <c r="AJ26" s="5">
        <f t="shared" si="15"/>
        <v>149882.12611051026</v>
      </c>
      <c r="AK26" s="5">
        <f t="shared" si="15"/>
        <v>151544.47680488517</v>
      </c>
      <c r="AL26" s="5">
        <f t="shared" si="15"/>
        <v>153160.6190308739</v>
      </c>
      <c r="AM26" s="5">
        <f t="shared" si="15"/>
        <v>154728.66146325719</v>
      </c>
      <c r="AN26" s="5">
        <f t="shared" si="15"/>
        <v>156246.75335510995</v>
      </c>
      <c r="AO26" s="5">
        <f t="shared" si="15"/>
        <v>157713.08814581591</v>
      </c>
      <c r="AP26" s="5">
        <f t="shared" si="15"/>
        <v>159125.90701485478</v>
      </c>
      <c r="AQ26" s="5">
        <f t="shared" si="15"/>
        <v>160483.50237166384</v>
      </c>
      <c r="AR26" s="5">
        <f t="shared" si="15"/>
        <v>161784.22127196012</v>
      </c>
      <c r="AS26" s="5">
        <f t="shared" si="15"/>
        <v>163026.46875102681</v>
      </c>
      <c r="AT26" s="5">
        <f t="shared" si="15"/>
        <v>164208.71106461689</v>
      </c>
      <c r="AU26" s="5">
        <f t="shared" si="15"/>
        <v>165329.47882831289</v>
      </c>
      <c r="AV26" s="5">
        <f t="shared" si="15"/>
        <v>166387.37004639729</v>
      </c>
      <c r="AW26" s="5">
        <f t="shared" si="15"/>
        <v>167381.05302153909</v>
      </c>
      <c r="AX26" s="5">
        <f t="shared" si="15"/>
        <v>168309.269136883</v>
      </c>
      <c r="AY26" s="5">
        <f t="shared" si="15"/>
        <v>169170.8355024409</v>
      </c>
      <c r="AZ26" s="5">
        <f t="shared" si="15"/>
        <v>169964.64745802834</v>
      </c>
      <c r="BA26" s="5">
        <f t="shared" si="15"/>
        <v>170689.68092536047</v>
      </c>
      <c r="BB26" s="5">
        <f t="shared" si="15"/>
        <v>171344.99460232217</v>
      </c>
      <c r="BC26" s="5">
        <f t="shared" si="15"/>
        <v>171929.73199285372</v>
      </c>
      <c r="BD26" s="5">
        <f t="shared" si="15"/>
        <v>172443.12326634506</v>
      </c>
      <c r="BE26" s="5">
        <f t="shared" si="15"/>
        <v>172884.48694090659</v>
      </c>
      <c r="BF26" s="5">
        <f t="shared" si="15"/>
        <v>173253.23138538189</v>
      </c>
      <c r="BG26" s="5">
        <f t="shared" si="15"/>
        <v>173548.856135485</v>
      </c>
      <c r="BH26" s="5">
        <f t="shared" si="15"/>
        <v>173770.95301997947</v>
      </c>
      <c r="BI26" s="5">
        <f t="shared" si="15"/>
        <v>173919.20709336939</v>
      </c>
      <c r="BJ26" s="5">
        <f t="shared" si="15"/>
        <v>173993.39737213645</v>
      </c>
    </row>
    <row r="27" spans="2:62">
      <c r="B27" t="s">
        <v>256</v>
      </c>
      <c r="J27" s="12"/>
      <c r="O27" s="5">
        <f>SUMIFS(Tabela1[AG026 - População urbana atendida com abastecimento de água],Tabela1[Ano de Referência],'Valuation (FCF)'!O$2)</f>
        <v>101626</v>
      </c>
      <c r="P27" s="5">
        <f>SUMIFS(Tabela1[AG026 - População urbana atendida com abastecimento de água],Tabela1[Ano de Referência],'Valuation (FCF)'!P$2)</f>
        <v>103367</v>
      </c>
      <c r="Q27" s="5">
        <f>SUMIFS(Tabela1[AG026 - População urbana atendida com abastecimento de água],Tabela1[Ano de Referência],'Valuation (FCF)'!Q$2)</f>
        <v>104871</v>
      </c>
      <c r="R27" s="5">
        <f>SUMIFS(Tabela1[AG026 - População urbana atendida com abastecimento de água],Tabela1[Ano de Referência],'Valuation (FCF)'!R$2)</f>
        <v>107492</v>
      </c>
      <c r="S27" s="5">
        <f>SUMIFS(Tabela1[AG026 - População urbana atendida com abastecimento de água],Tabela1[Ano de Referência],'Valuation (FCF)'!S$2)</f>
        <v>106776</v>
      </c>
      <c r="T27" s="5">
        <f>SUMIFS(Tabela1[AG026 - População urbana atendida com abastecimento de água],Tabela1[Ano de Referência],'Valuation (FCF)'!T$2)</f>
        <v>108534</v>
      </c>
      <c r="U27" s="5">
        <f>SUMIFS(Tabela1[AG026 - População urbana atendida com abastecimento de água],Tabela1[Ano de Referência],'Valuation (FCF)'!U$2)</f>
        <v>110252</v>
      </c>
      <c r="V27" s="5">
        <f>SUMIFS(Tabela1[AG026 - População urbana atendida com abastecimento de água],Tabela1[Ano de Referência],'Valuation (FCF)'!V$2)</f>
        <v>111932</v>
      </c>
      <c r="W27" s="5">
        <f>SUMIFS(Tabela1[AG026 - População urbana atendida com abastecimento de água],Tabela1[Ano de Referência],'Valuation (FCF)'!W$2)</f>
        <v>118352</v>
      </c>
      <c r="X27" s="5">
        <f>SUMIFS(Tabela1[AG026 - População urbana atendida com abastecimento de água],Tabela1[Ano de Referência],'Valuation (FCF)'!X$2)</f>
        <v>120483</v>
      </c>
      <c r="Y27" s="5">
        <f>SUMIFS(Tabela1[AG026 - População urbana atendida com abastecimento de água],Tabela1[Ano de Referência],'Valuation (FCF)'!Y$2)</f>
        <v>123337</v>
      </c>
      <c r="Z27" s="5">
        <f>SUMIFS(Tabela1[AG026 - População urbana atendida com abastecimento de água],Tabela1[Ano de Referência],'Valuation (FCF)'!Z$2)</f>
        <v>125180</v>
      </c>
      <c r="AA27" s="5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</row>
    <row r="28" spans="2:62">
      <c r="B28" t="s">
        <v>257</v>
      </c>
      <c r="J28" s="1"/>
      <c r="O28" s="5">
        <f t="shared" ref="O28:Z28" si="16">O26-O27</f>
        <v>5167</v>
      </c>
      <c r="P28" s="5">
        <f t="shared" si="16"/>
        <v>5255</v>
      </c>
      <c r="Q28" s="5">
        <f t="shared" si="16"/>
        <v>5225</v>
      </c>
      <c r="R28" s="5">
        <f t="shared" si="16"/>
        <v>5356</v>
      </c>
      <c r="S28" s="5">
        <f t="shared" si="16"/>
        <v>0</v>
      </c>
      <c r="T28" s="5">
        <f t="shared" si="16"/>
        <v>0</v>
      </c>
      <c r="U28" s="5">
        <f t="shared" si="16"/>
        <v>0</v>
      </c>
      <c r="V28" s="5">
        <f t="shared" si="16"/>
        <v>0</v>
      </c>
      <c r="W28" s="5">
        <f t="shared" si="16"/>
        <v>0</v>
      </c>
      <c r="X28" s="5">
        <f t="shared" si="16"/>
        <v>0</v>
      </c>
      <c r="Y28" s="5">
        <f t="shared" si="16"/>
        <v>0</v>
      </c>
      <c r="Z28" s="5">
        <f t="shared" si="16"/>
        <v>0</v>
      </c>
      <c r="AA28" s="5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</row>
    <row r="29" spans="2:62">
      <c r="AB29" s="1"/>
    </row>
    <row r="30" spans="2:62">
      <c r="B30" t="s">
        <v>258</v>
      </c>
      <c r="O30" s="5">
        <f>SUMIFS(Tabela1[AG021 - Quantidade de ligações totais de água],Tabela1[Ano de Referência],'Valuation (FCF)'!O$2)</f>
        <v>29885</v>
      </c>
      <c r="P30" s="5">
        <f>SUMIFS(Tabela1[AG021 - Quantidade de ligações totais de água],Tabela1[Ano de Referência],'Valuation (FCF)'!P$2)</f>
        <v>31539</v>
      </c>
      <c r="Q30" s="5">
        <f>SUMIFS(Tabela1[AG021 - Quantidade de ligações totais de água],Tabela1[Ano de Referência],'Valuation (FCF)'!Q$2)</f>
        <v>33414</v>
      </c>
      <c r="R30" s="5">
        <f>SUMIFS(Tabela1[AG021 - Quantidade de ligações totais de água],Tabela1[Ano de Referência],'Valuation (FCF)'!R$2)</f>
        <v>34386</v>
      </c>
      <c r="S30" s="5">
        <f>SUMIFS(Tabela1[AG021 - Quantidade de ligações totais de água],Tabela1[Ano de Referência],'Valuation (FCF)'!S$2)</f>
        <v>36080</v>
      </c>
      <c r="T30" s="5">
        <f>SUMIFS(Tabela1[AG021 - Quantidade de ligações totais de água],Tabela1[Ano de Referência],'Valuation (FCF)'!T$2)</f>
        <v>36895</v>
      </c>
      <c r="U30" s="5">
        <f>SUMIFS(Tabela1[AG021 - Quantidade de ligações totais de água],Tabela1[Ano de Referência],'Valuation (FCF)'!U$2)</f>
        <v>37440</v>
      </c>
      <c r="V30" s="5">
        <f>SUMIFS(Tabela1[AG021 - Quantidade de ligações totais de água],Tabela1[Ano de Referência],'Valuation (FCF)'!V$2)</f>
        <v>38221</v>
      </c>
      <c r="W30" s="5">
        <f>SUMIFS(Tabela1[AG021 - Quantidade de ligações totais de água],Tabela1[Ano de Referência],'Valuation (FCF)'!W$2)</f>
        <v>38649</v>
      </c>
      <c r="X30" s="5">
        <f>SUMIFS(Tabela1[AG021 - Quantidade de ligações totais de água],Tabela1[Ano de Referência],'Valuation (FCF)'!X$2)</f>
        <v>39621</v>
      </c>
      <c r="Y30" s="5">
        <f>SUMIFS(Tabela1[AG021 - Quantidade de ligações totais de água],Tabela1[Ano de Referência],'Valuation (FCF)'!Y$2)</f>
        <v>39399</v>
      </c>
      <c r="Z30" s="5">
        <f>SUMIFS(Tabela1[AG021 - Quantidade de ligações totais de água],Tabela1[Ano de Referência],'Valuation (FCF)'!Z$2)</f>
        <v>40713</v>
      </c>
      <c r="AA30" s="5"/>
      <c r="AB30" s="5">
        <f>AB26/AB34</f>
        <v>40052.843196708447</v>
      </c>
      <c r="AC30" s="5">
        <f t="shared" ref="AC30:BJ30" si="17">AC26/AC34</f>
        <v>41216.342818390513</v>
      </c>
      <c r="AD30" s="5">
        <f t="shared" si="17"/>
        <v>42389.17288540821</v>
      </c>
      <c r="AE30" s="5">
        <f t="shared" si="17"/>
        <v>43570.390370441331</v>
      </c>
      <c r="AF30" s="5">
        <f t="shared" si="17"/>
        <v>44759.018076458407</v>
      </c>
      <c r="AG30" s="5">
        <f t="shared" si="17"/>
        <v>45954.045751807418</v>
      </c>
      <c r="AH30" s="5">
        <f t="shared" si="17"/>
        <v>46595.287853366593</v>
      </c>
      <c r="AI30" s="5">
        <f t="shared" si="17"/>
        <v>47225.685679845526</v>
      </c>
      <c r="AJ30" s="5">
        <f t="shared" si="17"/>
        <v>47844.5526339477</v>
      </c>
      <c r="AK30" s="5">
        <f t="shared" si="17"/>
        <v>48451.207243257631</v>
      </c>
      <c r="AL30" s="5">
        <f t="shared" si="17"/>
        <v>49044.974389279094</v>
      </c>
      <c r="AM30" s="5">
        <f t="shared" si="17"/>
        <v>49625.186540087321</v>
      </c>
      <c r="AN30" s="5">
        <f t="shared" si="17"/>
        <v>50191.184983504529</v>
      </c>
      <c r="AO30" s="5">
        <f t="shared" si="17"/>
        <v>50742.321057663059</v>
      </c>
      <c r="AP30" s="5">
        <f t="shared" si="17"/>
        <v>51277.957375786573</v>
      </c>
      <c r="AQ30" s="5">
        <f t="shared" si="17"/>
        <v>51797.469041995035</v>
      </c>
      <c r="AR30" s="5">
        <f t="shared" si="17"/>
        <v>52300.244854925695</v>
      </c>
      <c r="AS30" s="5">
        <f t="shared" si="17"/>
        <v>52785.688495959643</v>
      </c>
      <c r="AT30" s="5">
        <f t="shared" si="17"/>
        <v>53253.219698850982</v>
      </c>
      <c r="AU30" s="5">
        <f t="shared" si="17"/>
        <v>53702.275397574893</v>
      </c>
      <c r="AV30" s="5">
        <f t="shared" si="17"/>
        <v>54132.310849240792</v>
      </c>
      <c r="AW30" s="5">
        <f t="shared" si="17"/>
        <v>54542.800728957627</v>
      </c>
      <c r="AX30" s="5">
        <f t="shared" si="17"/>
        <v>54933.240193590544</v>
      </c>
      <c r="AY30" s="5">
        <f t="shared" si="17"/>
        <v>55303.145911410887</v>
      </c>
      <c r="AZ30" s="5">
        <f t="shared" si="17"/>
        <v>55652.057054715457</v>
      </c>
      <c r="BA30" s="5">
        <f t="shared" si="17"/>
        <v>55979.536252574995</v>
      </c>
      <c r="BB30" s="5">
        <f t="shared" si="17"/>
        <v>56285.170500966851</v>
      </c>
      <c r="BC30" s="5">
        <f t="shared" si="17"/>
        <v>56568.572027651397</v>
      </c>
      <c r="BD30" s="5">
        <f t="shared" si="17"/>
        <v>56829.379109266672</v>
      </c>
      <c r="BE30" s="5">
        <f t="shared" si="17"/>
        <v>57067.25683823954</v>
      </c>
      <c r="BF30" s="5">
        <f t="shared" si="17"/>
        <v>57281.897837244971</v>
      </c>
      <c r="BG30" s="5">
        <f t="shared" si="17"/>
        <v>57473.022919086761</v>
      </c>
      <c r="BH30" s="5">
        <f t="shared" si="17"/>
        <v>57640.381690022674</v>
      </c>
      <c r="BI30" s="5">
        <f t="shared" si="17"/>
        <v>57783.753094714804</v>
      </c>
      <c r="BJ30" s="5">
        <f t="shared" si="17"/>
        <v>57902.945901149855</v>
      </c>
    </row>
    <row r="31" spans="2:62">
      <c r="B31" t="s">
        <v>259</v>
      </c>
      <c r="O31" s="5">
        <f>SUMIFS(Tabela1[AG002 - Quantidade de ligações ativas de água],Tabela1[Ano de Referência],'Valuation (FCF)'!O$2)</f>
        <v>29885</v>
      </c>
      <c r="P31" s="5">
        <f>SUMIFS(Tabela1[AG002 - Quantidade de ligações ativas de água],Tabela1[Ano de Referência],'Valuation (FCF)'!P$2)</f>
        <v>31539</v>
      </c>
      <c r="Q31" s="5">
        <f>SUMIFS(Tabela1[AG002 - Quantidade de ligações ativas de água],Tabela1[Ano de Referência],'Valuation (FCF)'!Q$2)</f>
        <v>33013</v>
      </c>
      <c r="R31" s="5">
        <f>SUMIFS(Tabela1[AG002 - Quantidade de ligações ativas de água],Tabela1[Ano de Referência],'Valuation (FCF)'!R$2)</f>
        <v>33984</v>
      </c>
      <c r="S31" s="5">
        <f>SUMIFS(Tabela1[AG002 - Quantidade de ligações ativas de água],Tabela1[Ano de Referência],'Valuation (FCF)'!S$2)</f>
        <v>35671</v>
      </c>
      <c r="T31" s="5">
        <f>SUMIFS(Tabela1[AG002 - Quantidade de ligações ativas de água],Tabela1[Ano de Referência],'Valuation (FCF)'!T$2)</f>
        <v>36895</v>
      </c>
      <c r="U31" s="5">
        <f>SUMIFS(Tabela1[AG002 - Quantidade de ligações ativas de água],Tabela1[Ano de Referência],'Valuation (FCF)'!U$2)</f>
        <v>35949</v>
      </c>
      <c r="V31" s="5">
        <f>SUMIFS(Tabela1[AG002 - Quantidade de ligações ativas de água],Tabela1[Ano de Referência],'Valuation (FCF)'!V$2)</f>
        <v>36778</v>
      </c>
      <c r="W31" s="5">
        <f>SUMIFS(Tabela1[AG002 - Quantidade de ligações ativas de água],Tabela1[Ano de Referência],'Valuation (FCF)'!W$2)</f>
        <v>37186</v>
      </c>
      <c r="X31" s="5">
        <f>SUMIFS(Tabela1[AG002 - Quantidade de ligações ativas de água],Tabela1[Ano de Referência],'Valuation (FCF)'!X$2)</f>
        <v>38051</v>
      </c>
      <c r="Y31" s="5">
        <f>SUMIFS(Tabela1[AG002 - Quantidade de ligações ativas de água],Tabela1[Ano de Referência],'Valuation (FCF)'!Y$2)</f>
        <v>38777</v>
      </c>
      <c r="Z31" s="5">
        <f>SUMIFS(Tabela1[AG002 - Quantidade de ligações ativas de água],Tabela1[Ano de Referência],'Valuation (FCF)'!Z$2)</f>
        <v>39464</v>
      </c>
      <c r="AA31" s="5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</row>
    <row r="32" spans="2:62">
      <c r="B32" t="s">
        <v>260</v>
      </c>
      <c r="I32" s="12"/>
      <c r="O32" s="1">
        <f>O30-O31</f>
        <v>0</v>
      </c>
      <c r="P32" s="1">
        <f t="shared" ref="P32:Z32" si="18">P30-P31</f>
        <v>0</v>
      </c>
      <c r="Q32" s="1">
        <f t="shared" si="18"/>
        <v>401</v>
      </c>
      <c r="R32" s="1">
        <f t="shared" si="18"/>
        <v>402</v>
      </c>
      <c r="S32" s="1">
        <f t="shared" si="18"/>
        <v>409</v>
      </c>
      <c r="T32" s="1">
        <f t="shared" si="18"/>
        <v>0</v>
      </c>
      <c r="U32" s="1">
        <f t="shared" si="18"/>
        <v>1491</v>
      </c>
      <c r="V32" s="1">
        <f t="shared" si="18"/>
        <v>1443</v>
      </c>
      <c r="W32" s="1">
        <f t="shared" si="18"/>
        <v>1463</v>
      </c>
      <c r="X32" s="1">
        <f t="shared" si="18"/>
        <v>1570</v>
      </c>
      <c r="Y32" s="1">
        <f t="shared" si="18"/>
        <v>622</v>
      </c>
      <c r="Z32" s="1">
        <f t="shared" si="18"/>
        <v>1249</v>
      </c>
      <c r="AA32" s="1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</row>
    <row r="33" spans="2:62"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>
      <c r="B34" t="s">
        <v>291</v>
      </c>
      <c r="I34">
        <v>1</v>
      </c>
      <c r="J34">
        <v>35</v>
      </c>
      <c r="K34" s="11">
        <f t="shared" ref="K34" si="19">Z34</f>
        <v>3.1720048651935944</v>
      </c>
      <c r="L34" s="15">
        <v>3</v>
      </c>
      <c r="O34" s="8">
        <f>O26/O31</f>
        <v>3.5734649489710559</v>
      </c>
      <c r="P34" s="8">
        <f t="shared" ref="P34:Z34" si="20">P26/P31</f>
        <v>3.4440533942103428</v>
      </c>
      <c r="Q34" s="8">
        <f t="shared" si="20"/>
        <v>3.3349286644655134</v>
      </c>
      <c r="R34" s="8">
        <f t="shared" si="20"/>
        <v>3.3206214689265536</v>
      </c>
      <c r="S34" s="8">
        <f t="shared" si="20"/>
        <v>2.9933559474082587</v>
      </c>
      <c r="T34" s="8">
        <f t="shared" si="20"/>
        <v>2.941699417265212</v>
      </c>
      <c r="U34" s="8">
        <f t="shared" si="20"/>
        <v>3.0669003310245069</v>
      </c>
      <c r="V34" s="8">
        <f t="shared" si="20"/>
        <v>3.043449888520311</v>
      </c>
      <c r="W34" s="8">
        <f t="shared" si="20"/>
        <v>3.1827031678588718</v>
      </c>
      <c r="X34" s="8">
        <f t="shared" si="20"/>
        <v>3.1663556805340201</v>
      </c>
      <c r="Y34" s="8">
        <f t="shared" si="20"/>
        <v>3.1806741109420531</v>
      </c>
      <c r="Z34" s="8">
        <f t="shared" si="20"/>
        <v>3.1720048651935944</v>
      </c>
      <c r="AA34" s="8"/>
      <c r="AB34" s="15">
        <f>IF(AND($I34&lt;AB$3,AB$3&lt;=$J34),AA34+($L34-$K34)/($J34-$I34+1),IF($I34&gt;=AB$3,$K34,$L34))</f>
        <v>3.1720048651935944</v>
      </c>
      <c r="AC34" s="15">
        <f t="shared" ref="AC34:BJ34" si="21">IF(AND($I34&lt;AC$3,AC$3&lt;=$J34),AB34+($L34-$K34)/($J34-$I34+1),IF($I34&gt;=AC$3,$K34,$L34))</f>
        <v>3.1670904404737774</v>
      </c>
      <c r="AD34" s="15">
        <f t="shared" si="21"/>
        <v>3.1621760157539605</v>
      </c>
      <c r="AE34" s="15">
        <f t="shared" si="21"/>
        <v>3.1572615910341435</v>
      </c>
      <c r="AF34" s="15">
        <f t="shared" si="21"/>
        <v>3.1523471663143265</v>
      </c>
      <c r="AG34" s="15">
        <f t="shared" si="21"/>
        <v>3.1474327415945096</v>
      </c>
      <c r="AH34" s="15">
        <f t="shared" si="21"/>
        <v>3.1425183168746926</v>
      </c>
      <c r="AI34" s="15">
        <f t="shared" si="21"/>
        <v>3.1376038921548757</v>
      </c>
      <c r="AJ34" s="15">
        <f t="shared" si="21"/>
        <v>3.1326894674350587</v>
      </c>
      <c r="AK34" s="15">
        <f t="shared" si="21"/>
        <v>3.1277750427152418</v>
      </c>
      <c r="AL34" s="15">
        <f t="shared" si="21"/>
        <v>3.1228606179954248</v>
      </c>
      <c r="AM34" s="15">
        <f t="shared" si="21"/>
        <v>3.1179461932756078</v>
      </c>
      <c r="AN34" s="15">
        <f t="shared" si="21"/>
        <v>3.1130317685557909</v>
      </c>
      <c r="AO34" s="15">
        <f t="shared" si="21"/>
        <v>3.1081173438359739</v>
      </c>
      <c r="AP34" s="15">
        <f t="shared" si="21"/>
        <v>3.103202919116157</v>
      </c>
      <c r="AQ34" s="15">
        <f t="shared" si="21"/>
        <v>3.09828849439634</v>
      </c>
      <c r="AR34" s="15">
        <f t="shared" si="21"/>
        <v>3.0933740696765231</v>
      </c>
      <c r="AS34" s="15">
        <f t="shared" si="21"/>
        <v>3.0884596449567061</v>
      </c>
      <c r="AT34" s="15">
        <f t="shared" si="21"/>
        <v>3.0835452202368892</v>
      </c>
      <c r="AU34" s="15">
        <f t="shared" si="21"/>
        <v>3.0786307955170722</v>
      </c>
      <c r="AV34" s="15">
        <f t="shared" si="21"/>
        <v>3.0737163707972552</v>
      </c>
      <c r="AW34" s="15">
        <f t="shared" si="21"/>
        <v>3.0688019460774383</v>
      </c>
      <c r="AX34" s="15">
        <f t="shared" si="21"/>
        <v>3.0638875213576213</v>
      </c>
      <c r="AY34" s="15">
        <f t="shared" si="21"/>
        <v>3.0589730966378044</v>
      </c>
      <c r="AZ34" s="15">
        <f t="shared" si="21"/>
        <v>3.0540586719179874</v>
      </c>
      <c r="BA34" s="15">
        <f t="shared" si="21"/>
        <v>3.0491442471981705</v>
      </c>
      <c r="BB34" s="15">
        <f t="shared" si="21"/>
        <v>3.0442298224783535</v>
      </c>
      <c r="BC34" s="15">
        <f t="shared" si="21"/>
        <v>3.0393153977585365</v>
      </c>
      <c r="BD34" s="15">
        <f t="shared" si="21"/>
        <v>3.0344009730387196</v>
      </c>
      <c r="BE34" s="15">
        <f t="shared" si="21"/>
        <v>3.0294865483189026</v>
      </c>
      <c r="BF34" s="15">
        <f t="shared" si="21"/>
        <v>3.0245721235990857</v>
      </c>
      <c r="BG34" s="15">
        <f t="shared" si="21"/>
        <v>3.0196576988792687</v>
      </c>
      <c r="BH34" s="15">
        <f t="shared" si="21"/>
        <v>3.0147432741594518</v>
      </c>
      <c r="BI34" s="15">
        <f t="shared" si="21"/>
        <v>3.0098288494396348</v>
      </c>
      <c r="BJ34" s="15">
        <f t="shared" si="21"/>
        <v>3.0049144247198178</v>
      </c>
    </row>
    <row r="35" spans="2:62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s="9" customFormat="1">
      <c r="B36" s="9" t="s">
        <v>262</v>
      </c>
      <c r="K36" s="45"/>
    </row>
    <row r="38" spans="2:62">
      <c r="B38" t="s">
        <v>254</v>
      </c>
      <c r="J38" s="1"/>
      <c r="O38" s="5">
        <f>SUMIFS(Tabela1[ES001 - População total atendida com esgotamento sanitário],Tabela1[Ano de Referência],'Valuation (FCF)'!O$2)</f>
        <v>101626</v>
      </c>
      <c r="P38" s="5">
        <f>SUMIFS(Tabela1[ES001 - População total atendida com esgotamento sanitário],Tabela1[Ano de Referência],'Valuation (FCF)'!P$2)</f>
        <v>108622</v>
      </c>
      <c r="Q38" s="5">
        <f>SUMIFS(Tabela1[ES001 - População total atendida com esgotamento sanitário],Tabela1[Ano de Referência],'Valuation (FCF)'!Q$2)</f>
        <v>110096</v>
      </c>
      <c r="R38" s="5">
        <f>SUMIFS(Tabela1[ES001 - População total atendida com esgotamento sanitário],Tabela1[Ano de Referência],'Valuation (FCF)'!R$2)</f>
        <v>112848</v>
      </c>
      <c r="S38" s="5">
        <f>SUMIFS(Tabela1[ES001 - População total atendida com esgotamento sanitário],Tabela1[Ano de Referência],'Valuation (FCF)'!S$2)</f>
        <v>102280</v>
      </c>
      <c r="T38" s="5">
        <f>SUMIFS(Tabela1[ES001 - População total atendida com esgotamento sanitário],Tabela1[Ano de Referência],'Valuation (FCF)'!T$2)</f>
        <v>103963</v>
      </c>
      <c r="U38" s="5">
        <f>SUMIFS(Tabela1[ES001 - População total atendida com esgotamento sanitário],Tabela1[Ano de Referência],'Valuation (FCF)'!U$2)</f>
        <v>105603</v>
      </c>
      <c r="V38" s="5">
        <f>SUMIFS(Tabela1[ES001 - População total atendida com esgotamento sanitário],Tabela1[Ano de Referência],'Valuation (FCF)'!V$2)</f>
        <v>107209</v>
      </c>
      <c r="W38" s="5">
        <f>SUMIFS(Tabela1[ES001 - População total atendida com esgotamento sanitário],Tabela1[Ano de Referência],'Valuation (FCF)'!W$2)</f>
        <v>113883</v>
      </c>
      <c r="X38" s="5">
        <f>SUMIFS(Tabela1[ES001 - População total atendida com esgotamento sanitário],Tabela1[Ano de Referência],'Valuation (FCF)'!X$2)</f>
        <v>115737</v>
      </c>
      <c r="Y38" s="5">
        <f>SUMIFS(Tabela1[ES001 - População total atendida com esgotamento sanitário],Tabela1[Ano de Referência],'Valuation (FCF)'!Y$2)</f>
        <v>118089</v>
      </c>
      <c r="Z38" s="5">
        <f>SUMIFS(Tabela1[ES001 - População total atendida com esgotamento sanitário],Tabela1[Ano de Referência],'Valuation (FCF)'!Z$2)</f>
        <v>119883</v>
      </c>
      <c r="AA38" s="5"/>
      <c r="AB38" s="5">
        <f>AB20*AB10</f>
        <v>121668.55499894975</v>
      </c>
      <c r="AC38" s="5">
        <f t="shared" ref="AC38:BJ38" si="22">AC20*AC10</f>
        <v>123427.7127520233</v>
      </c>
      <c r="AD38" s="5">
        <f t="shared" si="22"/>
        <v>125159.65589875152</v>
      </c>
      <c r="AE38" s="5">
        <f t="shared" si="22"/>
        <v>126862.51339166424</v>
      </c>
      <c r="AF38" s="5">
        <f t="shared" si="22"/>
        <v>128534.42435106666</v>
      </c>
      <c r="AG38" s="5">
        <f t="shared" si="22"/>
        <v>130173.54138717367</v>
      </c>
      <c r="AH38" s="5">
        <f t="shared" si="22"/>
        <v>131783.89100332806</v>
      </c>
      <c r="AI38" s="5">
        <f t="shared" si="22"/>
        <v>133357.94567888949</v>
      </c>
      <c r="AJ38" s="5">
        <f t="shared" si="22"/>
        <v>134893.91349945925</v>
      </c>
      <c r="AK38" s="5">
        <f t="shared" si="22"/>
        <v>136390.02912439665</v>
      </c>
      <c r="AL38" s="5">
        <f t="shared" si="22"/>
        <v>137844.55712778651</v>
      </c>
      <c r="AM38" s="5">
        <f t="shared" si="22"/>
        <v>139255.79531693147</v>
      </c>
      <c r="AN38" s="5">
        <f t="shared" si="22"/>
        <v>140622.07801959896</v>
      </c>
      <c r="AO38" s="5">
        <f t="shared" si="22"/>
        <v>141941.77933123431</v>
      </c>
      <c r="AP38" s="5">
        <f t="shared" si="22"/>
        <v>143213.31631336932</v>
      </c>
      <c r="AQ38" s="5">
        <f t="shared" si="22"/>
        <v>144435.15213449745</v>
      </c>
      <c r="AR38" s="5">
        <f t="shared" si="22"/>
        <v>145605.79914476411</v>
      </c>
      <c r="AS38" s="5">
        <f t="shared" si="22"/>
        <v>146723.82187592413</v>
      </c>
      <c r="AT38" s="5">
        <f t="shared" si="22"/>
        <v>147787.83995815521</v>
      </c>
      <c r="AU38" s="5">
        <f t="shared" si="22"/>
        <v>148796.53094548162</v>
      </c>
      <c r="AV38" s="5">
        <f t="shared" si="22"/>
        <v>149748.63304175757</v>
      </c>
      <c r="AW38" s="5">
        <f t="shared" si="22"/>
        <v>150642.94771938518</v>
      </c>
      <c r="AX38" s="5">
        <f t="shared" si="22"/>
        <v>151478.34222319469</v>
      </c>
      <c r="AY38" s="5">
        <f t="shared" si="22"/>
        <v>152253.75195219682</v>
      </c>
      <c r="AZ38" s="5">
        <f t="shared" si="22"/>
        <v>152968.18271222551</v>
      </c>
      <c r="BA38" s="5">
        <f t="shared" si="22"/>
        <v>153620.71283282444</v>
      </c>
      <c r="BB38" s="5">
        <f t="shared" si="22"/>
        <v>154210.49514208996</v>
      </c>
      <c r="BC38" s="5">
        <f t="shared" si="22"/>
        <v>154736.75879356836</v>
      </c>
      <c r="BD38" s="5">
        <f t="shared" si="22"/>
        <v>155198.81093971056</v>
      </c>
      <c r="BE38" s="5">
        <f t="shared" si="22"/>
        <v>155596.03824681594</v>
      </c>
      <c r="BF38" s="5">
        <f t="shared" si="22"/>
        <v>155927.9082468437</v>
      </c>
      <c r="BG38" s="5">
        <f t="shared" si="22"/>
        <v>156193.97052193651</v>
      </c>
      <c r="BH38" s="5">
        <f t="shared" si="22"/>
        <v>156393.85771798153</v>
      </c>
      <c r="BI38" s="5">
        <f t="shared" si="22"/>
        <v>156527.28638403246</v>
      </c>
      <c r="BJ38" s="5">
        <f t="shared" si="22"/>
        <v>156594.05763492279</v>
      </c>
    </row>
    <row r="39" spans="2:62">
      <c r="B39" t="s">
        <v>256</v>
      </c>
      <c r="O39" s="5">
        <f>SUMIFS(Tabela1[ES026 - População urbana atendida com esgotamento sanitário],Tabela1[Ano de Referência],'Valuation (FCF)'!O$2)</f>
        <v>101626</v>
      </c>
      <c r="P39" s="5">
        <f>SUMIFS(Tabela1[ES026 - População urbana atendida com esgotamento sanitário],Tabela1[Ano de Referência],'Valuation (FCF)'!P$2)</f>
        <v>103367</v>
      </c>
      <c r="Q39" s="5">
        <f>SUMIFS(Tabela1[ES026 - População urbana atendida com esgotamento sanitário],Tabela1[Ano de Referência],'Valuation (FCF)'!Q$2)</f>
        <v>104871</v>
      </c>
      <c r="R39" s="5">
        <f>SUMIFS(Tabela1[ES026 - População urbana atendida com esgotamento sanitário],Tabela1[Ano de Referência],'Valuation (FCF)'!R$2)</f>
        <v>107492</v>
      </c>
      <c r="S39" s="5">
        <f>SUMIFS(Tabela1[ES026 - População urbana atendida com esgotamento sanitário],Tabela1[Ano de Referência],'Valuation (FCF)'!S$2)</f>
        <v>102280</v>
      </c>
      <c r="T39" s="5">
        <f>SUMIFS(Tabela1[ES026 - População urbana atendida com esgotamento sanitário],Tabela1[Ano de Referência],'Valuation (FCF)'!T$2)</f>
        <v>103963</v>
      </c>
      <c r="U39" s="5">
        <f>SUMIFS(Tabela1[ES026 - População urbana atendida com esgotamento sanitário],Tabela1[Ano de Referência],'Valuation (FCF)'!U$2)</f>
        <v>105603</v>
      </c>
      <c r="V39" s="5">
        <f>SUMIFS(Tabela1[ES026 - População urbana atendida com esgotamento sanitário],Tabela1[Ano de Referência],'Valuation (FCF)'!V$2)</f>
        <v>107209</v>
      </c>
      <c r="W39" s="5">
        <f>SUMIFS(Tabela1[ES026 - População urbana atendida com esgotamento sanitário],Tabela1[Ano de Referência],'Valuation (FCF)'!W$2)</f>
        <v>113883</v>
      </c>
      <c r="X39" s="5">
        <f>SUMIFS(Tabela1[ES026 - População urbana atendida com esgotamento sanitário],Tabela1[Ano de Referência],'Valuation (FCF)'!X$2)</f>
        <v>115737</v>
      </c>
      <c r="Y39" s="5">
        <f>SUMIFS(Tabela1[ES026 - População urbana atendida com esgotamento sanitário],Tabela1[Ano de Referência],'Valuation (FCF)'!Y$2)</f>
        <v>118089</v>
      </c>
      <c r="Z39" s="5">
        <f>SUMIFS(Tabela1[ES026 - População urbana atendida com esgotamento sanitário],Tabela1[Ano de Referência],'Valuation (FCF)'!Z$2)</f>
        <v>119883</v>
      </c>
      <c r="AA39" s="5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</row>
    <row r="40" spans="2:62">
      <c r="B40" t="s">
        <v>257</v>
      </c>
      <c r="O40" s="5">
        <f t="shared" ref="O40" si="23">O38-O39</f>
        <v>0</v>
      </c>
      <c r="P40" s="5">
        <f t="shared" ref="P40" si="24">P38-P39</f>
        <v>5255</v>
      </c>
      <c r="Q40" s="5">
        <f t="shared" ref="Q40" si="25">Q38-Q39</f>
        <v>5225</v>
      </c>
      <c r="R40" s="5">
        <f t="shared" ref="R40" si="26">R38-R39</f>
        <v>5356</v>
      </c>
      <c r="S40" s="5">
        <f t="shared" ref="S40" si="27">S38-S39</f>
        <v>0</v>
      </c>
      <c r="T40" s="5">
        <f t="shared" ref="T40" si="28">T38-T39</f>
        <v>0</v>
      </c>
      <c r="U40" s="5">
        <f t="shared" ref="U40" si="29">U38-U39</f>
        <v>0</v>
      </c>
      <c r="V40" s="5">
        <f t="shared" ref="V40" si="30">V38-V39</f>
        <v>0</v>
      </c>
      <c r="W40" s="5">
        <f t="shared" ref="W40" si="31">W38-W39</f>
        <v>0</v>
      </c>
      <c r="X40" s="5">
        <f t="shared" ref="X40" si="32">X38-X39</f>
        <v>0</v>
      </c>
      <c r="Y40" s="5">
        <f t="shared" ref="Y40" si="33">Y38-Y39</f>
        <v>0</v>
      </c>
      <c r="Z40" s="5">
        <f t="shared" ref="Z40" si="34">Z38-Z39</f>
        <v>0</v>
      </c>
      <c r="AA40" s="5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</row>
    <row r="42" spans="2:62">
      <c r="B42" t="s">
        <v>263</v>
      </c>
      <c r="J42" s="1"/>
      <c r="O42" s="5">
        <f>SUMIFS(Tabela1[ES002 - Quantidade de ligações ativas de esgotos],Tabela1[Ano de Referência],'Valuation (FCF)'!O$2)</f>
        <v>29855</v>
      </c>
      <c r="P42" s="5">
        <f>SUMIFS(Tabela1[ES002 - Quantidade de ligações ativas de esgotos],Tabela1[Ano de Referência],'Valuation (FCF)'!P$2)</f>
        <v>31539</v>
      </c>
      <c r="Q42" s="5">
        <f>SUMIFS(Tabela1[ES002 - Quantidade de ligações ativas de esgotos],Tabela1[Ano de Referência],'Valuation (FCF)'!Q$2)</f>
        <v>31973</v>
      </c>
      <c r="R42" s="5">
        <f>SUMIFS(Tabela1[ES002 - Quantidade de ligações ativas de esgotos],Tabela1[Ano de Referência],'Valuation (FCF)'!R$2)</f>
        <v>33718</v>
      </c>
      <c r="S42" s="5">
        <f>SUMIFS(Tabela1[ES002 - Quantidade de ligações ativas de esgotos],Tabela1[Ano de Referência],'Valuation (FCF)'!S$2)</f>
        <v>35425</v>
      </c>
      <c r="T42" s="5">
        <f>SUMIFS(Tabela1[ES002 - Quantidade de ligações ativas de esgotos],Tabela1[Ano de Referência],'Valuation (FCF)'!T$2)</f>
        <v>36894</v>
      </c>
      <c r="U42" s="5">
        <f>SUMIFS(Tabela1[ES002 - Quantidade de ligações ativas de esgotos],Tabela1[Ano de Referência],'Valuation (FCF)'!U$2)</f>
        <v>33727</v>
      </c>
      <c r="V42" s="5">
        <f>SUMIFS(Tabela1[ES002 - Quantidade de ligações ativas de esgotos],Tabela1[Ano de Referência],'Valuation (FCF)'!V$2)</f>
        <v>34619</v>
      </c>
      <c r="W42" s="5">
        <f>SUMIFS(Tabela1[ES002 - Quantidade de ligações ativas de esgotos],Tabela1[Ano de Referência],'Valuation (FCF)'!W$2)</f>
        <v>35349</v>
      </c>
      <c r="X42" s="5">
        <f>SUMIFS(Tabela1[ES002 - Quantidade de ligações ativas de esgotos],Tabela1[Ano de Referência],'Valuation (FCF)'!X$2)</f>
        <v>36272</v>
      </c>
      <c r="Y42" s="5">
        <f>SUMIFS(Tabela1[ES002 - Quantidade de ligações ativas de esgotos],Tabela1[Ano de Referência],'Valuation (FCF)'!Y$2)</f>
        <v>36933</v>
      </c>
      <c r="Z42" s="5">
        <f>SUMIFS(Tabela1[ES002 - Quantidade de ligações ativas de esgotos],Tabela1[Ano de Referência],'Valuation (FCF)'!Z$2)</f>
        <v>37587</v>
      </c>
      <c r="AA42" s="5"/>
      <c r="AB42" s="5">
        <f>AB38/AB46</f>
        <v>38146.826295183841</v>
      </c>
      <c r="AC42" s="5">
        <f t="shared" ref="AC42:BJ42" si="35">AC38/AC46</f>
        <v>38764.17335831446</v>
      </c>
      <c r="AD42" s="5">
        <f t="shared" si="35"/>
        <v>39375.06161291484</v>
      </c>
      <c r="AE42" s="5">
        <f t="shared" si="35"/>
        <v>39978.868368420313</v>
      </c>
      <c r="AF42" s="5">
        <f t="shared" si="35"/>
        <v>40574.969887324456</v>
      </c>
      <c r="AG42" s="5">
        <f t="shared" si="35"/>
        <v>41162.742426724413</v>
      </c>
      <c r="AH42" s="5">
        <f t="shared" si="35"/>
        <v>41743.418559730904</v>
      </c>
      <c r="AI42" s="5">
        <f t="shared" si="35"/>
        <v>42314.573228388836</v>
      </c>
      <c r="AJ42" s="5">
        <f t="shared" si="35"/>
        <v>42875.587726836151</v>
      </c>
      <c r="AK42" s="5">
        <f t="shared" si="35"/>
        <v>43425.847544295873</v>
      </c>
      <c r="AL42" s="5">
        <f t="shared" si="35"/>
        <v>43964.743466876629</v>
      </c>
      <c r="AM42" s="5">
        <f t="shared" si="35"/>
        <v>44491.672683626879</v>
      </c>
      <c r="AN42" s="5">
        <f t="shared" si="35"/>
        <v>45006.039894087633</v>
      </c>
      <c r="AO42" s="5">
        <f t="shared" si="35"/>
        <v>45507.258414544129</v>
      </c>
      <c r="AP42" s="5">
        <f t="shared" si="35"/>
        <v>45994.751280143901</v>
      </c>
      <c r="AQ42" s="5">
        <f t="shared" si="35"/>
        <v>46467.95234002253</v>
      </c>
      <c r="AR42" s="5">
        <f t="shared" si="35"/>
        <v>46926.30734256345</v>
      </c>
      <c r="AS42" s="5">
        <f t="shared" si="35"/>
        <v>47369.275007911448</v>
      </c>
      <c r="AT42" s="5">
        <f t="shared" si="35"/>
        <v>47796.32808486338</v>
      </c>
      <c r="AU42" s="5">
        <f t="shared" si="35"/>
        <v>48206.954389272745</v>
      </c>
      <c r="AV42" s="5">
        <f t="shared" si="35"/>
        <v>48600.657821128152</v>
      </c>
      <c r="AW42" s="5">
        <f t="shared" si="35"/>
        <v>48976.959357498577</v>
      </c>
      <c r="AX42" s="5">
        <f t="shared" si="35"/>
        <v>49335.398018581538</v>
      </c>
      <c r="AY42" s="5">
        <f t="shared" si="35"/>
        <v>49675.531804142971</v>
      </c>
      <c r="AZ42" s="5">
        <f t="shared" si="35"/>
        <v>49996.938597700071</v>
      </c>
      <c r="BA42" s="5">
        <f t="shared" si="35"/>
        <v>50299.217035870723</v>
      </c>
      <c r="BB42" s="5">
        <f t="shared" si="35"/>
        <v>50581.98734039416</v>
      </c>
      <c r="BC42" s="5">
        <f t="shared" si="35"/>
        <v>50844.89211041863</v>
      </c>
      <c r="BD42" s="5">
        <f t="shared" si="35"/>
        <v>51087.597072751087</v>
      </c>
      <c r="BE42" s="5">
        <f t="shared" si="35"/>
        <v>51309.791787872076</v>
      </c>
      <c r="BF42" s="5">
        <f t="shared" si="35"/>
        <v>51511.190309635494</v>
      </c>
      <c r="BG42" s="5">
        <f t="shared" si="35"/>
        <v>51691.53179669696</v>
      </c>
      <c r="BH42" s="5">
        <f t="shared" si="35"/>
        <v>51850.581073846115</v>
      </c>
      <c r="BI42" s="5">
        <f t="shared" si="35"/>
        <v>51988.129141557329</v>
      </c>
      <c r="BJ42" s="5">
        <f t="shared" si="35"/>
        <v>52103.993632217404</v>
      </c>
    </row>
    <row r="43" spans="2:62">
      <c r="B43" t="s">
        <v>264</v>
      </c>
      <c r="J43" s="1"/>
      <c r="O43" s="5">
        <f>SUMIFS(Tabela1[ES002 - Quantidade de ligações ativas de esgotos],Tabela1[Ano de Referência],'Valuation (FCF)'!O$2)</f>
        <v>29855</v>
      </c>
      <c r="P43" s="5">
        <f>SUMIFS(Tabela1[ES002 - Quantidade de ligações ativas de esgotos],Tabela1[Ano de Referência],'Valuation (FCF)'!P$2)</f>
        <v>31539</v>
      </c>
      <c r="Q43" s="5">
        <f>SUMIFS(Tabela1[ES002 - Quantidade de ligações ativas de esgotos],Tabela1[Ano de Referência],'Valuation (FCF)'!Q$2)</f>
        <v>31973</v>
      </c>
      <c r="R43" s="5">
        <f>SUMIFS(Tabela1[ES002 - Quantidade de ligações ativas de esgotos],Tabela1[Ano de Referência],'Valuation (FCF)'!R$2)</f>
        <v>33718</v>
      </c>
      <c r="S43" s="5">
        <f>SUMIFS(Tabela1[ES002 - Quantidade de ligações ativas de esgotos],Tabela1[Ano de Referência],'Valuation (FCF)'!S$2)</f>
        <v>35425</v>
      </c>
      <c r="T43" s="5">
        <f>SUMIFS(Tabela1[ES002 - Quantidade de ligações ativas de esgotos],Tabela1[Ano de Referência],'Valuation (FCF)'!T$2)</f>
        <v>36894</v>
      </c>
      <c r="U43" s="5">
        <f>SUMIFS(Tabela1[ES002 - Quantidade de ligações ativas de esgotos],Tabela1[Ano de Referência],'Valuation (FCF)'!U$2)</f>
        <v>33727</v>
      </c>
      <c r="V43" s="5">
        <f>SUMIFS(Tabela1[ES002 - Quantidade de ligações ativas de esgotos],Tabela1[Ano de Referência],'Valuation (FCF)'!V$2)</f>
        <v>34619</v>
      </c>
      <c r="W43" s="5">
        <f>SUMIFS(Tabela1[ES002 - Quantidade de ligações ativas de esgotos],Tabela1[Ano de Referência],'Valuation (FCF)'!W$2)</f>
        <v>35349</v>
      </c>
      <c r="X43" s="5">
        <f>SUMIFS(Tabela1[ES002 - Quantidade de ligações ativas de esgotos],Tabela1[Ano de Referência],'Valuation (FCF)'!X$2)</f>
        <v>36272</v>
      </c>
      <c r="Y43" s="5">
        <f>SUMIFS(Tabela1[ES002 - Quantidade de ligações ativas de esgotos],Tabela1[Ano de Referência],'Valuation (FCF)'!Y$2)</f>
        <v>36933</v>
      </c>
      <c r="Z43" s="5">
        <f>SUMIFS(Tabela1[ES002 - Quantidade de ligações ativas de esgotos],Tabela1[Ano de Referência],'Valuation (FCF)'!Z$2)</f>
        <v>37587</v>
      </c>
      <c r="AA43" s="5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</row>
    <row r="44" spans="2:62">
      <c r="B44" t="s">
        <v>265</v>
      </c>
      <c r="O44" s="1">
        <f>O42-O43</f>
        <v>0</v>
      </c>
      <c r="P44" s="1">
        <f t="shared" ref="P44" si="36">P42-P43</f>
        <v>0</v>
      </c>
      <c r="Q44" s="1">
        <f t="shared" ref="Q44" si="37">Q42-Q43</f>
        <v>0</v>
      </c>
      <c r="R44" s="1">
        <f t="shared" ref="R44" si="38">R42-R43</f>
        <v>0</v>
      </c>
      <c r="S44" s="1">
        <f t="shared" ref="S44" si="39">S42-S43</f>
        <v>0</v>
      </c>
      <c r="T44" s="1">
        <f t="shared" ref="T44" si="40">T42-T43</f>
        <v>0</v>
      </c>
      <c r="U44" s="1">
        <f t="shared" ref="U44" si="41">U42-U43</f>
        <v>0</v>
      </c>
      <c r="V44" s="1">
        <f t="shared" ref="V44" si="42">V42-V43</f>
        <v>0</v>
      </c>
      <c r="W44" s="1">
        <f t="shared" ref="W44" si="43">W42-W43</f>
        <v>0</v>
      </c>
      <c r="X44" s="1">
        <f t="shared" ref="X44" si="44">X42-X43</f>
        <v>0</v>
      </c>
      <c r="Y44" s="1">
        <f t="shared" ref="Y44" si="45">Y42-Y43</f>
        <v>0</v>
      </c>
      <c r="Z44" s="1">
        <f t="shared" ref="Z44" si="46">Z42-Z43</f>
        <v>0</v>
      </c>
      <c r="AA44" s="1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</row>
    <row r="45" spans="2:62"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2:62">
      <c r="B46" t="s">
        <v>291</v>
      </c>
      <c r="I46">
        <v>1</v>
      </c>
      <c r="J46">
        <v>35</v>
      </c>
      <c r="K46" s="11">
        <f t="shared" ref="K46" si="47">Z46</f>
        <v>3.1894804054593342</v>
      </c>
      <c r="L46" s="15">
        <v>3</v>
      </c>
      <c r="O46" s="8">
        <f>O38/O43</f>
        <v>3.4039859320046895</v>
      </c>
      <c r="P46" s="8">
        <f t="shared" ref="P46:Z46" si="48">P38/P43</f>
        <v>3.4440533942103428</v>
      </c>
      <c r="Q46" s="8">
        <f t="shared" si="48"/>
        <v>3.4434053732837082</v>
      </c>
      <c r="R46" s="8">
        <f t="shared" si="48"/>
        <v>3.3468177234711431</v>
      </c>
      <c r="S46" s="8">
        <f t="shared" si="48"/>
        <v>2.8872265349329571</v>
      </c>
      <c r="T46" s="8">
        <f t="shared" si="48"/>
        <v>2.817883666720876</v>
      </c>
      <c r="U46" s="8">
        <f t="shared" si="48"/>
        <v>3.1311115723307736</v>
      </c>
      <c r="V46" s="8">
        <f t="shared" si="48"/>
        <v>3.0968254426759874</v>
      </c>
      <c r="W46" s="8">
        <f t="shared" si="48"/>
        <v>3.2216752949164049</v>
      </c>
      <c r="X46" s="8">
        <f t="shared" si="48"/>
        <v>3.1908083370092633</v>
      </c>
      <c r="Y46" s="8">
        <f t="shared" si="48"/>
        <v>3.1973844529282753</v>
      </c>
      <c r="Z46" s="8">
        <f t="shared" si="48"/>
        <v>3.1894804054593342</v>
      </c>
      <c r="AA46" s="5"/>
      <c r="AB46" s="15">
        <f t="shared" ref="AB46:BJ46" si="49">IF(AND($I46&lt;AB$3,AB$3&lt;=$J46),AA46+($L46-$K46)/($J46-$I46+1),IF($I46&gt;=AB$3,$K46,$L46))</f>
        <v>3.1894804054593342</v>
      </c>
      <c r="AC46" s="15">
        <f t="shared" si="49"/>
        <v>3.1840666795890673</v>
      </c>
      <c r="AD46" s="15">
        <f t="shared" si="49"/>
        <v>3.1786529537188004</v>
      </c>
      <c r="AE46" s="15">
        <f t="shared" si="49"/>
        <v>3.1732392278485335</v>
      </c>
      <c r="AF46" s="15">
        <f t="shared" si="49"/>
        <v>3.1678255019782666</v>
      </c>
      <c r="AG46" s="15">
        <f t="shared" si="49"/>
        <v>3.1624117761079997</v>
      </c>
      <c r="AH46" s="15">
        <f t="shared" si="49"/>
        <v>3.1569980502377328</v>
      </c>
      <c r="AI46" s="15">
        <f t="shared" si="49"/>
        <v>3.1515843243674659</v>
      </c>
      <c r="AJ46" s="15">
        <f t="shared" si="49"/>
        <v>3.146170598497199</v>
      </c>
      <c r="AK46" s="15">
        <f t="shared" si="49"/>
        <v>3.1407568726269322</v>
      </c>
      <c r="AL46" s="15">
        <f t="shared" si="49"/>
        <v>3.1353431467566653</v>
      </c>
      <c r="AM46" s="15">
        <f t="shared" si="49"/>
        <v>3.1299294208863984</v>
      </c>
      <c r="AN46" s="15">
        <f t="shared" si="49"/>
        <v>3.1245156950161315</v>
      </c>
      <c r="AO46" s="15">
        <f t="shared" si="49"/>
        <v>3.1191019691458646</v>
      </c>
      <c r="AP46" s="15">
        <f t="shared" si="49"/>
        <v>3.1136882432755977</v>
      </c>
      <c r="AQ46" s="15">
        <f t="shared" si="49"/>
        <v>3.1082745174053308</v>
      </c>
      <c r="AR46" s="15">
        <f t="shared" si="49"/>
        <v>3.1028607915350639</v>
      </c>
      <c r="AS46" s="15">
        <f t="shared" si="49"/>
        <v>3.097447065664797</v>
      </c>
      <c r="AT46" s="15">
        <f t="shared" si="49"/>
        <v>3.0920333397945301</v>
      </c>
      <c r="AU46" s="15">
        <f t="shared" si="49"/>
        <v>3.0866196139242632</v>
      </c>
      <c r="AV46" s="15">
        <f t="shared" si="49"/>
        <v>3.0812058880539963</v>
      </c>
      <c r="AW46" s="15">
        <f t="shared" si="49"/>
        <v>3.0757921621837294</v>
      </c>
      <c r="AX46" s="15">
        <f t="shared" si="49"/>
        <v>3.0703784363134625</v>
      </c>
      <c r="AY46" s="15">
        <f t="shared" si="49"/>
        <v>3.0649647104431956</v>
      </c>
      <c r="AZ46" s="15">
        <f t="shared" si="49"/>
        <v>3.0595509845729287</v>
      </c>
      <c r="BA46" s="15">
        <f t="shared" si="49"/>
        <v>3.0541372587026618</v>
      </c>
      <c r="BB46" s="15">
        <f t="shared" si="49"/>
        <v>3.0487235328323949</v>
      </c>
      <c r="BC46" s="15">
        <f t="shared" si="49"/>
        <v>3.0433098069621281</v>
      </c>
      <c r="BD46" s="15">
        <f t="shared" si="49"/>
        <v>3.0378960810918612</v>
      </c>
      <c r="BE46" s="15">
        <f t="shared" si="49"/>
        <v>3.0324823552215943</v>
      </c>
      <c r="BF46" s="15">
        <f t="shared" si="49"/>
        <v>3.0270686293513274</v>
      </c>
      <c r="BG46" s="15">
        <f t="shared" si="49"/>
        <v>3.0216549034810605</v>
      </c>
      <c r="BH46" s="15">
        <f t="shared" si="49"/>
        <v>3.0162411776107936</v>
      </c>
      <c r="BI46" s="15">
        <f t="shared" si="49"/>
        <v>3.0108274517405267</v>
      </c>
      <c r="BJ46" s="15">
        <f t="shared" si="49"/>
        <v>3.0054137258702598</v>
      </c>
    </row>
    <row r="47" spans="2:62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2:62" s="9" customFormat="1">
      <c r="B48" s="9" t="s">
        <v>269</v>
      </c>
      <c r="K48" s="45"/>
    </row>
    <row r="50" spans="2:62">
      <c r="B50" t="s">
        <v>266</v>
      </c>
      <c r="I50">
        <v>1</v>
      </c>
      <c r="J50">
        <v>5</v>
      </c>
      <c r="K50" s="5">
        <f t="shared" ref="K50:K53" si="50">Z50</f>
        <v>163.53</v>
      </c>
      <c r="L50" s="15">
        <f>AVERAGE(O50:Z50)</f>
        <v>182.95333333333335</v>
      </c>
      <c r="O50" s="5">
        <f>SUMIFS(Tabela1[IN022 - Consumo médio percapita de água],Tabela1[Ano de Referência],'Valuation (FCF)'!O$2)</f>
        <v>187</v>
      </c>
      <c r="P50" s="7">
        <f>SUMIFS(Tabela1[IN022 - Consumo médio percapita de água],Tabela1[Ano de Referência],'Valuation (FCF)'!P$2)</f>
        <v>180.1</v>
      </c>
      <c r="Q50" s="7">
        <f>SUMIFS(Tabela1[IN022 - Consumo médio percapita de água],Tabela1[Ano de Referência],'Valuation (FCF)'!Q$2)</f>
        <v>202.9</v>
      </c>
      <c r="R50" s="7">
        <f>SUMIFS(Tabela1[IN022 - Consumo médio percapita de água],Tabela1[Ano de Referência],'Valuation (FCF)'!R$2)</f>
        <v>194.22</v>
      </c>
      <c r="S50" s="7">
        <f>SUMIFS(Tabela1[IN022 - Consumo médio percapita de água],Tabela1[Ano de Referência],'Valuation (FCF)'!S$2)</f>
        <v>182.64</v>
      </c>
      <c r="T50" s="7">
        <f>SUMIFS(Tabela1[IN022 - Consumo médio percapita de água],Tabela1[Ano de Referência],'Valuation (FCF)'!T$2)</f>
        <v>173.78</v>
      </c>
      <c r="U50" s="7">
        <f>SUMIFS(Tabela1[IN022 - Consumo médio percapita de água],Tabela1[Ano de Referência],'Valuation (FCF)'!U$2)</f>
        <v>191.6</v>
      </c>
      <c r="V50" s="7">
        <f>SUMIFS(Tabela1[IN022 - Consumo médio percapita de água],Tabela1[Ano de Referência],'Valuation (FCF)'!V$2)</f>
        <v>185.32</v>
      </c>
      <c r="W50" s="7">
        <f>SUMIFS(Tabela1[IN022 - Consumo médio percapita de água],Tabela1[Ano de Referência],'Valuation (FCF)'!W$2)</f>
        <v>178.3</v>
      </c>
      <c r="X50" s="7">
        <f>SUMIFS(Tabela1[IN022 - Consumo médio percapita de água],Tabela1[Ano de Referência],'Valuation (FCF)'!X$2)</f>
        <v>176.58</v>
      </c>
      <c r="Y50" s="7">
        <f>SUMIFS(Tabela1[IN022 - Consumo médio percapita de água],Tabela1[Ano de Referência],'Valuation (FCF)'!Y$2)</f>
        <v>179.47</v>
      </c>
      <c r="Z50" s="7">
        <f>SUMIFS(Tabela1[IN022 - Consumo médio percapita de água],Tabela1[Ano de Referência],'Valuation (FCF)'!Z$2)</f>
        <v>163.53</v>
      </c>
      <c r="AA50" s="7"/>
      <c r="AB50" s="7">
        <f t="shared" ref="AB50:BJ50" si="51">IF(AND($I50&lt;AB$3,AB$3&lt;=$J50),AA50+($L50-$K50)/($J50-$I50+1),IF($I50&gt;=AB$3,$K50,$L50))</f>
        <v>163.53</v>
      </c>
      <c r="AC50" s="7">
        <f t="shared" si="51"/>
        <v>167.41466666666668</v>
      </c>
      <c r="AD50" s="7">
        <f t="shared" si="51"/>
        <v>171.29933333333335</v>
      </c>
      <c r="AE50" s="7">
        <f t="shared" si="51"/>
        <v>175.18400000000003</v>
      </c>
      <c r="AF50" s="7">
        <f t="shared" si="51"/>
        <v>179.0686666666667</v>
      </c>
      <c r="AG50" s="7">
        <f t="shared" si="51"/>
        <v>182.95333333333335</v>
      </c>
      <c r="AH50" s="7">
        <f t="shared" si="51"/>
        <v>182.95333333333335</v>
      </c>
      <c r="AI50" s="7">
        <f t="shared" si="51"/>
        <v>182.95333333333335</v>
      </c>
      <c r="AJ50" s="7">
        <f t="shared" si="51"/>
        <v>182.95333333333335</v>
      </c>
      <c r="AK50" s="7">
        <f t="shared" si="51"/>
        <v>182.95333333333335</v>
      </c>
      <c r="AL50" s="7">
        <f t="shared" si="51"/>
        <v>182.95333333333335</v>
      </c>
      <c r="AM50" s="7">
        <f t="shared" si="51"/>
        <v>182.95333333333335</v>
      </c>
      <c r="AN50" s="7">
        <f t="shared" si="51"/>
        <v>182.95333333333335</v>
      </c>
      <c r="AO50" s="7">
        <f t="shared" si="51"/>
        <v>182.95333333333335</v>
      </c>
      <c r="AP50" s="7">
        <f t="shared" si="51"/>
        <v>182.95333333333335</v>
      </c>
      <c r="AQ50" s="7">
        <f t="shared" si="51"/>
        <v>182.95333333333335</v>
      </c>
      <c r="AR50" s="7">
        <f t="shared" si="51"/>
        <v>182.95333333333335</v>
      </c>
      <c r="AS50" s="7">
        <f t="shared" si="51"/>
        <v>182.95333333333335</v>
      </c>
      <c r="AT50" s="7">
        <f t="shared" si="51"/>
        <v>182.95333333333335</v>
      </c>
      <c r="AU50" s="7">
        <f t="shared" si="51"/>
        <v>182.95333333333335</v>
      </c>
      <c r="AV50" s="7">
        <f t="shared" si="51"/>
        <v>182.95333333333335</v>
      </c>
      <c r="AW50" s="7">
        <f t="shared" si="51"/>
        <v>182.95333333333335</v>
      </c>
      <c r="AX50" s="7">
        <f t="shared" si="51"/>
        <v>182.95333333333335</v>
      </c>
      <c r="AY50" s="7">
        <f t="shared" si="51"/>
        <v>182.95333333333335</v>
      </c>
      <c r="AZ50" s="7">
        <f t="shared" si="51"/>
        <v>182.95333333333335</v>
      </c>
      <c r="BA50" s="7">
        <f t="shared" si="51"/>
        <v>182.95333333333335</v>
      </c>
      <c r="BB50" s="7">
        <f t="shared" si="51"/>
        <v>182.95333333333335</v>
      </c>
      <c r="BC50" s="7">
        <f t="shared" si="51"/>
        <v>182.95333333333335</v>
      </c>
      <c r="BD50" s="7">
        <f t="shared" si="51"/>
        <v>182.95333333333335</v>
      </c>
      <c r="BE50" s="7">
        <f t="shared" si="51"/>
        <v>182.95333333333335</v>
      </c>
      <c r="BF50" s="7">
        <f t="shared" si="51"/>
        <v>182.95333333333335</v>
      </c>
      <c r="BG50" s="7">
        <f t="shared" si="51"/>
        <v>182.95333333333335</v>
      </c>
      <c r="BH50" s="7">
        <f t="shared" si="51"/>
        <v>182.95333333333335</v>
      </c>
      <c r="BI50" s="7">
        <f t="shared" si="51"/>
        <v>182.95333333333335</v>
      </c>
      <c r="BJ50" s="7">
        <f t="shared" si="51"/>
        <v>182.95333333333335</v>
      </c>
    </row>
    <row r="51" spans="2:62">
      <c r="B51" t="s">
        <v>267</v>
      </c>
      <c r="I51">
        <v>1</v>
      </c>
      <c r="J51">
        <v>10</v>
      </c>
      <c r="K51" s="7">
        <f t="shared" si="50"/>
        <v>12.57</v>
      </c>
      <c r="L51" s="15">
        <f>L52*L84</f>
        <v>21.762332378876952</v>
      </c>
      <c r="O51" s="7">
        <f>SUMIFS(Tabela1[IN017 - Consumo de água faturado por economia],Tabela1[Ano de Referência],'Valuation (FCF)'!O$2)</f>
        <v>16.100000000000001</v>
      </c>
      <c r="P51" s="7">
        <f>SUMIFS(Tabela1[IN017 - Consumo de água faturado por economia],Tabela1[Ano de Referência],'Valuation (FCF)'!P$2)</f>
        <v>15.6</v>
      </c>
      <c r="Q51" s="7">
        <f>SUMIFS(Tabela1[IN017 - Consumo de água faturado por economia],Tabela1[Ano de Referência],'Valuation (FCF)'!Q$2)</f>
        <v>15.4</v>
      </c>
      <c r="R51" s="7">
        <f>SUMIFS(Tabela1[IN017 - Consumo de água faturado por economia],Tabela1[Ano de Referência],'Valuation (FCF)'!R$2)</f>
        <v>14.39</v>
      </c>
      <c r="S51" s="7">
        <f>SUMIFS(Tabela1[IN017 - Consumo de água faturado por economia],Tabela1[Ano de Referência],'Valuation (FCF)'!S$2)</f>
        <v>13.71</v>
      </c>
      <c r="T51" s="7">
        <f>SUMIFS(Tabela1[IN017 - Consumo de água faturado por economia],Tabela1[Ano de Referência],'Valuation (FCF)'!T$2)</f>
        <v>12.55</v>
      </c>
      <c r="U51" s="7">
        <f>SUMIFS(Tabela1[IN017 - Consumo de água faturado por economia],Tabela1[Ano de Referência],'Valuation (FCF)'!U$2)</f>
        <v>13.49</v>
      </c>
      <c r="V51" s="7">
        <f>SUMIFS(Tabela1[IN017 - Consumo de água faturado por economia],Tabela1[Ano de Referência],'Valuation (FCF)'!V$2)</f>
        <v>14.01</v>
      </c>
      <c r="W51" s="7">
        <f>SUMIFS(Tabela1[IN017 - Consumo de água faturado por economia],Tabela1[Ano de Referência],'Valuation (FCF)'!W$2)</f>
        <v>13.9</v>
      </c>
      <c r="X51" s="7">
        <f>SUMIFS(Tabela1[IN017 - Consumo de água faturado por economia],Tabela1[Ano de Referência],'Valuation (FCF)'!X$2)</f>
        <v>14.09</v>
      </c>
      <c r="Y51" s="7">
        <f>SUMIFS(Tabela1[IN017 - Consumo de água faturado por economia],Tabela1[Ano de Referência],'Valuation (FCF)'!Y$2)</f>
        <v>13.9</v>
      </c>
      <c r="Z51" s="7">
        <f>SUMIFS(Tabela1[IN017 - Consumo de água faturado por economia],Tabela1[Ano de Referência],'Valuation (FCF)'!Z$2)</f>
        <v>12.57</v>
      </c>
      <c r="AA51" s="7"/>
      <c r="AB51" s="7">
        <f t="shared" ref="AB51:BJ51" si="52">IF(AND($I51&lt;AB$3,AB$3&lt;=$J51),AA51+($L51-$K51)/($J51-$I51+1),IF($I51&gt;=AB$3,$K51,$L51))</f>
        <v>12.57</v>
      </c>
      <c r="AC51" s="7">
        <f t="shared" si="52"/>
        <v>13.489233237887696</v>
      </c>
      <c r="AD51" s="7">
        <f t="shared" si="52"/>
        <v>14.408466475775391</v>
      </c>
      <c r="AE51" s="7">
        <f t="shared" si="52"/>
        <v>15.327699713663087</v>
      </c>
      <c r="AF51" s="7">
        <f t="shared" si="52"/>
        <v>16.246932951550782</v>
      </c>
      <c r="AG51" s="7">
        <f t="shared" si="52"/>
        <v>17.166166189438478</v>
      </c>
      <c r="AH51" s="7">
        <f t="shared" si="52"/>
        <v>18.085399427326173</v>
      </c>
      <c r="AI51" s="7">
        <f t="shared" si="52"/>
        <v>19.004632665213869</v>
      </c>
      <c r="AJ51" s="7">
        <f t="shared" si="52"/>
        <v>19.923865903101564</v>
      </c>
      <c r="AK51" s="7">
        <f t="shared" si="52"/>
        <v>20.84309914098926</v>
      </c>
      <c r="AL51" s="7">
        <f t="shared" si="52"/>
        <v>21.762332378876952</v>
      </c>
      <c r="AM51" s="7">
        <f t="shared" si="52"/>
        <v>21.762332378876952</v>
      </c>
      <c r="AN51" s="7">
        <f t="shared" si="52"/>
        <v>21.762332378876952</v>
      </c>
      <c r="AO51" s="7">
        <f t="shared" si="52"/>
        <v>21.762332378876952</v>
      </c>
      <c r="AP51" s="7">
        <f t="shared" si="52"/>
        <v>21.762332378876952</v>
      </c>
      <c r="AQ51" s="7">
        <f t="shared" si="52"/>
        <v>21.762332378876952</v>
      </c>
      <c r="AR51" s="7">
        <f t="shared" si="52"/>
        <v>21.762332378876952</v>
      </c>
      <c r="AS51" s="7">
        <f t="shared" si="52"/>
        <v>21.762332378876952</v>
      </c>
      <c r="AT51" s="7">
        <f t="shared" si="52"/>
        <v>21.762332378876952</v>
      </c>
      <c r="AU51" s="7">
        <f t="shared" si="52"/>
        <v>21.762332378876952</v>
      </c>
      <c r="AV51" s="7">
        <f t="shared" si="52"/>
        <v>21.762332378876952</v>
      </c>
      <c r="AW51" s="7">
        <f t="shared" si="52"/>
        <v>21.762332378876952</v>
      </c>
      <c r="AX51" s="7">
        <f t="shared" si="52"/>
        <v>21.762332378876952</v>
      </c>
      <c r="AY51" s="7">
        <f t="shared" si="52"/>
        <v>21.762332378876952</v>
      </c>
      <c r="AZ51" s="7">
        <f t="shared" si="52"/>
        <v>21.762332378876952</v>
      </c>
      <c r="BA51" s="7">
        <f t="shared" si="52"/>
        <v>21.762332378876952</v>
      </c>
      <c r="BB51" s="7">
        <f t="shared" si="52"/>
        <v>21.762332378876952</v>
      </c>
      <c r="BC51" s="7">
        <f t="shared" si="52"/>
        <v>21.762332378876952</v>
      </c>
      <c r="BD51" s="7">
        <f t="shared" si="52"/>
        <v>21.762332378876952</v>
      </c>
      <c r="BE51" s="7">
        <f t="shared" si="52"/>
        <v>21.762332378876952</v>
      </c>
      <c r="BF51" s="7">
        <f t="shared" si="52"/>
        <v>21.762332378876952</v>
      </c>
      <c r="BG51" s="7">
        <f t="shared" si="52"/>
        <v>21.762332378876952</v>
      </c>
      <c r="BH51" s="7">
        <f t="shared" si="52"/>
        <v>21.762332378876952</v>
      </c>
      <c r="BI51" s="7">
        <f t="shared" si="52"/>
        <v>21.762332378876952</v>
      </c>
      <c r="BJ51" s="7">
        <f t="shared" si="52"/>
        <v>21.762332378876952</v>
      </c>
    </row>
    <row r="52" spans="2:62">
      <c r="B52" t="s">
        <v>268</v>
      </c>
      <c r="I52">
        <v>1</v>
      </c>
      <c r="J52">
        <v>10</v>
      </c>
      <c r="K52" s="7">
        <f t="shared" si="50"/>
        <v>10.72</v>
      </c>
      <c r="L52" s="15">
        <f>L50*AB34*30/1000</f>
        <v>17.409865903101561</v>
      </c>
      <c r="O52" s="7">
        <f>SUMIFS(Tabela1[IN053 - Consumo médio de água por economia],Tabela1[Ano de Referência],'Valuation (FCF)'!O$2)</f>
        <v>14.7</v>
      </c>
      <c r="P52" s="7">
        <f>SUMIFS(Tabela1[IN053 - Consumo médio de água por economia],Tabela1[Ano de Referência],'Valuation (FCF)'!P$2)</f>
        <v>14</v>
      </c>
      <c r="Q52" s="7">
        <f>SUMIFS(Tabela1[IN053 - Consumo médio de água por economia],Tabela1[Ano de Referência],'Valuation (FCF)'!Q$2)</f>
        <v>15.4</v>
      </c>
      <c r="R52" s="7">
        <f>SUMIFS(Tabela1[IN053 - Consumo médio de água por economia],Tabela1[Ano de Referência],'Valuation (FCF)'!R$2)</f>
        <v>14.39</v>
      </c>
      <c r="S52" s="7">
        <f>SUMIFS(Tabela1[IN053 - Consumo médio de água por economia],Tabela1[Ano de Referência],'Valuation (FCF)'!S$2)</f>
        <v>12.63</v>
      </c>
      <c r="T52" s="7">
        <f>SUMIFS(Tabela1[IN053 - Consumo médio de água por economia],Tabela1[Ano de Referência],'Valuation (FCF)'!T$2)</f>
        <v>11.2</v>
      </c>
      <c r="U52" s="7">
        <f>SUMIFS(Tabela1[IN053 - Consumo médio de água por economia],Tabela1[Ano de Referência],'Valuation (FCF)'!U$2)</f>
        <v>12.2</v>
      </c>
      <c r="V52" s="7">
        <f>SUMIFS(Tabela1[IN053 - Consumo médio de água por economia],Tabela1[Ano de Referência],'Valuation (FCF)'!V$2)</f>
        <v>11.82</v>
      </c>
      <c r="W52" s="7">
        <f>SUMIFS(Tabela1[IN053 - Consumo médio de água por economia],Tabela1[Ano de Referência],'Valuation (FCF)'!W$2)</f>
        <v>11.73</v>
      </c>
      <c r="X52" s="7">
        <f>SUMIFS(Tabela1[IN053 - Consumo médio de água por economia],Tabela1[Ano de Referência],'Valuation (FCF)'!X$2)</f>
        <v>11.87</v>
      </c>
      <c r="Y52" s="7">
        <f>SUMIFS(Tabela1[IN053 - Consumo médio de água por economia],Tabela1[Ano de Referência],'Valuation (FCF)'!Y$2)</f>
        <v>11.89</v>
      </c>
      <c r="Z52" s="7">
        <f>SUMIFS(Tabela1[IN053 - Consumo médio de água por economia],Tabela1[Ano de Referência],'Valuation (FCF)'!Z$2)</f>
        <v>10.72</v>
      </c>
      <c r="AA52" s="7"/>
      <c r="AB52" s="7">
        <f t="shared" ref="AB52:BJ52" si="53">IF(AND($I52&lt;AB$3,AB$3&lt;=$J52),AA52+($L52-$K52)/($J52-$I52+1),IF($I52&gt;=AB$3,$K52,$L52))</f>
        <v>10.72</v>
      </c>
      <c r="AC52" s="7">
        <f t="shared" si="53"/>
        <v>11.388986590310157</v>
      </c>
      <c r="AD52" s="7">
        <f t="shared" si="53"/>
        <v>12.057973180620314</v>
      </c>
      <c r="AE52" s="7">
        <f t="shared" si="53"/>
        <v>12.72695977093047</v>
      </c>
      <c r="AF52" s="7">
        <f t="shared" si="53"/>
        <v>13.395946361240627</v>
      </c>
      <c r="AG52" s="7">
        <f t="shared" si="53"/>
        <v>14.064932951550784</v>
      </c>
      <c r="AH52" s="7">
        <f t="shared" si="53"/>
        <v>14.73391954186094</v>
      </c>
      <c r="AI52" s="7">
        <f t="shared" si="53"/>
        <v>15.402906132171097</v>
      </c>
      <c r="AJ52" s="7">
        <f t="shared" si="53"/>
        <v>16.071892722481252</v>
      </c>
      <c r="AK52" s="7">
        <f t="shared" si="53"/>
        <v>16.740879312791407</v>
      </c>
      <c r="AL52" s="7">
        <f t="shared" si="53"/>
        <v>17.409865903101561</v>
      </c>
      <c r="AM52" s="7">
        <f t="shared" si="53"/>
        <v>17.409865903101561</v>
      </c>
      <c r="AN52" s="7">
        <f t="shared" si="53"/>
        <v>17.409865903101561</v>
      </c>
      <c r="AO52" s="7">
        <f t="shared" si="53"/>
        <v>17.409865903101561</v>
      </c>
      <c r="AP52" s="7">
        <f t="shared" si="53"/>
        <v>17.409865903101561</v>
      </c>
      <c r="AQ52" s="7">
        <f t="shared" si="53"/>
        <v>17.409865903101561</v>
      </c>
      <c r="AR52" s="7">
        <f t="shared" si="53"/>
        <v>17.409865903101561</v>
      </c>
      <c r="AS52" s="7">
        <f t="shared" si="53"/>
        <v>17.409865903101561</v>
      </c>
      <c r="AT52" s="7">
        <f t="shared" si="53"/>
        <v>17.409865903101561</v>
      </c>
      <c r="AU52" s="7">
        <f t="shared" si="53"/>
        <v>17.409865903101561</v>
      </c>
      <c r="AV52" s="7">
        <f t="shared" si="53"/>
        <v>17.409865903101561</v>
      </c>
      <c r="AW52" s="7">
        <f t="shared" si="53"/>
        <v>17.409865903101561</v>
      </c>
      <c r="AX52" s="7">
        <f t="shared" si="53"/>
        <v>17.409865903101561</v>
      </c>
      <c r="AY52" s="7">
        <f t="shared" si="53"/>
        <v>17.409865903101561</v>
      </c>
      <c r="AZ52" s="7">
        <f t="shared" si="53"/>
        <v>17.409865903101561</v>
      </c>
      <c r="BA52" s="7">
        <f t="shared" si="53"/>
        <v>17.409865903101561</v>
      </c>
      <c r="BB52" s="7">
        <f t="shared" si="53"/>
        <v>17.409865903101561</v>
      </c>
      <c r="BC52" s="7">
        <f t="shared" si="53"/>
        <v>17.409865903101561</v>
      </c>
      <c r="BD52" s="7">
        <f t="shared" si="53"/>
        <v>17.409865903101561</v>
      </c>
      <c r="BE52" s="7">
        <f t="shared" si="53"/>
        <v>17.409865903101561</v>
      </c>
      <c r="BF52" s="7">
        <f t="shared" si="53"/>
        <v>17.409865903101561</v>
      </c>
      <c r="BG52" s="7">
        <f t="shared" si="53"/>
        <v>17.409865903101561</v>
      </c>
      <c r="BH52" s="7">
        <f t="shared" si="53"/>
        <v>17.409865903101561</v>
      </c>
      <c r="BI52" s="7">
        <f t="shared" si="53"/>
        <v>17.409865903101561</v>
      </c>
      <c r="BJ52" s="7">
        <f t="shared" si="53"/>
        <v>17.409865903101561</v>
      </c>
    </row>
    <row r="53" spans="2:62">
      <c r="B53" t="s">
        <v>270</v>
      </c>
      <c r="I53">
        <v>1</v>
      </c>
      <c r="J53">
        <v>35</v>
      </c>
      <c r="K53" s="8">
        <f t="shared" si="50"/>
        <v>1.47</v>
      </c>
      <c r="L53" s="15">
        <v>1.6</v>
      </c>
      <c r="O53" s="8">
        <f>SUMIFS(Tabela1[IN001 - Densidade de economias de água por ligação],Tabela1[Ano de Referência],'Valuation (FCF)'!O$2)</f>
        <v>1.41</v>
      </c>
      <c r="P53" s="8">
        <f>SUMIFS(Tabela1[IN001 - Densidade de economias de água por ligação],Tabela1[Ano de Referência],'Valuation (FCF)'!P$2)</f>
        <v>1.37</v>
      </c>
      <c r="Q53" s="8">
        <f>SUMIFS(Tabela1[IN001 - Densidade de economias de água por ligação],Tabela1[Ano de Referência],'Valuation (FCF)'!Q$2)</f>
        <v>1.36</v>
      </c>
      <c r="R53" s="8">
        <f>SUMIFS(Tabela1[IN001 - Densidade de economias de água por ligação],Tabela1[Ano de Referência],'Valuation (FCF)'!R$2)</f>
        <v>1.37</v>
      </c>
      <c r="S53" s="8">
        <f>SUMIFS(Tabela1[IN001 - Densidade de economias de água por ligação],Tabela1[Ano de Referência],'Valuation (FCF)'!S$2)</f>
        <v>1.39</v>
      </c>
      <c r="T53" s="8">
        <f>SUMIFS(Tabela1[IN001 - Densidade de economias de água por ligação],Tabela1[Ano de Referência],'Valuation (FCF)'!T$2)</f>
        <v>1.4</v>
      </c>
      <c r="U53" s="8">
        <f>SUMIFS(Tabela1[IN001 - Densidade de economias de água por ligação],Tabela1[Ano de Referência],'Valuation (FCF)'!U$2)</f>
        <v>1.43</v>
      </c>
      <c r="V53" s="8">
        <f>SUMIFS(Tabela1[IN001 - Densidade de economias de água por ligação],Tabela1[Ano de Referência],'Valuation (FCF)'!V$2)</f>
        <v>1.46</v>
      </c>
      <c r="W53" s="8">
        <f>SUMIFS(Tabela1[IN001 - Densidade de economias de água por ligação],Tabela1[Ano de Referência],'Valuation (FCF)'!W$2)</f>
        <v>1.44</v>
      </c>
      <c r="X53" s="8">
        <f>SUMIFS(Tabela1[IN001 - Densidade de economias de água por ligação],Tabela1[Ano de Referência],'Valuation (FCF)'!X$2)</f>
        <v>1.44</v>
      </c>
      <c r="Y53" s="8">
        <f>SUMIFS(Tabela1[IN001 - Densidade de economias de água por ligação],Tabela1[Ano de Referência],'Valuation (FCF)'!Y$2)</f>
        <v>1.46</v>
      </c>
      <c r="Z53" s="8">
        <f>SUMIFS(Tabela1[IN001 - Densidade de economias de água por ligação],Tabela1[Ano de Referência],'Valuation (FCF)'!Z$2)</f>
        <v>1.47</v>
      </c>
      <c r="AA53" s="8"/>
      <c r="AB53" s="8">
        <f t="shared" ref="AB53:BJ53" si="54">IF(AND($I53&lt;AB$3,AB$3&lt;=$J53),AA53+($L53-$K53)/($J53-$I53+1),IF($I53&gt;=AB$3,$K53,$L53))</f>
        <v>1.47</v>
      </c>
      <c r="AC53" s="8">
        <f t="shared" si="54"/>
        <v>1.4737142857142858</v>
      </c>
      <c r="AD53" s="8">
        <f t="shared" si="54"/>
        <v>1.4774285714285715</v>
      </c>
      <c r="AE53" s="8">
        <f t="shared" si="54"/>
        <v>1.4811428571428573</v>
      </c>
      <c r="AF53" s="8">
        <f t="shared" si="54"/>
        <v>1.4848571428571431</v>
      </c>
      <c r="AG53" s="8">
        <f t="shared" si="54"/>
        <v>1.4885714285714289</v>
      </c>
      <c r="AH53" s="8">
        <f t="shared" si="54"/>
        <v>1.4922857142857147</v>
      </c>
      <c r="AI53" s="8">
        <f t="shared" si="54"/>
        <v>1.4960000000000004</v>
      </c>
      <c r="AJ53" s="8">
        <f t="shared" si="54"/>
        <v>1.4997142857142862</v>
      </c>
      <c r="AK53" s="8">
        <f t="shared" si="54"/>
        <v>1.503428571428572</v>
      </c>
      <c r="AL53" s="8">
        <f t="shared" si="54"/>
        <v>1.5071428571428578</v>
      </c>
      <c r="AM53" s="8">
        <f t="shared" si="54"/>
        <v>1.5108571428571436</v>
      </c>
      <c r="AN53" s="8">
        <f t="shared" si="54"/>
        <v>1.5145714285714293</v>
      </c>
      <c r="AO53" s="8">
        <f t="shared" si="54"/>
        <v>1.5182857142857151</v>
      </c>
      <c r="AP53" s="8">
        <f t="shared" si="54"/>
        <v>1.5220000000000009</v>
      </c>
      <c r="AQ53" s="8">
        <f t="shared" si="54"/>
        <v>1.5257142857142867</v>
      </c>
      <c r="AR53" s="8">
        <f t="shared" si="54"/>
        <v>1.5294285714285725</v>
      </c>
      <c r="AS53" s="8">
        <f t="shared" si="54"/>
        <v>1.5331428571428583</v>
      </c>
      <c r="AT53" s="8">
        <f t="shared" si="54"/>
        <v>1.536857142857144</v>
      </c>
      <c r="AU53" s="8">
        <f t="shared" si="54"/>
        <v>1.5405714285714298</v>
      </c>
      <c r="AV53" s="8">
        <f t="shared" si="54"/>
        <v>1.5442857142857156</v>
      </c>
      <c r="AW53" s="8">
        <f t="shared" si="54"/>
        <v>1.5480000000000014</v>
      </c>
      <c r="AX53" s="8">
        <f t="shared" si="54"/>
        <v>1.5517142857142872</v>
      </c>
      <c r="AY53" s="8">
        <f t="shared" si="54"/>
        <v>1.5554285714285729</v>
      </c>
      <c r="AZ53" s="8">
        <f t="shared" si="54"/>
        <v>1.5591428571428587</v>
      </c>
      <c r="BA53" s="8">
        <f t="shared" si="54"/>
        <v>1.5628571428571445</v>
      </c>
      <c r="BB53" s="8">
        <f t="shared" si="54"/>
        <v>1.5665714285714303</v>
      </c>
      <c r="BC53" s="8">
        <f t="shared" si="54"/>
        <v>1.5702857142857161</v>
      </c>
      <c r="BD53" s="8">
        <f t="shared" si="54"/>
        <v>1.5740000000000018</v>
      </c>
      <c r="BE53" s="8">
        <f t="shared" si="54"/>
        <v>1.5777142857142876</v>
      </c>
      <c r="BF53" s="8">
        <f t="shared" si="54"/>
        <v>1.5814285714285734</v>
      </c>
      <c r="BG53" s="8">
        <f t="shared" si="54"/>
        <v>1.5851428571428592</v>
      </c>
      <c r="BH53" s="8">
        <f t="shared" si="54"/>
        <v>1.588857142857145</v>
      </c>
      <c r="BI53" s="8">
        <f t="shared" si="54"/>
        <v>1.5925714285714307</v>
      </c>
      <c r="BJ53" s="8">
        <f t="shared" si="54"/>
        <v>1.5962857142857165</v>
      </c>
    </row>
    <row r="55" spans="2:62">
      <c r="B55" t="s">
        <v>363</v>
      </c>
      <c r="O55" s="5">
        <f>SUMIFS(Tabela1[AG010 - Volume de água consumido],Tabela1[Ano de Referência],'Valuation (FCF)'!O$2)</f>
        <v>7122.76</v>
      </c>
      <c r="P55" s="5">
        <f>SUMIFS(Tabela1[AG010 - Volume de água consumido],Tabela1[Ano de Referência],'Valuation (FCF)'!P$2)</f>
        <v>7081.63</v>
      </c>
      <c r="Q55" s="5">
        <f>SUMIFS(Tabela1[AG010 - Volume de água consumido],Tabela1[Ano de Referência],'Valuation (FCF)'!Q$2)</f>
        <v>8100.27</v>
      </c>
      <c r="R55" s="5">
        <f>SUMIFS(Tabela1[AG010 - Volume de água consumido],Tabela1[Ano de Referência],'Valuation (FCF)'!R$2)</f>
        <v>7902.37</v>
      </c>
      <c r="S55" s="5">
        <f>SUMIFS(Tabela1[AG010 - Volume de água consumido],Tabela1[Ano de Referência],'Valuation (FCF)'!S$2)</f>
        <v>7320.53</v>
      </c>
      <c r="T55" s="5">
        <f>SUMIFS(Tabela1[AG010 - Volume de água consumido],Tabela1[Ano de Referência],'Valuation (FCF)'!T$2)</f>
        <v>6828.45</v>
      </c>
      <c r="U55" s="5">
        <f>SUMIFS(Tabela1[AG010 - Volume de água consumido],Tabela1[Ano de Referência],'Valuation (FCF)'!U$2)</f>
        <v>7650.33</v>
      </c>
      <c r="V55" s="5">
        <f>SUMIFS(Tabela1[AG010 - Volume de água consumido],Tabela1[Ano de Referência],'Valuation (FCF)'!V$2)</f>
        <v>7514.43</v>
      </c>
      <c r="W55" s="5">
        <f>SUMIFS(Tabela1[AG010 - Volume de água consumido],Tabela1[Ano de Referência],'Valuation (FCF)'!W$2)</f>
        <v>7493.33</v>
      </c>
      <c r="X55" s="5">
        <f>SUMIFS(Tabela1[AG010 - Volume de água consumido],Tabela1[Ano de Referência],'Valuation (FCF)'!X$2)</f>
        <v>7696.52</v>
      </c>
      <c r="Y55" s="5">
        <f>SUMIFS(Tabela1[AG010 - Volume de água consumido],Tabela1[Ano de Referência],'Valuation (FCF)'!Y$2)</f>
        <v>7985.84</v>
      </c>
      <c r="Z55" s="5">
        <f>SUMIFS(Tabela1[AG010 - Volume de água consumido],Tabela1[Ano de Referência],'Valuation (FCF)'!Z$2)</f>
        <v>7416.76</v>
      </c>
      <c r="AA55" s="5"/>
      <c r="AB55" s="5">
        <f>AB50*AB26*365/(1000*1000)</f>
        <v>7583.2870627965331</v>
      </c>
      <c r="AC55" s="5">
        <f t="shared" ref="AC55:BJ55" si="55">AC50*AC26*365/(1000*1000)</f>
        <v>7976.5719317409048</v>
      </c>
      <c r="AD55" s="5">
        <f t="shared" si="55"/>
        <v>8380.8780268576556</v>
      </c>
      <c r="AE55" s="5">
        <f t="shared" si="55"/>
        <v>8796.0830306072039</v>
      </c>
      <c r="AF55" s="5">
        <f t="shared" si="55"/>
        <v>9222.0411300676315</v>
      </c>
      <c r="AG55" s="5">
        <f t="shared" si="55"/>
        <v>9658.582675149597</v>
      </c>
      <c r="AH55" s="5">
        <f t="shared" si="55"/>
        <v>9778.0669784709717</v>
      </c>
      <c r="AI55" s="5">
        <f t="shared" si="55"/>
        <v>9894.8582792000288</v>
      </c>
      <c r="AJ55" s="5">
        <f t="shared" si="55"/>
        <v>10008.823621336784</v>
      </c>
      <c r="AK55" s="5">
        <f t="shared" si="55"/>
        <v>10119.832020594064</v>
      </c>
      <c r="AL55" s="5">
        <f t="shared" si="55"/>
        <v>10227.75471228973</v>
      </c>
      <c r="AM55" s="5">
        <f t="shared" si="55"/>
        <v>10332.465397571341</v>
      </c>
      <c r="AN55" s="5">
        <f t="shared" si="55"/>
        <v>10433.840487322421</v>
      </c>
      <c r="AO55" s="5">
        <f t="shared" si="55"/>
        <v>10531.759343098358</v>
      </c>
      <c r="AP55" s="5">
        <f t="shared" si="55"/>
        <v>10626.104514441073</v>
      </c>
      <c r="AQ55" s="5">
        <f t="shared" si="55"/>
        <v>10716.761971924889</v>
      </c>
      <c r="AR55" s="5">
        <f t="shared" si="55"/>
        <v>10803.621335291578</v>
      </c>
      <c r="AS55" s="5">
        <f t="shared" si="55"/>
        <v>10886.576096040446</v>
      </c>
      <c r="AT55" s="5">
        <f t="shared" si="55"/>
        <v>10965.523833849285</v>
      </c>
      <c r="AU55" s="5">
        <f t="shared" si="55"/>
        <v>11040.36642621445</v>
      </c>
      <c r="AV55" s="5">
        <f t="shared" si="55"/>
        <v>11111.010250712652</v>
      </c>
      <c r="AW55" s="5">
        <f t="shared" si="55"/>
        <v>11177.366379303903</v>
      </c>
      <c r="AX55" s="5">
        <f t="shared" si="55"/>
        <v>11239.350764113802</v>
      </c>
      <c r="AY55" s="5">
        <f t="shared" si="55"/>
        <v>11296.884414154149</v>
      </c>
      <c r="AZ55" s="5">
        <f t="shared" si="55"/>
        <v>11349.893562463969</v>
      </c>
      <c r="BA55" s="5">
        <f t="shared" si="55"/>
        <v>11398.309823177693</v>
      </c>
      <c r="BB55" s="5">
        <f t="shared" si="55"/>
        <v>11442.070338054051</v>
      </c>
      <c r="BC55" s="5">
        <f t="shared" si="55"/>
        <v>11481.117912027719</v>
      </c>
      <c r="BD55" s="5">
        <f t="shared" si="55"/>
        <v>11515.401137375884</v>
      </c>
      <c r="BE55" s="5">
        <f t="shared" si="55"/>
        <v>11544.874506123628</v>
      </c>
      <c r="BF55" s="5">
        <f t="shared" si="55"/>
        <v>11569.49851034532</v>
      </c>
      <c r="BG55" s="5">
        <f t="shared" si="55"/>
        <v>11589.239730053547</v>
      </c>
      <c r="BH55" s="5">
        <f t="shared" si="55"/>
        <v>11604.07090840309</v>
      </c>
      <c r="BI55" s="5">
        <f t="shared" si="55"/>
        <v>11613.97101397412</v>
      </c>
      <c r="BJ55" s="5">
        <f t="shared" si="55"/>
        <v>11618.925289936617</v>
      </c>
    </row>
    <row r="56" spans="2:62">
      <c r="B56" t="s">
        <v>364</v>
      </c>
      <c r="O56" s="5">
        <f>SUMIFS(Tabela1[AG006 - Volume de água produzido],Tabela1[Ano de Referência],'Valuation (FCF)'!O$2)</f>
        <v>10360</v>
      </c>
      <c r="P56" s="5">
        <f>SUMIFS(Tabela1[AG006 - Volume de água produzido],Tabela1[Ano de Referência],'Valuation (FCF)'!P$2)</f>
        <v>10708.59</v>
      </c>
      <c r="Q56" s="5">
        <f>SUMIFS(Tabela1[AG006 - Volume de água produzido],Tabela1[Ano de Referência],'Valuation (FCF)'!Q$2)</f>
        <v>12162.41</v>
      </c>
      <c r="R56" s="5">
        <f>SUMIFS(Tabela1[AG006 - Volume de água produzido],Tabela1[Ano de Referência],'Valuation (FCF)'!R$2)</f>
        <v>12310.75</v>
      </c>
      <c r="S56" s="5">
        <f>SUMIFS(Tabela1[AG006 - Volume de água produzido],Tabela1[Ano de Referência],'Valuation (FCF)'!S$2)</f>
        <v>11318.26</v>
      </c>
      <c r="T56" s="5">
        <f>SUMIFS(Tabela1[AG006 - Volume de água produzido],Tabela1[Ano de Referência],'Valuation (FCF)'!T$2)</f>
        <v>11349.58</v>
      </c>
      <c r="U56" s="5">
        <f>SUMIFS(Tabela1[AG006 - Volume de água produzido],Tabela1[Ano de Referência],'Valuation (FCF)'!U$2)</f>
        <v>12306.48</v>
      </c>
      <c r="V56" s="5">
        <f>SUMIFS(Tabela1[AG006 - Volume de água produzido],Tabela1[Ano de Referência],'Valuation (FCF)'!V$2)</f>
        <v>12039.63</v>
      </c>
      <c r="W56" s="5">
        <f>SUMIFS(Tabela1[AG006 - Volume de água produzido],Tabela1[Ano de Referência],'Valuation (FCF)'!W$2)</f>
        <v>11941.56</v>
      </c>
      <c r="X56" s="5">
        <f>SUMIFS(Tabela1[AG006 - Volume de água produzido],Tabela1[Ano de Referência],'Valuation (FCF)'!X$2)</f>
        <v>12373.99</v>
      </c>
      <c r="Y56" s="5">
        <f>SUMIFS(Tabela1[AG006 - Volume de água produzido],Tabela1[Ano de Referência],'Valuation (FCF)'!Y$2)</f>
        <v>12930.38</v>
      </c>
      <c r="Z56" s="5">
        <f>SUMIFS(Tabela1[AG006 - Volume de água produzido],Tabela1[Ano de Referência],'Valuation (FCF)'!Z$2)</f>
        <v>12586.83</v>
      </c>
      <c r="AA56" s="5"/>
      <c r="AB56" s="5">
        <f>AB55/(1-AB13)</f>
        <v>12511.61039893835</v>
      </c>
      <c r="AC56" s="5">
        <f t="shared" ref="AC56:BJ56" si="56">AC55/(1-AC13)</f>
        <v>12563.904882404398</v>
      </c>
      <c r="AD56" s="5">
        <f t="shared" si="56"/>
        <v>12628.270540423795</v>
      </c>
      <c r="AE56" s="5">
        <f t="shared" si="56"/>
        <v>12703.025577100114</v>
      </c>
      <c r="AF56" s="5">
        <f t="shared" si="56"/>
        <v>12786.724064872897</v>
      </c>
      <c r="AG56" s="5">
        <f t="shared" si="56"/>
        <v>12878.110233532796</v>
      </c>
      <c r="AH56" s="5">
        <f t="shared" si="56"/>
        <v>13037.422637961296</v>
      </c>
      <c r="AI56" s="5">
        <f t="shared" si="56"/>
        <v>13193.144372266705</v>
      </c>
      <c r="AJ56" s="5">
        <f t="shared" si="56"/>
        <v>13345.098161782378</v>
      </c>
      <c r="AK56" s="5">
        <f t="shared" si="56"/>
        <v>13493.109360792085</v>
      </c>
      <c r="AL56" s="5">
        <f t="shared" si="56"/>
        <v>13637.006283052973</v>
      </c>
      <c r="AM56" s="5">
        <f t="shared" si="56"/>
        <v>13776.620530095121</v>
      </c>
      <c r="AN56" s="5">
        <f t="shared" si="56"/>
        <v>13911.787316429894</v>
      </c>
      <c r="AO56" s="5">
        <f t="shared" si="56"/>
        <v>14042.34579079781</v>
      </c>
      <c r="AP56" s="5">
        <f t="shared" si="56"/>
        <v>14168.139352588098</v>
      </c>
      <c r="AQ56" s="5">
        <f t="shared" si="56"/>
        <v>14289.015962566518</v>
      </c>
      <c r="AR56" s="5">
        <f t="shared" si="56"/>
        <v>14404.828447055437</v>
      </c>
      <c r="AS56" s="5">
        <f t="shared" si="56"/>
        <v>14515.434794720595</v>
      </c>
      <c r="AT56" s="5">
        <f t="shared" si="56"/>
        <v>14620.698445132381</v>
      </c>
      <c r="AU56" s="5">
        <f t="shared" si="56"/>
        <v>14720.488568285933</v>
      </c>
      <c r="AV56" s="5">
        <f t="shared" si="56"/>
        <v>14814.680334283536</v>
      </c>
      <c r="AW56" s="5">
        <f t="shared" si="56"/>
        <v>14903.155172405204</v>
      </c>
      <c r="AX56" s="5">
        <f t="shared" si="56"/>
        <v>14985.801018818403</v>
      </c>
      <c r="AY56" s="5">
        <f t="shared" si="56"/>
        <v>15062.512552205531</v>
      </c>
      <c r="AZ56" s="5">
        <f t="shared" si="56"/>
        <v>15133.191416618625</v>
      </c>
      <c r="BA56" s="5">
        <f t="shared" si="56"/>
        <v>15197.746430903591</v>
      </c>
      <c r="BB56" s="5">
        <f t="shared" si="56"/>
        <v>15256.093784072067</v>
      </c>
      <c r="BC56" s="5">
        <f t="shared" si="56"/>
        <v>15308.15721603696</v>
      </c>
      <c r="BD56" s="5">
        <f t="shared" si="56"/>
        <v>15353.868183167846</v>
      </c>
      <c r="BE56" s="5">
        <f t="shared" si="56"/>
        <v>15393.166008164837</v>
      </c>
      <c r="BF56" s="5">
        <f t="shared" si="56"/>
        <v>15425.99801379376</v>
      </c>
      <c r="BG56" s="5">
        <f t="shared" si="56"/>
        <v>15452.319640071395</v>
      </c>
      <c r="BH56" s="5">
        <f t="shared" si="56"/>
        <v>15472.094544537453</v>
      </c>
      <c r="BI56" s="5">
        <f t="shared" si="56"/>
        <v>15485.294685298826</v>
      </c>
      <c r="BJ56" s="5">
        <f t="shared" si="56"/>
        <v>15491.900386582156</v>
      </c>
    </row>
    <row r="57" spans="2:62">
      <c r="B57" t="s">
        <v>365</v>
      </c>
      <c r="O57" s="5">
        <f>SUMIFS(Tabela1[ES005 - Volume de esgotos coletado],Tabela1[Ano de Referência],'Valuation (FCF)'!O$2)</f>
        <v>7122.76</v>
      </c>
      <c r="P57" s="5">
        <f>SUMIFS(Tabela1[ES005 - Volume de esgotos coletado],Tabela1[Ano de Referência],'Valuation (FCF)'!P$2)</f>
        <v>7230.46</v>
      </c>
      <c r="Q57" s="5">
        <f>SUMIFS(Tabela1[ES005 - Volume de esgotos coletado],Tabela1[Ano de Referência],'Valuation (FCF)'!Q$2)</f>
        <v>7298.3</v>
      </c>
      <c r="R57" s="5">
        <f>SUMIFS(Tabela1[ES005 - Volume de esgotos coletado],Tabela1[Ano de Referência],'Valuation (FCF)'!R$2)</f>
        <v>6639.5</v>
      </c>
      <c r="S57" s="5">
        <f>SUMIFS(Tabela1[ES005 - Volume de esgotos coletado],Tabela1[Ano de Referência],'Valuation (FCF)'!S$2)</f>
        <v>5470.75</v>
      </c>
      <c r="T57" s="5">
        <f>SUMIFS(Tabela1[ES005 - Volume de esgotos coletado],Tabela1[Ano de Referência],'Valuation (FCF)'!T$2)</f>
        <v>5764.08</v>
      </c>
      <c r="U57" s="5">
        <f>SUMIFS(Tabela1[ES005 - Volume de esgotos coletado],Tabela1[Ano de Referência],'Valuation (FCF)'!U$2)</f>
        <v>7650.33</v>
      </c>
      <c r="V57" s="5">
        <f>SUMIFS(Tabela1[ES005 - Volume de esgotos coletado],Tabela1[Ano de Referência],'Valuation (FCF)'!V$2)</f>
        <v>7688.71</v>
      </c>
      <c r="W57" s="5">
        <f>SUMIFS(Tabela1[ES005 - Volume de esgotos coletado],Tabela1[Ano de Referência],'Valuation (FCF)'!W$2)</f>
        <v>7519.23</v>
      </c>
      <c r="X57" s="5">
        <f>SUMIFS(Tabela1[ES005 - Volume de esgotos coletado],Tabela1[Ano de Referência],'Valuation (FCF)'!X$2)</f>
        <v>7104.35</v>
      </c>
      <c r="Y57" s="5">
        <f>SUMIFS(Tabela1[ES005 - Volume de esgotos coletado],Tabela1[Ano de Referência],'Valuation (FCF)'!Y$2)</f>
        <v>6673.86</v>
      </c>
      <c r="Z57" s="5">
        <f>SUMIFS(Tabela1[ES005 - Volume de esgotos coletado],Tabela1[Ano de Referência],'Valuation (FCF)'!Z$2)</f>
        <v>6500.66</v>
      </c>
      <c r="AA57" s="5"/>
      <c r="AB57" s="5">
        <f>AB55*AB59</f>
        <v>6445.7940033770528</v>
      </c>
      <c r="AC57" s="5">
        <f t="shared" ref="AC57:BJ57" si="57">AC55*AC59</f>
        <v>6780.0861419797693</v>
      </c>
      <c r="AD57" s="5">
        <f t="shared" si="57"/>
        <v>7123.7463228290071</v>
      </c>
      <c r="AE57" s="5">
        <f t="shared" si="57"/>
        <v>7476.6705760161231</v>
      </c>
      <c r="AF57" s="5">
        <f t="shared" si="57"/>
        <v>7838.7349605574864</v>
      </c>
      <c r="AG57" s="5">
        <f t="shared" si="57"/>
        <v>8209.7952738771564</v>
      </c>
      <c r="AH57" s="5">
        <f t="shared" si="57"/>
        <v>8311.3569317003257</v>
      </c>
      <c r="AI57" s="5">
        <f t="shared" si="57"/>
        <v>8410.6295373200246</v>
      </c>
      <c r="AJ57" s="5">
        <f t="shared" si="57"/>
        <v>8507.5000781362651</v>
      </c>
      <c r="AK57" s="5">
        <f t="shared" si="57"/>
        <v>8601.857217504954</v>
      </c>
      <c r="AL57" s="5">
        <f t="shared" si="57"/>
        <v>8693.5915054462712</v>
      </c>
      <c r="AM57" s="5">
        <f t="shared" si="57"/>
        <v>8782.5955879356388</v>
      </c>
      <c r="AN57" s="5">
        <f t="shared" si="57"/>
        <v>8868.764414224057</v>
      </c>
      <c r="AO57" s="5">
        <f t="shared" si="57"/>
        <v>8951.9954416336041</v>
      </c>
      <c r="AP57" s="5">
        <f t="shared" si="57"/>
        <v>9032.1888372749108</v>
      </c>
      <c r="AQ57" s="5">
        <f t="shared" si="57"/>
        <v>9109.2476761361559</v>
      </c>
      <c r="AR57" s="5">
        <f t="shared" si="57"/>
        <v>9183.0781349978406</v>
      </c>
      <c r="AS57" s="5">
        <f t="shared" si="57"/>
        <v>9253.5896816343793</v>
      </c>
      <c r="AT57" s="5">
        <f t="shared" si="57"/>
        <v>9320.6952587718915</v>
      </c>
      <c r="AU57" s="5">
        <f t="shared" si="57"/>
        <v>9384.3114622822832</v>
      </c>
      <c r="AV57" s="5">
        <f t="shared" si="57"/>
        <v>9444.3587131057538</v>
      </c>
      <c r="AW57" s="5">
        <f t="shared" si="57"/>
        <v>9500.7614224083172</v>
      </c>
      <c r="AX57" s="5">
        <f t="shared" si="57"/>
        <v>9553.4481494967313</v>
      </c>
      <c r="AY57" s="5">
        <f t="shared" si="57"/>
        <v>9602.3517520310252</v>
      </c>
      <c r="AZ57" s="5">
        <f t="shared" si="57"/>
        <v>9647.4095280943729</v>
      </c>
      <c r="BA57" s="5">
        <f t="shared" si="57"/>
        <v>9688.5633497010385</v>
      </c>
      <c r="BB57" s="5">
        <f t="shared" si="57"/>
        <v>9725.7597873459436</v>
      </c>
      <c r="BC57" s="5">
        <f t="shared" si="57"/>
        <v>9758.9502252235616</v>
      </c>
      <c r="BD57" s="5">
        <f t="shared" si="57"/>
        <v>9788.0909667695014</v>
      </c>
      <c r="BE57" s="5">
        <f t="shared" si="57"/>
        <v>9813.1433302050827</v>
      </c>
      <c r="BF57" s="5">
        <f t="shared" si="57"/>
        <v>9834.0737337935225</v>
      </c>
      <c r="BG57" s="5">
        <f t="shared" si="57"/>
        <v>9850.8537705455146</v>
      </c>
      <c r="BH57" s="5">
        <f t="shared" si="57"/>
        <v>9863.4602721426254</v>
      </c>
      <c r="BI57" s="5">
        <f t="shared" si="57"/>
        <v>9871.8753618780011</v>
      </c>
      <c r="BJ57" s="5">
        <f t="shared" si="57"/>
        <v>9876.0864964461234</v>
      </c>
    </row>
    <row r="58" spans="2:62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2:62">
      <c r="B59" t="s">
        <v>368</v>
      </c>
      <c r="I59">
        <v>1</v>
      </c>
      <c r="J59">
        <v>5</v>
      </c>
      <c r="K59" s="10">
        <v>0.9</v>
      </c>
      <c r="L59" s="10">
        <v>0.9</v>
      </c>
      <c r="O59" s="3">
        <f>O57/O55</f>
        <v>1</v>
      </c>
      <c r="P59" s="3">
        <f t="shared" ref="P59:Z59" si="58">P57/P55</f>
        <v>1.0210163479311967</v>
      </c>
      <c r="Q59" s="3">
        <f t="shared" si="58"/>
        <v>0.90099465820275126</v>
      </c>
      <c r="R59" s="3">
        <f t="shared" si="58"/>
        <v>0.84019098068047937</v>
      </c>
      <c r="S59" s="3">
        <f t="shared" si="58"/>
        <v>0.74731610962594242</v>
      </c>
      <c r="T59" s="3">
        <f t="shared" si="58"/>
        <v>0.84412714452035231</v>
      </c>
      <c r="U59" s="3">
        <f t="shared" si="58"/>
        <v>1</v>
      </c>
      <c r="V59" s="3">
        <f t="shared" si="58"/>
        <v>1.0231927105582193</v>
      </c>
      <c r="W59" s="3">
        <f t="shared" si="58"/>
        <v>1.0034564072314978</v>
      </c>
      <c r="X59" s="3">
        <f t="shared" si="58"/>
        <v>0.92306003232629807</v>
      </c>
      <c r="Y59" s="3">
        <f t="shared" si="58"/>
        <v>0.83571170972621533</v>
      </c>
      <c r="Z59" s="3">
        <f t="shared" si="58"/>
        <v>0.87648245325452079</v>
      </c>
      <c r="AA59" s="5"/>
      <c r="AB59" s="3">
        <v>0.85</v>
      </c>
      <c r="AC59" s="3">
        <v>0.85</v>
      </c>
      <c r="AD59" s="3">
        <v>0.85</v>
      </c>
      <c r="AE59" s="3">
        <v>0.85</v>
      </c>
      <c r="AF59" s="3">
        <v>0.85</v>
      </c>
      <c r="AG59" s="3">
        <v>0.85</v>
      </c>
      <c r="AH59" s="3">
        <v>0.85</v>
      </c>
      <c r="AI59" s="3">
        <v>0.85</v>
      </c>
      <c r="AJ59" s="3">
        <v>0.85</v>
      </c>
      <c r="AK59" s="3">
        <v>0.85</v>
      </c>
      <c r="AL59" s="3">
        <v>0.85</v>
      </c>
      <c r="AM59" s="3">
        <v>0.85</v>
      </c>
      <c r="AN59" s="3">
        <v>0.85</v>
      </c>
      <c r="AO59" s="3">
        <v>0.85</v>
      </c>
      <c r="AP59" s="3">
        <v>0.85</v>
      </c>
      <c r="AQ59" s="3">
        <v>0.85</v>
      </c>
      <c r="AR59" s="3">
        <v>0.85</v>
      </c>
      <c r="AS59" s="3">
        <v>0.85</v>
      </c>
      <c r="AT59" s="3">
        <v>0.85</v>
      </c>
      <c r="AU59" s="3">
        <v>0.85</v>
      </c>
      <c r="AV59" s="3">
        <v>0.85</v>
      </c>
      <c r="AW59" s="3">
        <v>0.85</v>
      </c>
      <c r="AX59" s="3">
        <v>0.85</v>
      </c>
      <c r="AY59" s="3">
        <v>0.85</v>
      </c>
      <c r="AZ59" s="3">
        <v>0.85</v>
      </c>
      <c r="BA59" s="3">
        <v>0.85</v>
      </c>
      <c r="BB59" s="3">
        <v>0.85</v>
      </c>
      <c r="BC59" s="3">
        <v>0.85</v>
      </c>
      <c r="BD59" s="3">
        <v>0.85</v>
      </c>
      <c r="BE59" s="3">
        <v>0.85</v>
      </c>
      <c r="BF59" s="3">
        <v>0.85</v>
      </c>
      <c r="BG59" s="3">
        <v>0.85</v>
      </c>
      <c r="BH59" s="3">
        <v>0.85</v>
      </c>
      <c r="BI59" s="3">
        <v>0.85</v>
      </c>
      <c r="BJ59" s="3">
        <v>0.85</v>
      </c>
    </row>
    <row r="61" spans="2:62" s="9" customFormat="1">
      <c r="B61" s="9" t="s">
        <v>271</v>
      </c>
      <c r="K61" s="45"/>
    </row>
    <row r="62" spans="2:62">
      <c r="B62" s="4"/>
    </row>
    <row r="63" spans="2:62">
      <c r="B63" s="4" t="s">
        <v>278</v>
      </c>
    </row>
    <row r="64" spans="2:62">
      <c r="B64" t="s">
        <v>272</v>
      </c>
      <c r="O64" s="5">
        <f>SUMIFS(Tabela1[FN010 - Despesa com pessoal próprio],Tabela1[Ano de Referência],'Valuation (FCF)'!O$2)</f>
        <v>11160314</v>
      </c>
      <c r="P64" s="5">
        <f>SUMIFS(Tabela1[FN010 - Despesa com pessoal próprio],Tabela1[Ano de Referência],'Valuation (FCF)'!P$2)</f>
        <v>11545864</v>
      </c>
      <c r="Q64" s="5">
        <f>SUMIFS(Tabela1[FN010 - Despesa com pessoal próprio],Tabela1[Ano de Referência],'Valuation (FCF)'!Q$2)</f>
        <v>12725800.4</v>
      </c>
      <c r="R64" s="5">
        <f>SUMIFS(Tabela1[FN010 - Despesa com pessoal próprio],Tabela1[Ano de Referência],'Valuation (FCF)'!R$2)</f>
        <v>12251479.380000001</v>
      </c>
      <c r="S64" s="5">
        <f>SUMIFS(Tabela1[FN010 - Despesa com pessoal próprio],Tabela1[Ano de Referência],'Valuation (FCF)'!S$2)</f>
        <v>14203585.380000001</v>
      </c>
      <c r="T64" s="5">
        <f>SUMIFS(Tabela1[FN010 - Despesa com pessoal próprio],Tabela1[Ano de Referência],'Valuation (FCF)'!T$2)</f>
        <v>17064924.079999998</v>
      </c>
      <c r="U64" s="5">
        <f>SUMIFS(Tabela1[FN010 - Despesa com pessoal próprio],Tabela1[Ano de Referência],'Valuation (FCF)'!U$2)</f>
        <v>18466707.809999999</v>
      </c>
      <c r="V64" s="5">
        <f>SUMIFS(Tabela1[FN010 - Despesa com pessoal próprio],Tabela1[Ano de Referência],'Valuation (FCF)'!V$2)</f>
        <v>20362879.57</v>
      </c>
      <c r="W64" s="5">
        <f>SUMIFS(Tabela1[FN010 - Despesa com pessoal próprio],Tabela1[Ano de Referência],'Valuation (FCF)'!W$2)</f>
        <v>21631604.91</v>
      </c>
      <c r="X64" s="5">
        <f>SUMIFS(Tabela1[FN010 - Despesa com pessoal próprio],Tabela1[Ano de Referência],'Valuation (FCF)'!X$2)</f>
        <v>20966656.57</v>
      </c>
      <c r="Y64" s="5">
        <f>SUMIFS(Tabela1[FN010 - Despesa com pessoal próprio],Tabela1[Ano de Referência],'Valuation (FCF)'!Y$2)</f>
        <v>22321680.09</v>
      </c>
      <c r="Z64" s="5">
        <f>SUMIFS(Tabela1[FN010 - Despesa com pessoal próprio],Tabela1[Ano de Referência],'Valuation (FCF)'!Z$2)</f>
        <v>21100798.289999999</v>
      </c>
      <c r="AA64" s="5"/>
      <c r="AB64" s="5">
        <f>AB72*(AB$30+AB$42)</f>
        <v>29503264.791958112</v>
      </c>
      <c r="AC64" s="5">
        <f t="shared" ref="AC64:BJ64" si="59">AC72*(AC$30+AC$42)</f>
        <v>28666387.520260483</v>
      </c>
      <c r="AD64" s="5">
        <f t="shared" si="59"/>
        <v>27763297.325052001</v>
      </c>
      <c r="AE64" s="5">
        <f t="shared" si="59"/>
        <v>26793329.585619546</v>
      </c>
      <c r="AF64" s="5">
        <f t="shared" si="59"/>
        <v>25755927.195168313</v>
      </c>
      <c r="AG64" s="5">
        <f t="shared" si="59"/>
        <v>24650644.492710721</v>
      </c>
      <c r="AH64" s="5">
        <f t="shared" si="59"/>
        <v>24996399.57194655</v>
      </c>
      <c r="AI64" s="5">
        <f t="shared" si="59"/>
        <v>25336391.94329349</v>
      </c>
      <c r="AJ64" s="5">
        <f t="shared" si="59"/>
        <v>25670252.256999452</v>
      </c>
      <c r="AK64" s="5">
        <f t="shared" si="59"/>
        <v>25997613.800498307</v>
      </c>
      <c r="AL64" s="5">
        <f t="shared" si="59"/>
        <v>26318113.157946113</v>
      </c>
      <c r="AM64" s="5">
        <f t="shared" si="59"/>
        <v>26631390.871983591</v>
      </c>
      <c r="AN64" s="5">
        <f t="shared" si="59"/>
        <v>26937092.106070679</v>
      </c>
      <c r="AO64" s="5">
        <f t="shared" si="59"/>
        <v>27234867.305713754</v>
      </c>
      <c r="AP64" s="5">
        <f t="shared" si="59"/>
        <v>27524372.856887128</v>
      </c>
      <c r="AQ64" s="5">
        <f t="shared" si="59"/>
        <v>27805271.739936091</v>
      </c>
      <c r="AR64" s="5">
        <f t="shared" si="59"/>
        <v>28077234.177240659</v>
      </c>
      <c r="AS64" s="5">
        <f t="shared" si="59"/>
        <v>28339938.272916604</v>
      </c>
      <c r="AT64" s="5">
        <f t="shared" si="59"/>
        <v>28593070.642833553</v>
      </c>
      <c r="AU64" s="5">
        <f t="shared" si="59"/>
        <v>28836327.033238929</v>
      </c>
      <c r="AV64" s="5">
        <f t="shared" si="59"/>
        <v>29069412.92629198</v>
      </c>
      <c r="AW64" s="5">
        <f t="shared" si="59"/>
        <v>29292044.130832445</v>
      </c>
      <c r="AX64" s="5">
        <f t="shared" si="59"/>
        <v>29503947.356736027</v>
      </c>
      <c r="AY64" s="5">
        <f t="shared" si="59"/>
        <v>29704860.771240879</v>
      </c>
      <c r="AZ64" s="5">
        <f t="shared" si="59"/>
        <v>29894534.535668485</v>
      </c>
      <c r="BA64" s="5">
        <f t="shared" si="59"/>
        <v>30072731.321006075</v>
      </c>
      <c r="BB64" s="5">
        <f t="shared" si="59"/>
        <v>30239226.800867919</v>
      </c>
      <c r="BC64" s="5">
        <f t="shared" si="59"/>
        <v>30393810.120407954</v>
      </c>
      <c r="BD64" s="5">
        <f t="shared" si="59"/>
        <v>30536284.339816932</v>
      </c>
      <c r="BE64" s="5">
        <f t="shared" si="59"/>
        <v>30666466.851102911</v>
      </c>
      <c r="BF64" s="5">
        <f t="shared" si="59"/>
        <v>30784189.766924527</v>
      </c>
      <c r="BG64" s="5">
        <f t="shared" si="59"/>
        <v>30889300.280321728</v>
      </c>
      <c r="BH64" s="5">
        <f t="shared" si="59"/>
        <v>30981660.994268343</v>
      </c>
      <c r="BI64" s="5">
        <f t="shared" si="59"/>
        <v>31061150.220054571</v>
      </c>
      <c r="BJ64" s="5">
        <f t="shared" si="59"/>
        <v>31127662.243595142</v>
      </c>
    </row>
    <row r="65" spans="2:62">
      <c r="B65" t="s">
        <v>274</v>
      </c>
      <c r="O65" s="5">
        <f>SUMIFS(Tabela1[FN011 - Despesa com produtos químicos],Tabela1[Ano de Referência],'Valuation (FCF)'!O$2)</f>
        <v>2530631</v>
      </c>
      <c r="P65" s="5">
        <f>SUMIFS(Tabela1[FN011 - Despesa com produtos químicos],Tabela1[Ano de Referência],'Valuation (FCF)'!P$2)</f>
        <v>2309928</v>
      </c>
      <c r="Q65" s="5">
        <f>SUMIFS(Tabela1[FN011 - Despesa com produtos químicos],Tabela1[Ano de Referência],'Valuation (FCF)'!Q$2)</f>
        <v>3083375.1</v>
      </c>
      <c r="R65" s="5">
        <f>SUMIFS(Tabela1[FN011 - Despesa com produtos químicos],Tabela1[Ano de Referência],'Valuation (FCF)'!R$2)</f>
        <v>3237701.05</v>
      </c>
      <c r="S65" s="5">
        <f>SUMIFS(Tabela1[FN011 - Despesa com produtos químicos],Tabela1[Ano de Referência],'Valuation (FCF)'!S$2)</f>
        <v>4006353.89</v>
      </c>
      <c r="T65" s="5">
        <f>SUMIFS(Tabela1[FN011 - Despesa com produtos químicos],Tabela1[Ano de Referência],'Valuation (FCF)'!T$2)</f>
        <v>2423121.6800000002</v>
      </c>
      <c r="U65" s="5">
        <f>SUMIFS(Tabela1[FN011 - Despesa com produtos químicos],Tabela1[Ano de Referência],'Valuation (FCF)'!U$2)</f>
        <v>5034178.07</v>
      </c>
      <c r="V65" s="5">
        <f>SUMIFS(Tabela1[FN011 - Despesa com produtos químicos],Tabela1[Ano de Referência],'Valuation (FCF)'!V$2)</f>
        <v>5128470.3899999997</v>
      </c>
      <c r="W65" s="5">
        <f>SUMIFS(Tabela1[FN011 - Despesa com produtos químicos],Tabela1[Ano de Referência],'Valuation (FCF)'!W$2)</f>
        <v>5778490.4699999997</v>
      </c>
      <c r="X65" s="5">
        <f>SUMIFS(Tabela1[FN011 - Despesa com produtos químicos],Tabela1[Ano de Referência],'Valuation (FCF)'!X$2)</f>
        <v>5931335.9299999997</v>
      </c>
      <c r="Y65" s="5">
        <f>SUMIFS(Tabela1[FN011 - Despesa com produtos químicos],Tabela1[Ano de Referência],'Valuation (FCF)'!Y$2)</f>
        <v>6508863.3399999999</v>
      </c>
      <c r="Z65" s="5">
        <f>SUMIFS(Tabela1[FN011 - Despesa com produtos químicos],Tabela1[Ano de Referência],'Valuation (FCF)'!Z$2)</f>
        <v>6518018.4900000002</v>
      </c>
      <c r="AA65" s="5"/>
      <c r="AB65" s="5">
        <f>AB73*(AB$56+AB$57)*1000</f>
        <v>6473596.7074088417</v>
      </c>
      <c r="AC65" s="5">
        <f t="shared" ref="AC65:BJ65" si="60">AC73*(AC$56+AC$57)*1000</f>
        <v>6275328.3228420056</v>
      </c>
      <c r="AD65" s="5">
        <f t="shared" si="60"/>
        <v>6070447.7129536793</v>
      </c>
      <c r="AE65" s="5">
        <f t="shared" si="60"/>
        <v>5857338.379813402</v>
      </c>
      <c r="AF65" s="5">
        <f t="shared" si="60"/>
        <v>5634564.7664514361</v>
      </c>
      <c r="AG65" s="5">
        <f t="shared" si="60"/>
        <v>5400842.0441610292</v>
      </c>
      <c r="AH65" s="5">
        <f t="shared" si="60"/>
        <v>5467654.7299038041</v>
      </c>
      <c r="AI65" s="5">
        <f t="shared" si="60"/>
        <v>5532961.5547853298</v>
      </c>
      <c r="AJ65" s="5">
        <f t="shared" si="60"/>
        <v>5596688.1730781998</v>
      </c>
      <c r="AK65" s="5">
        <f t="shared" si="60"/>
        <v>5658761.3415883454</v>
      </c>
      <c r="AL65" s="5">
        <f t="shared" si="60"/>
        <v>5719109.0582702821</v>
      </c>
      <c r="AM65" s="5">
        <f t="shared" si="60"/>
        <v>5777660.6999098836</v>
      </c>
      <c r="AN65" s="5">
        <f t="shared" si="60"/>
        <v>5834347.1585107837</v>
      </c>
      <c r="AO65" s="5">
        <f t="shared" si="60"/>
        <v>5889100.9760197923</v>
      </c>
      <c r="AP65" s="5">
        <f t="shared" si="60"/>
        <v>5941856.4770274414</v>
      </c>
      <c r="AQ65" s="5">
        <f t="shared" si="60"/>
        <v>5992549.8990814947</v>
      </c>
      <c r="AR65" s="5">
        <f t="shared" si="60"/>
        <v>6041119.5202544704</v>
      </c>
      <c r="AS65" s="5">
        <f t="shared" si="60"/>
        <v>6087505.7836105339</v>
      </c>
      <c r="AT65" s="5">
        <f t="shared" si="60"/>
        <v>6131651.4182227869</v>
      </c>
      <c r="AU65" s="5">
        <f t="shared" si="60"/>
        <v>6173501.5563988332</v>
      </c>
      <c r="AV65" s="5">
        <f t="shared" si="60"/>
        <v>6213003.8467806168</v>
      </c>
      <c r="AW65" s="5">
        <f t="shared" si="60"/>
        <v>6250108.5629938394</v>
      </c>
      <c r="AX65" s="5">
        <f t="shared" si="60"/>
        <v>6284768.7075328603</v>
      </c>
      <c r="AY65" s="5">
        <f t="shared" si="60"/>
        <v>6316940.110578509</v>
      </c>
      <c r="AZ65" s="5">
        <f t="shared" si="60"/>
        <v>6346581.5234592455</v>
      </c>
      <c r="BA65" s="5">
        <f t="shared" si="60"/>
        <v>6373654.7064798269</v>
      </c>
      <c r="BB65" s="5">
        <f t="shared" si="60"/>
        <v>6398124.5108566592</v>
      </c>
      <c r="BC65" s="5">
        <f t="shared" si="60"/>
        <v>6419958.9545149487</v>
      </c>
      <c r="BD65" s="5">
        <f t="shared" si="60"/>
        <v>6439129.2915195907</v>
      </c>
      <c r="BE65" s="5">
        <f t="shared" si="60"/>
        <v>6455610.0749295028</v>
      </c>
      <c r="BF65" s="5">
        <f t="shared" si="60"/>
        <v>6469379.212883696</v>
      </c>
      <c r="BG65" s="5">
        <f t="shared" si="60"/>
        <v>6480418.0177466003</v>
      </c>
      <c r="BH65" s="5">
        <f t="shared" si="60"/>
        <v>6488711.2481602877</v>
      </c>
      <c r="BI65" s="5">
        <f t="shared" si="60"/>
        <v>6494247.1438716967</v>
      </c>
      <c r="BJ65" s="5">
        <f t="shared" si="60"/>
        <v>6497017.4532241728</v>
      </c>
    </row>
    <row r="66" spans="2:62">
      <c r="B66" t="s">
        <v>273</v>
      </c>
      <c r="O66" s="5">
        <f>SUMIFS(Tabela1[FN013 - Despesa com energia elétrica],Tabela1[Ano de Referência],'Valuation (FCF)'!O$2)</f>
        <v>2550000</v>
      </c>
      <c r="P66" s="5">
        <f>SUMIFS(Tabela1[FN013 - Despesa com energia elétrica],Tabela1[Ano de Referência],'Valuation (FCF)'!P$2)</f>
        <v>2913680</v>
      </c>
      <c r="Q66" s="5">
        <f>SUMIFS(Tabela1[FN013 - Despesa com energia elétrica],Tabela1[Ano de Referência],'Valuation (FCF)'!Q$2)</f>
        <v>3267080.25</v>
      </c>
      <c r="R66" s="5">
        <f>SUMIFS(Tabela1[FN013 - Despesa com energia elétrica],Tabela1[Ano de Referência],'Valuation (FCF)'!R$2)</f>
        <v>3096962.5</v>
      </c>
      <c r="S66" s="5">
        <f>SUMIFS(Tabela1[FN013 - Despesa com energia elétrica],Tabela1[Ano de Referência],'Valuation (FCF)'!S$2)</f>
        <v>3851385.95</v>
      </c>
      <c r="T66" s="5">
        <f>SUMIFS(Tabela1[FN013 - Despesa com energia elétrica],Tabela1[Ano de Referência],'Valuation (FCF)'!T$2)</f>
        <v>5156929.1500000004</v>
      </c>
      <c r="U66" s="5">
        <f>SUMIFS(Tabela1[FN013 - Despesa com energia elétrica],Tabela1[Ano de Referência],'Valuation (FCF)'!U$2)</f>
        <v>5850181.04</v>
      </c>
      <c r="V66" s="5">
        <f>SUMIFS(Tabela1[FN013 - Despesa com energia elétrica],Tabela1[Ano de Referência],'Valuation (FCF)'!V$2)</f>
        <v>5746874.1500000004</v>
      </c>
      <c r="W66" s="5">
        <f>SUMIFS(Tabela1[FN013 - Despesa com energia elétrica],Tabela1[Ano de Referência],'Valuation (FCF)'!W$2)</f>
        <v>6189825.0800000001</v>
      </c>
      <c r="X66" s="5">
        <f>SUMIFS(Tabela1[FN013 - Despesa com energia elétrica],Tabela1[Ano de Referência],'Valuation (FCF)'!X$2)</f>
        <v>5545000</v>
      </c>
      <c r="Y66" s="5">
        <f>SUMIFS(Tabela1[FN013 - Despesa com energia elétrica],Tabela1[Ano de Referência],'Valuation (FCF)'!Y$2)</f>
        <v>7544969.8099999996</v>
      </c>
      <c r="Z66" s="5">
        <f>SUMIFS(Tabela1[FN013 - Despesa com energia elétrica],Tabela1[Ano de Referência],'Valuation (FCF)'!Z$2)</f>
        <v>9950000</v>
      </c>
      <c r="AA66" s="5"/>
      <c r="AB66" s="5">
        <f t="shared" ref="AB66:BJ66" si="61">AB74*(AB$56+AB$57)*1000</f>
        <v>12352735.600846305</v>
      </c>
      <c r="AC66" s="5">
        <f t="shared" si="61"/>
        <v>12604637.297296716</v>
      </c>
      <c r="AD66" s="5">
        <f t="shared" si="61"/>
        <v>12870508.890205404</v>
      </c>
      <c r="AE66" s="5">
        <f t="shared" si="61"/>
        <v>13149186.766011834</v>
      </c>
      <c r="AF66" s="5">
        <f t="shared" si="61"/>
        <v>13439647.990845859</v>
      </c>
      <c r="AG66" s="5">
        <f t="shared" si="61"/>
        <v>13740980.33572834</v>
      </c>
      <c r="AH66" s="5">
        <f t="shared" si="61"/>
        <v>13910967.125466287</v>
      </c>
      <c r="AI66" s="5">
        <f t="shared" si="61"/>
        <v>14077122.659945596</v>
      </c>
      <c r="AJ66" s="5">
        <f t="shared" si="61"/>
        <v>14239257.786591541</v>
      </c>
      <c r="AK66" s="5">
        <f t="shared" si="61"/>
        <v>14397186.157926971</v>
      </c>
      <c r="AL66" s="5">
        <f t="shared" si="61"/>
        <v>14550724.584241271</v>
      </c>
      <c r="AM66" s="5">
        <f t="shared" si="61"/>
        <v>14699693.383886911</v>
      </c>
      <c r="AN66" s="5">
        <f t="shared" si="61"/>
        <v>14843916.730277713</v>
      </c>
      <c r="AO66" s="5">
        <f t="shared" si="61"/>
        <v>14983222.994661201</v>
      </c>
      <c r="AP66" s="5">
        <f t="shared" si="61"/>
        <v>15117445.083739202</v>
      </c>
      <c r="AQ66" s="5">
        <f t="shared" si="61"/>
        <v>15246420.77121531</v>
      </c>
      <c r="AR66" s="5">
        <f t="shared" si="61"/>
        <v>15369993.022355882</v>
      </c>
      <c r="AS66" s="5">
        <f t="shared" si="61"/>
        <v>15488010.310662378</v>
      </c>
      <c r="AT66" s="5">
        <f t="shared" si="61"/>
        <v>15600326.925767057</v>
      </c>
      <c r="AU66" s="5">
        <f t="shared" si="61"/>
        <v>15706803.271681726</v>
      </c>
      <c r="AV66" s="5">
        <f t="shared" si="61"/>
        <v>15807306.154549621</v>
      </c>
      <c r="AW66" s="5">
        <f t="shared" si="61"/>
        <v>15901709.059074461</v>
      </c>
      <c r="AX66" s="5">
        <f t="shared" si="61"/>
        <v>15989892.412827434</v>
      </c>
      <c r="AY66" s="5">
        <f t="shared" si="61"/>
        <v>16071743.837662376</v>
      </c>
      <c r="AZ66" s="5">
        <f t="shared" si="61"/>
        <v>16147158.387502387</v>
      </c>
      <c r="BA66" s="5">
        <f t="shared" si="61"/>
        <v>16216038.771796087</v>
      </c>
      <c r="BB66" s="5">
        <f t="shared" si="61"/>
        <v>16278295.563979944</v>
      </c>
      <c r="BC66" s="5">
        <f t="shared" si="61"/>
        <v>16333847.3943236</v>
      </c>
      <c r="BD66" s="5">
        <f t="shared" si="61"/>
        <v>16382621.126577975</v>
      </c>
      <c r="BE66" s="5">
        <f t="shared" si="61"/>
        <v>16424552.017891085</v>
      </c>
      <c r="BF66" s="5">
        <f t="shared" si="61"/>
        <v>16459583.861503888</v>
      </c>
      <c r="BG66" s="5">
        <f t="shared" si="61"/>
        <v>16487669.111787239</v>
      </c>
      <c r="BH66" s="5">
        <f t="shared" si="61"/>
        <v>16508768.991232403</v>
      </c>
      <c r="BI66" s="5">
        <f t="shared" si="61"/>
        <v>16522853.579059469</v>
      </c>
      <c r="BJ66" s="5">
        <f t="shared" si="61"/>
        <v>16529901.88116218</v>
      </c>
    </row>
    <row r="67" spans="2:62">
      <c r="B67" t="s">
        <v>275</v>
      </c>
      <c r="O67" s="5">
        <f>SUMIFS(Tabela1[FN014 - Despesa com serviços de terceiros],Tabela1[Ano de Referência],'Valuation (FCF)'!O$2)</f>
        <v>6067312</v>
      </c>
      <c r="P67" s="5">
        <f>SUMIFS(Tabela1[FN014 - Despesa com serviços de terceiros],Tabela1[Ano de Referência],'Valuation (FCF)'!P$2)</f>
        <v>6613810</v>
      </c>
      <c r="Q67" s="5">
        <f>SUMIFS(Tabela1[FN014 - Despesa com serviços de terceiros],Tabela1[Ano de Referência],'Valuation (FCF)'!Q$2)</f>
        <v>7590129.0899999999</v>
      </c>
      <c r="R67" s="5">
        <f>SUMIFS(Tabela1[FN014 - Despesa com serviços de terceiros],Tabela1[Ano de Referência],'Valuation (FCF)'!R$2)</f>
        <v>7780030.1399999997</v>
      </c>
      <c r="S67" s="5">
        <f>SUMIFS(Tabela1[FN014 - Despesa com serviços de terceiros],Tabela1[Ano de Referência],'Valuation (FCF)'!S$2)</f>
        <v>6923005.5700000003</v>
      </c>
      <c r="T67" s="5">
        <f>SUMIFS(Tabela1[FN014 - Despesa com serviços de terceiros],Tabela1[Ano de Referência],'Valuation (FCF)'!T$2)</f>
        <v>4364322.3499999996</v>
      </c>
      <c r="U67" s="5">
        <f>SUMIFS(Tabela1[FN014 - Despesa com serviços de terceiros],Tabela1[Ano de Referência],'Valuation (FCF)'!U$2)</f>
        <v>6319025.5099999998</v>
      </c>
      <c r="V67" s="5">
        <f>SUMIFS(Tabela1[FN014 - Despesa com serviços de terceiros],Tabela1[Ano de Referência],'Valuation (FCF)'!V$2)</f>
        <v>5748998.3899999997</v>
      </c>
      <c r="W67" s="5">
        <f>SUMIFS(Tabela1[FN014 - Despesa com serviços de terceiros],Tabela1[Ano de Referência],'Valuation (FCF)'!W$2)</f>
        <v>6554164.4699999997</v>
      </c>
      <c r="X67" s="5">
        <f>SUMIFS(Tabela1[FN014 - Despesa com serviços de terceiros],Tabela1[Ano de Referência],'Valuation (FCF)'!X$2)</f>
        <v>7854699.0999999996</v>
      </c>
      <c r="Y67" s="5">
        <f>SUMIFS(Tabela1[FN014 - Despesa com serviços de terceiros],Tabela1[Ano de Referência],'Valuation (FCF)'!Y$2)</f>
        <v>6006455.8899999997</v>
      </c>
      <c r="Z67" s="5">
        <f>SUMIFS(Tabela1[FN014 - Despesa com serviços de terceiros],Tabela1[Ano de Referência],'Valuation (FCF)'!Z$2)</f>
        <v>7960518.6299999999</v>
      </c>
      <c r="AA67" s="5"/>
      <c r="AB67" s="5">
        <f t="shared" ref="AB67:BJ67" si="62">AB75*(AB$30+AB$42)</f>
        <v>11130445.672925562</v>
      </c>
      <c r="AC67" s="5">
        <f t="shared" si="62"/>
        <v>10814724.105389902</v>
      </c>
      <c r="AD67" s="5">
        <f t="shared" si="62"/>
        <v>10474022.951588793</v>
      </c>
      <c r="AE67" s="5">
        <f t="shared" si="62"/>
        <v>10108091.475720869</v>
      </c>
      <c r="AF67" s="5">
        <f t="shared" si="62"/>
        <v>9716719.5028459243</v>
      </c>
      <c r="AG67" s="5">
        <f t="shared" si="62"/>
        <v>9299738.9022351801</v>
      </c>
      <c r="AH67" s="5">
        <f t="shared" si="62"/>
        <v>9430178.9790439494</v>
      </c>
      <c r="AI67" s="5">
        <f t="shared" si="62"/>
        <v>9558445.0080807675</v>
      </c>
      <c r="AJ67" s="5">
        <f t="shared" si="62"/>
        <v>9684397.6479073595</v>
      </c>
      <c r="AK67" s="5">
        <f t="shared" si="62"/>
        <v>9807898.5519941598</v>
      </c>
      <c r="AL67" s="5">
        <f t="shared" si="62"/>
        <v>9928810.6175379269</v>
      </c>
      <c r="AM67" s="5">
        <f t="shared" si="62"/>
        <v>10046998.23511925</v>
      </c>
      <c r="AN67" s="5">
        <f t="shared" si="62"/>
        <v>10162327.538575865</v>
      </c>
      <c r="AO67" s="5">
        <f t="shared" si="62"/>
        <v>10274666.654458228</v>
      </c>
      <c r="AP67" s="5">
        <f t="shared" si="62"/>
        <v>10383885.950426584</v>
      </c>
      <c r="AQ67" s="5">
        <f t="shared" si="62"/>
        <v>10489858.281943405</v>
      </c>
      <c r="AR67" s="5">
        <f t="shared" si="62"/>
        <v>10592459.236611988</v>
      </c>
      <c r="AS67" s="5">
        <f t="shared" si="62"/>
        <v>10691567.375511015</v>
      </c>
      <c r="AT67" s="5">
        <f t="shared" si="62"/>
        <v>10787064.470876116</v>
      </c>
      <c r="AU67" s="5">
        <f t="shared" si="62"/>
        <v>10878835.739482872</v>
      </c>
      <c r="AV67" s="5">
        <f t="shared" si="62"/>
        <v>10966770.071091471</v>
      </c>
      <c r="AW67" s="5">
        <f t="shared" si="62"/>
        <v>11050760.251320984</v>
      </c>
      <c r="AX67" s="5">
        <f t="shared" si="62"/>
        <v>11130703.178331569</v>
      </c>
      <c r="AY67" s="5">
        <f t="shared" si="62"/>
        <v>11206500.072705029</v>
      </c>
      <c r="AZ67" s="5">
        <f t="shared" si="62"/>
        <v>11278056.679928925</v>
      </c>
      <c r="BA67" s="5">
        <f t="shared" si="62"/>
        <v>11345283.464905977</v>
      </c>
      <c r="BB67" s="5">
        <f t="shared" si="62"/>
        <v>11408095.797929375</v>
      </c>
      <c r="BC67" s="5">
        <f t="shared" si="62"/>
        <v>11466414.131585445</v>
      </c>
      <c r="BD67" s="5">
        <f t="shared" si="62"/>
        <v>11520164.168068064</v>
      </c>
      <c r="BE67" s="5">
        <f t="shared" si="62"/>
        <v>11569277.016413871</v>
      </c>
      <c r="BF67" s="5">
        <f t="shared" si="62"/>
        <v>11613689.339194097</v>
      </c>
      <c r="BG67" s="5">
        <f t="shared" si="62"/>
        <v>11653343.488227114</v>
      </c>
      <c r="BH67" s="5">
        <f t="shared" si="62"/>
        <v>11688187.628905931</v>
      </c>
      <c r="BI67" s="5">
        <f t="shared" si="62"/>
        <v>11718175.852766421</v>
      </c>
      <c r="BJ67" s="5">
        <f t="shared" si="62"/>
        <v>11743268.277955122</v>
      </c>
    </row>
    <row r="68" spans="2:62">
      <c r="B68" t="s">
        <v>276</v>
      </c>
      <c r="O68" s="5">
        <f>SUMIFS(Tabela1[FN027 - Outras despesas de exploração],Tabela1[Ano de Referência],'Valuation (FCF)'!O$2)</f>
        <v>0</v>
      </c>
      <c r="P68" s="5">
        <f>SUMIFS(Tabela1[FN027 - Outras despesas de exploração],Tabela1[Ano de Referência],'Valuation (FCF)'!P$2)</f>
        <v>0</v>
      </c>
      <c r="Q68" s="5">
        <f>SUMIFS(Tabela1[FN027 - Outras despesas de exploração],Tabela1[Ano de Referência],'Valuation (FCF)'!Q$2)</f>
        <v>0</v>
      </c>
      <c r="R68" s="5">
        <f>SUMIFS(Tabela1[FN027 - Outras despesas de exploração],Tabela1[Ano de Referência],'Valuation (FCF)'!R$2)</f>
        <v>0</v>
      </c>
      <c r="S68" s="5">
        <f>SUMIFS(Tabela1[FN027 - Outras despesas de exploração],Tabela1[Ano de Referência],'Valuation (FCF)'!S$2)</f>
        <v>0</v>
      </c>
      <c r="T68" s="5">
        <f>SUMIFS(Tabela1[FN027 - Outras despesas de exploração],Tabela1[Ano de Referência],'Valuation (FCF)'!T$2)</f>
        <v>0</v>
      </c>
      <c r="U68" s="5">
        <f>SUMIFS(Tabela1[FN027 - Outras despesas de exploração],Tabela1[Ano de Referência],'Valuation (FCF)'!U$2)</f>
        <v>0</v>
      </c>
      <c r="V68" s="5">
        <f>SUMIFS(Tabela1[FN027 - Outras despesas de exploração],Tabela1[Ano de Referência],'Valuation (FCF)'!V$2)</f>
        <v>0</v>
      </c>
      <c r="W68" s="5">
        <f>SUMIFS(Tabela1[FN027 - Outras despesas de exploração],Tabela1[Ano de Referência],'Valuation (FCF)'!W$2)</f>
        <v>0</v>
      </c>
      <c r="X68" s="5">
        <f>SUMIFS(Tabela1[FN027 - Outras despesas de exploração],Tabela1[Ano de Referência],'Valuation (FCF)'!X$2)</f>
        <v>0</v>
      </c>
      <c r="Y68" s="5">
        <f>SUMIFS(Tabela1[FN027 - Outras despesas de exploração],Tabela1[Ano de Referência],'Valuation (FCF)'!Y$2)</f>
        <v>0</v>
      </c>
      <c r="Z68" s="5">
        <f>SUMIFS(Tabela1[FN027 - Outras despesas de exploração],Tabela1[Ano de Referência],'Valuation (FCF)'!Z$2)</f>
        <v>0</v>
      </c>
      <c r="AA68" s="5"/>
      <c r="AB68" s="5">
        <f t="shared" ref="AB68:BJ68" si="63">AB76*(AB$30+AB$42)</f>
        <v>0</v>
      </c>
      <c r="AC68" s="5">
        <f t="shared" si="63"/>
        <v>0</v>
      </c>
      <c r="AD68" s="5">
        <f t="shared" si="63"/>
        <v>0</v>
      </c>
      <c r="AE68" s="5">
        <f t="shared" si="63"/>
        <v>0</v>
      </c>
      <c r="AF68" s="5">
        <f t="shared" si="63"/>
        <v>0</v>
      </c>
      <c r="AG68" s="5">
        <f t="shared" si="63"/>
        <v>0</v>
      </c>
      <c r="AH68" s="5">
        <f t="shared" si="63"/>
        <v>0</v>
      </c>
      <c r="AI68" s="5">
        <f t="shared" si="63"/>
        <v>0</v>
      </c>
      <c r="AJ68" s="5">
        <f t="shared" si="63"/>
        <v>0</v>
      </c>
      <c r="AK68" s="5">
        <f t="shared" si="63"/>
        <v>0</v>
      </c>
      <c r="AL68" s="5">
        <f t="shared" si="63"/>
        <v>0</v>
      </c>
      <c r="AM68" s="5">
        <f t="shared" si="63"/>
        <v>0</v>
      </c>
      <c r="AN68" s="5">
        <f t="shared" si="63"/>
        <v>0</v>
      </c>
      <c r="AO68" s="5">
        <f t="shared" si="63"/>
        <v>0</v>
      </c>
      <c r="AP68" s="5">
        <f t="shared" si="63"/>
        <v>0</v>
      </c>
      <c r="AQ68" s="5">
        <f t="shared" si="63"/>
        <v>0</v>
      </c>
      <c r="AR68" s="5">
        <f t="shared" si="63"/>
        <v>0</v>
      </c>
      <c r="AS68" s="5">
        <f t="shared" si="63"/>
        <v>0</v>
      </c>
      <c r="AT68" s="5">
        <f t="shared" si="63"/>
        <v>0</v>
      </c>
      <c r="AU68" s="5">
        <f t="shared" si="63"/>
        <v>0</v>
      </c>
      <c r="AV68" s="5">
        <f t="shared" si="63"/>
        <v>0</v>
      </c>
      <c r="AW68" s="5">
        <f t="shared" si="63"/>
        <v>0</v>
      </c>
      <c r="AX68" s="5">
        <f t="shared" si="63"/>
        <v>0</v>
      </c>
      <c r="AY68" s="5">
        <f t="shared" si="63"/>
        <v>0</v>
      </c>
      <c r="AZ68" s="5">
        <f t="shared" si="63"/>
        <v>0</v>
      </c>
      <c r="BA68" s="5">
        <f t="shared" si="63"/>
        <v>0</v>
      </c>
      <c r="BB68" s="5">
        <f t="shared" si="63"/>
        <v>0</v>
      </c>
      <c r="BC68" s="5">
        <f t="shared" si="63"/>
        <v>0</v>
      </c>
      <c r="BD68" s="5">
        <f t="shared" si="63"/>
        <v>0</v>
      </c>
      <c r="BE68" s="5">
        <f t="shared" si="63"/>
        <v>0</v>
      </c>
      <c r="BF68" s="5">
        <f t="shared" si="63"/>
        <v>0</v>
      </c>
      <c r="BG68" s="5">
        <f t="shared" si="63"/>
        <v>0</v>
      </c>
      <c r="BH68" s="5">
        <f t="shared" si="63"/>
        <v>0</v>
      </c>
      <c r="BI68" s="5">
        <f t="shared" si="63"/>
        <v>0</v>
      </c>
      <c r="BJ68" s="5">
        <f t="shared" si="63"/>
        <v>0</v>
      </c>
    </row>
    <row r="69" spans="2:62">
      <c r="B69" t="s">
        <v>277</v>
      </c>
      <c r="O69" s="5">
        <f>SUMIFS(Tabela1[FN028 - Outras despesas com os serviços],Tabela1[Ano de Referência],'Valuation (FCF)'!O$2)</f>
        <v>0</v>
      </c>
      <c r="P69" s="5">
        <f>SUMIFS(Tabela1[FN028 - Outras despesas com os serviços],Tabela1[Ano de Referência],'Valuation (FCF)'!P$2)</f>
        <v>0</v>
      </c>
      <c r="Q69" s="5">
        <f>SUMIFS(Tabela1[FN028 - Outras despesas com os serviços],Tabela1[Ano de Referência],'Valuation (FCF)'!Q$2)</f>
        <v>3487612.58</v>
      </c>
      <c r="R69" s="5">
        <f>SUMIFS(Tabela1[FN028 - Outras despesas com os serviços],Tabela1[Ano de Referência],'Valuation (FCF)'!R$2)</f>
        <v>7652656.4100000001</v>
      </c>
      <c r="S69" s="5">
        <f>SUMIFS(Tabela1[FN028 - Outras despesas com os serviços],Tabela1[Ano de Referência],'Valuation (FCF)'!S$2)</f>
        <v>6500490.4699999997</v>
      </c>
      <c r="T69" s="5">
        <f>SUMIFS(Tabela1[FN028 - Outras despesas com os serviços],Tabela1[Ano de Referência],'Valuation (FCF)'!T$2)</f>
        <v>4099656.5</v>
      </c>
      <c r="U69" s="5">
        <f>SUMIFS(Tabela1[FN028 - Outras despesas com os serviços],Tabela1[Ano de Referência],'Valuation (FCF)'!U$2)</f>
        <v>5828126.2400000002</v>
      </c>
      <c r="V69" s="5">
        <f>SUMIFS(Tabela1[FN028 - Outras despesas com os serviços],Tabela1[Ano de Referência],'Valuation (FCF)'!V$2)</f>
        <v>8627162.9100000001</v>
      </c>
      <c r="W69" s="5">
        <f>SUMIFS(Tabela1[FN028 - Outras despesas com os serviços],Tabela1[Ano de Referência],'Valuation (FCF)'!W$2)</f>
        <v>7390553.1299999999</v>
      </c>
      <c r="X69" s="5">
        <f>SUMIFS(Tabela1[FN028 - Outras despesas com os serviços],Tabela1[Ano de Referência],'Valuation (FCF)'!X$2)</f>
        <v>13694054.59</v>
      </c>
      <c r="Y69" s="5">
        <f>SUMIFS(Tabela1[FN028 - Outras despesas com os serviços],Tabela1[Ano de Referência],'Valuation (FCF)'!Y$2)</f>
        <v>17335503.93</v>
      </c>
      <c r="Z69" s="5">
        <f>SUMIFS(Tabela1[FN028 - Outras despesas com os serviços],Tabela1[Ano de Referência],'Valuation (FCF)'!Z$2)</f>
        <v>10373941.59</v>
      </c>
      <c r="AA69" s="5"/>
      <c r="AB69" s="5">
        <f t="shared" ref="AB69:BJ69" si="64">AB77*(AB$30+AB$42)</f>
        <v>14504908.366956243</v>
      </c>
      <c r="AC69" s="5">
        <f t="shared" si="64"/>
        <v>14093468.20174201</v>
      </c>
      <c r="AD69" s="5">
        <f t="shared" si="64"/>
        <v>13649475.287026817</v>
      </c>
      <c r="AE69" s="5">
        <f t="shared" si="64"/>
        <v>13172602.870411878</v>
      </c>
      <c r="AF69" s="5">
        <f t="shared" si="64"/>
        <v>12662577.057361586</v>
      </c>
      <c r="AG69" s="5">
        <f t="shared" si="64"/>
        <v>12119178.744267128</v>
      </c>
      <c r="AH69" s="5">
        <f t="shared" si="64"/>
        <v>12289164.872144489</v>
      </c>
      <c r="AI69" s="5">
        <f t="shared" si="64"/>
        <v>12456317.837303644</v>
      </c>
      <c r="AJ69" s="5">
        <f t="shared" si="64"/>
        <v>12620456.053593125</v>
      </c>
      <c r="AK69" s="5">
        <f t="shared" si="64"/>
        <v>12781399.231400706</v>
      </c>
      <c r="AL69" s="5">
        <f t="shared" si="64"/>
        <v>12938968.701906083</v>
      </c>
      <c r="AM69" s="5">
        <f t="shared" si="64"/>
        <v>13092987.742428059</v>
      </c>
      <c r="AN69" s="5">
        <f t="shared" si="64"/>
        <v>13243281.902052972</v>
      </c>
      <c r="AO69" s="5">
        <f t="shared" si="64"/>
        <v>13389679.32671874</v>
      </c>
      <c r="AP69" s="5">
        <f t="shared" si="64"/>
        <v>13532011.082919484</v>
      </c>
      <c r="AQ69" s="5">
        <f t="shared" si="64"/>
        <v>13670111.479188718</v>
      </c>
      <c r="AR69" s="5">
        <f t="shared" si="64"/>
        <v>13803818.384515075</v>
      </c>
      <c r="AS69" s="5">
        <f t="shared" si="64"/>
        <v>13932973.54284326</v>
      </c>
      <c r="AT69" s="5">
        <f t="shared" si="64"/>
        <v>14057422.882814497</v>
      </c>
      <c r="AU69" s="5">
        <f t="shared" si="64"/>
        <v>14177016.821905207</v>
      </c>
      <c r="AV69" s="5">
        <f t="shared" si="64"/>
        <v>14291610.564130176</v>
      </c>
      <c r="AW69" s="5">
        <f t="shared" si="64"/>
        <v>14401064.390486531</v>
      </c>
      <c r="AX69" s="5">
        <f t="shared" si="64"/>
        <v>14505243.941328363</v>
      </c>
      <c r="AY69" s="5">
        <f t="shared" si="64"/>
        <v>14604020.489877647</v>
      </c>
      <c r="AZ69" s="5">
        <f t="shared" si="64"/>
        <v>14697271.206096279</v>
      </c>
      <c r="BA69" s="5">
        <f t="shared" si="64"/>
        <v>14784879.410165695</v>
      </c>
      <c r="BB69" s="5">
        <f t="shared" si="64"/>
        <v>14866734.81484507</v>
      </c>
      <c r="BC69" s="5">
        <f t="shared" si="64"/>
        <v>14942733.756006297</v>
      </c>
      <c r="BD69" s="5">
        <f t="shared" si="64"/>
        <v>15012779.41067378</v>
      </c>
      <c r="BE69" s="5">
        <f t="shared" si="64"/>
        <v>15076782.001929311</v>
      </c>
      <c r="BF69" s="5">
        <f t="shared" si="64"/>
        <v>15134658.990077039</v>
      </c>
      <c r="BG69" s="5">
        <f t="shared" si="64"/>
        <v>15186335.249500563</v>
      </c>
      <c r="BH69" s="5">
        <f t="shared" si="64"/>
        <v>15231743.230683291</v>
      </c>
      <c r="BI69" s="5">
        <f t="shared" si="64"/>
        <v>15270823.106904441</v>
      </c>
      <c r="BJ69" s="5">
        <f t="shared" si="64"/>
        <v>15303522.905166084</v>
      </c>
    </row>
    <row r="70" spans="2:62">
      <c r="AB70" s="23"/>
    </row>
    <row r="71" spans="2:62">
      <c r="B71" s="4" t="s">
        <v>279</v>
      </c>
    </row>
    <row r="72" spans="2:62">
      <c r="B72" t="s">
        <v>272</v>
      </c>
      <c r="I72">
        <v>1</v>
      </c>
      <c r="J72">
        <v>5</v>
      </c>
      <c r="K72" s="15">
        <f t="shared" ref="K72:K77" si="65">Z72*1.4</f>
        <v>377.2811954789272</v>
      </c>
      <c r="L72" s="15">
        <f>K72*75%</f>
        <v>282.9608966091954</v>
      </c>
      <c r="O72" s="5">
        <f t="shared" ref="O72:Y72" si="66">O64/((O$30+O$42))</f>
        <v>186.81476397723469</v>
      </c>
      <c r="P72" s="5">
        <f t="shared" si="66"/>
        <v>183.04106027458067</v>
      </c>
      <c r="Q72" s="5">
        <f t="shared" si="66"/>
        <v>194.62279046293605</v>
      </c>
      <c r="R72" s="5">
        <f t="shared" si="66"/>
        <v>179.89368289674616</v>
      </c>
      <c r="S72" s="5">
        <f t="shared" si="66"/>
        <v>198.63765303125658</v>
      </c>
      <c r="T72" s="5">
        <f t="shared" si="66"/>
        <v>231.2665042214964</v>
      </c>
      <c r="U72" s="5">
        <f t="shared" si="66"/>
        <v>259.48414026163812</v>
      </c>
      <c r="V72" s="5">
        <f t="shared" si="66"/>
        <v>279.55628185063154</v>
      </c>
      <c r="W72" s="5">
        <f t="shared" si="66"/>
        <v>292.32688599691886</v>
      </c>
      <c r="X72" s="5">
        <f t="shared" si="66"/>
        <v>276.26601359809206</v>
      </c>
      <c r="Y72" s="5">
        <f t="shared" si="66"/>
        <v>292.42886456531994</v>
      </c>
      <c r="Z72" s="5">
        <f>Z64/((Z$30+Z$42))</f>
        <v>269.48656819923372</v>
      </c>
      <c r="AA72" s="5"/>
      <c r="AB72" s="5">
        <f t="shared" ref="AB72:BJ72" si="67">IF(AND($I72&lt;AB$3,AB$3&lt;=$J72),AA72+($L72-$K72)/($J72-$I72+1),IF($I72&gt;=AB$3,$K72,$L72))</f>
        <v>377.2811954789272</v>
      </c>
      <c r="AC72" s="5">
        <f t="shared" si="67"/>
        <v>358.41713570498086</v>
      </c>
      <c r="AD72" s="5">
        <f t="shared" si="67"/>
        <v>339.55307593103453</v>
      </c>
      <c r="AE72" s="5">
        <f t="shared" si="67"/>
        <v>320.68901615708819</v>
      </c>
      <c r="AF72" s="5">
        <f t="shared" si="67"/>
        <v>301.82495638314185</v>
      </c>
      <c r="AG72" s="5">
        <f t="shared" si="67"/>
        <v>282.9608966091954</v>
      </c>
      <c r="AH72" s="5">
        <f t="shared" si="67"/>
        <v>282.9608966091954</v>
      </c>
      <c r="AI72" s="5">
        <f t="shared" si="67"/>
        <v>282.9608966091954</v>
      </c>
      <c r="AJ72" s="5">
        <f t="shared" si="67"/>
        <v>282.9608966091954</v>
      </c>
      <c r="AK72" s="5">
        <f t="shared" si="67"/>
        <v>282.9608966091954</v>
      </c>
      <c r="AL72" s="5">
        <f t="shared" si="67"/>
        <v>282.9608966091954</v>
      </c>
      <c r="AM72" s="5">
        <f t="shared" si="67"/>
        <v>282.9608966091954</v>
      </c>
      <c r="AN72" s="5">
        <f t="shared" si="67"/>
        <v>282.9608966091954</v>
      </c>
      <c r="AO72" s="5">
        <f t="shared" si="67"/>
        <v>282.9608966091954</v>
      </c>
      <c r="AP72" s="5">
        <f t="shared" si="67"/>
        <v>282.9608966091954</v>
      </c>
      <c r="AQ72" s="5">
        <f t="shared" si="67"/>
        <v>282.9608966091954</v>
      </c>
      <c r="AR72" s="5">
        <f t="shared" si="67"/>
        <v>282.9608966091954</v>
      </c>
      <c r="AS72" s="5">
        <f t="shared" si="67"/>
        <v>282.9608966091954</v>
      </c>
      <c r="AT72" s="5">
        <f t="shared" si="67"/>
        <v>282.9608966091954</v>
      </c>
      <c r="AU72" s="5">
        <f t="shared" si="67"/>
        <v>282.9608966091954</v>
      </c>
      <c r="AV72" s="5">
        <f t="shared" si="67"/>
        <v>282.9608966091954</v>
      </c>
      <c r="AW72" s="5">
        <f t="shared" si="67"/>
        <v>282.9608966091954</v>
      </c>
      <c r="AX72" s="5">
        <f t="shared" si="67"/>
        <v>282.9608966091954</v>
      </c>
      <c r="AY72" s="5">
        <f t="shared" si="67"/>
        <v>282.9608966091954</v>
      </c>
      <c r="AZ72" s="5">
        <f t="shared" si="67"/>
        <v>282.9608966091954</v>
      </c>
      <c r="BA72" s="5">
        <f t="shared" si="67"/>
        <v>282.9608966091954</v>
      </c>
      <c r="BB72" s="5">
        <f t="shared" si="67"/>
        <v>282.9608966091954</v>
      </c>
      <c r="BC72" s="5">
        <f t="shared" si="67"/>
        <v>282.9608966091954</v>
      </c>
      <c r="BD72" s="5">
        <f t="shared" si="67"/>
        <v>282.9608966091954</v>
      </c>
      <c r="BE72" s="5">
        <f t="shared" si="67"/>
        <v>282.9608966091954</v>
      </c>
      <c r="BF72" s="5">
        <f t="shared" si="67"/>
        <v>282.9608966091954</v>
      </c>
      <c r="BG72" s="5">
        <f t="shared" si="67"/>
        <v>282.9608966091954</v>
      </c>
      <c r="BH72" s="5">
        <f t="shared" si="67"/>
        <v>282.9608966091954</v>
      </c>
      <c r="BI72" s="5">
        <f t="shared" si="67"/>
        <v>282.9608966091954</v>
      </c>
      <c r="BJ72" s="5">
        <f t="shared" si="67"/>
        <v>282.9608966091954</v>
      </c>
    </row>
    <row r="73" spans="2:62">
      <c r="B73" t="s">
        <v>329</v>
      </c>
      <c r="I73">
        <v>1</v>
      </c>
      <c r="J73">
        <v>5</v>
      </c>
      <c r="K73" s="15">
        <f>Z73</f>
        <v>0.34148117379498305</v>
      </c>
      <c r="L73" s="15">
        <f>K73*75%</f>
        <v>0.2561108803462373</v>
      </c>
      <c r="O73" s="8">
        <f t="shared" ref="O73:Y73" si="68">O65/((O$56+O$57)*1000)</f>
        <v>0.1447500852268177</v>
      </c>
      <c r="P73" s="8">
        <f t="shared" si="68"/>
        <v>0.12876534710589468</v>
      </c>
      <c r="Q73" s="8">
        <f t="shared" si="68"/>
        <v>0.15844103837938081</v>
      </c>
      <c r="R73" s="8">
        <f t="shared" si="68"/>
        <v>0.17085268268228651</v>
      </c>
      <c r="S73" s="8">
        <f t="shared" si="68"/>
        <v>0.23862954933018679</v>
      </c>
      <c r="T73" s="8">
        <f t="shared" si="68"/>
        <v>0.14158991589174963</v>
      </c>
      <c r="U73" s="8">
        <f t="shared" si="68"/>
        <v>0.25225364524691074</v>
      </c>
      <c r="V73" s="8">
        <f t="shared" si="68"/>
        <v>0.25995448121838938</v>
      </c>
      <c r="W73" s="8">
        <f t="shared" si="68"/>
        <v>0.29692990212627546</v>
      </c>
      <c r="X73" s="8">
        <f t="shared" si="68"/>
        <v>0.30450931290859484</v>
      </c>
      <c r="Y73" s="8">
        <f t="shared" si="68"/>
        <v>0.3320130410564246</v>
      </c>
      <c r="Z73" s="8">
        <f>Z65/((Z$56+Z$57)*1000)</f>
        <v>0.34148117379498305</v>
      </c>
      <c r="AA73" s="8"/>
      <c r="AB73" s="8">
        <f t="shared" ref="AB73:BJ73" si="69">IF(AND($I73&lt;AB$3,AB$3&lt;=$J73),AA73+($L73-$K73)/($J73-$I73+1),IF($I73&gt;=AB$3,$K73,$L73))</f>
        <v>0.34148117379498305</v>
      </c>
      <c r="AC73" s="8">
        <f t="shared" si="69"/>
        <v>0.3244071151052339</v>
      </c>
      <c r="AD73" s="8">
        <f t="shared" si="69"/>
        <v>0.30733305641548475</v>
      </c>
      <c r="AE73" s="8">
        <f t="shared" si="69"/>
        <v>0.2902589977257356</v>
      </c>
      <c r="AF73" s="8">
        <f t="shared" si="69"/>
        <v>0.27318493903598645</v>
      </c>
      <c r="AG73" s="8">
        <f t="shared" si="69"/>
        <v>0.2561108803462373</v>
      </c>
      <c r="AH73" s="8">
        <f t="shared" si="69"/>
        <v>0.2561108803462373</v>
      </c>
      <c r="AI73" s="8">
        <f t="shared" si="69"/>
        <v>0.2561108803462373</v>
      </c>
      <c r="AJ73" s="8">
        <f t="shared" si="69"/>
        <v>0.2561108803462373</v>
      </c>
      <c r="AK73" s="8">
        <f t="shared" si="69"/>
        <v>0.2561108803462373</v>
      </c>
      <c r="AL73" s="8">
        <f t="shared" si="69"/>
        <v>0.2561108803462373</v>
      </c>
      <c r="AM73" s="8">
        <f t="shared" si="69"/>
        <v>0.2561108803462373</v>
      </c>
      <c r="AN73" s="8">
        <f t="shared" si="69"/>
        <v>0.2561108803462373</v>
      </c>
      <c r="AO73" s="8">
        <f t="shared" si="69"/>
        <v>0.2561108803462373</v>
      </c>
      <c r="AP73" s="8">
        <f t="shared" si="69"/>
        <v>0.2561108803462373</v>
      </c>
      <c r="AQ73" s="8">
        <f t="shared" si="69"/>
        <v>0.2561108803462373</v>
      </c>
      <c r="AR73" s="8">
        <f t="shared" si="69"/>
        <v>0.2561108803462373</v>
      </c>
      <c r="AS73" s="8">
        <f t="shared" si="69"/>
        <v>0.2561108803462373</v>
      </c>
      <c r="AT73" s="8">
        <f t="shared" si="69"/>
        <v>0.2561108803462373</v>
      </c>
      <c r="AU73" s="8">
        <f t="shared" si="69"/>
        <v>0.2561108803462373</v>
      </c>
      <c r="AV73" s="8">
        <f t="shared" si="69"/>
        <v>0.2561108803462373</v>
      </c>
      <c r="AW73" s="8">
        <f t="shared" si="69"/>
        <v>0.2561108803462373</v>
      </c>
      <c r="AX73" s="8">
        <f t="shared" si="69"/>
        <v>0.2561108803462373</v>
      </c>
      <c r="AY73" s="8">
        <f t="shared" si="69"/>
        <v>0.2561108803462373</v>
      </c>
      <c r="AZ73" s="8">
        <f t="shared" si="69"/>
        <v>0.2561108803462373</v>
      </c>
      <c r="BA73" s="8">
        <f t="shared" si="69"/>
        <v>0.2561108803462373</v>
      </c>
      <c r="BB73" s="8">
        <f t="shared" si="69"/>
        <v>0.2561108803462373</v>
      </c>
      <c r="BC73" s="8">
        <f t="shared" si="69"/>
        <v>0.2561108803462373</v>
      </c>
      <c r="BD73" s="8">
        <f t="shared" si="69"/>
        <v>0.2561108803462373</v>
      </c>
      <c r="BE73" s="8">
        <f t="shared" si="69"/>
        <v>0.2561108803462373</v>
      </c>
      <c r="BF73" s="8">
        <f t="shared" si="69"/>
        <v>0.2561108803462373</v>
      </c>
      <c r="BG73" s="8">
        <f t="shared" si="69"/>
        <v>0.2561108803462373</v>
      </c>
      <c r="BH73" s="8">
        <f t="shared" si="69"/>
        <v>0.2561108803462373</v>
      </c>
      <c r="BI73" s="8">
        <f t="shared" si="69"/>
        <v>0.2561108803462373</v>
      </c>
      <c r="BJ73" s="8">
        <f t="shared" si="69"/>
        <v>0.2561108803462373</v>
      </c>
    </row>
    <row r="74" spans="2:62">
      <c r="B74" t="s">
        <v>273</v>
      </c>
      <c r="I74">
        <v>1</v>
      </c>
      <c r="J74">
        <v>5</v>
      </c>
      <c r="K74" s="15">
        <f>Z74*1.25</f>
        <v>0.65160479455391995</v>
      </c>
      <c r="L74" s="15">
        <f>K74*100%</f>
        <v>0.65160479455391995</v>
      </c>
      <c r="O74" s="8">
        <f t="shared" ref="O74:Y74" si="70">O66/((O$56+O$57)*1000)</f>
        <v>0.14585797665814776</v>
      </c>
      <c r="P74" s="8">
        <f t="shared" si="70"/>
        <v>0.16242108695833948</v>
      </c>
      <c r="Q74" s="8">
        <f t="shared" si="70"/>
        <v>0.16788083528298814</v>
      </c>
      <c r="R74" s="8">
        <f t="shared" si="70"/>
        <v>0.16342594424875662</v>
      </c>
      <c r="S74" s="8">
        <f t="shared" si="70"/>
        <v>0.22939922901945972</v>
      </c>
      <c r="T74" s="8">
        <f t="shared" si="70"/>
        <v>0.3013340892596908</v>
      </c>
      <c r="U74" s="8">
        <f t="shared" si="70"/>
        <v>0.29314209234842648</v>
      </c>
      <c r="V74" s="8">
        <f t="shared" si="70"/>
        <v>0.29130044139547473</v>
      </c>
      <c r="W74" s="8">
        <f t="shared" si="70"/>
        <v>0.31806648548183297</v>
      </c>
      <c r="X74" s="8">
        <f t="shared" si="70"/>
        <v>0.2846751827927842</v>
      </c>
      <c r="Y74" s="8">
        <f t="shared" si="70"/>
        <v>0.38486418295225938</v>
      </c>
      <c r="Z74" s="8">
        <f>Z66/((Z$56+Z$57)*1000)</f>
        <v>0.52128383564313596</v>
      </c>
      <c r="AA74" s="8"/>
      <c r="AB74" s="8">
        <f t="shared" ref="AB74:BJ74" si="71">IF(AND($I74&lt;AB$3,AB$3&lt;=$J74),AA74+($L74-$K74)/($J74-$I74+1),IF($I74&gt;=AB$3,$K74,$L74))</f>
        <v>0.65160479455391995</v>
      </c>
      <c r="AC74" s="8">
        <f t="shared" si="71"/>
        <v>0.65160479455391995</v>
      </c>
      <c r="AD74" s="8">
        <f t="shared" si="71"/>
        <v>0.65160479455391995</v>
      </c>
      <c r="AE74" s="8">
        <f t="shared" si="71"/>
        <v>0.65160479455391995</v>
      </c>
      <c r="AF74" s="8">
        <f t="shared" si="71"/>
        <v>0.65160479455391995</v>
      </c>
      <c r="AG74" s="8">
        <f t="shared" si="71"/>
        <v>0.65160479455391995</v>
      </c>
      <c r="AH74" s="8">
        <f t="shared" si="71"/>
        <v>0.65160479455391995</v>
      </c>
      <c r="AI74" s="8">
        <f t="shared" si="71"/>
        <v>0.65160479455391995</v>
      </c>
      <c r="AJ74" s="8">
        <f t="shared" si="71"/>
        <v>0.65160479455391995</v>
      </c>
      <c r="AK74" s="8">
        <f t="shared" si="71"/>
        <v>0.65160479455391995</v>
      </c>
      <c r="AL74" s="8">
        <f t="shared" si="71"/>
        <v>0.65160479455391995</v>
      </c>
      <c r="AM74" s="8">
        <f t="shared" si="71"/>
        <v>0.65160479455391995</v>
      </c>
      <c r="AN74" s="8">
        <f t="shared" si="71"/>
        <v>0.65160479455391995</v>
      </c>
      <c r="AO74" s="8">
        <f t="shared" si="71"/>
        <v>0.65160479455391995</v>
      </c>
      <c r="AP74" s="8">
        <f t="shared" si="71"/>
        <v>0.65160479455391995</v>
      </c>
      <c r="AQ74" s="8">
        <f t="shared" si="71"/>
        <v>0.65160479455391995</v>
      </c>
      <c r="AR74" s="8">
        <f t="shared" si="71"/>
        <v>0.65160479455391995</v>
      </c>
      <c r="AS74" s="8">
        <f t="shared" si="71"/>
        <v>0.65160479455391995</v>
      </c>
      <c r="AT74" s="8">
        <f t="shared" si="71"/>
        <v>0.65160479455391995</v>
      </c>
      <c r="AU74" s="8">
        <f t="shared" si="71"/>
        <v>0.65160479455391995</v>
      </c>
      <c r="AV74" s="8">
        <f t="shared" si="71"/>
        <v>0.65160479455391995</v>
      </c>
      <c r="AW74" s="8">
        <f t="shared" si="71"/>
        <v>0.65160479455391995</v>
      </c>
      <c r="AX74" s="8">
        <f t="shared" si="71"/>
        <v>0.65160479455391995</v>
      </c>
      <c r="AY74" s="8">
        <f t="shared" si="71"/>
        <v>0.65160479455391995</v>
      </c>
      <c r="AZ74" s="8">
        <f t="shared" si="71"/>
        <v>0.65160479455391995</v>
      </c>
      <c r="BA74" s="8">
        <f t="shared" si="71"/>
        <v>0.65160479455391995</v>
      </c>
      <c r="BB74" s="8">
        <f t="shared" si="71"/>
        <v>0.65160479455391995</v>
      </c>
      <c r="BC74" s="8">
        <f t="shared" si="71"/>
        <v>0.65160479455391995</v>
      </c>
      <c r="BD74" s="8">
        <f t="shared" si="71"/>
        <v>0.65160479455391995</v>
      </c>
      <c r="BE74" s="8">
        <f t="shared" si="71"/>
        <v>0.65160479455391995</v>
      </c>
      <c r="BF74" s="8">
        <f t="shared" si="71"/>
        <v>0.65160479455391995</v>
      </c>
      <c r="BG74" s="8">
        <f t="shared" si="71"/>
        <v>0.65160479455391995</v>
      </c>
      <c r="BH74" s="8">
        <f t="shared" si="71"/>
        <v>0.65160479455391995</v>
      </c>
      <c r="BI74" s="8">
        <f t="shared" si="71"/>
        <v>0.65160479455391995</v>
      </c>
      <c r="BJ74" s="8">
        <f t="shared" si="71"/>
        <v>0.65160479455391995</v>
      </c>
    </row>
    <row r="75" spans="2:62">
      <c r="B75" t="s">
        <v>275</v>
      </c>
      <c r="I75">
        <v>1</v>
      </c>
      <c r="J75">
        <v>5</v>
      </c>
      <c r="K75" s="15">
        <f t="shared" si="65"/>
        <v>142.33366643678158</v>
      </c>
      <c r="L75" s="15">
        <f>K75*75%</f>
        <v>106.75024982758619</v>
      </c>
      <c r="O75" s="5">
        <f t="shared" ref="O75:Z75" si="72">O67/((O$30+O$42))</f>
        <v>101.56196853029796</v>
      </c>
      <c r="P75" s="5">
        <f t="shared" si="72"/>
        <v>104.8512952217889</v>
      </c>
      <c r="Q75" s="5">
        <f t="shared" si="72"/>
        <v>116.08009374952208</v>
      </c>
      <c r="R75" s="5">
        <f t="shared" si="72"/>
        <v>114.2374917772818</v>
      </c>
      <c r="S75" s="5">
        <f t="shared" si="72"/>
        <v>96.818482204041686</v>
      </c>
      <c r="T75" s="5">
        <f t="shared" si="72"/>
        <v>59.145975009825307</v>
      </c>
      <c r="U75" s="5">
        <f t="shared" si="72"/>
        <v>88.791511655683109</v>
      </c>
      <c r="V75" s="5">
        <f t="shared" si="72"/>
        <v>78.926391954969787</v>
      </c>
      <c r="W75" s="5">
        <f t="shared" si="72"/>
        <v>88.572183977945343</v>
      </c>
      <c r="X75" s="5">
        <f t="shared" si="72"/>
        <v>103.49701685267415</v>
      </c>
      <c r="Y75" s="5">
        <f t="shared" si="72"/>
        <v>78.688569538332544</v>
      </c>
      <c r="Z75" s="5">
        <f t="shared" si="72"/>
        <v>101.66690459770115</v>
      </c>
      <c r="AA75" s="5"/>
      <c r="AB75" s="5">
        <f t="shared" ref="AB75:BJ75" si="73">IF(AND($I75&lt;AB$3,AB$3&lt;=$J75),AA75+($L75-$K75)/($J75-$I75+1),IF($I75&gt;=AB$3,$K75,$L75))</f>
        <v>142.33366643678158</v>
      </c>
      <c r="AC75" s="5">
        <f t="shared" si="73"/>
        <v>135.21698311494251</v>
      </c>
      <c r="AD75" s="5">
        <f t="shared" si="73"/>
        <v>128.10029979310343</v>
      </c>
      <c r="AE75" s="5">
        <f t="shared" si="73"/>
        <v>120.98361647126436</v>
      </c>
      <c r="AF75" s="5">
        <f t="shared" si="73"/>
        <v>113.86693314942528</v>
      </c>
      <c r="AG75" s="5">
        <f t="shared" si="73"/>
        <v>106.75024982758619</v>
      </c>
      <c r="AH75" s="5">
        <f t="shared" si="73"/>
        <v>106.75024982758619</v>
      </c>
      <c r="AI75" s="5">
        <f t="shared" si="73"/>
        <v>106.75024982758619</v>
      </c>
      <c r="AJ75" s="5">
        <f t="shared" si="73"/>
        <v>106.75024982758619</v>
      </c>
      <c r="AK75" s="5">
        <f t="shared" si="73"/>
        <v>106.75024982758619</v>
      </c>
      <c r="AL75" s="5">
        <f t="shared" si="73"/>
        <v>106.75024982758619</v>
      </c>
      <c r="AM75" s="5">
        <f t="shared" si="73"/>
        <v>106.75024982758619</v>
      </c>
      <c r="AN75" s="5">
        <f t="shared" si="73"/>
        <v>106.75024982758619</v>
      </c>
      <c r="AO75" s="5">
        <f t="shared" si="73"/>
        <v>106.75024982758619</v>
      </c>
      <c r="AP75" s="5">
        <f t="shared" si="73"/>
        <v>106.75024982758619</v>
      </c>
      <c r="AQ75" s="5">
        <f t="shared" si="73"/>
        <v>106.75024982758619</v>
      </c>
      <c r="AR75" s="5">
        <f t="shared" si="73"/>
        <v>106.75024982758619</v>
      </c>
      <c r="AS75" s="5">
        <f t="shared" si="73"/>
        <v>106.75024982758619</v>
      </c>
      <c r="AT75" s="5">
        <f t="shared" si="73"/>
        <v>106.75024982758619</v>
      </c>
      <c r="AU75" s="5">
        <f t="shared" si="73"/>
        <v>106.75024982758619</v>
      </c>
      <c r="AV75" s="5">
        <f t="shared" si="73"/>
        <v>106.75024982758619</v>
      </c>
      <c r="AW75" s="5">
        <f t="shared" si="73"/>
        <v>106.75024982758619</v>
      </c>
      <c r="AX75" s="5">
        <f t="shared" si="73"/>
        <v>106.75024982758619</v>
      </c>
      <c r="AY75" s="5">
        <f t="shared" si="73"/>
        <v>106.75024982758619</v>
      </c>
      <c r="AZ75" s="5">
        <f t="shared" si="73"/>
        <v>106.75024982758619</v>
      </c>
      <c r="BA75" s="5">
        <f t="shared" si="73"/>
        <v>106.75024982758619</v>
      </c>
      <c r="BB75" s="5">
        <f t="shared" si="73"/>
        <v>106.75024982758619</v>
      </c>
      <c r="BC75" s="5">
        <f t="shared" si="73"/>
        <v>106.75024982758619</v>
      </c>
      <c r="BD75" s="5">
        <f t="shared" si="73"/>
        <v>106.75024982758619</v>
      </c>
      <c r="BE75" s="5">
        <f t="shared" si="73"/>
        <v>106.75024982758619</v>
      </c>
      <c r="BF75" s="5">
        <f t="shared" si="73"/>
        <v>106.75024982758619</v>
      </c>
      <c r="BG75" s="5">
        <f t="shared" si="73"/>
        <v>106.75024982758619</v>
      </c>
      <c r="BH75" s="5">
        <f t="shared" si="73"/>
        <v>106.75024982758619</v>
      </c>
      <c r="BI75" s="5">
        <f t="shared" si="73"/>
        <v>106.75024982758619</v>
      </c>
      <c r="BJ75" s="5">
        <f t="shared" si="73"/>
        <v>106.75024982758619</v>
      </c>
    </row>
    <row r="76" spans="2:62">
      <c r="B76" t="s">
        <v>276</v>
      </c>
      <c r="I76">
        <v>1</v>
      </c>
      <c r="J76">
        <v>5</v>
      </c>
      <c r="K76" s="15">
        <f t="shared" si="65"/>
        <v>0</v>
      </c>
      <c r="L76" s="15">
        <f>K76*75%</f>
        <v>0</v>
      </c>
      <c r="O76" s="5">
        <f t="shared" ref="O76:Z76" si="74">O68/((O$30+O$42))</f>
        <v>0</v>
      </c>
      <c r="P76" s="5">
        <f t="shared" si="74"/>
        <v>0</v>
      </c>
      <c r="Q76" s="5">
        <f t="shared" si="74"/>
        <v>0</v>
      </c>
      <c r="R76" s="5">
        <f t="shared" si="74"/>
        <v>0</v>
      </c>
      <c r="S76" s="5">
        <f t="shared" si="74"/>
        <v>0</v>
      </c>
      <c r="T76" s="5">
        <f t="shared" si="74"/>
        <v>0</v>
      </c>
      <c r="U76" s="5">
        <f t="shared" si="74"/>
        <v>0</v>
      </c>
      <c r="V76" s="5">
        <f t="shared" si="74"/>
        <v>0</v>
      </c>
      <c r="W76" s="5">
        <f t="shared" si="74"/>
        <v>0</v>
      </c>
      <c r="X76" s="5">
        <f t="shared" si="74"/>
        <v>0</v>
      </c>
      <c r="Y76" s="5">
        <f t="shared" si="74"/>
        <v>0</v>
      </c>
      <c r="Z76" s="5">
        <f t="shared" si="74"/>
        <v>0</v>
      </c>
      <c r="AA76" s="5"/>
      <c r="AB76" s="5">
        <f t="shared" ref="AB76:BJ76" si="75">IF(AND($I76&lt;AB$3,AB$3&lt;=$J76),AA76+($L76-$K76)/($J76-$I76+1),IF($I76&gt;=AB$3,$K76,$L76))</f>
        <v>0</v>
      </c>
      <c r="AC76" s="5">
        <f t="shared" si="75"/>
        <v>0</v>
      </c>
      <c r="AD76" s="5">
        <f t="shared" si="75"/>
        <v>0</v>
      </c>
      <c r="AE76" s="5">
        <f t="shared" si="75"/>
        <v>0</v>
      </c>
      <c r="AF76" s="5">
        <f t="shared" si="75"/>
        <v>0</v>
      </c>
      <c r="AG76" s="5">
        <f t="shared" si="75"/>
        <v>0</v>
      </c>
      <c r="AH76" s="5">
        <f t="shared" si="75"/>
        <v>0</v>
      </c>
      <c r="AI76" s="5">
        <f t="shared" si="75"/>
        <v>0</v>
      </c>
      <c r="AJ76" s="5">
        <f t="shared" si="75"/>
        <v>0</v>
      </c>
      <c r="AK76" s="5">
        <f t="shared" si="75"/>
        <v>0</v>
      </c>
      <c r="AL76" s="5">
        <f t="shared" si="75"/>
        <v>0</v>
      </c>
      <c r="AM76" s="5">
        <f t="shared" si="75"/>
        <v>0</v>
      </c>
      <c r="AN76" s="5">
        <f t="shared" si="75"/>
        <v>0</v>
      </c>
      <c r="AO76" s="5">
        <f t="shared" si="75"/>
        <v>0</v>
      </c>
      <c r="AP76" s="5">
        <f t="shared" si="75"/>
        <v>0</v>
      </c>
      <c r="AQ76" s="5">
        <f t="shared" si="75"/>
        <v>0</v>
      </c>
      <c r="AR76" s="5">
        <f t="shared" si="75"/>
        <v>0</v>
      </c>
      <c r="AS76" s="5">
        <f t="shared" si="75"/>
        <v>0</v>
      </c>
      <c r="AT76" s="5">
        <f t="shared" si="75"/>
        <v>0</v>
      </c>
      <c r="AU76" s="5">
        <f t="shared" si="75"/>
        <v>0</v>
      </c>
      <c r="AV76" s="5">
        <f t="shared" si="75"/>
        <v>0</v>
      </c>
      <c r="AW76" s="5">
        <f t="shared" si="75"/>
        <v>0</v>
      </c>
      <c r="AX76" s="5">
        <f t="shared" si="75"/>
        <v>0</v>
      </c>
      <c r="AY76" s="5">
        <f t="shared" si="75"/>
        <v>0</v>
      </c>
      <c r="AZ76" s="5">
        <f t="shared" si="75"/>
        <v>0</v>
      </c>
      <c r="BA76" s="5">
        <f t="shared" si="75"/>
        <v>0</v>
      </c>
      <c r="BB76" s="5">
        <f t="shared" si="75"/>
        <v>0</v>
      </c>
      <c r="BC76" s="5">
        <f t="shared" si="75"/>
        <v>0</v>
      </c>
      <c r="BD76" s="5">
        <f t="shared" si="75"/>
        <v>0</v>
      </c>
      <c r="BE76" s="5">
        <f t="shared" si="75"/>
        <v>0</v>
      </c>
      <c r="BF76" s="5">
        <f t="shared" si="75"/>
        <v>0</v>
      </c>
      <c r="BG76" s="5">
        <f t="shared" si="75"/>
        <v>0</v>
      </c>
      <c r="BH76" s="5">
        <f t="shared" si="75"/>
        <v>0</v>
      </c>
      <c r="BI76" s="5">
        <f t="shared" si="75"/>
        <v>0</v>
      </c>
      <c r="BJ76" s="5">
        <f t="shared" si="75"/>
        <v>0</v>
      </c>
    </row>
    <row r="77" spans="2:62">
      <c r="B77" t="s">
        <v>277</v>
      </c>
      <c r="I77">
        <v>1</v>
      </c>
      <c r="J77">
        <v>5</v>
      </c>
      <c r="K77" s="15">
        <f t="shared" si="65"/>
        <v>185.48554567049808</v>
      </c>
      <c r="L77" s="15">
        <f>K77*75%</f>
        <v>139.11415925287355</v>
      </c>
      <c r="O77" s="5">
        <f t="shared" ref="O77:Z77" si="76">O69/((O$30+O$42))</f>
        <v>0</v>
      </c>
      <c r="P77" s="5">
        <f t="shared" si="76"/>
        <v>0</v>
      </c>
      <c r="Q77" s="5">
        <f t="shared" si="76"/>
        <v>53.338011837215348</v>
      </c>
      <c r="R77" s="5">
        <f t="shared" si="76"/>
        <v>112.36720912134383</v>
      </c>
      <c r="S77" s="5">
        <f t="shared" si="76"/>
        <v>90.909593315152776</v>
      </c>
      <c r="T77" s="5">
        <f t="shared" si="76"/>
        <v>55.559182262938918</v>
      </c>
      <c r="U77" s="5">
        <f t="shared" si="76"/>
        <v>81.89366195006113</v>
      </c>
      <c r="V77" s="5">
        <f t="shared" si="76"/>
        <v>118.43990815485996</v>
      </c>
      <c r="W77" s="5">
        <f t="shared" si="76"/>
        <v>99.875038919970805</v>
      </c>
      <c r="X77" s="5">
        <f t="shared" si="76"/>
        <v>180.43896788900162</v>
      </c>
      <c r="Y77" s="5">
        <f t="shared" si="76"/>
        <v>227.10663850023582</v>
      </c>
      <c r="Z77" s="5">
        <f t="shared" si="76"/>
        <v>132.48967547892721</v>
      </c>
      <c r="AA77" s="5"/>
      <c r="AB77" s="5">
        <f t="shared" ref="AB77:BJ77" si="77">IF(AND($I77&lt;AB$3,AB$3&lt;=$J77),AA77+($L77-$K77)/($J77-$I77+1),IF($I77&gt;=AB$3,$K77,$L77))</f>
        <v>185.48554567049808</v>
      </c>
      <c r="AC77" s="5">
        <f t="shared" si="77"/>
        <v>176.21126838697319</v>
      </c>
      <c r="AD77" s="5">
        <f t="shared" si="77"/>
        <v>166.93699110344829</v>
      </c>
      <c r="AE77" s="5">
        <f t="shared" si="77"/>
        <v>157.6627138199234</v>
      </c>
      <c r="AF77" s="5">
        <f t="shared" si="77"/>
        <v>148.3884365363985</v>
      </c>
      <c r="AG77" s="5">
        <f t="shared" si="77"/>
        <v>139.11415925287355</v>
      </c>
      <c r="AH77" s="5">
        <f t="shared" si="77"/>
        <v>139.11415925287355</v>
      </c>
      <c r="AI77" s="5">
        <f t="shared" si="77"/>
        <v>139.11415925287355</v>
      </c>
      <c r="AJ77" s="5">
        <f t="shared" si="77"/>
        <v>139.11415925287355</v>
      </c>
      <c r="AK77" s="5">
        <f t="shared" si="77"/>
        <v>139.11415925287355</v>
      </c>
      <c r="AL77" s="5">
        <f t="shared" si="77"/>
        <v>139.11415925287355</v>
      </c>
      <c r="AM77" s="5">
        <f t="shared" si="77"/>
        <v>139.11415925287355</v>
      </c>
      <c r="AN77" s="5">
        <f t="shared" si="77"/>
        <v>139.11415925287355</v>
      </c>
      <c r="AO77" s="5">
        <f t="shared" si="77"/>
        <v>139.11415925287355</v>
      </c>
      <c r="AP77" s="5">
        <f t="shared" si="77"/>
        <v>139.11415925287355</v>
      </c>
      <c r="AQ77" s="5">
        <f t="shared" si="77"/>
        <v>139.11415925287355</v>
      </c>
      <c r="AR77" s="5">
        <f t="shared" si="77"/>
        <v>139.11415925287355</v>
      </c>
      <c r="AS77" s="5">
        <f t="shared" si="77"/>
        <v>139.11415925287355</v>
      </c>
      <c r="AT77" s="5">
        <f t="shared" si="77"/>
        <v>139.11415925287355</v>
      </c>
      <c r="AU77" s="5">
        <f t="shared" si="77"/>
        <v>139.11415925287355</v>
      </c>
      <c r="AV77" s="5">
        <f t="shared" si="77"/>
        <v>139.11415925287355</v>
      </c>
      <c r="AW77" s="5">
        <f t="shared" si="77"/>
        <v>139.11415925287355</v>
      </c>
      <c r="AX77" s="5">
        <f t="shared" si="77"/>
        <v>139.11415925287355</v>
      </c>
      <c r="AY77" s="5">
        <f t="shared" si="77"/>
        <v>139.11415925287355</v>
      </c>
      <c r="AZ77" s="5">
        <f t="shared" si="77"/>
        <v>139.11415925287355</v>
      </c>
      <c r="BA77" s="5">
        <f t="shared" si="77"/>
        <v>139.11415925287355</v>
      </c>
      <c r="BB77" s="5">
        <f t="shared" si="77"/>
        <v>139.11415925287355</v>
      </c>
      <c r="BC77" s="5">
        <f t="shared" si="77"/>
        <v>139.11415925287355</v>
      </c>
      <c r="BD77" s="5">
        <f t="shared" si="77"/>
        <v>139.11415925287355</v>
      </c>
      <c r="BE77" s="5">
        <f t="shared" si="77"/>
        <v>139.11415925287355</v>
      </c>
      <c r="BF77" s="5">
        <f t="shared" si="77"/>
        <v>139.11415925287355</v>
      </c>
      <c r="BG77" s="5">
        <f t="shared" si="77"/>
        <v>139.11415925287355</v>
      </c>
      <c r="BH77" s="5">
        <f t="shared" si="77"/>
        <v>139.11415925287355</v>
      </c>
      <c r="BI77" s="5">
        <f t="shared" si="77"/>
        <v>139.11415925287355</v>
      </c>
      <c r="BJ77" s="5">
        <f t="shared" si="77"/>
        <v>139.11415925287355</v>
      </c>
    </row>
    <row r="79" spans="2:62" s="9" customFormat="1">
      <c r="B79" s="9" t="s">
        <v>280</v>
      </c>
      <c r="K79" s="45"/>
    </row>
    <row r="81" spans="2:62">
      <c r="B81" t="s">
        <v>287</v>
      </c>
      <c r="O81" s="5">
        <f>SUMIFS(Tabela1[AG011 - Volume de água faturado],Tabela1[Ano de Referência],'Valuation (FCF)'!O$2)</f>
        <v>7787.51</v>
      </c>
      <c r="P81" s="5">
        <f>SUMIFS(Tabela1[AG011 - Volume de água faturado],Tabela1[Ano de Referência],'Valuation (FCF)'!P$2)</f>
        <v>7891.69</v>
      </c>
      <c r="Q81" s="5">
        <f>SUMIFS(Tabela1[AG011 - Volume de água faturado],Tabela1[Ano de Referência],'Valuation (FCF)'!Q$2)</f>
        <v>8100.27</v>
      </c>
      <c r="R81" s="5">
        <f>SUMIFS(Tabela1[AG011 - Volume de água faturado],Tabela1[Ano de Referência],'Valuation (FCF)'!R$2)</f>
        <v>7902.37</v>
      </c>
      <c r="S81" s="5">
        <f>SUMIFS(Tabela1[AG011 - Volume de água faturado],Tabela1[Ano de Referência],'Valuation (FCF)'!S$2)</f>
        <v>7946.72</v>
      </c>
      <c r="T81" s="5">
        <f>SUMIFS(Tabela1[AG011 - Volume de água faturado],Tabela1[Ano de Referência],'Valuation (FCF)'!T$2)</f>
        <v>7649.78</v>
      </c>
      <c r="U81" s="5">
        <f>SUMIFS(Tabela1[AG011 - Volume de água faturado],Tabela1[Ano de Referência],'Valuation (FCF)'!U$2)</f>
        <v>8461.8799999999992</v>
      </c>
      <c r="V81" s="5">
        <f>SUMIFS(Tabela1[AG011 - Volume de água faturado],Tabela1[Ano de Referência],'Valuation (FCF)'!V$2)</f>
        <v>8904.82</v>
      </c>
      <c r="W81" s="5">
        <f>SUMIFS(Tabela1[AG011 - Volume de água faturado],Tabela1[Ano de Referência],'Valuation (FCF)'!W$2)</f>
        <v>8878.57</v>
      </c>
      <c r="X81" s="5">
        <f>SUMIFS(Tabela1[AG011 - Volume de água faturado],Tabela1[Ano de Referência],'Valuation (FCF)'!X$2)</f>
        <v>9131.5400000000009</v>
      </c>
      <c r="Y81" s="5">
        <f>SUMIFS(Tabela1[AG011 - Volume de água faturado],Tabela1[Ano de Referência],'Valuation (FCF)'!Y$2)</f>
        <v>9335.41</v>
      </c>
      <c r="Z81" s="5">
        <f>SUMIFS(Tabela1[AG011 - Volume de água faturado],Tabela1[Ano de Referência],'Valuation (FCF)'!Z$2)</f>
        <v>8692.5</v>
      </c>
      <c r="AA81" s="5"/>
      <c r="AB81" s="5">
        <f>AB55*AB84</f>
        <v>8887.6710036941804</v>
      </c>
      <c r="AC81" s="5">
        <f>AC55*AC84</f>
        <v>9366.3785076615623</v>
      </c>
      <c r="AD81" s="5">
        <f t="shared" ref="AD81:BJ81" si="78">AD55*AD84</f>
        <v>9859.8048454172022</v>
      </c>
      <c r="AE81" s="5">
        <f t="shared" si="78"/>
        <v>10367.879519634384</v>
      </c>
      <c r="AF81" s="5">
        <f t="shared" si="78"/>
        <v>10890.503196527483</v>
      </c>
      <c r="AG81" s="5">
        <f t="shared" si="78"/>
        <v>11427.547039689362</v>
      </c>
      <c r="AH81" s="5">
        <f t="shared" si="78"/>
        <v>11590.703793742592</v>
      </c>
      <c r="AI81" s="5">
        <f t="shared" si="78"/>
        <v>11751.19482715726</v>
      </c>
      <c r="AJ81" s="5">
        <f t="shared" si="78"/>
        <v>11908.843941430518</v>
      </c>
      <c r="AK81" s="5">
        <f t="shared" si="78"/>
        <v>12063.476103374749</v>
      </c>
      <c r="AL81" s="5">
        <f t="shared" si="78"/>
        <v>12214.917763141419</v>
      </c>
      <c r="AM81" s="5">
        <f t="shared" si="78"/>
        <v>12362.997173563992</v>
      </c>
      <c r="AN81" s="5">
        <f t="shared" si="78"/>
        <v>12507.544710013744</v>
      </c>
      <c r="AO81" s="5">
        <f t="shared" si="78"/>
        <v>12648.393189949265</v>
      </c>
      <c r="AP81" s="5">
        <f t="shared" si="78"/>
        <v>12785.378191330226</v>
      </c>
      <c r="AQ81" s="5">
        <f t="shared" si="78"/>
        <v>12918.338369058329</v>
      </c>
      <c r="AR81" s="5">
        <f t="shared" si="78"/>
        <v>13047.115768603468</v>
      </c>
      <c r="AS81" s="5">
        <f t="shared" si="78"/>
        <v>13171.556135971317</v>
      </c>
      <c r="AT81" s="5">
        <f t="shared" si="78"/>
        <v>13291.509223169234</v>
      </c>
      <c r="AU81" s="5">
        <f t="shared" si="78"/>
        <v>13406.829088331404</v>
      </c>
      <c r="AV81" s="5">
        <f t="shared" si="78"/>
        <v>13517.374389670669</v>
      </c>
      <c r="AW81" s="5">
        <f t="shared" si="78"/>
        <v>13623.008672434344</v>
      </c>
      <c r="AX81" s="5">
        <f t="shared" si="78"/>
        <v>13723.600648053896</v>
      </c>
      <c r="AY81" s="5">
        <f t="shared" si="78"/>
        <v>13819.024464693759</v>
      </c>
      <c r="AZ81" s="5">
        <f t="shared" si="78"/>
        <v>13909.159968423273</v>
      </c>
      <c r="BA81" s="5">
        <f t="shared" si="78"/>
        <v>13993.892954256693</v>
      </c>
      <c r="BB81" s="5">
        <f t="shared" si="78"/>
        <v>14073.115406330486</v>
      </c>
      <c r="BC81" s="5">
        <f t="shared" si="78"/>
        <v>14146.725726513878</v>
      </c>
      <c r="BD81" s="5">
        <f t="shared" si="78"/>
        <v>14214.628950777953</v>
      </c>
      <c r="BE81" s="5">
        <f t="shared" si="78"/>
        <v>14276.736952680665</v>
      </c>
      <c r="BF81" s="5">
        <f t="shared" si="78"/>
        <v>14332.96863335958</v>
      </c>
      <c r="BG81" s="5">
        <f t="shared" si="78"/>
        <v>14383.250097460723</v>
      </c>
      <c r="BH81" s="5">
        <f t="shared" si="78"/>
        <v>14427.514814471115</v>
      </c>
      <c r="BI81" s="5">
        <f t="shared" si="78"/>
        <v>14465.703764963404</v>
      </c>
      <c r="BJ81" s="5">
        <f t="shared" si="78"/>
        <v>14497.765571303988</v>
      </c>
    </row>
    <row r="82" spans="2:62">
      <c r="B82" t="s">
        <v>288</v>
      </c>
      <c r="O82" s="5">
        <f>SUMIFS(Tabela1[ES007 - Volume de esgotos faturado],Tabela1[Ano de Referência],'Valuation (FCF)'!O$2)</f>
        <v>7787.5</v>
      </c>
      <c r="P82" s="5">
        <f>SUMIFS(Tabela1[ES007 - Volume de esgotos faturado],Tabela1[Ano de Referência],'Valuation (FCF)'!P$2)</f>
        <v>8092.09</v>
      </c>
      <c r="Q82" s="5">
        <f>SUMIFS(Tabela1[ES007 - Volume de esgotos faturado],Tabela1[Ano de Referência],'Valuation (FCF)'!Q$2)</f>
        <v>8099.82</v>
      </c>
      <c r="R82" s="5">
        <f>SUMIFS(Tabela1[ES007 - Volume de esgotos faturado],Tabela1[Ano de Referência],'Valuation (FCF)'!R$2)</f>
        <v>7902.37</v>
      </c>
      <c r="S82" s="5">
        <f>SUMIFS(Tabela1[ES007 - Volume de esgotos faturado],Tabela1[Ano de Referência],'Valuation (FCF)'!S$2)</f>
        <v>7946.72</v>
      </c>
      <c r="T82" s="5">
        <f>SUMIFS(Tabela1[ES007 - Volume de esgotos faturado],Tabela1[Ano de Referência],'Valuation (FCF)'!T$2)</f>
        <v>5764.08</v>
      </c>
      <c r="U82" s="5">
        <f>SUMIFS(Tabela1[ES007 - Volume de esgotos faturado],Tabela1[Ano de Referência],'Valuation (FCF)'!U$2)</f>
        <v>7650.33</v>
      </c>
      <c r="V82" s="5">
        <f>SUMIFS(Tabela1[ES007 - Volume de esgotos faturado],Tabela1[Ano de Referência],'Valuation (FCF)'!V$2)</f>
        <v>8905.39</v>
      </c>
      <c r="W82" s="5">
        <f>SUMIFS(Tabela1[ES007 - Volume de esgotos faturado],Tabela1[Ano de Referência],'Valuation (FCF)'!W$2)</f>
        <v>8878.57</v>
      </c>
      <c r="X82" s="5">
        <f>SUMIFS(Tabela1[ES007 - Volume de esgotos faturado],Tabela1[Ano de Referência],'Valuation (FCF)'!X$2)</f>
        <v>9131.5400000000009</v>
      </c>
      <c r="Y82" s="5">
        <f>SUMIFS(Tabela1[ES007 - Volume de esgotos faturado],Tabela1[Ano de Referência],'Valuation (FCF)'!Y$2)</f>
        <v>9335.41</v>
      </c>
      <c r="Z82" s="5">
        <f>SUMIFS(Tabela1[ES007 - Volume de esgotos faturado],Tabela1[Ano de Referência],'Valuation (FCF)'!Z$2)</f>
        <v>8328.4500000000007</v>
      </c>
      <c r="AA82" s="5"/>
      <c r="AB82" s="5">
        <f>AB57*AB84</f>
        <v>7554.5203531400539</v>
      </c>
      <c r="AC82" s="5">
        <f t="shared" ref="AC82:BJ82" si="79">AC57*AC84</f>
        <v>7961.4217315123278</v>
      </c>
      <c r="AD82" s="5">
        <f t="shared" si="79"/>
        <v>8380.8341186046218</v>
      </c>
      <c r="AE82" s="5">
        <f t="shared" si="79"/>
        <v>8812.6975916892261</v>
      </c>
      <c r="AF82" s="5">
        <f t="shared" si="79"/>
        <v>9256.9277170483601</v>
      </c>
      <c r="AG82" s="5">
        <f t="shared" si="79"/>
        <v>9713.4149837359564</v>
      </c>
      <c r="AH82" s="5">
        <f t="shared" si="79"/>
        <v>9852.0982246812036</v>
      </c>
      <c r="AI82" s="5">
        <f t="shared" si="79"/>
        <v>9988.5156030836715</v>
      </c>
      <c r="AJ82" s="5">
        <f t="shared" si="79"/>
        <v>10122.517350215938</v>
      </c>
      <c r="AK82" s="5">
        <f t="shared" si="79"/>
        <v>10253.954687868536</v>
      </c>
      <c r="AL82" s="5">
        <f t="shared" si="79"/>
        <v>10382.680098670206</v>
      </c>
      <c r="AM82" s="5">
        <f t="shared" si="79"/>
        <v>10508.547597529392</v>
      </c>
      <c r="AN82" s="5">
        <f t="shared" si="79"/>
        <v>10631.413003511681</v>
      </c>
      <c r="AO82" s="5">
        <f t="shared" si="79"/>
        <v>10751.134211456876</v>
      </c>
      <c r="AP82" s="5">
        <f t="shared" si="79"/>
        <v>10867.571462630691</v>
      </c>
      <c r="AQ82" s="5">
        <f t="shared" si="79"/>
        <v>10980.587613699579</v>
      </c>
      <c r="AR82" s="5">
        <f t="shared" si="79"/>
        <v>11090.048403312947</v>
      </c>
      <c r="AS82" s="5">
        <f t="shared" si="79"/>
        <v>11195.822715575621</v>
      </c>
      <c r="AT82" s="5">
        <f t="shared" si="79"/>
        <v>11297.782839693849</v>
      </c>
      <c r="AU82" s="5">
        <f t="shared" si="79"/>
        <v>11395.804725081694</v>
      </c>
      <c r="AV82" s="5">
        <f t="shared" si="79"/>
        <v>11489.768231220067</v>
      </c>
      <c r="AW82" s="5">
        <f t="shared" si="79"/>
        <v>11579.557371569192</v>
      </c>
      <c r="AX82" s="5">
        <f t="shared" si="79"/>
        <v>11665.06055084581</v>
      </c>
      <c r="AY82" s="5">
        <f t="shared" si="79"/>
        <v>11746.170794989694</v>
      </c>
      <c r="AZ82" s="5">
        <f t="shared" si="79"/>
        <v>11822.785973159782</v>
      </c>
      <c r="BA82" s="5">
        <f t="shared" si="79"/>
        <v>11894.809011118188</v>
      </c>
      <c r="BB82" s="5">
        <f t="shared" si="79"/>
        <v>11962.148095380913</v>
      </c>
      <c r="BC82" s="5">
        <f t="shared" si="79"/>
        <v>12024.716867536796</v>
      </c>
      <c r="BD82" s="5">
        <f t="shared" si="79"/>
        <v>12082.43460816126</v>
      </c>
      <c r="BE82" s="5">
        <f t="shared" si="79"/>
        <v>12135.226409778565</v>
      </c>
      <c r="BF82" s="5">
        <f t="shared" si="79"/>
        <v>12183.023338355644</v>
      </c>
      <c r="BG82" s="5">
        <f t="shared" si="79"/>
        <v>12225.762582841615</v>
      </c>
      <c r="BH82" s="5">
        <f t="shared" si="79"/>
        <v>12263.387592300447</v>
      </c>
      <c r="BI82" s="5">
        <f t="shared" si="79"/>
        <v>12295.848200218892</v>
      </c>
      <c r="BJ82" s="5">
        <f t="shared" si="79"/>
        <v>12323.100735608388</v>
      </c>
    </row>
    <row r="83" spans="2:62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2:62">
      <c r="B84" t="s">
        <v>294</v>
      </c>
      <c r="I84">
        <v>1</v>
      </c>
      <c r="J84">
        <v>35</v>
      </c>
      <c r="K84" s="15">
        <f t="shared" ref="K84" si="80">Z84</f>
        <v>1.1720077230488783</v>
      </c>
      <c r="L84" s="15">
        <v>1.25</v>
      </c>
      <c r="O84" s="8">
        <f>(O81/O55)</f>
        <v>1.0933275864973691</v>
      </c>
      <c r="P84" s="8">
        <f t="shared" ref="P84:Z84" si="81">(P81/P55)</f>
        <v>1.1143889189353298</v>
      </c>
      <c r="Q84" s="8">
        <f t="shared" si="81"/>
        <v>1</v>
      </c>
      <c r="R84" s="8">
        <f t="shared" si="81"/>
        <v>1</v>
      </c>
      <c r="S84" s="8">
        <f t="shared" si="81"/>
        <v>1.0855388885777397</v>
      </c>
      <c r="T84" s="8">
        <f t="shared" si="81"/>
        <v>1.1202805907636433</v>
      </c>
      <c r="U84" s="8">
        <f t="shared" si="81"/>
        <v>1.1060803913033816</v>
      </c>
      <c r="V84" s="8">
        <f t="shared" si="81"/>
        <v>1.1850293368891585</v>
      </c>
      <c r="W84" s="8">
        <f t="shared" si="81"/>
        <v>1.1848630715583057</v>
      </c>
      <c r="X84" s="8">
        <f t="shared" si="81"/>
        <v>1.1864504997063607</v>
      </c>
      <c r="Y84" s="8">
        <f t="shared" si="81"/>
        <v>1.1689953718081003</v>
      </c>
      <c r="Z84" s="8">
        <f t="shared" si="81"/>
        <v>1.1720077230488783</v>
      </c>
      <c r="AA84" s="7"/>
      <c r="AB84" s="8">
        <f t="shared" ref="AB84:BJ84" si="82">IF(AND($I84&lt;AB$3,AB$3&lt;=$J84),AA84+($L84-$K84)/($J84-$I84+1),IF($I84&gt;=AB$3,$K84,$L84))</f>
        <v>1.1720077230488783</v>
      </c>
      <c r="AC84" s="8">
        <f t="shared" si="82"/>
        <v>1.1742360738189104</v>
      </c>
      <c r="AD84" s="8">
        <f t="shared" si="82"/>
        <v>1.1764644245889424</v>
      </c>
      <c r="AE84" s="8">
        <f t="shared" si="82"/>
        <v>1.1786927753589744</v>
      </c>
      <c r="AF84" s="8">
        <f t="shared" si="82"/>
        <v>1.1809211261290065</v>
      </c>
      <c r="AG84" s="8">
        <f t="shared" si="82"/>
        <v>1.1831494768990385</v>
      </c>
      <c r="AH84" s="8">
        <f t="shared" si="82"/>
        <v>1.1853778276690705</v>
      </c>
      <c r="AI84" s="8">
        <f t="shared" si="82"/>
        <v>1.1876061784391025</v>
      </c>
      <c r="AJ84" s="8">
        <f t="shared" si="82"/>
        <v>1.1898345292091346</v>
      </c>
      <c r="AK84" s="8">
        <f t="shared" si="82"/>
        <v>1.1920628799791666</v>
      </c>
      <c r="AL84" s="8">
        <f t="shared" si="82"/>
        <v>1.1942912307491986</v>
      </c>
      <c r="AM84" s="8">
        <f t="shared" si="82"/>
        <v>1.1965195815192307</v>
      </c>
      <c r="AN84" s="8">
        <f t="shared" si="82"/>
        <v>1.1987479322892627</v>
      </c>
      <c r="AO84" s="8">
        <f t="shared" si="82"/>
        <v>1.2009762830592947</v>
      </c>
      <c r="AP84" s="8">
        <f t="shared" si="82"/>
        <v>1.2032046338293267</v>
      </c>
      <c r="AQ84" s="8">
        <f t="shared" si="82"/>
        <v>1.2054329845993588</v>
      </c>
      <c r="AR84" s="8">
        <f t="shared" si="82"/>
        <v>1.2076613353693908</v>
      </c>
      <c r="AS84" s="8">
        <f t="shared" si="82"/>
        <v>1.2098896861394228</v>
      </c>
      <c r="AT84" s="8">
        <f t="shared" si="82"/>
        <v>1.2121180369094549</v>
      </c>
      <c r="AU84" s="8">
        <f t="shared" si="82"/>
        <v>1.2143463876794869</v>
      </c>
      <c r="AV84" s="8">
        <f t="shared" si="82"/>
        <v>1.2165747384495189</v>
      </c>
      <c r="AW84" s="8">
        <f t="shared" si="82"/>
        <v>1.2188030892195509</v>
      </c>
      <c r="AX84" s="8">
        <f t="shared" si="82"/>
        <v>1.221031439989583</v>
      </c>
      <c r="AY84" s="8">
        <f t="shared" si="82"/>
        <v>1.223259790759615</v>
      </c>
      <c r="AZ84" s="8">
        <f t="shared" si="82"/>
        <v>1.225488141529647</v>
      </c>
      <c r="BA84" s="8">
        <f t="shared" si="82"/>
        <v>1.2277164922996791</v>
      </c>
      <c r="BB84" s="8">
        <f t="shared" si="82"/>
        <v>1.2299448430697111</v>
      </c>
      <c r="BC84" s="8">
        <f t="shared" si="82"/>
        <v>1.2321731938397431</v>
      </c>
      <c r="BD84" s="8">
        <f t="shared" si="82"/>
        <v>1.2344015446097751</v>
      </c>
      <c r="BE84" s="8">
        <f t="shared" si="82"/>
        <v>1.2366298953798072</v>
      </c>
      <c r="BF84" s="8">
        <f t="shared" si="82"/>
        <v>1.2388582461498392</v>
      </c>
      <c r="BG84" s="8">
        <f t="shared" si="82"/>
        <v>1.2410865969198712</v>
      </c>
      <c r="BH84" s="8">
        <f t="shared" si="82"/>
        <v>1.2433149476899032</v>
      </c>
      <c r="BI84" s="8">
        <f t="shared" si="82"/>
        <v>1.2455432984599353</v>
      </c>
      <c r="BJ84" s="8">
        <f t="shared" si="82"/>
        <v>1.2477716492299673</v>
      </c>
    </row>
    <row r="85" spans="2:62">
      <c r="K8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2:62">
      <c r="B86" t="s">
        <v>281</v>
      </c>
      <c r="K86"/>
      <c r="O86" s="5">
        <f>SUMIFS(Tabela1[FN002 - Receita operacional direta de água],Tabela1[Ano de Referência],'Valuation (FCF)'!O$2)</f>
        <v>13060355</v>
      </c>
      <c r="P86" s="5">
        <f>SUMIFS(Tabela1[FN002 - Receita operacional direta de água],Tabela1[Ano de Referência],'Valuation (FCF)'!P$2)</f>
        <v>14617978</v>
      </c>
      <c r="Q86" s="5">
        <f>SUMIFS(Tabela1[FN002 - Receita operacional direta de água],Tabela1[Ano de Referência],'Valuation (FCF)'!Q$2)</f>
        <v>16076780.77</v>
      </c>
      <c r="R86" s="5">
        <f>SUMIFS(Tabela1[FN002 - Receita operacional direta de água],Tabela1[Ano de Referência],'Valuation (FCF)'!R$2)</f>
        <v>17277851.09</v>
      </c>
      <c r="S86" s="5">
        <f>SUMIFS(Tabela1[FN002 - Receita operacional direta de água],Tabela1[Ano de Referência],'Valuation (FCF)'!S$2)</f>
        <v>17135799.579999998</v>
      </c>
      <c r="T86" s="5">
        <f>SUMIFS(Tabela1[FN002 - Receita operacional direta de água],Tabela1[Ano de Referência],'Valuation (FCF)'!T$2)</f>
        <v>16445934.33</v>
      </c>
      <c r="U86" s="5">
        <f>SUMIFS(Tabela1[FN002 - Receita operacional direta de água],Tabela1[Ano de Referência],'Valuation (FCF)'!U$2)</f>
        <v>20285126.309999999</v>
      </c>
      <c r="V86" s="5">
        <f>SUMIFS(Tabela1[FN002 - Receita operacional direta de água],Tabela1[Ano de Referência],'Valuation (FCF)'!V$2)</f>
        <v>22462941.989999998</v>
      </c>
      <c r="W86" s="5">
        <f>SUMIFS(Tabela1[FN002 - Receita operacional direta de água],Tabela1[Ano de Referência],'Valuation (FCF)'!W$2)</f>
        <v>24224224.120000001</v>
      </c>
      <c r="X86" s="5">
        <f>SUMIFS(Tabela1[FN002 - Receita operacional direta de água],Tabela1[Ano de Referência],'Valuation (FCF)'!X$2)</f>
        <v>26590453.370000001</v>
      </c>
      <c r="Y86" s="5">
        <f>SUMIFS(Tabela1[FN002 - Receita operacional direta de água],Tabela1[Ano de Referência],'Valuation (FCF)'!Y$2)</f>
        <v>28540099.34</v>
      </c>
      <c r="Z86" s="5">
        <f>SUMIFS(Tabela1[FN002 - Receita operacional direta de água],Tabela1[Ano de Referência],'Valuation (FCF)'!Z$2)</f>
        <v>26692476.239999998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2:62">
      <c r="B87" t="s">
        <v>282</v>
      </c>
      <c r="K87"/>
      <c r="O87" s="5">
        <f>SUMIFS(Tabela1[FN003 - Receita operacional direta de esgoto],Tabela1[Ano de Referência],'Valuation (FCF)'!O$2)</f>
        <v>13291573</v>
      </c>
      <c r="P87" s="5">
        <f>SUMIFS(Tabela1[FN003 - Receita operacional direta de esgoto],Tabela1[Ano de Referência],'Valuation (FCF)'!P$2)</f>
        <v>15135349</v>
      </c>
      <c r="Q87" s="5">
        <f>SUMIFS(Tabela1[FN003 - Receita operacional direta de esgoto],Tabela1[Ano de Referência],'Valuation (FCF)'!Q$2)</f>
        <v>16841657.510000002</v>
      </c>
      <c r="R87" s="5">
        <f>SUMIFS(Tabela1[FN003 - Receita operacional direta de esgoto],Tabela1[Ano de Referência],'Valuation (FCF)'!R$2)</f>
        <v>17629328.48</v>
      </c>
      <c r="S87" s="5">
        <f>SUMIFS(Tabela1[FN003 - Receita operacional direta de esgoto],Tabela1[Ano de Referência],'Valuation (FCF)'!S$2)</f>
        <v>17573407.170000002</v>
      </c>
      <c r="T87" s="5">
        <f>SUMIFS(Tabela1[FN003 - Receita operacional direta de esgoto],Tabela1[Ano de Referência],'Valuation (FCF)'!T$2)</f>
        <v>17415475.940000001</v>
      </c>
      <c r="U87" s="5">
        <f>SUMIFS(Tabela1[FN003 - Receita operacional direta de esgoto],Tabela1[Ano de Referência],'Valuation (FCF)'!U$2)</f>
        <v>21532623.43</v>
      </c>
      <c r="V87" s="5">
        <f>SUMIFS(Tabela1[FN003 - Receita operacional direta de esgoto],Tabela1[Ano de Referência],'Valuation (FCF)'!V$2)</f>
        <v>23714509.800000001</v>
      </c>
      <c r="W87" s="5">
        <f>SUMIFS(Tabela1[FN003 - Receita operacional direta de esgoto],Tabela1[Ano de Referência],'Valuation (FCF)'!W$2)</f>
        <v>25942142.969999999</v>
      </c>
      <c r="X87" s="5">
        <f>SUMIFS(Tabela1[FN003 - Receita operacional direta de esgoto],Tabela1[Ano de Referência],'Valuation (FCF)'!X$2)</f>
        <v>28183101.460000001</v>
      </c>
      <c r="Y87" s="5">
        <f>SUMIFS(Tabela1[FN003 - Receita operacional direta de esgoto],Tabela1[Ano de Referência],'Valuation (FCF)'!Y$2)</f>
        <v>30606726.449999999</v>
      </c>
      <c r="Z87" s="5">
        <f>SUMIFS(Tabela1[FN003 - Receita operacional direta de esgoto],Tabela1[Ano de Referência],'Valuation (FCF)'!Z$2)</f>
        <v>29612500.66</v>
      </c>
      <c r="AA87" s="5"/>
      <c r="AB87" s="8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2:62">
      <c r="B88" t="s">
        <v>283</v>
      </c>
      <c r="K88"/>
      <c r="O88" s="5">
        <f>SUMIFS(Tabela1[FN004 - Receita operacional indireta],Tabela1[Ano de Referência],'Valuation (FCF)'!O$2)</f>
        <v>0</v>
      </c>
      <c r="P88" s="5">
        <f>SUMIFS(Tabela1[FN004 - Receita operacional indireta],Tabela1[Ano de Referência],'Valuation (FCF)'!P$2)</f>
        <v>0</v>
      </c>
      <c r="Q88" s="5">
        <f>SUMIFS(Tabela1[FN004 - Receita operacional indireta],Tabela1[Ano de Referência],'Valuation (FCF)'!Q$2)</f>
        <v>3440349.11</v>
      </c>
      <c r="R88" s="5">
        <f>SUMIFS(Tabela1[FN004 - Receita operacional indireta],Tabela1[Ano de Referência],'Valuation (FCF)'!R$2)</f>
        <v>3607072.34</v>
      </c>
      <c r="S88" s="5">
        <f>SUMIFS(Tabela1[FN004 - Receita operacional indireta],Tabela1[Ano de Referência],'Valuation (FCF)'!S$2)</f>
        <v>4216509.5199999996</v>
      </c>
      <c r="T88" s="5">
        <f>SUMIFS(Tabela1[FN004 - Receita operacional indireta],Tabela1[Ano de Referência],'Valuation (FCF)'!T$2)</f>
        <v>3902080.29</v>
      </c>
      <c r="U88" s="5">
        <f>SUMIFS(Tabela1[FN004 - Receita operacional indireta],Tabela1[Ano de Referência],'Valuation (FCF)'!U$2)</f>
        <v>3183400.22</v>
      </c>
      <c r="V88" s="5">
        <f>SUMIFS(Tabela1[FN004 - Receita operacional indireta],Tabela1[Ano de Referência],'Valuation (FCF)'!V$2)</f>
        <v>3198347.75</v>
      </c>
      <c r="W88" s="5">
        <f>SUMIFS(Tabela1[FN004 - Receita operacional indireta],Tabela1[Ano de Referência],'Valuation (FCF)'!W$2)</f>
        <v>2118384.67</v>
      </c>
      <c r="X88" s="5">
        <f>SUMIFS(Tabela1[FN004 - Receita operacional indireta],Tabela1[Ano de Referência],'Valuation (FCF)'!X$2)</f>
        <v>4613436.33</v>
      </c>
      <c r="Y88" s="5">
        <f>SUMIFS(Tabela1[FN004 - Receita operacional indireta],Tabela1[Ano de Referência],'Valuation (FCF)'!Y$2)</f>
        <v>9403456.2400000002</v>
      </c>
      <c r="Z88" s="5">
        <f>SUMIFS(Tabela1[FN004 - Receita operacional indireta],Tabela1[Ano de Referência],'Valuation (FCF)'!Z$2)</f>
        <v>5696964.5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2:62">
      <c r="B89" t="s">
        <v>284</v>
      </c>
      <c r="K89"/>
      <c r="O89" s="5">
        <f>SUMIFS(Tabela1[FN006 - Arrecadação total],Tabela1[Ano de Referência],'Valuation (FCF)'!O$2)</f>
        <v>30180257</v>
      </c>
      <c r="P89" s="5">
        <f>SUMIFS(Tabela1[FN006 - Arrecadação total],Tabela1[Ano de Referência],'Valuation (FCF)'!P$2)</f>
        <v>33843828</v>
      </c>
      <c r="Q89" s="5">
        <f>SUMIFS(Tabela1[FN006 - Arrecadação total],Tabela1[Ano de Referência],'Valuation (FCF)'!Q$2)</f>
        <v>37063627.32</v>
      </c>
      <c r="R89" s="5">
        <f>SUMIFS(Tabela1[FN006 - Arrecadação total],Tabela1[Ano de Referência],'Valuation (FCF)'!R$2)</f>
        <v>39220938.130000003</v>
      </c>
      <c r="S89" s="5">
        <f>SUMIFS(Tabela1[FN006 - Arrecadação total],Tabela1[Ano de Referência],'Valuation (FCF)'!S$2)</f>
        <v>39624226.68</v>
      </c>
      <c r="T89" s="5">
        <f>SUMIFS(Tabela1[FN006 - Arrecadação total],Tabela1[Ano de Referência],'Valuation (FCF)'!T$2)</f>
        <v>38680862.590000004</v>
      </c>
      <c r="U89" s="5">
        <f>SUMIFS(Tabela1[FN006 - Arrecadação total],Tabela1[Ano de Referência],'Valuation (FCF)'!U$2)</f>
        <v>46387957.979999997</v>
      </c>
      <c r="V89" s="5">
        <f>SUMIFS(Tabela1[FN006 - Arrecadação total],Tabela1[Ano de Referência],'Valuation (FCF)'!V$2)</f>
        <v>52020148.25</v>
      </c>
      <c r="W89" s="5">
        <f>SUMIFS(Tabela1[FN006 - Arrecadação total],Tabela1[Ano de Referência],'Valuation (FCF)'!W$2)</f>
        <v>54926946.259999998</v>
      </c>
      <c r="X89" s="5">
        <f>SUMIFS(Tabela1[FN006 - Arrecadação total],Tabela1[Ano de Referência],'Valuation (FCF)'!X$2)</f>
        <v>61410778.359999999</v>
      </c>
      <c r="Y89" s="5">
        <f>SUMIFS(Tabela1[FN006 - Arrecadação total],Tabela1[Ano de Referência],'Valuation (FCF)'!Y$2)</f>
        <v>69573222.239999995</v>
      </c>
      <c r="Z89" s="5">
        <f>SUMIFS(Tabela1[FN006 - Arrecadação total],Tabela1[Ano de Referência],'Valuation (FCF)'!Z$2)</f>
        <v>63187759.780000001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2:62">
      <c r="K90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2:62">
      <c r="B91" t="s">
        <v>296</v>
      </c>
      <c r="I91">
        <v>1</v>
      </c>
      <c r="J91">
        <v>5</v>
      </c>
      <c r="K91" s="10">
        <v>0.05</v>
      </c>
      <c r="L91" s="10">
        <v>0.05</v>
      </c>
      <c r="O91" s="3">
        <f t="shared" ref="O91:Y91" si="83">O88/(O87+O86)</f>
        <v>0</v>
      </c>
      <c r="P91" s="3">
        <f t="shared" si="83"/>
        <v>0</v>
      </c>
      <c r="Q91" s="3">
        <f t="shared" si="83"/>
        <v>0.10451131006692459</v>
      </c>
      <c r="R91" s="3">
        <f t="shared" si="83"/>
        <v>0.10333325076483685</v>
      </c>
      <c r="S91" s="3">
        <f t="shared" si="83"/>
        <v>0.12148101079838132</v>
      </c>
      <c r="T91" s="3">
        <f t="shared" si="83"/>
        <v>0.11523679193766787</v>
      </c>
      <c r="U91" s="3">
        <f t="shared" si="83"/>
        <v>7.6125574422168815E-2</v>
      </c>
      <c r="V91" s="3">
        <f t="shared" si="83"/>
        <v>6.9262110099644378E-2</v>
      </c>
      <c r="W91" s="3">
        <f t="shared" si="83"/>
        <v>4.2227189108582502E-2</v>
      </c>
      <c r="X91" s="3">
        <f t="shared" si="83"/>
        <v>8.4227440492381137E-2</v>
      </c>
      <c r="Y91" s="3">
        <f t="shared" si="83"/>
        <v>0.15898496858287617</v>
      </c>
      <c r="Z91" s="3">
        <f>Z88/(Z87+Z86)</f>
        <v>0.10118047841699764</v>
      </c>
      <c r="AA91" s="5"/>
      <c r="AB91" s="3">
        <f t="shared" ref="AB91:BJ92" si="84">IF(AND($I91&lt;AB$3,AB$3&lt;=$J91),AA91+($L91-$K91)/($J91-$I91+1),IF($I91&gt;=AB$3,$K91,$L91))</f>
        <v>0.05</v>
      </c>
      <c r="AC91" s="3">
        <f t="shared" si="84"/>
        <v>0.05</v>
      </c>
      <c r="AD91" s="3">
        <f t="shared" si="84"/>
        <v>0.05</v>
      </c>
      <c r="AE91" s="3">
        <f t="shared" si="84"/>
        <v>0.05</v>
      </c>
      <c r="AF91" s="3">
        <f t="shared" si="84"/>
        <v>0.05</v>
      </c>
      <c r="AG91" s="3">
        <f t="shared" si="84"/>
        <v>0.05</v>
      </c>
      <c r="AH91" s="3">
        <f t="shared" si="84"/>
        <v>0.05</v>
      </c>
      <c r="AI91" s="3">
        <f t="shared" si="84"/>
        <v>0.05</v>
      </c>
      <c r="AJ91" s="3">
        <f t="shared" si="84"/>
        <v>0.05</v>
      </c>
      <c r="AK91" s="3">
        <f t="shared" si="84"/>
        <v>0.05</v>
      </c>
      <c r="AL91" s="3">
        <f t="shared" si="84"/>
        <v>0.05</v>
      </c>
      <c r="AM91" s="3">
        <f t="shared" si="84"/>
        <v>0.05</v>
      </c>
      <c r="AN91" s="3">
        <f t="shared" si="84"/>
        <v>0.05</v>
      </c>
      <c r="AO91" s="3">
        <f t="shared" si="84"/>
        <v>0.05</v>
      </c>
      <c r="AP91" s="3">
        <f t="shared" si="84"/>
        <v>0.05</v>
      </c>
      <c r="AQ91" s="3">
        <f t="shared" si="84"/>
        <v>0.05</v>
      </c>
      <c r="AR91" s="3">
        <f t="shared" si="84"/>
        <v>0.05</v>
      </c>
      <c r="AS91" s="3">
        <f t="shared" si="84"/>
        <v>0.05</v>
      </c>
      <c r="AT91" s="3">
        <f t="shared" si="84"/>
        <v>0.05</v>
      </c>
      <c r="AU91" s="3">
        <f t="shared" si="84"/>
        <v>0.05</v>
      </c>
      <c r="AV91" s="3">
        <f t="shared" si="84"/>
        <v>0.05</v>
      </c>
      <c r="AW91" s="3">
        <f t="shared" si="84"/>
        <v>0.05</v>
      </c>
      <c r="AX91" s="3">
        <f t="shared" si="84"/>
        <v>0.05</v>
      </c>
      <c r="AY91" s="3">
        <f t="shared" si="84"/>
        <v>0.05</v>
      </c>
      <c r="AZ91" s="3">
        <f t="shared" si="84"/>
        <v>0.05</v>
      </c>
      <c r="BA91" s="3">
        <f t="shared" si="84"/>
        <v>0.05</v>
      </c>
      <c r="BB91" s="3">
        <f t="shared" si="84"/>
        <v>0.05</v>
      </c>
      <c r="BC91" s="3">
        <f t="shared" si="84"/>
        <v>0.05</v>
      </c>
      <c r="BD91" s="3">
        <f t="shared" si="84"/>
        <v>0.05</v>
      </c>
      <c r="BE91" s="3">
        <f t="shared" si="84"/>
        <v>0.05</v>
      </c>
      <c r="BF91" s="3">
        <f t="shared" si="84"/>
        <v>0.05</v>
      </c>
      <c r="BG91" s="3">
        <f t="shared" si="84"/>
        <v>0.05</v>
      </c>
      <c r="BH91" s="3">
        <f t="shared" si="84"/>
        <v>0.05</v>
      </c>
      <c r="BI91" s="3">
        <f t="shared" si="84"/>
        <v>0.05</v>
      </c>
      <c r="BJ91" s="3">
        <f t="shared" si="84"/>
        <v>0.05</v>
      </c>
    </row>
    <row r="92" spans="2:62">
      <c r="B92" t="s">
        <v>297</v>
      </c>
      <c r="I92">
        <v>1</v>
      </c>
      <c r="J92">
        <v>5</v>
      </c>
      <c r="K92" s="10">
        <v>0.02</v>
      </c>
      <c r="L92" s="10">
        <v>0.02</v>
      </c>
      <c r="O92" s="3">
        <f t="shared" ref="O92:Y92" si="85">1-(O86+O87)/O89</f>
        <v>0.12684878727175852</v>
      </c>
      <c r="P92" s="3">
        <f t="shared" si="85"/>
        <v>0.12086401691912629</v>
      </c>
      <c r="Q92" s="3">
        <f t="shared" si="85"/>
        <v>0.11183981007069976</v>
      </c>
      <c r="R92" s="3">
        <f t="shared" si="85"/>
        <v>0.10998611368503752</v>
      </c>
      <c r="S92" s="3">
        <f t="shared" si="85"/>
        <v>0.12404077863002982</v>
      </c>
      <c r="T92" s="3">
        <f t="shared" si="85"/>
        <v>0.1245952648751415</v>
      </c>
      <c r="U92" s="3">
        <f t="shared" si="85"/>
        <v>9.8521436144493157E-2</v>
      </c>
      <c r="V92" s="3">
        <f t="shared" si="85"/>
        <v>0.11231602862646595</v>
      </c>
      <c r="W92" s="3">
        <f t="shared" si="85"/>
        <v>8.6671105789597469E-2</v>
      </c>
      <c r="X92" s="3">
        <f t="shared" si="85"/>
        <v>0.1080791305248</v>
      </c>
      <c r="Y92" s="3">
        <f t="shared" si="85"/>
        <v>0.14986220436985176</v>
      </c>
      <c r="Z92" s="3">
        <f>1-(Z86+Z87)/Z89</f>
        <v>0.10892588855758933</v>
      </c>
      <c r="AA92" s="5"/>
      <c r="AB92" s="3">
        <f t="shared" si="84"/>
        <v>0.02</v>
      </c>
      <c r="AC92" s="3">
        <f t="shared" si="84"/>
        <v>0.02</v>
      </c>
      <c r="AD92" s="3">
        <f t="shared" si="84"/>
        <v>0.02</v>
      </c>
      <c r="AE92" s="3">
        <f t="shared" si="84"/>
        <v>0.02</v>
      </c>
      <c r="AF92" s="3">
        <f t="shared" si="84"/>
        <v>0.02</v>
      </c>
      <c r="AG92" s="3">
        <f t="shared" si="84"/>
        <v>0.02</v>
      </c>
      <c r="AH92" s="3">
        <f t="shared" si="84"/>
        <v>0.02</v>
      </c>
      <c r="AI92" s="3">
        <f t="shared" si="84"/>
        <v>0.02</v>
      </c>
      <c r="AJ92" s="3">
        <f t="shared" si="84"/>
        <v>0.02</v>
      </c>
      <c r="AK92" s="3">
        <f t="shared" si="84"/>
        <v>0.02</v>
      </c>
      <c r="AL92" s="3">
        <f t="shared" si="84"/>
        <v>0.02</v>
      </c>
      <c r="AM92" s="3">
        <f t="shared" si="84"/>
        <v>0.02</v>
      </c>
      <c r="AN92" s="3">
        <f t="shared" si="84"/>
        <v>0.02</v>
      </c>
      <c r="AO92" s="3">
        <f t="shared" si="84"/>
        <v>0.02</v>
      </c>
      <c r="AP92" s="3">
        <f t="shared" si="84"/>
        <v>0.02</v>
      </c>
      <c r="AQ92" s="3">
        <f t="shared" si="84"/>
        <v>0.02</v>
      </c>
      <c r="AR92" s="3">
        <f t="shared" si="84"/>
        <v>0.02</v>
      </c>
      <c r="AS92" s="3">
        <f t="shared" si="84"/>
        <v>0.02</v>
      </c>
      <c r="AT92" s="3">
        <f t="shared" si="84"/>
        <v>0.02</v>
      </c>
      <c r="AU92" s="3">
        <f t="shared" si="84"/>
        <v>0.02</v>
      </c>
      <c r="AV92" s="3">
        <f t="shared" si="84"/>
        <v>0.02</v>
      </c>
      <c r="AW92" s="3">
        <f t="shared" si="84"/>
        <v>0.02</v>
      </c>
      <c r="AX92" s="3">
        <f t="shared" si="84"/>
        <v>0.02</v>
      </c>
      <c r="AY92" s="3">
        <f t="shared" si="84"/>
        <v>0.02</v>
      </c>
      <c r="AZ92" s="3">
        <f t="shared" si="84"/>
        <v>0.02</v>
      </c>
      <c r="BA92" s="3">
        <f t="shared" si="84"/>
        <v>0.02</v>
      </c>
      <c r="BB92" s="3">
        <f t="shared" si="84"/>
        <v>0.02</v>
      </c>
      <c r="BC92" s="3">
        <f t="shared" si="84"/>
        <v>0.02</v>
      </c>
      <c r="BD92" s="3">
        <f t="shared" si="84"/>
        <v>0.02</v>
      </c>
      <c r="BE92" s="3">
        <f t="shared" si="84"/>
        <v>0.02</v>
      </c>
      <c r="BF92" s="3">
        <f t="shared" si="84"/>
        <v>0.02</v>
      </c>
      <c r="BG92" s="3">
        <f t="shared" si="84"/>
        <v>0.02</v>
      </c>
      <c r="BH92" s="3">
        <f t="shared" si="84"/>
        <v>0.02</v>
      </c>
      <c r="BI92" s="3">
        <f t="shared" si="84"/>
        <v>0.02</v>
      </c>
      <c r="BJ92" s="3">
        <f t="shared" si="84"/>
        <v>0.02</v>
      </c>
    </row>
    <row r="93" spans="2:62">
      <c r="K93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2:62">
      <c r="B94" t="s">
        <v>285</v>
      </c>
      <c r="I94">
        <v>1</v>
      </c>
      <c r="J94">
        <v>35</v>
      </c>
      <c r="K94" s="15">
        <v>6.15</v>
      </c>
      <c r="L94" s="15">
        <v>6.15</v>
      </c>
      <c r="O94" s="8">
        <f>SUMIFS(Tabela1[IN005 - Tarifa média de água],Tabela1[Ano de Referência],'Valuation (FCF)'!O$2)</f>
        <v>1.67</v>
      </c>
      <c r="P94" s="8">
        <f>SUMIFS(Tabela1[IN005 - Tarifa média de água],Tabela1[Ano de Referência],'Valuation (FCF)'!P$2)</f>
        <v>1.85</v>
      </c>
      <c r="Q94" s="8">
        <f>SUMIFS(Tabela1[IN005 - Tarifa média de água],Tabela1[Ano de Referência],'Valuation (FCF)'!Q$2)</f>
        <v>1.98</v>
      </c>
      <c r="R94" s="8">
        <f>SUMIFS(Tabela1[IN005 - Tarifa média de água],Tabela1[Ano de Referência],'Valuation (FCF)'!R$2)</f>
        <v>2.19</v>
      </c>
      <c r="S94" s="8">
        <f>SUMIFS(Tabela1[IN005 - Tarifa média de água],Tabela1[Ano de Referência],'Valuation (FCF)'!S$2)</f>
        <v>2.16</v>
      </c>
      <c r="T94" s="8">
        <f>SUMIFS(Tabela1[IN005 - Tarifa média de água],Tabela1[Ano de Referência],'Valuation (FCF)'!T$2)</f>
        <v>2.15</v>
      </c>
      <c r="U94" s="8">
        <f>SUMIFS(Tabela1[IN005 - Tarifa média de água],Tabela1[Ano de Referência],'Valuation (FCF)'!U$2)</f>
        <v>2.4</v>
      </c>
      <c r="V94" s="8">
        <f>SUMIFS(Tabela1[IN005 - Tarifa média de água],Tabela1[Ano de Referência],'Valuation (FCF)'!V$2)</f>
        <v>2.52</v>
      </c>
      <c r="W94" s="8">
        <f>SUMIFS(Tabela1[IN005 - Tarifa média de água],Tabela1[Ano de Referência],'Valuation (FCF)'!W$2)</f>
        <v>2.73</v>
      </c>
      <c r="X94" s="8">
        <f>SUMIFS(Tabela1[IN005 - Tarifa média de água],Tabela1[Ano de Referência],'Valuation (FCF)'!X$2)</f>
        <v>2.91</v>
      </c>
      <c r="Y94" s="8">
        <f>SUMIFS(Tabela1[IN005 - Tarifa média de água],Tabela1[Ano de Referência],'Valuation (FCF)'!Y$2)</f>
        <v>3.06</v>
      </c>
      <c r="Z94" s="8">
        <f>SUMIFS(Tabela1[IN005 - Tarifa média de água],Tabela1[Ano de Referência],'Valuation (FCF)'!Z$2)</f>
        <v>3.07</v>
      </c>
      <c r="AA94" s="8"/>
      <c r="AB94" s="8">
        <f>IF(AND($I94&lt;AB$3,AB$3&lt;=$J94),AA94+($L94-$K94)/($J94-$I94+1),IF($I94&gt;=AB$3,$K94,$L94))</f>
        <v>6.15</v>
      </c>
      <c r="AC94" s="8">
        <f t="shared" ref="AC94:BJ94" si="86">IF(AND($I94&lt;AC$3,AC$3&lt;=$J94),AB94+($L94-$K94)/($J94-$I94+1),IF($I94&gt;=AC$3,$K94,$L94))</f>
        <v>6.15</v>
      </c>
      <c r="AD94" s="8">
        <f t="shared" si="86"/>
        <v>6.15</v>
      </c>
      <c r="AE94" s="8">
        <f t="shared" si="86"/>
        <v>6.15</v>
      </c>
      <c r="AF94" s="8">
        <f t="shared" si="86"/>
        <v>6.15</v>
      </c>
      <c r="AG94" s="8">
        <f t="shared" si="86"/>
        <v>6.15</v>
      </c>
      <c r="AH94" s="8">
        <f t="shared" si="86"/>
        <v>6.15</v>
      </c>
      <c r="AI94" s="8">
        <f t="shared" si="86"/>
        <v>6.15</v>
      </c>
      <c r="AJ94" s="8">
        <f t="shared" si="86"/>
        <v>6.15</v>
      </c>
      <c r="AK94" s="8">
        <f t="shared" si="86"/>
        <v>6.15</v>
      </c>
      <c r="AL94" s="8">
        <f t="shared" si="86"/>
        <v>6.15</v>
      </c>
      <c r="AM94" s="8">
        <f t="shared" si="86"/>
        <v>6.15</v>
      </c>
      <c r="AN94" s="8">
        <f t="shared" si="86"/>
        <v>6.15</v>
      </c>
      <c r="AO94" s="8">
        <f t="shared" si="86"/>
        <v>6.15</v>
      </c>
      <c r="AP94" s="8">
        <f t="shared" si="86"/>
        <v>6.15</v>
      </c>
      <c r="AQ94" s="8">
        <f t="shared" si="86"/>
        <v>6.15</v>
      </c>
      <c r="AR94" s="8">
        <f t="shared" si="86"/>
        <v>6.15</v>
      </c>
      <c r="AS94" s="8">
        <f t="shared" si="86"/>
        <v>6.15</v>
      </c>
      <c r="AT94" s="8">
        <f t="shared" si="86"/>
        <v>6.15</v>
      </c>
      <c r="AU94" s="8">
        <f t="shared" si="86"/>
        <v>6.15</v>
      </c>
      <c r="AV94" s="8">
        <f t="shared" si="86"/>
        <v>6.15</v>
      </c>
      <c r="AW94" s="8">
        <f t="shared" si="86"/>
        <v>6.15</v>
      </c>
      <c r="AX94" s="8">
        <f t="shared" si="86"/>
        <v>6.15</v>
      </c>
      <c r="AY94" s="8">
        <f t="shared" si="86"/>
        <v>6.15</v>
      </c>
      <c r="AZ94" s="8">
        <f t="shared" si="86"/>
        <v>6.15</v>
      </c>
      <c r="BA94" s="8">
        <f t="shared" si="86"/>
        <v>6.15</v>
      </c>
      <c r="BB94" s="8">
        <f t="shared" si="86"/>
        <v>6.15</v>
      </c>
      <c r="BC94" s="8">
        <f t="shared" si="86"/>
        <v>6.15</v>
      </c>
      <c r="BD94" s="8">
        <f t="shared" si="86"/>
        <v>6.15</v>
      </c>
      <c r="BE94" s="8">
        <f t="shared" si="86"/>
        <v>6.15</v>
      </c>
      <c r="BF94" s="8">
        <f t="shared" si="86"/>
        <v>6.15</v>
      </c>
      <c r="BG94" s="8">
        <f t="shared" si="86"/>
        <v>6.15</v>
      </c>
      <c r="BH94" s="8">
        <f t="shared" si="86"/>
        <v>6.15</v>
      </c>
      <c r="BI94" s="8">
        <f t="shared" si="86"/>
        <v>6.15</v>
      </c>
      <c r="BJ94" s="8">
        <f t="shared" si="86"/>
        <v>6.15</v>
      </c>
    </row>
    <row r="95" spans="2:62">
      <c r="B95" t="s">
        <v>286</v>
      </c>
      <c r="I95">
        <v>1</v>
      </c>
      <c r="J95">
        <v>35</v>
      </c>
      <c r="K95" s="15">
        <v>6.15</v>
      </c>
      <c r="L95" s="15">
        <v>6.15</v>
      </c>
      <c r="O95" s="8">
        <f>SUMIFS(Tabela1[IN006 - Tarifa média de esgoto],Tabela1[Ano de Referência],'Valuation (FCF)'!O$2)</f>
        <v>1.7</v>
      </c>
      <c r="P95" s="8">
        <f>SUMIFS(Tabela1[IN006 - Tarifa média de esgoto],Tabela1[Ano de Referência],'Valuation (FCF)'!P$2)</f>
        <v>1.87</v>
      </c>
      <c r="Q95" s="8">
        <f>SUMIFS(Tabela1[IN006 - Tarifa média de esgoto],Tabela1[Ano de Referência],'Valuation (FCF)'!Q$2)</f>
        <v>2.08</v>
      </c>
      <c r="R95" s="8">
        <f>SUMIFS(Tabela1[IN006 - Tarifa média de esgoto],Tabela1[Ano de Referência],'Valuation (FCF)'!R$2)</f>
        <v>2.23</v>
      </c>
      <c r="S95" s="8">
        <f>SUMIFS(Tabela1[IN006 - Tarifa média de esgoto],Tabela1[Ano de Referência],'Valuation (FCF)'!S$2)</f>
        <v>2.21</v>
      </c>
      <c r="T95" s="8">
        <f>SUMIFS(Tabela1[IN006 - Tarifa média de esgoto],Tabela1[Ano de Referência],'Valuation (FCF)'!T$2)</f>
        <v>3.02</v>
      </c>
      <c r="U95" s="8">
        <f>SUMIFS(Tabela1[IN006 - Tarifa média de esgoto],Tabela1[Ano de Referência],'Valuation (FCF)'!U$2)</f>
        <v>2.81</v>
      </c>
      <c r="V95" s="8">
        <f>SUMIFS(Tabela1[IN006 - Tarifa média de esgoto],Tabela1[Ano de Referência],'Valuation (FCF)'!V$2)</f>
        <v>2.66</v>
      </c>
      <c r="W95" s="8">
        <f>SUMIFS(Tabela1[IN006 - Tarifa média de esgoto],Tabela1[Ano de Referência],'Valuation (FCF)'!W$2)</f>
        <v>2.92</v>
      </c>
      <c r="X95" s="8">
        <f>SUMIFS(Tabela1[IN006 - Tarifa média de esgoto],Tabela1[Ano de Referência],'Valuation (FCF)'!X$2)</f>
        <v>3.09</v>
      </c>
      <c r="Y95" s="8">
        <f>SUMIFS(Tabela1[IN006 - Tarifa média de esgoto],Tabela1[Ano de Referência],'Valuation (FCF)'!Y$2)</f>
        <v>3.28</v>
      </c>
      <c r="Z95" s="8">
        <f>SUMIFS(Tabela1[IN006 - Tarifa média de esgoto],Tabela1[Ano de Referência],'Valuation (FCF)'!Z$2)</f>
        <v>3.56</v>
      </c>
      <c r="AA95" s="8"/>
      <c r="AB95" s="8">
        <f>IF(AND($I95&lt;AB$3,AB$3&lt;=$J95),AA95+($L95-$K95)/($J95-$I95+1),IF($I95&gt;=AB$3,$K95,$L95))</f>
        <v>6.15</v>
      </c>
      <c r="AC95" s="8">
        <f t="shared" ref="AC95:BJ95" si="87">IF(AND($I95&lt;AC$3,AC$3&lt;=$J95),AB95+($L95-$K95)/($J95-$I95+1),IF($I95&gt;=AC$3,$K95,$L95))</f>
        <v>6.15</v>
      </c>
      <c r="AD95" s="8">
        <f t="shared" si="87"/>
        <v>6.15</v>
      </c>
      <c r="AE95" s="8">
        <f t="shared" si="87"/>
        <v>6.15</v>
      </c>
      <c r="AF95" s="8">
        <f t="shared" si="87"/>
        <v>6.15</v>
      </c>
      <c r="AG95" s="8">
        <f t="shared" si="87"/>
        <v>6.15</v>
      </c>
      <c r="AH95" s="8">
        <f t="shared" si="87"/>
        <v>6.15</v>
      </c>
      <c r="AI95" s="8">
        <f t="shared" si="87"/>
        <v>6.15</v>
      </c>
      <c r="AJ95" s="8">
        <f t="shared" si="87"/>
        <v>6.15</v>
      </c>
      <c r="AK95" s="8">
        <f t="shared" si="87"/>
        <v>6.15</v>
      </c>
      <c r="AL95" s="8">
        <f t="shared" si="87"/>
        <v>6.15</v>
      </c>
      <c r="AM95" s="8">
        <f t="shared" si="87"/>
        <v>6.15</v>
      </c>
      <c r="AN95" s="8">
        <f t="shared" si="87"/>
        <v>6.15</v>
      </c>
      <c r="AO95" s="8">
        <f t="shared" si="87"/>
        <v>6.15</v>
      </c>
      <c r="AP95" s="8">
        <f t="shared" si="87"/>
        <v>6.15</v>
      </c>
      <c r="AQ95" s="8">
        <f t="shared" si="87"/>
        <v>6.15</v>
      </c>
      <c r="AR95" s="8">
        <f t="shared" si="87"/>
        <v>6.15</v>
      </c>
      <c r="AS95" s="8">
        <f t="shared" si="87"/>
        <v>6.15</v>
      </c>
      <c r="AT95" s="8">
        <f t="shared" si="87"/>
        <v>6.15</v>
      </c>
      <c r="AU95" s="8">
        <f t="shared" si="87"/>
        <v>6.15</v>
      </c>
      <c r="AV95" s="8">
        <f t="shared" si="87"/>
        <v>6.15</v>
      </c>
      <c r="AW95" s="8">
        <f t="shared" si="87"/>
        <v>6.15</v>
      </c>
      <c r="AX95" s="8">
        <f t="shared" si="87"/>
        <v>6.15</v>
      </c>
      <c r="AY95" s="8">
        <f t="shared" si="87"/>
        <v>6.15</v>
      </c>
      <c r="AZ95" s="8">
        <f t="shared" si="87"/>
        <v>6.15</v>
      </c>
      <c r="BA95" s="8">
        <f t="shared" si="87"/>
        <v>6.15</v>
      </c>
      <c r="BB95" s="8">
        <f t="shared" si="87"/>
        <v>6.15</v>
      </c>
      <c r="BC95" s="8">
        <f t="shared" si="87"/>
        <v>6.15</v>
      </c>
      <c r="BD95" s="8">
        <f t="shared" si="87"/>
        <v>6.15</v>
      </c>
      <c r="BE95" s="8">
        <f t="shared" si="87"/>
        <v>6.15</v>
      </c>
      <c r="BF95" s="8">
        <f t="shared" si="87"/>
        <v>6.15</v>
      </c>
      <c r="BG95" s="8">
        <f t="shared" si="87"/>
        <v>6.15</v>
      </c>
      <c r="BH95" s="8">
        <f t="shared" si="87"/>
        <v>6.15</v>
      </c>
      <c r="BI95" s="8">
        <f t="shared" si="87"/>
        <v>6.15</v>
      </c>
      <c r="BJ95" s="8">
        <f t="shared" si="87"/>
        <v>6.15</v>
      </c>
    </row>
    <row r="96" spans="2:62">
      <c r="K96"/>
    </row>
    <row r="97" spans="2:62">
      <c r="B97" t="s">
        <v>289</v>
      </c>
      <c r="I97">
        <v>1</v>
      </c>
      <c r="J97">
        <v>5</v>
      </c>
      <c r="K97" s="15">
        <f>K50*365*K34/1000*K84</f>
        <v>221.89862926945901</v>
      </c>
      <c r="L97" s="15">
        <f>L50*365*L34/1000*L84</f>
        <v>250.41737500000005</v>
      </c>
      <c r="O97" s="7">
        <f t="shared" ref="O97:Z97" si="88">O81*1000/O31</f>
        <v>260.58256650493558</v>
      </c>
      <c r="P97" s="7">
        <f t="shared" si="88"/>
        <v>250.22004502362154</v>
      </c>
      <c r="Q97" s="7">
        <f t="shared" si="88"/>
        <v>245.36606791264049</v>
      </c>
      <c r="R97" s="7">
        <f t="shared" si="88"/>
        <v>232.53207391713747</v>
      </c>
      <c r="S97" s="7">
        <f t="shared" si="88"/>
        <v>222.77816713857194</v>
      </c>
      <c r="T97" s="7">
        <f t="shared" si="88"/>
        <v>207.33920585445182</v>
      </c>
      <c r="U97" s="7">
        <f t="shared" si="88"/>
        <v>235.38568527636374</v>
      </c>
      <c r="V97" s="7">
        <f t="shared" si="88"/>
        <v>242.12355212355212</v>
      </c>
      <c r="W97" s="7">
        <f t="shared" si="88"/>
        <v>238.76109288441887</v>
      </c>
      <c r="X97" s="7">
        <f t="shared" si="88"/>
        <v>239.98160363722371</v>
      </c>
      <c r="Y97" s="7">
        <f t="shared" si="88"/>
        <v>240.74606080924258</v>
      </c>
      <c r="Z97" s="7">
        <f t="shared" si="88"/>
        <v>220.26403811068315</v>
      </c>
      <c r="AA97" s="7"/>
      <c r="AB97" s="8">
        <f t="shared" ref="AB97:BJ97" si="89">IF(AND($I97&lt;AB$3,AB$3&lt;=$J97),AA97+($L97-$K97)/($J97-$I97+1),IF($I97&gt;=AB$3,$K97,$L97))</f>
        <v>221.89862926945901</v>
      </c>
      <c r="AC97" s="8">
        <f t="shared" si="89"/>
        <v>227.60237841556722</v>
      </c>
      <c r="AD97" s="8">
        <f t="shared" si="89"/>
        <v>233.30612756167542</v>
      </c>
      <c r="AE97" s="8">
        <f t="shared" si="89"/>
        <v>239.00987670778363</v>
      </c>
      <c r="AF97" s="8">
        <f t="shared" si="89"/>
        <v>244.71362585389184</v>
      </c>
      <c r="AG97" s="8">
        <f t="shared" si="89"/>
        <v>250.41737500000005</v>
      </c>
      <c r="AH97" s="8">
        <f t="shared" si="89"/>
        <v>250.41737500000005</v>
      </c>
      <c r="AI97" s="8">
        <f t="shared" si="89"/>
        <v>250.41737500000005</v>
      </c>
      <c r="AJ97" s="8">
        <f t="shared" si="89"/>
        <v>250.41737500000005</v>
      </c>
      <c r="AK97" s="8">
        <f t="shared" si="89"/>
        <v>250.41737500000005</v>
      </c>
      <c r="AL97" s="8">
        <f t="shared" si="89"/>
        <v>250.41737500000005</v>
      </c>
      <c r="AM97" s="8">
        <f t="shared" si="89"/>
        <v>250.41737500000005</v>
      </c>
      <c r="AN97" s="8">
        <f t="shared" si="89"/>
        <v>250.41737500000005</v>
      </c>
      <c r="AO97" s="8">
        <f t="shared" si="89"/>
        <v>250.41737500000005</v>
      </c>
      <c r="AP97" s="8">
        <f t="shared" si="89"/>
        <v>250.41737500000005</v>
      </c>
      <c r="AQ97" s="8">
        <f t="shared" si="89"/>
        <v>250.41737500000005</v>
      </c>
      <c r="AR97" s="8">
        <f t="shared" si="89"/>
        <v>250.41737500000005</v>
      </c>
      <c r="AS97" s="8">
        <f t="shared" si="89"/>
        <v>250.41737500000005</v>
      </c>
      <c r="AT97" s="8">
        <f t="shared" si="89"/>
        <v>250.41737500000005</v>
      </c>
      <c r="AU97" s="8">
        <f t="shared" si="89"/>
        <v>250.41737500000005</v>
      </c>
      <c r="AV97" s="8">
        <f t="shared" si="89"/>
        <v>250.41737500000005</v>
      </c>
      <c r="AW97" s="8">
        <f t="shared" si="89"/>
        <v>250.41737500000005</v>
      </c>
      <c r="AX97" s="8">
        <f t="shared" si="89"/>
        <v>250.41737500000005</v>
      </c>
      <c r="AY97" s="8">
        <f t="shared" si="89"/>
        <v>250.41737500000005</v>
      </c>
      <c r="AZ97" s="8">
        <f t="shared" si="89"/>
        <v>250.41737500000005</v>
      </c>
      <c r="BA97" s="8">
        <f t="shared" si="89"/>
        <v>250.41737500000005</v>
      </c>
      <c r="BB97" s="8">
        <f t="shared" si="89"/>
        <v>250.41737500000005</v>
      </c>
      <c r="BC97" s="8">
        <f t="shared" si="89"/>
        <v>250.41737500000005</v>
      </c>
      <c r="BD97" s="8">
        <f t="shared" si="89"/>
        <v>250.41737500000005</v>
      </c>
      <c r="BE97" s="8">
        <f t="shared" si="89"/>
        <v>250.41737500000005</v>
      </c>
      <c r="BF97" s="8">
        <f t="shared" si="89"/>
        <v>250.41737500000005</v>
      </c>
      <c r="BG97" s="8">
        <f t="shared" si="89"/>
        <v>250.41737500000005</v>
      </c>
      <c r="BH97" s="8">
        <f t="shared" si="89"/>
        <v>250.41737500000005</v>
      </c>
      <c r="BI97" s="8">
        <f t="shared" si="89"/>
        <v>250.41737500000005</v>
      </c>
      <c r="BJ97" s="8">
        <f t="shared" si="89"/>
        <v>250.41737500000005</v>
      </c>
    </row>
    <row r="98" spans="2:62">
      <c r="K98"/>
    </row>
    <row r="99" spans="2:62">
      <c r="B99" s="4" t="s">
        <v>295</v>
      </c>
      <c r="K99"/>
    </row>
    <row r="100" spans="2:62">
      <c r="B100" t="s">
        <v>281</v>
      </c>
      <c r="L100" s="1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>
        <f>AB81*AB94*1000</f>
        <v>54659176.672719218</v>
      </c>
      <c r="AC100" s="5">
        <f t="shared" ref="AC100:BJ100" si="90">AC81*AC94*1000</f>
        <v>57603227.82211861</v>
      </c>
      <c r="AD100" s="5">
        <f t="shared" si="90"/>
        <v>60637799.799315795</v>
      </c>
      <c r="AE100" s="5">
        <f t="shared" si="90"/>
        <v>63762459.045751467</v>
      </c>
      <c r="AF100" s="5">
        <f t="shared" si="90"/>
        <v>66976594.658644028</v>
      </c>
      <c r="AG100" s="5">
        <f t="shared" si="90"/>
        <v>70279414.294089586</v>
      </c>
      <c r="AH100" s="5">
        <f t="shared" si="90"/>
        <v>71282828.331516936</v>
      </c>
      <c r="AI100" s="5">
        <f t="shared" si="90"/>
        <v>72269848.187017158</v>
      </c>
      <c r="AJ100" s="5">
        <f t="shared" si="90"/>
        <v>73239390.239797696</v>
      </c>
      <c r="AK100" s="5">
        <f t="shared" si="90"/>
        <v>74190378.03575471</v>
      </c>
      <c r="AL100" s="5">
        <f t="shared" si="90"/>
        <v>75121744.243319735</v>
      </c>
      <c r="AM100" s="5">
        <f t="shared" si="90"/>
        <v>76032432.617418557</v>
      </c>
      <c r="AN100" s="5">
        <f t="shared" si="90"/>
        <v>76921399.966584533</v>
      </c>
      <c r="AO100" s="5">
        <f t="shared" si="90"/>
        <v>77787618.118187979</v>
      </c>
      <c r="AP100" s="5">
        <f t="shared" si="90"/>
        <v>78630075.876680896</v>
      </c>
      <c r="AQ100" s="5">
        <f t="shared" si="90"/>
        <v>79447780.969708726</v>
      </c>
      <c r="AR100" s="5">
        <f t="shared" si="90"/>
        <v>80239761.976911336</v>
      </c>
      <c r="AS100" s="5">
        <f t="shared" si="90"/>
        <v>81005070.236223608</v>
      </c>
      <c r="AT100" s="5">
        <f t="shared" si="90"/>
        <v>81742781.722490788</v>
      </c>
      <c r="AU100" s="5">
        <f t="shared" si="90"/>
        <v>82451998.893238142</v>
      </c>
      <c r="AV100" s="5">
        <f t="shared" si="90"/>
        <v>83131852.496474624</v>
      </c>
      <c r="AW100" s="5">
        <f t="shared" si="90"/>
        <v>83781503.335471228</v>
      </c>
      <c r="AX100" s="5">
        <f t="shared" si="90"/>
        <v>84400143.985531464</v>
      </c>
      <c r="AY100" s="5">
        <f t="shared" si="90"/>
        <v>84987000.457866624</v>
      </c>
      <c r="AZ100" s="5">
        <f t="shared" si="90"/>
        <v>85541333.805803135</v>
      </c>
      <c r="BA100" s="5">
        <f t="shared" si="90"/>
        <v>86062441.668678671</v>
      </c>
      <c r="BB100" s="5">
        <f t="shared" si="90"/>
        <v>86549659.748932496</v>
      </c>
      <c r="BC100" s="5">
        <f t="shared" si="90"/>
        <v>87002363.218060359</v>
      </c>
      <c r="BD100" s="5">
        <f t="shared" si="90"/>
        <v>87419968.047284424</v>
      </c>
      <c r="BE100" s="5">
        <f t="shared" si="90"/>
        <v>87801932.258986101</v>
      </c>
      <c r="BF100" s="5">
        <f t="shared" si="90"/>
        <v>88147757.095161423</v>
      </c>
      <c r="BG100" s="5">
        <f t="shared" si="90"/>
        <v>88456988.099383458</v>
      </c>
      <c r="BH100" s="5">
        <f t="shared" si="90"/>
        <v>88729216.10899736</v>
      </c>
      <c r="BI100" s="5">
        <f t="shared" si="90"/>
        <v>88964078.154524937</v>
      </c>
      <c r="BJ100" s="5">
        <f t="shared" si="90"/>
        <v>89161258.263519526</v>
      </c>
    </row>
    <row r="101" spans="2:62">
      <c r="B101" t="s">
        <v>282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>
        <f>AB82*AB94*1000</f>
        <v>46460300.171811335</v>
      </c>
      <c r="AC101" s="5">
        <f t="shared" ref="AC101:BJ101" si="91">AC82*AC94*1000</f>
        <v>48962743.64880082</v>
      </c>
      <c r="AD101" s="5">
        <f t="shared" si="91"/>
        <v>51542129.829418428</v>
      </c>
      <c r="AE101" s="5">
        <f t="shared" si="91"/>
        <v>54198090.188888744</v>
      </c>
      <c r="AF101" s="5">
        <f t="shared" si="91"/>
        <v>56930105.459847413</v>
      </c>
      <c r="AG101" s="5">
        <f t="shared" si="91"/>
        <v>59737502.149976134</v>
      </c>
      <c r="AH101" s="5">
        <f t="shared" si="91"/>
        <v>60590404.081789404</v>
      </c>
      <c r="AI101" s="5">
        <f t="shared" si="91"/>
        <v>61429370.958964579</v>
      </c>
      <c r="AJ101" s="5">
        <f t="shared" si="91"/>
        <v>62253481.703828022</v>
      </c>
      <c r="AK101" s="5">
        <f t="shared" si="91"/>
        <v>63061821.330391504</v>
      </c>
      <c r="AL101" s="5">
        <f t="shared" si="91"/>
        <v>63853482.606821768</v>
      </c>
      <c r="AM101" s="5">
        <f t="shared" si="91"/>
        <v>64627567.724805765</v>
      </c>
      <c r="AN101" s="5">
        <f t="shared" si="91"/>
        <v>65383189.971596844</v>
      </c>
      <c r="AO101" s="5">
        <f t="shared" si="91"/>
        <v>66119475.400459796</v>
      </c>
      <c r="AP101" s="5">
        <f t="shared" si="91"/>
        <v>66835564.495178752</v>
      </c>
      <c r="AQ101" s="5">
        <f t="shared" si="91"/>
        <v>67530613.824252412</v>
      </c>
      <c r="AR101" s="5">
        <f t="shared" si="91"/>
        <v>68203797.680374622</v>
      </c>
      <c r="AS101" s="5">
        <f t="shared" si="91"/>
        <v>68854309.700790077</v>
      </c>
      <c r="AT101" s="5">
        <f t="shared" si="91"/>
        <v>69481364.464117184</v>
      </c>
      <c r="AU101" s="5">
        <f t="shared" si="91"/>
        <v>70084199.059252426</v>
      </c>
      <c r="AV101" s="5">
        <f t="shared" si="91"/>
        <v>70662074.622003421</v>
      </c>
      <c r="AW101" s="5">
        <f t="shared" si="91"/>
        <v>71214277.835150525</v>
      </c>
      <c r="AX101" s="5">
        <f t="shared" si="91"/>
        <v>71740122.387701735</v>
      </c>
      <c r="AY101" s="5">
        <f t="shared" si="91"/>
        <v>72238950.389186621</v>
      </c>
      <c r="AZ101" s="5">
        <f t="shared" si="91"/>
        <v>72710133.734932661</v>
      </c>
      <c r="BA101" s="5">
        <f t="shared" si="91"/>
        <v>73153075.418376863</v>
      </c>
      <c r="BB101" s="5">
        <f t="shared" si="91"/>
        <v>73567210.786592618</v>
      </c>
      <c r="BC101" s="5">
        <f t="shared" si="91"/>
        <v>73952008.735351294</v>
      </c>
      <c r="BD101" s="5">
        <f t="shared" si="91"/>
        <v>74306972.840191752</v>
      </c>
      <c r="BE101" s="5">
        <f t="shared" si="91"/>
        <v>74631642.42013818</v>
      </c>
      <c r="BF101" s="5">
        <f t="shared" si="91"/>
        <v>74925593.530887216</v>
      </c>
      <c r="BG101" s="5">
        <f t="shared" si="91"/>
        <v>75188439.884475946</v>
      </c>
      <c r="BH101" s="5">
        <f t="shared" si="91"/>
        <v>75419833.692647755</v>
      </c>
      <c r="BI101" s="5">
        <f t="shared" si="91"/>
        <v>75619466.431346178</v>
      </c>
      <c r="BJ101" s="5">
        <f t="shared" si="91"/>
        <v>75787069.5239916</v>
      </c>
    </row>
    <row r="102" spans="2:62">
      <c r="B102" t="s">
        <v>283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>
        <f t="shared" ref="AB102:BJ102" si="92">(AB100+AB101)*AB$91</f>
        <v>5055973.8422265276</v>
      </c>
      <c r="AC102" s="5">
        <f t="shared" si="92"/>
        <v>5328298.5735459719</v>
      </c>
      <c r="AD102" s="5">
        <f t="shared" si="92"/>
        <v>5608996.4814367117</v>
      </c>
      <c r="AE102" s="5">
        <f t="shared" si="92"/>
        <v>5898027.4617320113</v>
      </c>
      <c r="AF102" s="5">
        <f t="shared" si="92"/>
        <v>6195335.0059245722</v>
      </c>
      <c r="AG102" s="5">
        <f t="shared" si="92"/>
        <v>6500845.822203286</v>
      </c>
      <c r="AH102" s="5">
        <f t="shared" si="92"/>
        <v>6593661.6206653174</v>
      </c>
      <c r="AI102" s="5">
        <f t="shared" si="92"/>
        <v>6684960.9572990872</v>
      </c>
      <c r="AJ102" s="5">
        <f t="shared" si="92"/>
        <v>6774643.5971812867</v>
      </c>
      <c r="AK102" s="5">
        <f t="shared" si="92"/>
        <v>6862609.9683073107</v>
      </c>
      <c r="AL102" s="5">
        <f t="shared" si="92"/>
        <v>6948761.3425070755</v>
      </c>
      <c r="AM102" s="5">
        <f t="shared" si="92"/>
        <v>7033000.0171112167</v>
      </c>
      <c r="AN102" s="5">
        <f t="shared" si="92"/>
        <v>7115229.4969090689</v>
      </c>
      <c r="AO102" s="5">
        <f t="shared" si="92"/>
        <v>7195354.6759323897</v>
      </c>
      <c r="AP102" s="5">
        <f t="shared" si="92"/>
        <v>7273282.0185929826</v>
      </c>
      <c r="AQ102" s="5">
        <f t="shared" si="92"/>
        <v>7348919.7396980571</v>
      </c>
      <c r="AR102" s="5">
        <f t="shared" si="92"/>
        <v>7422177.9828642979</v>
      </c>
      <c r="AS102" s="5">
        <f t="shared" si="92"/>
        <v>7492968.9968506843</v>
      </c>
      <c r="AT102" s="5">
        <f t="shared" si="92"/>
        <v>7561207.3093303982</v>
      </c>
      <c r="AU102" s="5">
        <f t="shared" si="92"/>
        <v>7626809.897624529</v>
      </c>
      <c r="AV102" s="5">
        <f t="shared" si="92"/>
        <v>7689696.3559239032</v>
      </c>
      <c r="AW102" s="5">
        <f t="shared" si="92"/>
        <v>7749789.0585310878</v>
      </c>
      <c r="AX102" s="5">
        <f t="shared" si="92"/>
        <v>7807013.31866166</v>
      </c>
      <c r="AY102" s="5">
        <f t="shared" si="92"/>
        <v>7861297.5423526615</v>
      </c>
      <c r="AZ102" s="5">
        <f t="shared" si="92"/>
        <v>7912573.3770367894</v>
      </c>
      <c r="BA102" s="5">
        <f t="shared" si="92"/>
        <v>7960775.8543527769</v>
      </c>
      <c r="BB102" s="5">
        <f t="shared" si="92"/>
        <v>8005843.526776256</v>
      </c>
      <c r="BC102" s="5">
        <f t="shared" si="92"/>
        <v>8047718.5976705821</v>
      </c>
      <c r="BD102" s="5">
        <f t="shared" si="92"/>
        <v>8086347.0443738094</v>
      </c>
      <c r="BE102" s="5">
        <f t="shared" si="92"/>
        <v>8121678.733956215</v>
      </c>
      <c r="BF102" s="5">
        <f t="shared" si="92"/>
        <v>8153667.5313024316</v>
      </c>
      <c r="BG102" s="5">
        <f t="shared" si="92"/>
        <v>8182271.3991929712</v>
      </c>
      <c r="BH102" s="5">
        <f t="shared" si="92"/>
        <v>8207452.4900822556</v>
      </c>
      <c r="BI102" s="5">
        <f t="shared" si="92"/>
        <v>8229177.229293555</v>
      </c>
      <c r="BJ102" s="5">
        <f t="shared" si="92"/>
        <v>8247416.3893755563</v>
      </c>
    </row>
    <row r="104" spans="2:62">
      <c r="B104" s="4" t="s">
        <v>298</v>
      </c>
    </row>
    <row r="105" spans="2:62">
      <c r="B105" t="s">
        <v>281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>
        <f>AB30*AB97*AB94</f>
        <v>54659176.67271921</v>
      </c>
      <c r="AC105" s="5">
        <f t="shared" ref="AC105:BJ105" si="93">AC30*AC97*AC94</f>
        <v>57692766.578600943</v>
      </c>
      <c r="AD105" s="5">
        <f t="shared" si="93"/>
        <v>60821370.725087307</v>
      </c>
      <c r="AE105" s="5">
        <f t="shared" si="93"/>
        <v>64044584.827877492</v>
      </c>
      <c r="AF105" s="5">
        <f t="shared" si="93"/>
        <v>67361820.859372661</v>
      </c>
      <c r="AG105" s="5">
        <f t="shared" si="93"/>
        <v>70772302.772954732</v>
      </c>
      <c r="AH105" s="5">
        <f t="shared" si="93"/>
        <v>71759858.480398118</v>
      </c>
      <c r="AI105" s="5">
        <f t="shared" si="93"/>
        <v>72730713.279210374</v>
      </c>
      <c r="AJ105" s="5">
        <f t="shared" si="93"/>
        <v>73683809.76365152</v>
      </c>
      <c r="AK105" s="5">
        <f t="shared" si="93"/>
        <v>74618098.42064102</v>
      </c>
      <c r="AL105" s="5">
        <f t="shared" si="93"/>
        <v>75532539.522558838</v>
      </c>
      <c r="AM105" s="5">
        <f t="shared" si="93"/>
        <v>76426105.025612116</v>
      </c>
      <c r="AN105" s="5">
        <f t="shared" si="93"/>
        <v>77297780.469008043</v>
      </c>
      <c r="AO105" s="5">
        <f t="shared" si="93"/>
        <v>78146566.870103344</v>
      </c>
      <c r="AP105" s="5">
        <f t="shared" si="93"/>
        <v>78971482.610649154</v>
      </c>
      <c r="AQ105" s="5">
        <f t="shared" si="93"/>
        <v>79771565.309212014</v>
      </c>
      <c r="AR105" s="5">
        <f t="shared" si="93"/>
        <v>80545873.674830675</v>
      </c>
      <c r="AS105" s="5">
        <f t="shared" si="93"/>
        <v>81293489.336964384</v>
      </c>
      <c r="AT105" s="5">
        <f t="shared" si="93"/>
        <v>82013518.646800026</v>
      </c>
      <c r="AU105" s="5">
        <f t="shared" si="93"/>
        <v>82705094.445014909</v>
      </c>
      <c r="AV105" s="5">
        <f t="shared" si="93"/>
        <v>83367377.791138053</v>
      </c>
      <c r="AW105" s="5">
        <f t="shared" si="93"/>
        <v>83999559.649716005</v>
      </c>
      <c r="AX105" s="5">
        <f t="shared" si="93"/>
        <v>84600862.528569162</v>
      </c>
      <c r="AY105" s="5">
        <f t="shared" si="93"/>
        <v>85170542.064521626</v>
      </c>
      <c r="AZ105" s="5">
        <f t="shared" si="93"/>
        <v>85707888.552101299</v>
      </c>
      <c r="BA105" s="5">
        <f t="shared" si="93"/>
        <v>86212228.410836101</v>
      </c>
      <c r="BB105" s="5">
        <f t="shared" si="93"/>
        <v>86682925.586919278</v>
      </c>
      <c r="BC105" s="5">
        <f t="shared" si="93"/>
        <v>87119382.885176793</v>
      </c>
      <c r="BD105" s="5">
        <f t="shared" si="93"/>
        <v>87521043.227447763</v>
      </c>
      <c r="BE105" s="5">
        <f t="shared" si="93"/>
        <v>87887390.833678901</v>
      </c>
      <c r="BF105" s="5">
        <f t="shared" si="93"/>
        <v>88217952.322239563</v>
      </c>
      <c r="BG105" s="5">
        <f t="shared" si="93"/>
        <v>88512297.726182163</v>
      </c>
      <c r="BH105" s="5">
        <f t="shared" si="93"/>
        <v>88770041.422403306</v>
      </c>
      <c r="BI105" s="5">
        <f t="shared" si="93"/>
        <v>88990842.97090365</v>
      </c>
      <c r="BJ105" s="5">
        <f t="shared" si="93"/>
        <v>89174407.861597702</v>
      </c>
    </row>
    <row r="106" spans="2:62">
      <c r="B106" t="s">
        <v>282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>
        <f>AB42*AB97*AB95</f>
        <v>52058080.065170921</v>
      </c>
      <c r="AC106" s="5">
        <f t="shared" ref="AC106:BJ106" si="94">AC42*AC97*AC95</f>
        <v>54260331.030044287</v>
      </c>
      <c r="AD106" s="5">
        <f t="shared" si="94"/>
        <v>56496625.356580965</v>
      </c>
      <c r="AE106" s="5">
        <f t="shared" si="94"/>
        <v>58765368.057865031</v>
      </c>
      <c r="AF106" s="5">
        <f t="shared" si="94"/>
        <v>61064875.200243816</v>
      </c>
      <c r="AG106" s="5">
        <f t="shared" si="94"/>
        <v>63393375.323753975</v>
      </c>
      <c r="AH106" s="5">
        <f t="shared" si="94"/>
        <v>64287655.390412688</v>
      </c>
      <c r="AI106" s="5">
        <f t="shared" si="94"/>
        <v>65167271.765405223</v>
      </c>
      <c r="AJ106" s="5">
        <f t="shared" si="94"/>
        <v>66031271.600339659</v>
      </c>
      <c r="AK106" s="5">
        <f t="shared" si="94"/>
        <v>66878708.50753554</v>
      </c>
      <c r="AL106" s="5">
        <f t="shared" si="94"/>
        <v>67708644.256870434</v>
      </c>
      <c r="AM106" s="5">
        <f t="shared" si="94"/>
        <v>68520150.479177266</v>
      </c>
      <c r="AN106" s="5">
        <f t="shared" si="94"/>
        <v>69312310.371949643</v>
      </c>
      <c r="AO106" s="5">
        <f t="shared" si="94"/>
        <v>70084220.403043345</v>
      </c>
      <c r="AP106" s="5">
        <f t="shared" si="94"/>
        <v>70834992.008011907</v>
      </c>
      <c r="AQ106" s="5">
        <f t="shared" si="94"/>
        <v>71563753.276673347</v>
      </c>
      <c r="AR106" s="5">
        <f t="shared" si="94"/>
        <v>72269650.624483004</v>
      </c>
      <c r="AS106" s="5">
        <f t="shared" si="94"/>
        <v>72951850.444275901</v>
      </c>
      <c r="AT106" s="5">
        <f t="shared" si="94"/>
        <v>73609540.73394914</v>
      </c>
      <c r="AU106" s="5">
        <f t="shared" si="94"/>
        <v>74241932.695674434</v>
      </c>
      <c r="AV106" s="5">
        <f t="shared" si="94"/>
        <v>74848262.302266836</v>
      </c>
      <c r="AW106" s="5">
        <f t="shared" si="94"/>
        <v>75427791.826386869</v>
      </c>
      <c r="AX106" s="5">
        <f t="shared" si="94"/>
        <v>75979811.328319371</v>
      </c>
      <c r="AY106" s="5">
        <f t="shared" si="94"/>
        <v>76503640.098153368</v>
      </c>
      <c r="AZ106" s="5">
        <f t="shared" si="94"/>
        <v>76998628.048284248</v>
      </c>
      <c r="BA106" s="5">
        <f t="shared" si="94"/>
        <v>77464157.052269891</v>
      </c>
      <c r="BB106" s="5">
        <f t="shared" si="94"/>
        <v>77899642.226198152</v>
      </c>
      <c r="BC106" s="5">
        <f t="shared" si="94"/>
        <v>78304533.148862869</v>
      </c>
      <c r="BD106" s="5">
        <f t="shared" si="94"/>
        <v>78678315.017198488</v>
      </c>
      <c r="BE106" s="5">
        <f t="shared" si="94"/>
        <v>79020509.73359023</v>
      </c>
      <c r="BF106" s="5">
        <f t="shared" si="94"/>
        <v>79330676.921855822</v>
      </c>
      <c r="BG106" s="5">
        <f t="shared" si="94"/>
        <v>79608414.868886024</v>
      </c>
      <c r="BH106" s="5">
        <f t="shared" si="94"/>
        <v>79853361.38913396</v>
      </c>
      <c r="BI106" s="5">
        <f t="shared" si="94"/>
        <v>80065194.609357223</v>
      </c>
      <c r="BJ106" s="5">
        <f t="shared" si="94"/>
        <v>80243633.671239093</v>
      </c>
    </row>
    <row r="107" spans="2:62">
      <c r="B107" t="s">
        <v>283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>
        <f t="shared" ref="AB107:AC107" si="95">(AB105+AB106)*AB$91</f>
        <v>5335862.8368945066</v>
      </c>
      <c r="AC107" s="5">
        <f t="shared" si="95"/>
        <v>5597654.8804322621</v>
      </c>
      <c r="AD107" s="5">
        <f t="shared" ref="AD107" si="96">(AD105+AD106)*AD$91</f>
        <v>5865899.8040834144</v>
      </c>
      <c r="AE107" s="5">
        <f t="shared" ref="AE107" si="97">(AE105+AE106)*AE$91</f>
        <v>6140497.6442871261</v>
      </c>
      <c r="AF107" s="5">
        <f t="shared" ref="AF107" si="98">(AF105+AF106)*AF$91</f>
        <v>6421334.8029808244</v>
      </c>
      <c r="AG107" s="5">
        <f t="shared" ref="AG107" si="99">(AG105+AG106)*AG$91</f>
        <v>6708283.9048354365</v>
      </c>
      <c r="AH107" s="5">
        <f t="shared" ref="AH107" si="100">(AH105+AH106)*AH$91</f>
        <v>6802375.6935405405</v>
      </c>
      <c r="AI107" s="5">
        <f t="shared" ref="AI107" si="101">(AI105+AI106)*AI$91</f>
        <v>6894899.2522307802</v>
      </c>
      <c r="AJ107" s="5">
        <f t="shared" ref="AJ107" si="102">(AJ105+AJ106)*AJ$91</f>
        <v>6985754.0681995591</v>
      </c>
      <c r="AK107" s="5">
        <f t="shared" ref="AK107" si="103">(AK105+AK106)*AK$91</f>
        <v>7074840.3464088282</v>
      </c>
      <c r="AL107" s="5">
        <f t="shared" ref="AL107" si="104">(AL105+AL106)*AL$91</f>
        <v>7162059.1889714636</v>
      </c>
      <c r="AM107" s="5">
        <f t="shared" ref="AM107" si="105">(AM105+AM106)*AM$91</f>
        <v>7247312.7752394695</v>
      </c>
      <c r="AN107" s="5">
        <f t="shared" ref="AN107" si="106">(AN105+AN106)*AN$91</f>
        <v>7330504.5420478852</v>
      </c>
      <c r="AO107" s="5">
        <f t="shared" ref="AO107" si="107">(AO105+AO106)*AO$91</f>
        <v>7411539.3636573348</v>
      </c>
      <c r="AP107" s="5">
        <f t="shared" ref="AP107" si="108">(AP105+AP106)*AP$91</f>
        <v>7490323.7309330525</v>
      </c>
      <c r="AQ107" s="5">
        <f t="shared" ref="AQ107" si="109">(AQ105+AQ106)*AQ$91</f>
        <v>7566765.9292942677</v>
      </c>
      <c r="AR107" s="5">
        <f t="shared" ref="AR107" si="110">(AR105+AR106)*AR$91</f>
        <v>7640776.2149656834</v>
      </c>
      <c r="AS107" s="5">
        <f t="shared" ref="AS107" si="111">(AS105+AS106)*AS$91</f>
        <v>7712266.989062015</v>
      </c>
      <c r="AT107" s="5">
        <f t="shared" ref="AT107" si="112">(AT105+AT106)*AT$91</f>
        <v>7781152.9690374583</v>
      </c>
      <c r="AU107" s="5">
        <f t="shared" ref="AU107" si="113">(AU105+AU106)*AU$91</f>
        <v>7847351.3570344672</v>
      </c>
      <c r="AV107" s="5">
        <f t="shared" ref="AV107" si="114">(AV105+AV106)*AV$91</f>
        <v>7910782.0046702446</v>
      </c>
      <c r="AW107" s="5">
        <f t="shared" ref="AW107" si="115">(AW105+AW106)*AW$91</f>
        <v>7971367.573805145</v>
      </c>
      <c r="AX107" s="5">
        <f t="shared" ref="AX107" si="116">(AX105+AX106)*AX$91</f>
        <v>8029033.6928444272</v>
      </c>
      <c r="AY107" s="5">
        <f t="shared" ref="AY107" si="117">(AY105+AY106)*AY$91</f>
        <v>8083709.10813375</v>
      </c>
      <c r="AZ107" s="5">
        <f t="shared" ref="AZ107" si="118">(AZ105+AZ106)*AZ$91</f>
        <v>8135325.8300192775</v>
      </c>
      <c r="BA107" s="5">
        <f t="shared" ref="BA107" si="119">(BA105+BA106)*BA$91</f>
        <v>8183819.273155299</v>
      </c>
      <c r="BB107" s="5">
        <f t="shared" ref="BB107" si="120">(BB105+BB106)*BB$91</f>
        <v>8229128.3906558724</v>
      </c>
      <c r="BC107" s="5">
        <f t="shared" ref="BC107" si="121">(BC105+BC106)*BC$91</f>
        <v>8271195.8017019844</v>
      </c>
      <c r="BD107" s="5">
        <f t="shared" ref="BD107" si="122">(BD105+BD106)*BD$91</f>
        <v>8309967.9122323133</v>
      </c>
      <c r="BE107" s="5">
        <f t="shared" ref="BE107" si="123">(BE105+BE106)*BE$91</f>
        <v>8345395.0283634579</v>
      </c>
      <c r="BF107" s="5">
        <f t="shared" ref="BF107" si="124">(BF105+BF106)*BF$91</f>
        <v>8377431.4622047693</v>
      </c>
      <c r="BG107" s="5">
        <f t="shared" ref="BG107" si="125">(BG105+BG106)*BG$91</f>
        <v>8406035.629753409</v>
      </c>
      <c r="BH107" s="5">
        <f t="shared" ref="BH107" si="126">(BH105+BH106)*BH$91</f>
        <v>8431170.1405768637</v>
      </c>
      <c r="BI107" s="5">
        <f t="shared" ref="BI107" si="127">(BI105+BI106)*BI$91</f>
        <v>8452801.8790130448</v>
      </c>
      <c r="BJ107" s="5">
        <f t="shared" ref="BJ107" si="128">(BJ105+BJ106)*BJ$91</f>
        <v>8470902.0766418409</v>
      </c>
    </row>
    <row r="109" spans="2:62" s="9" customFormat="1">
      <c r="B109" s="9" t="s">
        <v>299</v>
      </c>
      <c r="K109" s="45"/>
    </row>
    <row r="111" spans="2:62">
      <c r="B111" s="4" t="s">
        <v>299</v>
      </c>
    </row>
    <row r="112" spans="2:62">
      <c r="B112" s="4"/>
    </row>
    <row r="113" spans="2:62" s="6" customFormat="1">
      <c r="B113" s="18" t="s">
        <v>300</v>
      </c>
      <c r="C113" s="6" t="s">
        <v>301</v>
      </c>
      <c r="K113" s="12"/>
      <c r="AA113" s="6" t="str">
        <f>C113</f>
        <v>Receita Bruta</v>
      </c>
      <c r="AB113" s="17">
        <f>SUM(AB114:AB116)</f>
        <v>112053119.57478464</v>
      </c>
      <c r="AC113" s="17">
        <f t="shared" ref="AC113:BJ113" si="129">SUM(AC114:AC116)</f>
        <v>117550752.48907749</v>
      </c>
      <c r="AD113" s="17">
        <f t="shared" si="129"/>
        <v>123183895.88575169</v>
      </c>
      <c r="AE113" s="17">
        <f t="shared" si="129"/>
        <v>128950450.53002964</v>
      </c>
      <c r="AF113" s="17">
        <f t="shared" si="129"/>
        <v>134848030.86259729</v>
      </c>
      <c r="AG113" s="17">
        <f t="shared" si="129"/>
        <v>140873962.00154415</v>
      </c>
      <c r="AH113" s="17">
        <f t="shared" si="129"/>
        <v>142849889.56435135</v>
      </c>
      <c r="AI113" s="17">
        <f t="shared" si="129"/>
        <v>144792884.29684639</v>
      </c>
      <c r="AJ113" s="17">
        <f t="shared" si="129"/>
        <v>146700835.43219072</v>
      </c>
      <c r="AK113" s="17">
        <f t="shared" si="129"/>
        <v>148571647.27458537</v>
      </c>
      <c r="AL113" s="17">
        <f t="shared" si="129"/>
        <v>150403242.96840072</v>
      </c>
      <c r="AM113" s="17">
        <f t="shared" si="129"/>
        <v>152193568.28002885</v>
      </c>
      <c r="AN113" s="17">
        <f t="shared" si="129"/>
        <v>153940595.38300559</v>
      </c>
      <c r="AO113" s="17">
        <f t="shared" si="129"/>
        <v>155642326.63680401</v>
      </c>
      <c r="AP113" s="17">
        <f t="shared" si="129"/>
        <v>157296798.34959409</v>
      </c>
      <c r="AQ113" s="17">
        <f t="shared" si="129"/>
        <v>158902084.5151796</v>
      </c>
      <c r="AR113" s="17">
        <f t="shared" si="129"/>
        <v>160456300.51427934</v>
      </c>
      <c r="AS113" s="17">
        <f t="shared" si="129"/>
        <v>161957606.7703023</v>
      </c>
      <c r="AT113" s="17">
        <f t="shared" si="129"/>
        <v>163404212.34978664</v>
      </c>
      <c r="AU113" s="17">
        <f t="shared" si="129"/>
        <v>164794378.49772382</v>
      </c>
      <c r="AV113" s="17">
        <f t="shared" si="129"/>
        <v>166126422.09807512</v>
      </c>
      <c r="AW113" s="17">
        <f t="shared" si="129"/>
        <v>167398719.04990804</v>
      </c>
      <c r="AX113" s="17">
        <f t="shared" si="129"/>
        <v>168609707.54973295</v>
      </c>
      <c r="AY113" s="17">
        <f t="shared" si="129"/>
        <v>169757891.27080876</v>
      </c>
      <c r="AZ113" s="17">
        <f t="shared" si="129"/>
        <v>170841842.43040481</v>
      </c>
      <c r="BA113" s="17">
        <f t="shared" si="129"/>
        <v>171860204.73626128</v>
      </c>
      <c r="BB113" s="17">
        <f t="shared" si="129"/>
        <v>172811696.20377332</v>
      </c>
      <c r="BC113" s="17">
        <f t="shared" si="129"/>
        <v>173695111.83574167</v>
      </c>
      <c r="BD113" s="17">
        <f t="shared" si="129"/>
        <v>174509326.15687856</v>
      </c>
      <c r="BE113" s="17">
        <f t="shared" si="129"/>
        <v>175253295.59563261</v>
      </c>
      <c r="BF113" s="17">
        <f t="shared" si="129"/>
        <v>175926060.70630014</v>
      </c>
      <c r="BG113" s="17">
        <f t="shared" si="129"/>
        <v>176526748.2248216</v>
      </c>
      <c r="BH113" s="17">
        <f t="shared" si="129"/>
        <v>177054572.95211414</v>
      </c>
      <c r="BI113" s="17">
        <f t="shared" si="129"/>
        <v>177508839.4592739</v>
      </c>
      <c r="BJ113" s="17">
        <f t="shared" si="129"/>
        <v>177888943.60947862</v>
      </c>
    </row>
    <row r="114" spans="2:62">
      <c r="B114" s="16"/>
      <c r="C114" t="s">
        <v>281</v>
      </c>
      <c r="G114" s="51">
        <v>2</v>
      </c>
      <c r="H114" s="52" t="s">
        <v>302</v>
      </c>
      <c r="AB114" s="5">
        <f t="shared" ref="AB114:BJ114" si="130">CHOOSE($G$114,AB100,AB105)</f>
        <v>54659176.67271921</v>
      </c>
      <c r="AC114" s="5">
        <f t="shared" si="130"/>
        <v>57692766.578600943</v>
      </c>
      <c r="AD114" s="5">
        <f t="shared" si="130"/>
        <v>60821370.725087307</v>
      </c>
      <c r="AE114" s="5">
        <f t="shared" si="130"/>
        <v>64044584.827877492</v>
      </c>
      <c r="AF114" s="5">
        <f t="shared" si="130"/>
        <v>67361820.859372661</v>
      </c>
      <c r="AG114" s="5">
        <f t="shared" si="130"/>
        <v>70772302.772954732</v>
      </c>
      <c r="AH114" s="5">
        <f t="shared" si="130"/>
        <v>71759858.480398118</v>
      </c>
      <c r="AI114" s="5">
        <f t="shared" si="130"/>
        <v>72730713.279210374</v>
      </c>
      <c r="AJ114" s="5">
        <f t="shared" si="130"/>
        <v>73683809.76365152</v>
      </c>
      <c r="AK114" s="5">
        <f t="shared" si="130"/>
        <v>74618098.42064102</v>
      </c>
      <c r="AL114" s="5">
        <f t="shared" si="130"/>
        <v>75532539.522558838</v>
      </c>
      <c r="AM114" s="5">
        <f t="shared" si="130"/>
        <v>76426105.025612116</v>
      </c>
      <c r="AN114" s="5">
        <f t="shared" si="130"/>
        <v>77297780.469008043</v>
      </c>
      <c r="AO114" s="5">
        <f t="shared" si="130"/>
        <v>78146566.870103344</v>
      </c>
      <c r="AP114" s="5">
        <f t="shared" si="130"/>
        <v>78971482.610649154</v>
      </c>
      <c r="AQ114" s="5">
        <f t="shared" si="130"/>
        <v>79771565.309212014</v>
      </c>
      <c r="AR114" s="5">
        <f t="shared" si="130"/>
        <v>80545873.674830675</v>
      </c>
      <c r="AS114" s="5">
        <f t="shared" si="130"/>
        <v>81293489.336964384</v>
      </c>
      <c r="AT114" s="5">
        <f t="shared" si="130"/>
        <v>82013518.646800026</v>
      </c>
      <c r="AU114" s="5">
        <f t="shared" si="130"/>
        <v>82705094.445014909</v>
      </c>
      <c r="AV114" s="5">
        <f t="shared" si="130"/>
        <v>83367377.791138053</v>
      </c>
      <c r="AW114" s="5">
        <f t="shared" si="130"/>
        <v>83999559.649716005</v>
      </c>
      <c r="AX114" s="5">
        <f t="shared" si="130"/>
        <v>84600862.528569162</v>
      </c>
      <c r="AY114" s="5">
        <f t="shared" si="130"/>
        <v>85170542.064521626</v>
      </c>
      <c r="AZ114" s="5">
        <f t="shared" si="130"/>
        <v>85707888.552101299</v>
      </c>
      <c r="BA114" s="5">
        <f t="shared" si="130"/>
        <v>86212228.410836101</v>
      </c>
      <c r="BB114" s="5">
        <f t="shared" si="130"/>
        <v>86682925.586919278</v>
      </c>
      <c r="BC114" s="5">
        <f t="shared" si="130"/>
        <v>87119382.885176793</v>
      </c>
      <c r="BD114" s="5">
        <f t="shared" si="130"/>
        <v>87521043.227447763</v>
      </c>
      <c r="BE114" s="5">
        <f t="shared" si="130"/>
        <v>87887390.833678901</v>
      </c>
      <c r="BF114" s="5">
        <f t="shared" si="130"/>
        <v>88217952.322239563</v>
      </c>
      <c r="BG114" s="5">
        <f t="shared" si="130"/>
        <v>88512297.726182163</v>
      </c>
      <c r="BH114" s="5">
        <f t="shared" si="130"/>
        <v>88770041.422403306</v>
      </c>
      <c r="BI114" s="5">
        <f t="shared" si="130"/>
        <v>88990842.97090365</v>
      </c>
      <c r="BJ114" s="5">
        <f t="shared" si="130"/>
        <v>89174407.861597702</v>
      </c>
    </row>
    <row r="115" spans="2:62">
      <c r="B115" s="16"/>
      <c r="C115" t="s">
        <v>282</v>
      </c>
      <c r="G115" s="51"/>
      <c r="H115" s="52"/>
      <c r="AB115" s="5">
        <f>CHOOSE($G$114,AB101,AB106)</f>
        <v>52058080.065170921</v>
      </c>
      <c r="AC115" s="5">
        <f t="shared" ref="AC115:BJ115" si="131">CHOOSE($G$114,AC101,AC106)</f>
        <v>54260331.030044287</v>
      </c>
      <c r="AD115" s="5">
        <f t="shared" si="131"/>
        <v>56496625.356580965</v>
      </c>
      <c r="AE115" s="5">
        <f t="shared" si="131"/>
        <v>58765368.057865031</v>
      </c>
      <c r="AF115" s="5">
        <f t="shared" si="131"/>
        <v>61064875.200243816</v>
      </c>
      <c r="AG115" s="5">
        <f t="shared" si="131"/>
        <v>63393375.323753975</v>
      </c>
      <c r="AH115" s="5">
        <f t="shared" si="131"/>
        <v>64287655.390412688</v>
      </c>
      <c r="AI115" s="5">
        <f t="shared" si="131"/>
        <v>65167271.765405223</v>
      </c>
      <c r="AJ115" s="5">
        <f t="shared" si="131"/>
        <v>66031271.600339659</v>
      </c>
      <c r="AK115" s="5">
        <f t="shared" si="131"/>
        <v>66878708.50753554</v>
      </c>
      <c r="AL115" s="5">
        <f t="shared" si="131"/>
        <v>67708644.256870434</v>
      </c>
      <c r="AM115" s="5">
        <f t="shared" si="131"/>
        <v>68520150.479177266</v>
      </c>
      <c r="AN115" s="5">
        <f t="shared" si="131"/>
        <v>69312310.371949643</v>
      </c>
      <c r="AO115" s="5">
        <f t="shared" si="131"/>
        <v>70084220.403043345</v>
      </c>
      <c r="AP115" s="5">
        <f t="shared" si="131"/>
        <v>70834992.008011907</v>
      </c>
      <c r="AQ115" s="5">
        <f t="shared" si="131"/>
        <v>71563753.276673347</v>
      </c>
      <c r="AR115" s="5">
        <f t="shared" si="131"/>
        <v>72269650.624483004</v>
      </c>
      <c r="AS115" s="5">
        <f t="shared" si="131"/>
        <v>72951850.444275901</v>
      </c>
      <c r="AT115" s="5">
        <f t="shared" si="131"/>
        <v>73609540.73394914</v>
      </c>
      <c r="AU115" s="5">
        <f t="shared" si="131"/>
        <v>74241932.695674434</v>
      </c>
      <c r="AV115" s="5">
        <f t="shared" si="131"/>
        <v>74848262.302266836</v>
      </c>
      <c r="AW115" s="5">
        <f t="shared" si="131"/>
        <v>75427791.826386869</v>
      </c>
      <c r="AX115" s="5">
        <f t="shared" si="131"/>
        <v>75979811.328319371</v>
      </c>
      <c r="AY115" s="5">
        <f t="shared" si="131"/>
        <v>76503640.098153368</v>
      </c>
      <c r="AZ115" s="5">
        <f t="shared" si="131"/>
        <v>76998628.048284248</v>
      </c>
      <c r="BA115" s="5">
        <f t="shared" si="131"/>
        <v>77464157.052269891</v>
      </c>
      <c r="BB115" s="5">
        <f t="shared" si="131"/>
        <v>77899642.226198152</v>
      </c>
      <c r="BC115" s="5">
        <f t="shared" si="131"/>
        <v>78304533.148862869</v>
      </c>
      <c r="BD115" s="5">
        <f t="shared" si="131"/>
        <v>78678315.017198488</v>
      </c>
      <c r="BE115" s="5">
        <f t="shared" si="131"/>
        <v>79020509.73359023</v>
      </c>
      <c r="BF115" s="5">
        <f t="shared" si="131"/>
        <v>79330676.921855822</v>
      </c>
      <c r="BG115" s="5">
        <f t="shared" si="131"/>
        <v>79608414.868886024</v>
      </c>
      <c r="BH115" s="5">
        <f t="shared" si="131"/>
        <v>79853361.38913396</v>
      </c>
      <c r="BI115" s="5">
        <f t="shared" si="131"/>
        <v>80065194.609357223</v>
      </c>
      <c r="BJ115" s="5">
        <f t="shared" si="131"/>
        <v>80243633.671239093</v>
      </c>
    </row>
    <row r="116" spans="2:62">
      <c r="B116" s="16"/>
      <c r="C116" t="s">
        <v>283</v>
      </c>
      <c r="G116" s="51"/>
      <c r="H116" s="52"/>
      <c r="AB116" s="5">
        <f>CHOOSE($G$114,AB102,AB107)</f>
        <v>5335862.8368945066</v>
      </c>
      <c r="AC116" s="5">
        <f t="shared" ref="AC116:BJ116" si="132">CHOOSE($G$114,AC102,AC107)</f>
        <v>5597654.8804322621</v>
      </c>
      <c r="AD116" s="5">
        <f t="shared" si="132"/>
        <v>5865899.8040834144</v>
      </c>
      <c r="AE116" s="5">
        <f t="shared" si="132"/>
        <v>6140497.6442871261</v>
      </c>
      <c r="AF116" s="5">
        <f t="shared" si="132"/>
        <v>6421334.8029808244</v>
      </c>
      <c r="AG116" s="5">
        <f t="shared" si="132"/>
        <v>6708283.9048354365</v>
      </c>
      <c r="AH116" s="5">
        <f t="shared" si="132"/>
        <v>6802375.6935405405</v>
      </c>
      <c r="AI116" s="5">
        <f t="shared" si="132"/>
        <v>6894899.2522307802</v>
      </c>
      <c r="AJ116" s="5">
        <f t="shared" si="132"/>
        <v>6985754.0681995591</v>
      </c>
      <c r="AK116" s="5">
        <f t="shared" si="132"/>
        <v>7074840.3464088282</v>
      </c>
      <c r="AL116" s="5">
        <f t="shared" si="132"/>
        <v>7162059.1889714636</v>
      </c>
      <c r="AM116" s="5">
        <f t="shared" si="132"/>
        <v>7247312.7752394695</v>
      </c>
      <c r="AN116" s="5">
        <f t="shared" si="132"/>
        <v>7330504.5420478852</v>
      </c>
      <c r="AO116" s="5">
        <f t="shared" si="132"/>
        <v>7411539.3636573348</v>
      </c>
      <c r="AP116" s="5">
        <f t="shared" si="132"/>
        <v>7490323.7309330525</v>
      </c>
      <c r="AQ116" s="5">
        <f t="shared" si="132"/>
        <v>7566765.9292942677</v>
      </c>
      <c r="AR116" s="5">
        <f t="shared" si="132"/>
        <v>7640776.2149656834</v>
      </c>
      <c r="AS116" s="5">
        <f t="shared" si="132"/>
        <v>7712266.989062015</v>
      </c>
      <c r="AT116" s="5">
        <f t="shared" si="132"/>
        <v>7781152.9690374583</v>
      </c>
      <c r="AU116" s="5">
        <f t="shared" si="132"/>
        <v>7847351.3570344672</v>
      </c>
      <c r="AV116" s="5">
        <f t="shared" si="132"/>
        <v>7910782.0046702446</v>
      </c>
      <c r="AW116" s="5">
        <f t="shared" si="132"/>
        <v>7971367.573805145</v>
      </c>
      <c r="AX116" s="5">
        <f t="shared" si="132"/>
        <v>8029033.6928444272</v>
      </c>
      <c r="AY116" s="5">
        <f t="shared" si="132"/>
        <v>8083709.10813375</v>
      </c>
      <c r="AZ116" s="5">
        <f t="shared" si="132"/>
        <v>8135325.8300192775</v>
      </c>
      <c r="BA116" s="5">
        <f t="shared" si="132"/>
        <v>8183819.273155299</v>
      </c>
      <c r="BB116" s="5">
        <f t="shared" si="132"/>
        <v>8229128.3906558724</v>
      </c>
      <c r="BC116" s="5">
        <f t="shared" si="132"/>
        <v>8271195.8017019844</v>
      </c>
      <c r="BD116" s="5">
        <f t="shared" si="132"/>
        <v>8309967.9122323133</v>
      </c>
      <c r="BE116" s="5">
        <f t="shared" si="132"/>
        <v>8345395.0283634579</v>
      </c>
      <c r="BF116" s="5">
        <f t="shared" si="132"/>
        <v>8377431.4622047693</v>
      </c>
      <c r="BG116" s="5">
        <f t="shared" si="132"/>
        <v>8406035.629753409</v>
      </c>
      <c r="BH116" s="5">
        <f t="shared" si="132"/>
        <v>8431170.1405768637</v>
      </c>
      <c r="BI116" s="5">
        <f t="shared" si="132"/>
        <v>8452801.8790130448</v>
      </c>
      <c r="BJ116" s="5">
        <f t="shared" si="132"/>
        <v>8470902.0766418409</v>
      </c>
    </row>
    <row r="117" spans="2:62">
      <c r="B117" s="16"/>
    </row>
    <row r="118" spans="2:62">
      <c r="B118" s="16" t="s">
        <v>303</v>
      </c>
      <c r="C118" t="s">
        <v>304</v>
      </c>
      <c r="AB118" s="1">
        <f>SUM(AB119:AB121)</f>
        <v>-5869449.1205839571</v>
      </c>
      <c r="AC118" s="1">
        <f t="shared" ref="AC118" si="133">SUM(AC119:AC121)</f>
        <v>-6157420.3684754884</v>
      </c>
      <c r="AD118" s="1">
        <f t="shared" ref="AD118" si="134">SUM(AD119:AD121)</f>
        <v>-6452489.7844917551</v>
      </c>
      <c r="AE118" s="1">
        <f t="shared" ref="AE118" si="135">SUM(AE119:AE121)</f>
        <v>-6754547.4087158386</v>
      </c>
      <c r="AF118" s="1">
        <f t="shared" ref="AF118" si="136">SUM(AF119:AF121)</f>
        <v>-7063468.2832789067</v>
      </c>
      <c r="AG118" s="1">
        <f t="shared" ref="AG118" si="137">SUM(AG119:AG121)</f>
        <v>-7379112.2953189798</v>
      </c>
      <c r="AH118" s="1">
        <f t="shared" ref="AH118" si="138">SUM(AH119:AH121)</f>
        <v>-7482613.262894595</v>
      </c>
      <c r="AI118" s="1">
        <f t="shared" ref="AI118" si="139">SUM(AI119:AI121)</f>
        <v>-7584389.1774538588</v>
      </c>
      <c r="AJ118" s="1">
        <f t="shared" ref="AJ118" si="140">SUM(AJ119:AJ121)</f>
        <v>-7684329.4750195146</v>
      </c>
      <c r="AK118" s="1">
        <f t="shared" ref="AK118" si="141">SUM(AK119:AK121)</f>
        <v>-7782324.3810497094</v>
      </c>
      <c r="AL118" s="1">
        <f t="shared" ref="AL118" si="142">SUM(AL119:AL121)</f>
        <v>-7878265.107868609</v>
      </c>
      <c r="AM118" s="1">
        <f t="shared" ref="AM118" si="143">SUM(AM119:AM121)</f>
        <v>-7972044.0527634155</v>
      </c>
      <c r="AN118" s="1">
        <f t="shared" ref="AN118" si="144">SUM(AN119:AN121)</f>
        <v>-8063554.9962526737</v>
      </c>
      <c r="AO118" s="1">
        <f t="shared" ref="AO118" si="145">SUM(AO119:AO121)</f>
        <v>-8152693.3000230677</v>
      </c>
      <c r="AP118" s="1">
        <f t="shared" ref="AP118" si="146">SUM(AP119:AP121)</f>
        <v>-8239356.1040263576</v>
      </c>
      <c r="AQ118" s="1">
        <f t="shared" ref="AQ118" si="147">SUM(AQ119:AQ121)</f>
        <v>-8323442.5222236942</v>
      </c>
      <c r="AR118" s="1">
        <f t="shared" ref="AR118" si="148">SUM(AR119:AR121)</f>
        <v>-8404853.8364622518</v>
      </c>
      <c r="AS118" s="1">
        <f t="shared" ref="AS118" si="149">SUM(AS119:AS121)</f>
        <v>-8483493.687968215</v>
      </c>
      <c r="AT118" s="1">
        <f t="shared" ref="AT118" si="150">SUM(AT119:AT121)</f>
        <v>-8559268.2659412045</v>
      </c>
      <c r="AU118" s="1">
        <f t="shared" ref="AU118" si="151">SUM(AU119:AU121)</f>
        <v>-8632086.4927379154</v>
      </c>
      <c r="AV118" s="1">
        <f t="shared" ref="AV118" si="152">SUM(AV119:AV121)</f>
        <v>-8701860.2051372696</v>
      </c>
      <c r="AW118" s="1">
        <f t="shared" ref="AW118" si="153">SUM(AW119:AW121)</f>
        <v>-8768504.3311856594</v>
      </c>
      <c r="AX118" s="1">
        <f t="shared" ref="AX118" si="154">SUM(AX119:AX121)</f>
        <v>-8831937.0621288698</v>
      </c>
      <c r="AY118" s="1">
        <f t="shared" ref="AY118" si="155">SUM(AY119:AY121)</f>
        <v>-8892080.0189471263</v>
      </c>
      <c r="AZ118" s="1">
        <f t="shared" ref="AZ118" si="156">SUM(AZ119:AZ121)</f>
        <v>-8948858.413021205</v>
      </c>
      <c r="BA118" s="1">
        <f t="shared" ref="BA118" si="157">SUM(BA119:BA121)</f>
        <v>-9002201.2004708294</v>
      </c>
      <c r="BB118" s="1">
        <f t="shared" ref="BB118" si="158">SUM(BB119:BB121)</f>
        <v>-9052041.2297214605</v>
      </c>
      <c r="BC118" s="1">
        <f t="shared" ref="BC118" si="159">SUM(BC119:BC121)</f>
        <v>-9098315.3818721827</v>
      </c>
      <c r="BD118" s="1">
        <f t="shared" ref="BD118" si="160">SUM(BD119:BD121)</f>
        <v>-9140964.703455545</v>
      </c>
      <c r="BE118" s="1">
        <f t="shared" ref="BE118" si="161">SUM(BE119:BE121)</f>
        <v>-9179934.5311998036</v>
      </c>
      <c r="BF118" s="1">
        <f t="shared" ref="BF118" si="162">SUM(BF119:BF121)</f>
        <v>-9215174.6084252447</v>
      </c>
      <c r="BG118" s="1">
        <f t="shared" ref="BG118" si="163">SUM(BG119:BG121)</f>
        <v>-9246639.1927287504</v>
      </c>
      <c r="BH118" s="1">
        <f t="shared" ref="BH118" si="164">SUM(BH119:BH121)</f>
        <v>-9274287.1546345502</v>
      </c>
      <c r="BI118" s="1">
        <f t="shared" ref="BI118" si="165">SUM(BI119:BI121)</f>
        <v>-9298082.0669143479</v>
      </c>
      <c r="BJ118" s="1">
        <f t="shared" ref="BJ118" si="166">SUM(BJ119:BJ121)</f>
        <v>-9317992.2843060233</v>
      </c>
    </row>
    <row r="119" spans="2:62">
      <c r="B119" s="16"/>
      <c r="C119" t="s">
        <v>305</v>
      </c>
      <c r="G119" s="49">
        <v>0.05</v>
      </c>
      <c r="AB119" s="1">
        <f t="shared" ref="AB119:BJ119" si="167">-$G119*AB$113</f>
        <v>-5602655.9787392318</v>
      </c>
      <c r="AC119" s="1">
        <f t="shared" si="167"/>
        <v>-5877537.6244538752</v>
      </c>
      <c r="AD119" s="1">
        <f t="shared" si="167"/>
        <v>-6159194.7942875847</v>
      </c>
      <c r="AE119" s="1">
        <f t="shared" si="167"/>
        <v>-6447522.5265014824</v>
      </c>
      <c r="AF119" s="1">
        <f t="shared" si="167"/>
        <v>-6742401.5431298651</v>
      </c>
      <c r="AG119" s="1">
        <f t="shared" si="167"/>
        <v>-7043698.1000772081</v>
      </c>
      <c r="AH119" s="1">
        <f t="shared" si="167"/>
        <v>-7142494.4782175682</v>
      </c>
      <c r="AI119" s="1">
        <f t="shared" si="167"/>
        <v>-7239644.2148423195</v>
      </c>
      <c r="AJ119" s="1">
        <f t="shared" si="167"/>
        <v>-7335041.7716095364</v>
      </c>
      <c r="AK119" s="1">
        <f t="shared" si="167"/>
        <v>-7428582.3637292683</v>
      </c>
      <c r="AL119" s="1">
        <f t="shared" si="167"/>
        <v>-7520162.1484200358</v>
      </c>
      <c r="AM119" s="1">
        <f t="shared" si="167"/>
        <v>-7609678.4140014425</v>
      </c>
      <c r="AN119" s="1">
        <f t="shared" si="167"/>
        <v>-7697029.7691502795</v>
      </c>
      <c r="AO119" s="1">
        <f t="shared" si="167"/>
        <v>-7782116.3318402013</v>
      </c>
      <c r="AP119" s="1">
        <f t="shared" si="167"/>
        <v>-7864839.9174797051</v>
      </c>
      <c r="AQ119" s="1">
        <f t="shared" si="167"/>
        <v>-7945104.225758981</v>
      </c>
      <c r="AR119" s="1">
        <f t="shared" si="167"/>
        <v>-8022815.0257139672</v>
      </c>
      <c r="AS119" s="1">
        <f t="shared" si="167"/>
        <v>-8097880.338515115</v>
      </c>
      <c r="AT119" s="1">
        <f t="shared" si="167"/>
        <v>-8170210.6174893323</v>
      </c>
      <c r="AU119" s="1">
        <f t="shared" si="167"/>
        <v>-8239718.9248861913</v>
      </c>
      <c r="AV119" s="1">
        <f t="shared" si="167"/>
        <v>-8306321.1049037566</v>
      </c>
      <c r="AW119" s="1">
        <f t="shared" si="167"/>
        <v>-8369935.9524954027</v>
      </c>
      <c r="AX119" s="1">
        <f t="shared" si="167"/>
        <v>-8430485.377486648</v>
      </c>
      <c r="AY119" s="1">
        <f t="shared" si="167"/>
        <v>-8487894.5635404382</v>
      </c>
      <c r="AZ119" s="1">
        <f t="shared" si="167"/>
        <v>-8542092.1215202417</v>
      </c>
      <c r="BA119" s="1">
        <f t="shared" si="167"/>
        <v>-8593010.2368130647</v>
      </c>
      <c r="BB119" s="1">
        <f t="shared" si="167"/>
        <v>-8640584.810188666</v>
      </c>
      <c r="BC119" s="1">
        <f t="shared" si="167"/>
        <v>-8684755.5917870831</v>
      </c>
      <c r="BD119" s="1">
        <f t="shared" si="167"/>
        <v>-8725466.3078439292</v>
      </c>
      <c r="BE119" s="1">
        <f t="shared" si="167"/>
        <v>-8762664.7797816303</v>
      </c>
      <c r="BF119" s="1">
        <f t="shared" si="167"/>
        <v>-8796303.035315007</v>
      </c>
      <c r="BG119" s="1">
        <f t="shared" si="167"/>
        <v>-8826337.4112410806</v>
      </c>
      <c r="BH119" s="1">
        <f t="shared" si="167"/>
        <v>-8852728.6476057079</v>
      </c>
      <c r="BI119" s="1">
        <f t="shared" si="167"/>
        <v>-8875441.9729636963</v>
      </c>
      <c r="BJ119" s="1">
        <f t="shared" si="167"/>
        <v>-8894447.1804739311</v>
      </c>
    </row>
    <row r="120" spans="2:62">
      <c r="B120" s="16"/>
      <c r="C120" t="s">
        <v>306</v>
      </c>
      <c r="G120" s="49">
        <v>0.05</v>
      </c>
      <c r="AB120" s="1">
        <f t="shared" ref="AB120:BJ120" si="168">-$G120*AB$116</f>
        <v>-266793.14184472535</v>
      </c>
      <c r="AC120" s="1">
        <f t="shared" si="168"/>
        <v>-279882.74402161309</v>
      </c>
      <c r="AD120" s="1">
        <f t="shared" si="168"/>
        <v>-293294.99020417075</v>
      </c>
      <c r="AE120" s="1">
        <f t="shared" si="168"/>
        <v>-307024.88221435633</v>
      </c>
      <c r="AF120" s="1">
        <f t="shared" si="168"/>
        <v>-321066.74014904123</v>
      </c>
      <c r="AG120" s="1">
        <f t="shared" si="168"/>
        <v>-335414.19524177187</v>
      </c>
      <c r="AH120" s="1">
        <f t="shared" si="168"/>
        <v>-340118.78467702703</v>
      </c>
      <c r="AI120" s="1">
        <f t="shared" si="168"/>
        <v>-344744.96261153906</v>
      </c>
      <c r="AJ120" s="1">
        <f t="shared" si="168"/>
        <v>-349287.70340997796</v>
      </c>
      <c r="AK120" s="1">
        <f t="shared" si="168"/>
        <v>-353742.01732044143</v>
      </c>
      <c r="AL120" s="1">
        <f t="shared" si="168"/>
        <v>-358102.95944857318</v>
      </c>
      <c r="AM120" s="1">
        <f t="shared" si="168"/>
        <v>-362365.63876197347</v>
      </c>
      <c r="AN120" s="1">
        <f t="shared" si="168"/>
        <v>-366525.22710239427</v>
      </c>
      <c r="AO120" s="1">
        <f t="shared" si="168"/>
        <v>-370576.96818286675</v>
      </c>
      <c r="AP120" s="1">
        <f t="shared" si="168"/>
        <v>-374516.18654665264</v>
      </c>
      <c r="AQ120" s="1">
        <f t="shared" si="168"/>
        <v>-378338.29646471341</v>
      </c>
      <c r="AR120" s="1">
        <f t="shared" si="168"/>
        <v>-382038.81074828422</v>
      </c>
      <c r="AS120" s="1">
        <f t="shared" si="168"/>
        <v>-385613.34945310076</v>
      </c>
      <c r="AT120" s="1">
        <f t="shared" si="168"/>
        <v>-389057.64845187293</v>
      </c>
      <c r="AU120" s="1">
        <f t="shared" si="168"/>
        <v>-392367.5678517234</v>
      </c>
      <c r="AV120" s="1">
        <f t="shared" si="168"/>
        <v>-395539.10023351223</v>
      </c>
      <c r="AW120" s="1">
        <f t="shared" si="168"/>
        <v>-398568.37869025726</v>
      </c>
      <c r="AX120" s="1">
        <f t="shared" si="168"/>
        <v>-401451.68464222137</v>
      </c>
      <c r="AY120" s="1">
        <f t="shared" si="168"/>
        <v>-404185.45540668751</v>
      </c>
      <c r="AZ120" s="1">
        <f t="shared" si="168"/>
        <v>-406766.29150096391</v>
      </c>
      <c r="BA120" s="1">
        <f t="shared" si="168"/>
        <v>-409190.96365776495</v>
      </c>
      <c r="BB120" s="1">
        <f t="shared" si="168"/>
        <v>-411456.41953279363</v>
      </c>
      <c r="BC120" s="1">
        <f t="shared" si="168"/>
        <v>-413559.79008509923</v>
      </c>
      <c r="BD120" s="1">
        <f t="shared" si="168"/>
        <v>-415498.39561161568</v>
      </c>
      <c r="BE120" s="1">
        <f t="shared" si="168"/>
        <v>-417269.75141817291</v>
      </c>
      <c r="BF120" s="1">
        <f t="shared" si="168"/>
        <v>-418871.57311023847</v>
      </c>
      <c r="BG120" s="1">
        <f t="shared" si="168"/>
        <v>-420301.78148767049</v>
      </c>
      <c r="BH120" s="1">
        <f t="shared" si="168"/>
        <v>-421558.50702884322</v>
      </c>
      <c r="BI120" s="1">
        <f t="shared" si="168"/>
        <v>-422640.09395065228</v>
      </c>
      <c r="BJ120" s="1">
        <f t="shared" si="168"/>
        <v>-423545.10383209208</v>
      </c>
    </row>
    <row r="121" spans="2:62">
      <c r="B121" s="16"/>
      <c r="G121" s="16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2:62" s="6" customFormat="1">
      <c r="B122" s="18" t="s">
        <v>300</v>
      </c>
      <c r="C122" s="6" t="s">
        <v>307</v>
      </c>
      <c r="G122" s="18"/>
      <c r="K122" s="21"/>
      <c r="AB122" s="17">
        <f>AB113+AB118</f>
        <v>106183670.45420069</v>
      </c>
      <c r="AC122" s="17">
        <f t="shared" ref="AC122:BJ122" si="169">AC113+AC118</f>
        <v>111393332.12060201</v>
      </c>
      <c r="AD122" s="17">
        <f t="shared" si="169"/>
        <v>116731406.10125995</v>
      </c>
      <c r="AE122" s="17">
        <f t="shared" si="169"/>
        <v>122195903.1213138</v>
      </c>
      <c r="AF122" s="17">
        <f t="shared" si="169"/>
        <v>127784562.57931837</v>
      </c>
      <c r="AG122" s="17">
        <f t="shared" si="169"/>
        <v>133494849.70622517</v>
      </c>
      <c r="AH122" s="17">
        <f t="shared" si="169"/>
        <v>135367276.30145675</v>
      </c>
      <c r="AI122" s="17">
        <f t="shared" si="169"/>
        <v>137208495.11939254</v>
      </c>
      <c r="AJ122" s="17">
        <f t="shared" si="169"/>
        <v>139016505.9571712</v>
      </c>
      <c r="AK122" s="17">
        <f t="shared" si="169"/>
        <v>140789322.89353564</v>
      </c>
      <c r="AL122" s="17">
        <f t="shared" si="169"/>
        <v>142524977.8605321</v>
      </c>
      <c r="AM122" s="17">
        <f t="shared" si="169"/>
        <v>144221524.22726545</v>
      </c>
      <c r="AN122" s="17">
        <f t="shared" si="169"/>
        <v>145877040.3867529</v>
      </c>
      <c r="AO122" s="17">
        <f t="shared" si="169"/>
        <v>147489633.33678094</v>
      </c>
      <c r="AP122" s="17">
        <f t="shared" si="169"/>
        <v>149057442.24556774</v>
      </c>
      <c r="AQ122" s="17">
        <f t="shared" si="169"/>
        <v>150578641.99295592</v>
      </c>
      <c r="AR122" s="17">
        <f t="shared" si="169"/>
        <v>152051446.67781708</v>
      </c>
      <c r="AS122" s="17">
        <f t="shared" si="169"/>
        <v>153474113.08233407</v>
      </c>
      <c r="AT122" s="17">
        <f t="shared" si="169"/>
        <v>154844944.08384544</v>
      </c>
      <c r="AU122" s="17">
        <f t="shared" si="169"/>
        <v>156162292.0049859</v>
      </c>
      <c r="AV122" s="17">
        <f t="shared" si="169"/>
        <v>157424561.89293784</v>
      </c>
      <c r="AW122" s="17">
        <f t="shared" si="169"/>
        <v>158630214.71872237</v>
      </c>
      <c r="AX122" s="17">
        <f t="shared" si="169"/>
        <v>159777770.48760408</v>
      </c>
      <c r="AY122" s="17">
        <f t="shared" si="169"/>
        <v>160865811.25186163</v>
      </c>
      <c r="AZ122" s="17">
        <f t="shared" si="169"/>
        <v>161892984.01738361</v>
      </c>
      <c r="BA122" s="17">
        <f t="shared" si="169"/>
        <v>162858003.53579044</v>
      </c>
      <c r="BB122" s="17">
        <f t="shared" si="169"/>
        <v>163759654.97405186</v>
      </c>
      <c r="BC122" s="17">
        <f t="shared" si="169"/>
        <v>164596796.45386949</v>
      </c>
      <c r="BD122" s="17">
        <f t="shared" si="169"/>
        <v>165368361.45342302</v>
      </c>
      <c r="BE122" s="17">
        <f t="shared" si="169"/>
        <v>166073361.0644328</v>
      </c>
      <c r="BF122" s="17">
        <f t="shared" si="169"/>
        <v>166710886.09787488</v>
      </c>
      <c r="BG122" s="17">
        <f t="shared" si="169"/>
        <v>167280109.03209284</v>
      </c>
      <c r="BH122" s="17">
        <f t="shared" si="169"/>
        <v>167780285.79747957</v>
      </c>
      <c r="BI122" s="17">
        <f t="shared" si="169"/>
        <v>168210757.39235955</v>
      </c>
      <c r="BJ122" s="17">
        <f t="shared" si="169"/>
        <v>168570951.3251726</v>
      </c>
    </row>
    <row r="123" spans="2:62">
      <c r="B123" s="16"/>
      <c r="G123" s="16"/>
      <c r="AA123" t="s">
        <v>271</v>
      </c>
      <c r="AB123" s="47">
        <f>AB124*-1</f>
        <v>74559551.56782645</v>
      </c>
      <c r="AC123" s="47">
        <f t="shared" ref="AC123:BJ123" si="170">AC124*-1</f>
        <v>73038156.219989002</v>
      </c>
      <c r="AD123" s="47">
        <f t="shared" si="170"/>
        <v>71399534.935624704</v>
      </c>
      <c r="AE123" s="47">
        <f t="shared" si="170"/>
        <v>69639628.539649189</v>
      </c>
      <c r="AF123" s="47">
        <f t="shared" si="170"/>
        <v>67754905.107226238</v>
      </c>
      <c r="AG123" s="47">
        <f t="shared" si="170"/>
        <v>65742306.576850757</v>
      </c>
      <c r="AH123" s="47">
        <f t="shared" si="170"/>
        <v>66632417.282568693</v>
      </c>
      <c r="AI123" s="47">
        <f t="shared" si="170"/>
        <v>67506288.215069875</v>
      </c>
      <c r="AJ123" s="47">
        <f t="shared" si="170"/>
        <v>68362957.876815438</v>
      </c>
      <c r="AK123" s="47">
        <f t="shared" si="170"/>
        <v>69201473.681928575</v>
      </c>
      <c r="AL123" s="47">
        <f t="shared" si="170"/>
        <v>70020893.694081634</v>
      </c>
      <c r="AM123" s="47">
        <f t="shared" si="170"/>
        <v>70820288.3652367</v>
      </c>
      <c r="AN123" s="47">
        <f t="shared" si="170"/>
        <v>71598742.270822361</v>
      </c>
      <c r="AO123" s="47">
        <f t="shared" si="170"/>
        <v>72355355.836880252</v>
      </c>
      <c r="AP123" s="47">
        <f t="shared" si="170"/>
        <v>73089247.054680645</v>
      </c>
      <c r="AQ123" s="47">
        <f t="shared" si="170"/>
        <v>73799553.178286776</v>
      </c>
      <c r="AR123" s="47">
        <f t="shared" si="170"/>
        <v>74485432.400542706</v>
      </c>
      <c r="AS123" s="47">
        <f t="shared" si="170"/>
        <v>75146065.502970785</v>
      </c>
      <c r="AT123" s="47">
        <f t="shared" si="170"/>
        <v>75780657.47509101</v>
      </c>
      <c r="AU123" s="47">
        <f t="shared" si="170"/>
        <v>76388439.098715588</v>
      </c>
      <c r="AV123" s="47">
        <f t="shared" si="170"/>
        <v>76968668.492831007</v>
      </c>
      <c r="AW123" s="47">
        <f t="shared" si="170"/>
        <v>77520632.614750475</v>
      </c>
      <c r="AX123" s="47">
        <f t="shared" si="170"/>
        <v>78043648.713310525</v>
      </c>
      <c r="AY123" s="47">
        <f t="shared" si="170"/>
        <v>78537065.72998631</v>
      </c>
      <c r="AZ123" s="47">
        <f t="shared" si="170"/>
        <v>79000265.643920913</v>
      </c>
      <c r="BA123" s="47">
        <f t="shared" si="170"/>
        <v>79432664.756995529</v>
      </c>
      <c r="BB123" s="47">
        <f t="shared" si="170"/>
        <v>79833714.915215313</v>
      </c>
      <c r="BC123" s="47">
        <f t="shared" si="170"/>
        <v>80202904.662846565</v>
      </c>
      <c r="BD123" s="47">
        <f t="shared" si="170"/>
        <v>80539760.325916171</v>
      </c>
      <c r="BE123" s="47">
        <f t="shared" si="170"/>
        <v>80843847.021870047</v>
      </c>
      <c r="BF123" s="47">
        <f t="shared" si="170"/>
        <v>81114769.592388302</v>
      </c>
      <c r="BG123" s="47">
        <f t="shared" si="170"/>
        <v>81352173.456564069</v>
      </c>
      <c r="BH123" s="47">
        <f t="shared" si="170"/>
        <v>81555745.381875932</v>
      </c>
      <c r="BI123" s="47">
        <f t="shared" si="170"/>
        <v>81725214.170614123</v>
      </c>
      <c r="BJ123" s="47">
        <f t="shared" si="170"/>
        <v>81860351.259662062</v>
      </c>
    </row>
    <row r="124" spans="2:62">
      <c r="B124" s="16" t="s">
        <v>303</v>
      </c>
      <c r="C124" t="s">
        <v>308</v>
      </c>
      <c r="G124" s="16"/>
      <c r="AB124" s="1">
        <f>SUM(AB125:AB130)</f>
        <v>-74559551.56782645</v>
      </c>
      <c r="AC124" s="1">
        <f t="shared" ref="AC124:BJ124" si="171">SUM(AC125:AC130)</f>
        <v>-73038156.219989002</v>
      </c>
      <c r="AD124" s="1">
        <f t="shared" si="171"/>
        <v>-71399534.935624704</v>
      </c>
      <c r="AE124" s="1">
        <f t="shared" si="171"/>
        <v>-69639628.539649189</v>
      </c>
      <c r="AF124" s="1">
        <f t="shared" si="171"/>
        <v>-67754905.107226238</v>
      </c>
      <c r="AG124" s="1">
        <f t="shared" si="171"/>
        <v>-65742306.576850757</v>
      </c>
      <c r="AH124" s="1">
        <f t="shared" si="171"/>
        <v>-66632417.282568693</v>
      </c>
      <c r="AI124" s="1">
        <f t="shared" si="171"/>
        <v>-67506288.215069875</v>
      </c>
      <c r="AJ124" s="1">
        <f t="shared" si="171"/>
        <v>-68362957.876815438</v>
      </c>
      <c r="AK124" s="1">
        <f t="shared" si="171"/>
        <v>-69201473.681928575</v>
      </c>
      <c r="AL124" s="1">
        <f t="shared" si="171"/>
        <v>-70020893.694081634</v>
      </c>
      <c r="AM124" s="1">
        <f t="shared" si="171"/>
        <v>-70820288.3652367</v>
      </c>
      <c r="AN124" s="1">
        <f t="shared" si="171"/>
        <v>-71598742.270822361</v>
      </c>
      <c r="AO124" s="1">
        <f t="shared" si="171"/>
        <v>-72355355.836880252</v>
      </c>
      <c r="AP124" s="1">
        <f t="shared" si="171"/>
        <v>-73089247.054680645</v>
      </c>
      <c r="AQ124" s="1">
        <f t="shared" si="171"/>
        <v>-73799553.178286776</v>
      </c>
      <c r="AR124" s="1">
        <f t="shared" si="171"/>
        <v>-74485432.400542706</v>
      </c>
      <c r="AS124" s="1">
        <f t="shared" si="171"/>
        <v>-75146065.502970785</v>
      </c>
      <c r="AT124" s="1">
        <f t="shared" si="171"/>
        <v>-75780657.47509101</v>
      </c>
      <c r="AU124" s="1">
        <f t="shared" si="171"/>
        <v>-76388439.098715588</v>
      </c>
      <c r="AV124" s="1">
        <f t="shared" si="171"/>
        <v>-76968668.492831007</v>
      </c>
      <c r="AW124" s="1">
        <f t="shared" si="171"/>
        <v>-77520632.614750475</v>
      </c>
      <c r="AX124" s="1">
        <f t="shared" si="171"/>
        <v>-78043648.713310525</v>
      </c>
      <c r="AY124" s="1">
        <f t="shared" si="171"/>
        <v>-78537065.72998631</v>
      </c>
      <c r="AZ124" s="1">
        <f t="shared" si="171"/>
        <v>-79000265.643920913</v>
      </c>
      <c r="BA124" s="1">
        <f t="shared" si="171"/>
        <v>-79432664.756995529</v>
      </c>
      <c r="BB124" s="1">
        <f t="shared" si="171"/>
        <v>-79833714.915215313</v>
      </c>
      <c r="BC124" s="1">
        <f t="shared" si="171"/>
        <v>-80202904.662846565</v>
      </c>
      <c r="BD124" s="1">
        <f t="shared" si="171"/>
        <v>-80539760.325916171</v>
      </c>
      <c r="BE124" s="1">
        <f t="shared" si="171"/>
        <v>-80843847.021870047</v>
      </c>
      <c r="BF124" s="1">
        <f t="shared" si="171"/>
        <v>-81114769.592388302</v>
      </c>
      <c r="BG124" s="1">
        <f t="shared" si="171"/>
        <v>-81352173.456564069</v>
      </c>
      <c r="BH124" s="1">
        <f t="shared" si="171"/>
        <v>-81555745.381875932</v>
      </c>
      <c r="BI124" s="1">
        <f t="shared" si="171"/>
        <v>-81725214.170614123</v>
      </c>
      <c r="BJ124" s="1">
        <f t="shared" si="171"/>
        <v>-81860351.259662062</v>
      </c>
    </row>
    <row r="125" spans="2:62">
      <c r="B125" s="16"/>
      <c r="C125" t="s">
        <v>272</v>
      </c>
      <c r="G125" s="16"/>
      <c r="AB125" s="1">
        <f t="shared" ref="AB125:BJ125" si="172">-AB64</f>
        <v>-29503264.791958112</v>
      </c>
      <c r="AC125" s="1">
        <f t="shared" si="172"/>
        <v>-28666387.520260483</v>
      </c>
      <c r="AD125" s="1">
        <f t="shared" si="172"/>
        <v>-27763297.325052001</v>
      </c>
      <c r="AE125" s="1">
        <f t="shared" si="172"/>
        <v>-26793329.585619546</v>
      </c>
      <c r="AF125" s="1">
        <f t="shared" si="172"/>
        <v>-25755927.195168313</v>
      </c>
      <c r="AG125" s="1">
        <f t="shared" si="172"/>
        <v>-24650644.492710721</v>
      </c>
      <c r="AH125" s="1">
        <f t="shared" si="172"/>
        <v>-24996399.57194655</v>
      </c>
      <c r="AI125" s="1">
        <f t="shared" si="172"/>
        <v>-25336391.94329349</v>
      </c>
      <c r="AJ125" s="1">
        <f t="shared" si="172"/>
        <v>-25670252.256999452</v>
      </c>
      <c r="AK125" s="1">
        <f t="shared" si="172"/>
        <v>-25997613.800498307</v>
      </c>
      <c r="AL125" s="1">
        <f t="shared" si="172"/>
        <v>-26318113.157946113</v>
      </c>
      <c r="AM125" s="1">
        <f t="shared" si="172"/>
        <v>-26631390.871983591</v>
      </c>
      <c r="AN125" s="1">
        <f t="shared" si="172"/>
        <v>-26937092.106070679</v>
      </c>
      <c r="AO125" s="1">
        <f t="shared" si="172"/>
        <v>-27234867.305713754</v>
      </c>
      <c r="AP125" s="1">
        <f t="shared" si="172"/>
        <v>-27524372.856887128</v>
      </c>
      <c r="AQ125" s="1">
        <f t="shared" si="172"/>
        <v>-27805271.739936091</v>
      </c>
      <c r="AR125" s="1">
        <f t="shared" si="172"/>
        <v>-28077234.177240659</v>
      </c>
      <c r="AS125" s="1">
        <f t="shared" si="172"/>
        <v>-28339938.272916604</v>
      </c>
      <c r="AT125" s="1">
        <f t="shared" si="172"/>
        <v>-28593070.642833553</v>
      </c>
      <c r="AU125" s="1">
        <f t="shared" si="172"/>
        <v>-28836327.033238929</v>
      </c>
      <c r="AV125" s="1">
        <f t="shared" si="172"/>
        <v>-29069412.92629198</v>
      </c>
      <c r="AW125" s="1">
        <f t="shared" si="172"/>
        <v>-29292044.130832445</v>
      </c>
      <c r="AX125" s="1">
        <f t="shared" si="172"/>
        <v>-29503947.356736027</v>
      </c>
      <c r="AY125" s="1">
        <f t="shared" si="172"/>
        <v>-29704860.771240879</v>
      </c>
      <c r="AZ125" s="1">
        <f t="shared" si="172"/>
        <v>-29894534.535668485</v>
      </c>
      <c r="BA125" s="1">
        <f t="shared" si="172"/>
        <v>-30072731.321006075</v>
      </c>
      <c r="BB125" s="1">
        <f t="shared" si="172"/>
        <v>-30239226.800867919</v>
      </c>
      <c r="BC125" s="1">
        <f t="shared" si="172"/>
        <v>-30393810.120407954</v>
      </c>
      <c r="BD125" s="1">
        <f t="shared" si="172"/>
        <v>-30536284.339816932</v>
      </c>
      <c r="BE125" s="1">
        <f t="shared" si="172"/>
        <v>-30666466.851102911</v>
      </c>
      <c r="BF125" s="1">
        <f t="shared" si="172"/>
        <v>-30784189.766924527</v>
      </c>
      <c r="BG125" s="1">
        <f t="shared" si="172"/>
        <v>-30889300.280321728</v>
      </c>
      <c r="BH125" s="1">
        <f t="shared" si="172"/>
        <v>-30981660.994268343</v>
      </c>
      <c r="BI125" s="1">
        <f t="shared" si="172"/>
        <v>-31061150.220054571</v>
      </c>
      <c r="BJ125" s="1">
        <f t="shared" si="172"/>
        <v>-31127662.243595142</v>
      </c>
    </row>
    <row r="126" spans="2:62">
      <c r="B126" s="16"/>
      <c r="C126" t="s">
        <v>274</v>
      </c>
      <c r="G126" s="16"/>
      <c r="AB126" s="1">
        <f t="shared" ref="AB126:BJ126" si="173">-AB65</f>
        <v>-6473596.7074088417</v>
      </c>
      <c r="AC126" s="1">
        <f t="shared" si="173"/>
        <v>-6275328.3228420056</v>
      </c>
      <c r="AD126" s="1">
        <f t="shared" si="173"/>
        <v>-6070447.7129536793</v>
      </c>
      <c r="AE126" s="1">
        <f t="shared" si="173"/>
        <v>-5857338.379813402</v>
      </c>
      <c r="AF126" s="1">
        <f t="shared" si="173"/>
        <v>-5634564.7664514361</v>
      </c>
      <c r="AG126" s="1">
        <f t="shared" si="173"/>
        <v>-5400842.0441610292</v>
      </c>
      <c r="AH126" s="1">
        <f t="shared" si="173"/>
        <v>-5467654.7299038041</v>
      </c>
      <c r="AI126" s="1">
        <f t="shared" si="173"/>
        <v>-5532961.5547853298</v>
      </c>
      <c r="AJ126" s="1">
        <f t="shared" si="173"/>
        <v>-5596688.1730781998</v>
      </c>
      <c r="AK126" s="1">
        <f t="shared" si="173"/>
        <v>-5658761.3415883454</v>
      </c>
      <c r="AL126" s="1">
        <f t="shared" si="173"/>
        <v>-5719109.0582702821</v>
      </c>
      <c r="AM126" s="1">
        <f t="shared" si="173"/>
        <v>-5777660.6999098836</v>
      </c>
      <c r="AN126" s="1">
        <f t="shared" si="173"/>
        <v>-5834347.1585107837</v>
      </c>
      <c r="AO126" s="1">
        <f t="shared" si="173"/>
        <v>-5889100.9760197923</v>
      </c>
      <c r="AP126" s="1">
        <f t="shared" si="173"/>
        <v>-5941856.4770274414</v>
      </c>
      <c r="AQ126" s="1">
        <f t="shared" si="173"/>
        <v>-5992549.8990814947</v>
      </c>
      <c r="AR126" s="1">
        <f t="shared" si="173"/>
        <v>-6041119.5202544704</v>
      </c>
      <c r="AS126" s="1">
        <f t="shared" si="173"/>
        <v>-6087505.7836105339</v>
      </c>
      <c r="AT126" s="1">
        <f t="shared" si="173"/>
        <v>-6131651.4182227869</v>
      </c>
      <c r="AU126" s="1">
        <f t="shared" si="173"/>
        <v>-6173501.5563988332</v>
      </c>
      <c r="AV126" s="1">
        <f t="shared" si="173"/>
        <v>-6213003.8467806168</v>
      </c>
      <c r="AW126" s="1">
        <f t="shared" si="173"/>
        <v>-6250108.5629938394</v>
      </c>
      <c r="AX126" s="1">
        <f t="shared" si="173"/>
        <v>-6284768.7075328603</v>
      </c>
      <c r="AY126" s="1">
        <f t="shared" si="173"/>
        <v>-6316940.110578509</v>
      </c>
      <c r="AZ126" s="1">
        <f t="shared" si="173"/>
        <v>-6346581.5234592455</v>
      </c>
      <c r="BA126" s="1">
        <f t="shared" si="173"/>
        <v>-6373654.7064798269</v>
      </c>
      <c r="BB126" s="1">
        <f t="shared" si="173"/>
        <v>-6398124.5108566592</v>
      </c>
      <c r="BC126" s="1">
        <f t="shared" si="173"/>
        <v>-6419958.9545149487</v>
      </c>
      <c r="BD126" s="1">
        <f t="shared" si="173"/>
        <v>-6439129.2915195907</v>
      </c>
      <c r="BE126" s="1">
        <f t="shared" si="173"/>
        <v>-6455610.0749295028</v>
      </c>
      <c r="BF126" s="1">
        <f t="shared" si="173"/>
        <v>-6469379.212883696</v>
      </c>
      <c r="BG126" s="1">
        <f t="shared" si="173"/>
        <v>-6480418.0177466003</v>
      </c>
      <c r="BH126" s="1">
        <f t="shared" si="173"/>
        <v>-6488711.2481602877</v>
      </c>
      <c r="BI126" s="1">
        <f t="shared" si="173"/>
        <v>-6494247.1438716967</v>
      </c>
      <c r="BJ126" s="1">
        <f t="shared" si="173"/>
        <v>-6497017.4532241728</v>
      </c>
    </row>
    <row r="127" spans="2:62">
      <c r="B127" s="16"/>
      <c r="C127" t="s">
        <v>273</v>
      </c>
      <c r="G127" s="16"/>
      <c r="AB127" s="1">
        <f t="shared" ref="AB127:BJ127" si="174">-AB66</f>
        <v>-12352735.600846305</v>
      </c>
      <c r="AC127" s="1">
        <f t="shared" si="174"/>
        <v>-12604637.297296716</v>
      </c>
      <c r="AD127" s="1">
        <f t="shared" si="174"/>
        <v>-12870508.890205404</v>
      </c>
      <c r="AE127" s="1">
        <f t="shared" si="174"/>
        <v>-13149186.766011834</v>
      </c>
      <c r="AF127" s="1">
        <f t="shared" si="174"/>
        <v>-13439647.990845859</v>
      </c>
      <c r="AG127" s="1">
        <f t="shared" si="174"/>
        <v>-13740980.33572834</v>
      </c>
      <c r="AH127" s="1">
        <f t="shared" si="174"/>
        <v>-13910967.125466287</v>
      </c>
      <c r="AI127" s="1">
        <f t="shared" si="174"/>
        <v>-14077122.659945596</v>
      </c>
      <c r="AJ127" s="1">
        <f t="shared" si="174"/>
        <v>-14239257.786591541</v>
      </c>
      <c r="AK127" s="1">
        <f t="shared" si="174"/>
        <v>-14397186.157926971</v>
      </c>
      <c r="AL127" s="1">
        <f t="shared" si="174"/>
        <v>-14550724.584241271</v>
      </c>
      <c r="AM127" s="1">
        <f t="shared" si="174"/>
        <v>-14699693.383886911</v>
      </c>
      <c r="AN127" s="1">
        <f t="shared" si="174"/>
        <v>-14843916.730277713</v>
      </c>
      <c r="AO127" s="1">
        <f t="shared" si="174"/>
        <v>-14983222.994661201</v>
      </c>
      <c r="AP127" s="1">
        <f t="shared" si="174"/>
        <v>-15117445.083739202</v>
      </c>
      <c r="AQ127" s="1">
        <f t="shared" si="174"/>
        <v>-15246420.77121531</v>
      </c>
      <c r="AR127" s="1">
        <f t="shared" si="174"/>
        <v>-15369993.022355882</v>
      </c>
      <c r="AS127" s="1">
        <f t="shared" si="174"/>
        <v>-15488010.310662378</v>
      </c>
      <c r="AT127" s="1">
        <f t="shared" si="174"/>
        <v>-15600326.925767057</v>
      </c>
      <c r="AU127" s="1">
        <f t="shared" si="174"/>
        <v>-15706803.271681726</v>
      </c>
      <c r="AV127" s="1">
        <f t="shared" si="174"/>
        <v>-15807306.154549621</v>
      </c>
      <c r="AW127" s="1">
        <f t="shared" si="174"/>
        <v>-15901709.059074461</v>
      </c>
      <c r="AX127" s="1">
        <f t="shared" si="174"/>
        <v>-15989892.412827434</v>
      </c>
      <c r="AY127" s="1">
        <f t="shared" si="174"/>
        <v>-16071743.837662376</v>
      </c>
      <c r="AZ127" s="1">
        <f t="shared" si="174"/>
        <v>-16147158.387502387</v>
      </c>
      <c r="BA127" s="1">
        <f t="shared" si="174"/>
        <v>-16216038.771796087</v>
      </c>
      <c r="BB127" s="1">
        <f t="shared" si="174"/>
        <v>-16278295.563979944</v>
      </c>
      <c r="BC127" s="1">
        <f t="shared" si="174"/>
        <v>-16333847.3943236</v>
      </c>
      <c r="BD127" s="1">
        <f t="shared" si="174"/>
        <v>-16382621.126577975</v>
      </c>
      <c r="BE127" s="1">
        <f t="shared" si="174"/>
        <v>-16424552.017891085</v>
      </c>
      <c r="BF127" s="1">
        <f t="shared" si="174"/>
        <v>-16459583.861503888</v>
      </c>
      <c r="BG127" s="1">
        <f t="shared" si="174"/>
        <v>-16487669.111787239</v>
      </c>
      <c r="BH127" s="1">
        <f t="shared" si="174"/>
        <v>-16508768.991232403</v>
      </c>
      <c r="BI127" s="1">
        <f t="shared" si="174"/>
        <v>-16522853.579059469</v>
      </c>
      <c r="BJ127" s="1">
        <f t="shared" si="174"/>
        <v>-16529901.88116218</v>
      </c>
    </row>
    <row r="128" spans="2:62">
      <c r="B128" s="16"/>
      <c r="C128" t="s">
        <v>275</v>
      </c>
      <c r="G128" s="16"/>
      <c r="AB128" s="1">
        <f t="shared" ref="AB128:BJ128" si="175">-AB67</f>
        <v>-11130445.672925562</v>
      </c>
      <c r="AC128" s="1">
        <f t="shared" si="175"/>
        <v>-10814724.105389902</v>
      </c>
      <c r="AD128" s="1">
        <f t="shared" si="175"/>
        <v>-10474022.951588793</v>
      </c>
      <c r="AE128" s="1">
        <f t="shared" si="175"/>
        <v>-10108091.475720869</v>
      </c>
      <c r="AF128" s="1">
        <f t="shared" si="175"/>
        <v>-9716719.5028459243</v>
      </c>
      <c r="AG128" s="1">
        <f t="shared" si="175"/>
        <v>-9299738.9022351801</v>
      </c>
      <c r="AH128" s="1">
        <f t="shared" si="175"/>
        <v>-9430178.9790439494</v>
      </c>
      <c r="AI128" s="1">
        <f t="shared" si="175"/>
        <v>-9558445.0080807675</v>
      </c>
      <c r="AJ128" s="1">
        <f t="shared" si="175"/>
        <v>-9684397.6479073595</v>
      </c>
      <c r="AK128" s="1">
        <f t="shared" si="175"/>
        <v>-9807898.5519941598</v>
      </c>
      <c r="AL128" s="1">
        <f t="shared" si="175"/>
        <v>-9928810.6175379269</v>
      </c>
      <c r="AM128" s="1">
        <f t="shared" si="175"/>
        <v>-10046998.23511925</v>
      </c>
      <c r="AN128" s="1">
        <f t="shared" si="175"/>
        <v>-10162327.538575865</v>
      </c>
      <c r="AO128" s="1">
        <f t="shared" si="175"/>
        <v>-10274666.654458228</v>
      </c>
      <c r="AP128" s="1">
        <f t="shared" si="175"/>
        <v>-10383885.950426584</v>
      </c>
      <c r="AQ128" s="1">
        <f t="shared" si="175"/>
        <v>-10489858.281943405</v>
      </c>
      <c r="AR128" s="1">
        <f t="shared" si="175"/>
        <v>-10592459.236611988</v>
      </c>
      <c r="AS128" s="1">
        <f t="shared" si="175"/>
        <v>-10691567.375511015</v>
      </c>
      <c r="AT128" s="1">
        <f t="shared" si="175"/>
        <v>-10787064.470876116</v>
      </c>
      <c r="AU128" s="1">
        <f t="shared" si="175"/>
        <v>-10878835.739482872</v>
      </c>
      <c r="AV128" s="1">
        <f t="shared" si="175"/>
        <v>-10966770.071091471</v>
      </c>
      <c r="AW128" s="1">
        <f t="shared" si="175"/>
        <v>-11050760.251320984</v>
      </c>
      <c r="AX128" s="1">
        <f t="shared" si="175"/>
        <v>-11130703.178331569</v>
      </c>
      <c r="AY128" s="1">
        <f t="shared" si="175"/>
        <v>-11206500.072705029</v>
      </c>
      <c r="AZ128" s="1">
        <f t="shared" si="175"/>
        <v>-11278056.679928925</v>
      </c>
      <c r="BA128" s="1">
        <f t="shared" si="175"/>
        <v>-11345283.464905977</v>
      </c>
      <c r="BB128" s="1">
        <f t="shared" si="175"/>
        <v>-11408095.797929375</v>
      </c>
      <c r="BC128" s="1">
        <f t="shared" si="175"/>
        <v>-11466414.131585445</v>
      </c>
      <c r="BD128" s="1">
        <f t="shared" si="175"/>
        <v>-11520164.168068064</v>
      </c>
      <c r="BE128" s="1">
        <f t="shared" si="175"/>
        <v>-11569277.016413871</v>
      </c>
      <c r="BF128" s="1">
        <f t="shared" si="175"/>
        <v>-11613689.339194097</v>
      </c>
      <c r="BG128" s="1">
        <f t="shared" si="175"/>
        <v>-11653343.488227114</v>
      </c>
      <c r="BH128" s="1">
        <f t="shared" si="175"/>
        <v>-11688187.628905931</v>
      </c>
      <c r="BI128" s="1">
        <f t="shared" si="175"/>
        <v>-11718175.852766421</v>
      </c>
      <c r="BJ128" s="1">
        <f t="shared" si="175"/>
        <v>-11743268.277955122</v>
      </c>
    </row>
    <row r="129" spans="2:62">
      <c r="B129" s="16"/>
      <c r="C129" t="s">
        <v>276</v>
      </c>
      <c r="G129" s="49">
        <v>0.01</v>
      </c>
      <c r="AB129" s="1">
        <f>(AB125+AB126+AB127+AB128)*$G129</f>
        <v>-594600.42773138825</v>
      </c>
      <c r="AC129" s="1">
        <f t="shared" ref="AC129:BJ129" si="176">(AC125+AC126+AC127+AC128)*$G129</f>
        <v>-583610.77245789103</v>
      </c>
      <c r="AD129" s="1">
        <f t="shared" si="176"/>
        <v>-571782.76879799878</v>
      </c>
      <c r="AE129" s="1">
        <f t="shared" si="176"/>
        <v>-559079.46207165648</v>
      </c>
      <c r="AF129" s="1">
        <f t="shared" si="176"/>
        <v>-545468.59455311543</v>
      </c>
      <c r="AG129" s="1">
        <f t="shared" si="176"/>
        <v>-530922.05774835276</v>
      </c>
      <c r="AH129" s="1">
        <f t="shared" si="176"/>
        <v>-538052.00406360603</v>
      </c>
      <c r="AI129" s="1">
        <f t="shared" si="176"/>
        <v>-545049.21166105184</v>
      </c>
      <c r="AJ129" s="1">
        <f t="shared" si="176"/>
        <v>-551905.95864576544</v>
      </c>
      <c r="AK129" s="1">
        <f t="shared" si="176"/>
        <v>-558614.59852007788</v>
      </c>
      <c r="AL129" s="1">
        <f t="shared" si="176"/>
        <v>-565167.57417995599</v>
      </c>
      <c r="AM129" s="1">
        <f t="shared" si="176"/>
        <v>-571557.43190899643</v>
      </c>
      <c r="AN129" s="1">
        <f t="shared" si="176"/>
        <v>-577776.83533435035</v>
      </c>
      <c r="AO129" s="1">
        <f t="shared" si="176"/>
        <v>-583818.57930852985</v>
      </c>
      <c r="AP129" s="1">
        <f t="shared" si="176"/>
        <v>-589675.60368080356</v>
      </c>
      <c r="AQ129" s="1">
        <f t="shared" si="176"/>
        <v>-595341.00692176295</v>
      </c>
      <c r="AR129" s="1">
        <f t="shared" si="176"/>
        <v>-600808.05956463015</v>
      </c>
      <c r="AS129" s="1">
        <f t="shared" si="176"/>
        <v>-606070.21742700529</v>
      </c>
      <c r="AT129" s="1">
        <f t="shared" si="176"/>
        <v>-611121.13457699504</v>
      </c>
      <c r="AU129" s="1">
        <f t="shared" si="176"/>
        <v>-615954.67600802367</v>
      </c>
      <c r="AV129" s="1">
        <f t="shared" si="176"/>
        <v>-620564.92998713697</v>
      </c>
      <c r="AW129" s="1">
        <f t="shared" si="176"/>
        <v>-624946.22004221741</v>
      </c>
      <c r="AX129" s="1">
        <f t="shared" si="176"/>
        <v>-629093.11655427888</v>
      </c>
      <c r="AY129" s="1">
        <f t="shared" si="176"/>
        <v>-633000.44792186795</v>
      </c>
      <c r="AZ129" s="1">
        <f t="shared" si="176"/>
        <v>-636663.31126559048</v>
      </c>
      <c r="BA129" s="1">
        <f t="shared" si="176"/>
        <v>-640077.08264187968</v>
      </c>
      <c r="BB129" s="1">
        <f t="shared" si="176"/>
        <v>-643237.426736339</v>
      </c>
      <c r="BC129" s="1">
        <f t="shared" si="176"/>
        <v>-646140.3060083196</v>
      </c>
      <c r="BD129" s="1">
        <f t="shared" si="176"/>
        <v>-648781.98925982567</v>
      </c>
      <c r="BE129" s="1">
        <f t="shared" si="176"/>
        <v>-651159.05960337375</v>
      </c>
      <c r="BF129" s="1">
        <f t="shared" si="176"/>
        <v>-653268.4218050621</v>
      </c>
      <c r="BG129" s="1">
        <f t="shared" si="176"/>
        <v>-655107.30898082687</v>
      </c>
      <c r="BH129" s="1">
        <f t="shared" si="176"/>
        <v>-656673.28862566967</v>
      </c>
      <c r="BI129" s="1">
        <f t="shared" si="176"/>
        <v>-657964.26795752149</v>
      </c>
      <c r="BJ129" s="1">
        <f t="shared" si="176"/>
        <v>-658978.49855936621</v>
      </c>
    </row>
    <row r="130" spans="2:62">
      <c r="B130" s="16"/>
      <c r="C130" t="s">
        <v>277</v>
      </c>
      <c r="AB130" s="1">
        <f t="shared" ref="AB130:BJ130" si="177">-AB69</f>
        <v>-14504908.366956243</v>
      </c>
      <c r="AC130" s="1">
        <f t="shared" si="177"/>
        <v>-14093468.20174201</v>
      </c>
      <c r="AD130" s="1">
        <f t="shared" si="177"/>
        <v>-13649475.287026817</v>
      </c>
      <c r="AE130" s="1">
        <f t="shared" si="177"/>
        <v>-13172602.870411878</v>
      </c>
      <c r="AF130" s="1">
        <f t="shared" si="177"/>
        <v>-12662577.057361586</v>
      </c>
      <c r="AG130" s="1">
        <f t="shared" si="177"/>
        <v>-12119178.744267128</v>
      </c>
      <c r="AH130" s="1">
        <f t="shared" si="177"/>
        <v>-12289164.872144489</v>
      </c>
      <c r="AI130" s="1">
        <f t="shared" si="177"/>
        <v>-12456317.837303644</v>
      </c>
      <c r="AJ130" s="1">
        <f t="shared" si="177"/>
        <v>-12620456.053593125</v>
      </c>
      <c r="AK130" s="1">
        <f t="shared" si="177"/>
        <v>-12781399.231400706</v>
      </c>
      <c r="AL130" s="1">
        <f t="shared" si="177"/>
        <v>-12938968.701906083</v>
      </c>
      <c r="AM130" s="1">
        <f t="shared" si="177"/>
        <v>-13092987.742428059</v>
      </c>
      <c r="AN130" s="1">
        <f t="shared" si="177"/>
        <v>-13243281.902052972</v>
      </c>
      <c r="AO130" s="1">
        <f t="shared" si="177"/>
        <v>-13389679.32671874</v>
      </c>
      <c r="AP130" s="1">
        <f t="shared" si="177"/>
        <v>-13532011.082919484</v>
      </c>
      <c r="AQ130" s="1">
        <f t="shared" si="177"/>
        <v>-13670111.479188718</v>
      </c>
      <c r="AR130" s="1">
        <f t="shared" si="177"/>
        <v>-13803818.384515075</v>
      </c>
      <c r="AS130" s="1">
        <f t="shared" si="177"/>
        <v>-13932973.54284326</v>
      </c>
      <c r="AT130" s="1">
        <f t="shared" si="177"/>
        <v>-14057422.882814497</v>
      </c>
      <c r="AU130" s="1">
        <f t="shared" si="177"/>
        <v>-14177016.821905207</v>
      </c>
      <c r="AV130" s="1">
        <f t="shared" si="177"/>
        <v>-14291610.564130176</v>
      </c>
      <c r="AW130" s="1">
        <f t="shared" si="177"/>
        <v>-14401064.390486531</v>
      </c>
      <c r="AX130" s="1">
        <f t="shared" si="177"/>
        <v>-14505243.941328363</v>
      </c>
      <c r="AY130" s="1">
        <f t="shared" si="177"/>
        <v>-14604020.489877647</v>
      </c>
      <c r="AZ130" s="1">
        <f t="shared" si="177"/>
        <v>-14697271.206096279</v>
      </c>
      <c r="BA130" s="1">
        <f t="shared" si="177"/>
        <v>-14784879.410165695</v>
      </c>
      <c r="BB130" s="1">
        <f t="shared" si="177"/>
        <v>-14866734.81484507</v>
      </c>
      <c r="BC130" s="1">
        <f t="shared" si="177"/>
        <v>-14942733.756006297</v>
      </c>
      <c r="BD130" s="1">
        <f t="shared" si="177"/>
        <v>-15012779.41067378</v>
      </c>
      <c r="BE130" s="1">
        <f t="shared" si="177"/>
        <v>-15076782.001929311</v>
      </c>
      <c r="BF130" s="1">
        <f t="shared" si="177"/>
        <v>-15134658.990077039</v>
      </c>
      <c r="BG130" s="1">
        <f t="shared" si="177"/>
        <v>-15186335.249500563</v>
      </c>
      <c r="BH130" s="1">
        <f t="shared" si="177"/>
        <v>-15231743.230683291</v>
      </c>
      <c r="BI130" s="1">
        <f t="shared" si="177"/>
        <v>-15270823.106904441</v>
      </c>
      <c r="BJ130" s="1">
        <f t="shared" si="177"/>
        <v>-15303522.905166084</v>
      </c>
    </row>
    <row r="131" spans="2:62">
      <c r="B131" s="16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2:62">
      <c r="B132" s="16" t="s">
        <v>303</v>
      </c>
      <c r="C132" t="s">
        <v>372</v>
      </c>
      <c r="G132" s="16"/>
      <c r="AB132" s="1">
        <f>SUM(AB133:AB134)</f>
        <v>-4375000</v>
      </c>
      <c r="AC132" s="1">
        <f t="shared" ref="AC132:BJ132" si="178">SUM(AC133:AC134)</f>
        <v>-4375000</v>
      </c>
      <c r="AD132" s="1">
        <f t="shared" si="178"/>
        <v>-4375000</v>
      </c>
      <c r="AE132" s="1">
        <f t="shared" si="178"/>
        <v>-4375000</v>
      </c>
      <c r="AF132" s="1">
        <f t="shared" si="178"/>
        <v>-4375000</v>
      </c>
      <c r="AG132" s="1">
        <f t="shared" si="178"/>
        <v>-4375000</v>
      </c>
      <c r="AH132" s="1">
        <f t="shared" si="178"/>
        <v>-4375000</v>
      </c>
      <c r="AI132" s="1">
        <f t="shared" si="178"/>
        <v>-4375000</v>
      </c>
      <c r="AJ132" s="1">
        <f t="shared" si="178"/>
        <v>-4375000</v>
      </c>
      <c r="AK132" s="1">
        <f t="shared" si="178"/>
        <v>-4375000</v>
      </c>
      <c r="AL132" s="1">
        <f t="shared" si="178"/>
        <v>-4375000</v>
      </c>
      <c r="AM132" s="1">
        <f t="shared" si="178"/>
        <v>-4375000</v>
      </c>
      <c r="AN132" s="1">
        <f t="shared" si="178"/>
        <v>-4375000</v>
      </c>
      <c r="AO132" s="1">
        <f t="shared" si="178"/>
        <v>-4375000</v>
      </c>
      <c r="AP132" s="1">
        <f t="shared" si="178"/>
        <v>-4375000</v>
      </c>
      <c r="AQ132" s="1">
        <f t="shared" si="178"/>
        <v>-4375000</v>
      </c>
      <c r="AR132" s="1">
        <f t="shared" si="178"/>
        <v>-4375000</v>
      </c>
      <c r="AS132" s="1">
        <f t="shared" si="178"/>
        <v>-4375000</v>
      </c>
      <c r="AT132" s="1">
        <f t="shared" si="178"/>
        <v>-4375000</v>
      </c>
      <c r="AU132" s="1">
        <f t="shared" si="178"/>
        <v>-4375000</v>
      </c>
      <c r="AV132" s="1">
        <f t="shared" si="178"/>
        <v>-4375000</v>
      </c>
      <c r="AW132" s="1">
        <f t="shared" si="178"/>
        <v>-4375000</v>
      </c>
      <c r="AX132" s="1">
        <f t="shared" si="178"/>
        <v>-4375000</v>
      </c>
      <c r="AY132" s="1">
        <f t="shared" si="178"/>
        <v>-4375000</v>
      </c>
      <c r="AZ132" s="1">
        <f t="shared" si="178"/>
        <v>-4375000</v>
      </c>
      <c r="BA132" s="1">
        <f t="shared" si="178"/>
        <v>-4375000</v>
      </c>
      <c r="BB132" s="1">
        <f t="shared" si="178"/>
        <v>-4375000</v>
      </c>
      <c r="BC132" s="1">
        <f t="shared" si="178"/>
        <v>-4375000</v>
      </c>
      <c r="BD132" s="1">
        <f t="shared" si="178"/>
        <v>-4375000</v>
      </c>
      <c r="BE132" s="1">
        <f t="shared" si="178"/>
        <v>-4375000</v>
      </c>
      <c r="BF132" s="1">
        <f t="shared" si="178"/>
        <v>-4375000</v>
      </c>
      <c r="BG132" s="1">
        <f t="shared" si="178"/>
        <v>-4375000</v>
      </c>
      <c r="BH132" s="1">
        <f t="shared" si="178"/>
        <v>-4375000</v>
      </c>
      <c r="BI132" s="1">
        <f t="shared" si="178"/>
        <v>-4375000</v>
      </c>
      <c r="BJ132" s="1">
        <f t="shared" si="178"/>
        <v>-4375000</v>
      </c>
    </row>
    <row r="133" spans="2:62">
      <c r="C133" t="s">
        <v>373</v>
      </c>
      <c r="F133" s="12"/>
      <c r="K133" s="46">
        <v>1.2500000000000001E-2</v>
      </c>
      <c r="L133" s="1">
        <f>SUM(AB133:BJ133)</f>
        <v>-87500000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1">
        <f t="shared" ref="AB133:BJ133" si="179">-$K133*200000000</f>
        <v>-2500000</v>
      </c>
      <c r="AC133" s="1">
        <f t="shared" si="179"/>
        <v>-2500000</v>
      </c>
      <c r="AD133" s="1">
        <f t="shared" si="179"/>
        <v>-2500000</v>
      </c>
      <c r="AE133" s="1">
        <f t="shared" si="179"/>
        <v>-2500000</v>
      </c>
      <c r="AF133" s="1">
        <f t="shared" si="179"/>
        <v>-2500000</v>
      </c>
      <c r="AG133" s="1">
        <f t="shared" si="179"/>
        <v>-2500000</v>
      </c>
      <c r="AH133" s="1">
        <f t="shared" si="179"/>
        <v>-2500000</v>
      </c>
      <c r="AI133" s="1">
        <f t="shared" si="179"/>
        <v>-2500000</v>
      </c>
      <c r="AJ133" s="1">
        <f t="shared" si="179"/>
        <v>-2500000</v>
      </c>
      <c r="AK133" s="1">
        <f t="shared" si="179"/>
        <v>-2500000</v>
      </c>
      <c r="AL133" s="1">
        <f t="shared" si="179"/>
        <v>-2500000</v>
      </c>
      <c r="AM133" s="1">
        <f t="shared" si="179"/>
        <v>-2500000</v>
      </c>
      <c r="AN133" s="1">
        <f t="shared" si="179"/>
        <v>-2500000</v>
      </c>
      <c r="AO133" s="1">
        <f t="shared" si="179"/>
        <v>-2500000</v>
      </c>
      <c r="AP133" s="1">
        <f t="shared" si="179"/>
        <v>-2500000</v>
      </c>
      <c r="AQ133" s="1">
        <f t="shared" si="179"/>
        <v>-2500000</v>
      </c>
      <c r="AR133" s="1">
        <f t="shared" si="179"/>
        <v>-2500000</v>
      </c>
      <c r="AS133" s="1">
        <f t="shared" si="179"/>
        <v>-2500000</v>
      </c>
      <c r="AT133" s="1">
        <f t="shared" si="179"/>
        <v>-2500000</v>
      </c>
      <c r="AU133" s="1">
        <f t="shared" si="179"/>
        <v>-2500000</v>
      </c>
      <c r="AV133" s="1">
        <f t="shared" si="179"/>
        <v>-2500000</v>
      </c>
      <c r="AW133" s="1">
        <f t="shared" si="179"/>
        <v>-2500000</v>
      </c>
      <c r="AX133" s="1">
        <f t="shared" si="179"/>
        <v>-2500000</v>
      </c>
      <c r="AY133" s="1">
        <f t="shared" si="179"/>
        <v>-2500000</v>
      </c>
      <c r="AZ133" s="1">
        <f t="shared" si="179"/>
        <v>-2500000</v>
      </c>
      <c r="BA133" s="1">
        <f t="shared" si="179"/>
        <v>-2500000</v>
      </c>
      <c r="BB133" s="1">
        <f t="shared" si="179"/>
        <v>-2500000</v>
      </c>
      <c r="BC133" s="1">
        <f t="shared" si="179"/>
        <v>-2500000</v>
      </c>
      <c r="BD133" s="1">
        <f t="shared" si="179"/>
        <v>-2500000</v>
      </c>
      <c r="BE133" s="1">
        <f t="shared" si="179"/>
        <v>-2500000</v>
      </c>
      <c r="BF133" s="1">
        <f t="shared" si="179"/>
        <v>-2500000</v>
      </c>
      <c r="BG133" s="1">
        <f t="shared" si="179"/>
        <v>-2500000</v>
      </c>
      <c r="BH133" s="1">
        <f t="shared" si="179"/>
        <v>-2500000</v>
      </c>
      <c r="BI133" s="1">
        <f t="shared" si="179"/>
        <v>-2500000</v>
      </c>
      <c r="BJ133" s="1">
        <f t="shared" si="179"/>
        <v>-2500000</v>
      </c>
    </row>
    <row r="134" spans="2:62">
      <c r="C134" t="s">
        <v>374</v>
      </c>
      <c r="F134" s="12"/>
      <c r="K134" s="46">
        <v>1.2500000000000001E-2</v>
      </c>
      <c r="L134" s="1">
        <f>SUM(AB134:BJ134)</f>
        <v>-65625000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1">
        <f t="shared" ref="AB134:BJ134" si="180">-$K134*150000000</f>
        <v>-1875000</v>
      </c>
      <c r="AC134" s="1">
        <f t="shared" si="180"/>
        <v>-1875000</v>
      </c>
      <c r="AD134" s="1">
        <f t="shared" si="180"/>
        <v>-1875000</v>
      </c>
      <c r="AE134" s="1">
        <f t="shared" si="180"/>
        <v>-1875000</v>
      </c>
      <c r="AF134" s="1">
        <f t="shared" si="180"/>
        <v>-1875000</v>
      </c>
      <c r="AG134" s="1">
        <f t="shared" si="180"/>
        <v>-1875000</v>
      </c>
      <c r="AH134" s="1">
        <f t="shared" si="180"/>
        <v>-1875000</v>
      </c>
      <c r="AI134" s="1">
        <f t="shared" si="180"/>
        <v>-1875000</v>
      </c>
      <c r="AJ134" s="1">
        <f t="shared" si="180"/>
        <v>-1875000</v>
      </c>
      <c r="AK134" s="1">
        <f t="shared" si="180"/>
        <v>-1875000</v>
      </c>
      <c r="AL134" s="1">
        <f t="shared" si="180"/>
        <v>-1875000</v>
      </c>
      <c r="AM134" s="1">
        <f t="shared" si="180"/>
        <v>-1875000</v>
      </c>
      <c r="AN134" s="1">
        <f t="shared" si="180"/>
        <v>-1875000</v>
      </c>
      <c r="AO134" s="1">
        <f t="shared" si="180"/>
        <v>-1875000</v>
      </c>
      <c r="AP134" s="1">
        <f t="shared" si="180"/>
        <v>-1875000</v>
      </c>
      <c r="AQ134" s="1">
        <f t="shared" si="180"/>
        <v>-1875000</v>
      </c>
      <c r="AR134" s="1">
        <f t="shared" si="180"/>
        <v>-1875000</v>
      </c>
      <c r="AS134" s="1">
        <f t="shared" si="180"/>
        <v>-1875000</v>
      </c>
      <c r="AT134" s="1">
        <f t="shared" si="180"/>
        <v>-1875000</v>
      </c>
      <c r="AU134" s="1">
        <f t="shared" si="180"/>
        <v>-1875000</v>
      </c>
      <c r="AV134" s="1">
        <f t="shared" si="180"/>
        <v>-1875000</v>
      </c>
      <c r="AW134" s="1">
        <f t="shared" si="180"/>
        <v>-1875000</v>
      </c>
      <c r="AX134" s="1">
        <f t="shared" si="180"/>
        <v>-1875000</v>
      </c>
      <c r="AY134" s="1">
        <f t="shared" si="180"/>
        <v>-1875000</v>
      </c>
      <c r="AZ134" s="1">
        <f t="shared" si="180"/>
        <v>-1875000</v>
      </c>
      <c r="BA134" s="1">
        <f t="shared" si="180"/>
        <v>-1875000</v>
      </c>
      <c r="BB134" s="1">
        <f t="shared" si="180"/>
        <v>-1875000</v>
      </c>
      <c r="BC134" s="1">
        <f t="shared" si="180"/>
        <v>-1875000</v>
      </c>
      <c r="BD134" s="1">
        <f t="shared" si="180"/>
        <v>-1875000</v>
      </c>
      <c r="BE134" s="1">
        <f t="shared" si="180"/>
        <v>-1875000</v>
      </c>
      <c r="BF134" s="1">
        <f t="shared" si="180"/>
        <v>-1875000</v>
      </c>
      <c r="BG134" s="1">
        <f t="shared" si="180"/>
        <v>-1875000</v>
      </c>
      <c r="BH134" s="1">
        <f t="shared" si="180"/>
        <v>-1875000</v>
      </c>
      <c r="BI134" s="1">
        <f t="shared" si="180"/>
        <v>-1875000</v>
      </c>
      <c r="BJ134" s="1">
        <f t="shared" si="180"/>
        <v>-1875000</v>
      </c>
    </row>
    <row r="135" spans="2:62">
      <c r="B135" s="16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2:62">
      <c r="B136" s="16" t="s">
        <v>303</v>
      </c>
      <c r="C136" t="s">
        <v>336</v>
      </c>
      <c r="AB136" s="1">
        <f t="shared" ref="AB136:BJ136" si="181">-AB92*(SUM(AB114:AB116))</f>
        <v>-2241062.391495693</v>
      </c>
      <c r="AC136" s="1">
        <f t="shared" si="181"/>
        <v>-2351015.0497815497</v>
      </c>
      <c r="AD136" s="1">
        <f t="shared" si="181"/>
        <v>-2463677.917715034</v>
      </c>
      <c r="AE136" s="1">
        <f t="shared" si="181"/>
        <v>-2579009.0106005929</v>
      </c>
      <c r="AF136" s="1">
        <f t="shared" si="181"/>
        <v>-2696960.6172519457</v>
      </c>
      <c r="AG136" s="1">
        <f t="shared" si="181"/>
        <v>-2817479.2400308829</v>
      </c>
      <c r="AH136" s="1">
        <f t="shared" si="181"/>
        <v>-2856997.7912870268</v>
      </c>
      <c r="AI136" s="1">
        <f t="shared" si="181"/>
        <v>-2895857.6859369278</v>
      </c>
      <c r="AJ136" s="1">
        <f t="shared" si="181"/>
        <v>-2934016.7086438145</v>
      </c>
      <c r="AK136" s="1">
        <f t="shared" si="181"/>
        <v>-2971432.9454917074</v>
      </c>
      <c r="AL136" s="1">
        <f t="shared" si="181"/>
        <v>-3008064.8593680146</v>
      </c>
      <c r="AM136" s="1">
        <f t="shared" si="181"/>
        <v>-3043871.3656005771</v>
      </c>
      <c r="AN136" s="1">
        <f t="shared" si="181"/>
        <v>-3078811.9076601118</v>
      </c>
      <c r="AO136" s="1">
        <f t="shared" si="181"/>
        <v>-3112846.5327360802</v>
      </c>
      <c r="AP136" s="1">
        <f t="shared" si="181"/>
        <v>-3145935.9669918818</v>
      </c>
      <c r="AQ136" s="1">
        <f t="shared" si="181"/>
        <v>-3178041.690303592</v>
      </c>
      <c r="AR136" s="1">
        <f t="shared" si="181"/>
        <v>-3209126.0102855866</v>
      </c>
      <c r="AS136" s="1">
        <f t="shared" si="181"/>
        <v>-3239152.1354060462</v>
      </c>
      <c r="AT136" s="1">
        <f t="shared" si="181"/>
        <v>-3268084.2469957327</v>
      </c>
      <c r="AU136" s="1">
        <f t="shared" si="181"/>
        <v>-3295887.5699544763</v>
      </c>
      <c r="AV136" s="1">
        <f t="shared" si="181"/>
        <v>-3322528.4419615027</v>
      </c>
      <c r="AW136" s="1">
        <f t="shared" si="181"/>
        <v>-3347974.3809981607</v>
      </c>
      <c r="AX136" s="1">
        <f t="shared" si="181"/>
        <v>-3372194.1509946589</v>
      </c>
      <c r="AY136" s="1">
        <f t="shared" si="181"/>
        <v>-3395157.8254161752</v>
      </c>
      <c r="AZ136" s="1">
        <f t="shared" si="181"/>
        <v>-3416836.8486080961</v>
      </c>
      <c r="BA136" s="1">
        <f t="shared" si="181"/>
        <v>-3437204.0947252256</v>
      </c>
      <c r="BB136" s="1">
        <f t="shared" si="181"/>
        <v>-3456233.9240754666</v>
      </c>
      <c r="BC136" s="1">
        <f t="shared" si="181"/>
        <v>-3473902.2367148334</v>
      </c>
      <c r="BD136" s="1">
        <f t="shared" si="181"/>
        <v>-3490186.5231375713</v>
      </c>
      <c r="BE136" s="1">
        <f t="shared" si="181"/>
        <v>-3505065.9119126522</v>
      </c>
      <c r="BF136" s="1">
        <f t="shared" si="181"/>
        <v>-3518521.214126003</v>
      </c>
      <c r="BG136" s="1">
        <f t="shared" si="181"/>
        <v>-3530534.9644964319</v>
      </c>
      <c r="BH136" s="1">
        <f t="shared" si="181"/>
        <v>-3541091.4590422828</v>
      </c>
      <c r="BI136" s="1">
        <f t="shared" si="181"/>
        <v>-3550176.7891854784</v>
      </c>
      <c r="BJ136" s="1">
        <f t="shared" si="181"/>
        <v>-3557778.8721895725</v>
      </c>
    </row>
    <row r="138" spans="2:62" s="6" customFormat="1">
      <c r="B138" s="18" t="s">
        <v>300</v>
      </c>
      <c r="C138" s="6" t="s">
        <v>309</v>
      </c>
      <c r="K138" s="21"/>
      <c r="AA138" s="6" t="str">
        <f>C138</f>
        <v>EBITDA</v>
      </c>
      <c r="AB138" s="17">
        <f>AB122+AB124+AB132+AB136</f>
        <v>25008056.494878542</v>
      </c>
      <c r="AC138" s="17">
        <f t="shared" ref="AC138:BJ138" si="182">AC122+AC124+AC132+AC136</f>
        <v>31629160.85083146</v>
      </c>
      <c r="AD138" s="17">
        <f t="shared" si="182"/>
        <v>38493193.247920208</v>
      </c>
      <c r="AE138" s="17">
        <f>AE122+AE124+AE132+AE136</f>
        <v>45602265.57106401</v>
      </c>
      <c r="AF138" s="17">
        <f t="shared" si="182"/>
        <v>52957696.854840189</v>
      </c>
      <c r="AG138" s="17">
        <f t="shared" si="182"/>
        <v>60560063.88934353</v>
      </c>
      <c r="AH138" s="17">
        <f t="shared" si="182"/>
        <v>61502861.227601029</v>
      </c>
      <c r="AI138" s="17">
        <f t="shared" si="182"/>
        <v>62431349.218385741</v>
      </c>
      <c r="AJ138" s="17">
        <f t="shared" si="182"/>
        <v>63344531.371711947</v>
      </c>
      <c r="AK138" s="17">
        <f t="shared" si="182"/>
        <v>64241416.26611536</v>
      </c>
      <c r="AL138" s="17">
        <f t="shared" si="182"/>
        <v>65121019.307082459</v>
      </c>
      <c r="AM138" s="17">
        <f t="shared" si="182"/>
        <v>65982364.496428169</v>
      </c>
      <c r="AN138" s="17">
        <f t="shared" si="182"/>
        <v>66824486.208270431</v>
      </c>
      <c r="AO138" s="17">
        <f t="shared" si="182"/>
        <v>67646430.967164606</v>
      </c>
      <c r="AP138" s="17">
        <f t="shared" si="182"/>
        <v>68447259.223895207</v>
      </c>
      <c r="AQ138" s="17">
        <f t="shared" si="182"/>
        <v>69226047.124365553</v>
      </c>
      <c r="AR138" s="17">
        <f t="shared" si="182"/>
        <v>69981888.266988784</v>
      </c>
      <c r="AS138" s="17">
        <f t="shared" si="182"/>
        <v>70713895.443957239</v>
      </c>
      <c r="AT138" s="17">
        <f t="shared" si="182"/>
        <v>71421202.361758694</v>
      </c>
      <c r="AU138" s="17">
        <f t="shared" si="182"/>
        <v>72102965.33631584</v>
      </c>
      <c r="AV138" s="17">
        <f t="shared" si="182"/>
        <v>72758364.958145335</v>
      </c>
      <c r="AW138" s="17">
        <f t="shared" si="182"/>
        <v>73386607.722973734</v>
      </c>
      <c r="AX138" s="17">
        <f t="shared" si="182"/>
        <v>73986927.623298898</v>
      </c>
      <c r="AY138" s="17">
        <f t="shared" si="182"/>
        <v>74558587.696459144</v>
      </c>
      <c r="AZ138" s="17">
        <f t="shared" si="182"/>
        <v>75100881.5248546</v>
      </c>
      <c r="BA138" s="17">
        <f t="shared" si="182"/>
        <v>75613134.684069693</v>
      </c>
      <c r="BB138" s="17">
        <f t="shared" si="182"/>
        <v>76094706.13476108</v>
      </c>
      <c r="BC138" s="17">
        <f t="shared" si="182"/>
        <v>76544989.554308087</v>
      </c>
      <c r="BD138" s="17">
        <f t="shared" si="182"/>
        <v>76963414.604369283</v>
      </c>
      <c r="BE138" s="17">
        <f t="shared" si="182"/>
        <v>77349448.130650103</v>
      </c>
      <c r="BF138" s="17">
        <f t="shared" si="182"/>
        <v>77702595.291360572</v>
      </c>
      <c r="BG138" s="17">
        <f t="shared" si="182"/>
        <v>78022400.611032337</v>
      </c>
      <c r="BH138" s="17">
        <f t="shared" si="182"/>
        <v>78308448.956561357</v>
      </c>
      <c r="BI138" s="17">
        <f t="shared" si="182"/>
        <v>78560366.432559952</v>
      </c>
      <c r="BJ138" s="17">
        <f t="shared" si="182"/>
        <v>78777821.193320975</v>
      </c>
    </row>
    <row r="139" spans="2:62" s="6" customFormat="1">
      <c r="B139" s="18" t="s">
        <v>323</v>
      </c>
      <c r="C139" s="6" t="s">
        <v>322</v>
      </c>
      <c r="K139" s="21"/>
      <c r="AA139" s="6" t="str">
        <f>C139</f>
        <v>Margem EBITDA</v>
      </c>
      <c r="AB139" s="20">
        <f t="shared" ref="AB139:BJ139" si="183">AB138/AB$122</f>
        <v>0.23551697156358009</v>
      </c>
      <c r="AC139" s="20">
        <f t="shared" si="183"/>
        <v>0.28394124000696536</v>
      </c>
      <c r="AD139" s="20">
        <f t="shared" si="183"/>
        <v>0.32975867021192962</v>
      </c>
      <c r="AE139" s="20">
        <f t="shared" si="183"/>
        <v>0.37318980756491432</v>
      </c>
      <c r="AF139" s="20">
        <f t="shared" si="183"/>
        <v>0.41442953503846219</v>
      </c>
      <c r="AG139" s="20">
        <f t="shared" si="183"/>
        <v>0.45365093876366586</v>
      </c>
      <c r="AH139" s="20">
        <f t="shared" si="183"/>
        <v>0.45434068637561237</v>
      </c>
      <c r="AI139" s="20">
        <f t="shared" si="183"/>
        <v>0.45501081521272313</v>
      </c>
      <c r="AJ139" s="20">
        <f t="shared" si="183"/>
        <v>0.45566194413796735</v>
      </c>
      <c r="AK139" s="20">
        <f t="shared" si="183"/>
        <v>0.45629466031805888</v>
      </c>
      <c r="AL139" s="20">
        <f t="shared" si="183"/>
        <v>0.45690952059509643</v>
      </c>
      <c r="AM139" s="20">
        <f t="shared" si="183"/>
        <v>0.45750705277842318</v>
      </c>
      <c r="AN139" s="20">
        <f t="shared" si="183"/>
        <v>0.45808775686087172</v>
      </c>
      <c r="AO139" s="20">
        <f t="shared" si="183"/>
        <v>0.45865210616328078</v>
      </c>
      <c r="AP139" s="20">
        <f t="shared" si="183"/>
        <v>0.45920054841092983</v>
      </c>
      <c r="AQ139" s="20">
        <f t="shared" si="183"/>
        <v>0.45973350674529229</v>
      </c>
      <c r="AR139" s="20">
        <f t="shared" si="183"/>
        <v>0.46025138067429189</v>
      </c>
      <c r="AS139" s="20">
        <f t="shared" si="183"/>
        <v>0.46075454696403062</v>
      </c>
      <c r="AT139" s="20">
        <f t="shared" si="183"/>
        <v>0.46124336047475689</v>
      </c>
      <c r="AU139" s="20">
        <f t="shared" si="183"/>
        <v>0.46171815494366436</v>
      </c>
      <c r="AV139" s="20">
        <f t="shared" si="183"/>
        <v>0.4621792437169191</v>
      </c>
      <c r="AW139" s="20">
        <f t="shared" si="183"/>
        <v>0.46262692043316173</v>
      </c>
      <c r="AX139" s="20">
        <f t="shared" si="183"/>
        <v>0.46306145966055379</v>
      </c>
      <c r="AY139" s="20">
        <f t="shared" si="183"/>
        <v>0.46348311748930621</v>
      </c>
      <c r="AZ139" s="20">
        <f t="shared" si="183"/>
        <v>0.4638921320814649</v>
      </c>
      <c r="BA139" s="20">
        <f t="shared" si="183"/>
        <v>0.46428872417960471</v>
      </c>
      <c r="BB139" s="20">
        <f t="shared" si="183"/>
        <v>0.46467309757594738</v>
      </c>
      <c r="BC139" s="20">
        <f t="shared" si="183"/>
        <v>0.46504543954329552</v>
      </c>
      <c r="BD139" s="20">
        <f t="shared" si="183"/>
        <v>0.46540592122905255</v>
      </c>
      <c r="BE139" s="20">
        <f t="shared" si="183"/>
        <v>0.46575469801348951</v>
      </c>
      <c r="BF139" s="20">
        <f t="shared" si="183"/>
        <v>0.46609190983330195</v>
      </c>
      <c r="BG139" s="20">
        <f t="shared" si="183"/>
        <v>0.46641768147140356</v>
      </c>
      <c r="BH139" s="20">
        <f t="shared" si="183"/>
        <v>0.46673212281378607</v>
      </c>
      <c r="BI139" s="20">
        <f t="shared" si="183"/>
        <v>0.46703532907419337</v>
      </c>
      <c r="BJ139" s="20">
        <f t="shared" si="183"/>
        <v>0.46732738098724325</v>
      </c>
    </row>
    <row r="140" spans="2:62">
      <c r="K140" s="21"/>
    </row>
    <row r="141" spans="2:62">
      <c r="B141" s="16" t="s">
        <v>303</v>
      </c>
      <c r="C141" t="s">
        <v>321</v>
      </c>
      <c r="K141" s="21"/>
      <c r="AB141" s="1">
        <f>-AB183</f>
        <v>-10414490.835209854</v>
      </c>
      <c r="AC141" s="1">
        <f t="shared" ref="AC141:BJ141" si="184">-AC183</f>
        <v>-12184858.674135551</v>
      </c>
      <c r="AD141" s="1">
        <f t="shared" si="184"/>
        <v>-14497645.087209679</v>
      </c>
      <c r="AE141" s="1">
        <f t="shared" si="184"/>
        <v>-14644886.081953345</v>
      </c>
      <c r="AF141" s="1">
        <f t="shared" si="184"/>
        <v>-14797301.736257264</v>
      </c>
      <c r="AG141" s="1">
        <f t="shared" si="184"/>
        <v>-14917965.563729951</v>
      </c>
      <c r="AH141" s="1">
        <f t="shared" si="184"/>
        <v>-15041957.773798238</v>
      </c>
      <c r="AI141" s="1">
        <f t="shared" si="184"/>
        <v>-15169413.156356253</v>
      </c>
      <c r="AJ141" s="1">
        <f t="shared" si="184"/>
        <v>-15300481.513605682</v>
      </c>
      <c r="AK141" s="1">
        <f t="shared" si="184"/>
        <v>-15435330.153546836</v>
      </c>
      <c r="AL141" s="1">
        <f t="shared" si="184"/>
        <v>-15574146.884056516</v>
      </c>
      <c r="AM141" s="1">
        <f t="shared" si="184"/>
        <v>-15717143.632217333</v>
      </c>
      <c r="AN141" s="1">
        <f t="shared" si="184"/>
        <v>-15864560.85149328</v>
      </c>
      <c r="AO141" s="1">
        <f t="shared" si="184"/>
        <v>-16016672.93107143</v>
      </c>
      <c r="AP141" s="1">
        <f t="shared" si="184"/>
        <v>-16173794.893120736</v>
      </c>
      <c r="AQ141" s="1">
        <f t="shared" si="184"/>
        <v>-16336290.763725068</v>
      </c>
      <c r="AR141" s="1">
        <f t="shared" si="184"/>
        <v>-16504584.145363115</v>
      </c>
      <c r="AS141" s="1">
        <f t="shared" si="184"/>
        <v>-16679171.724088416</v>
      </c>
      <c r="AT141" s="1">
        <f t="shared" si="184"/>
        <v>-16860640.746448405</v>
      </c>
      <c r="AU141" s="1">
        <f t="shared" si="184"/>
        <v>-17049691.954012267</v>
      </c>
      <c r="AV141" s="1">
        <f t="shared" si="184"/>
        <v>-17247170.157721292</v>
      </c>
      <c r="AW141" s="1">
        <f t="shared" si="184"/>
        <v>-17454105.725389883</v>
      </c>
      <c r="AX141" s="1">
        <f t="shared" si="184"/>
        <v>-17671772.018258687</v>
      </c>
      <c r="AY141" s="1">
        <f t="shared" si="184"/>
        <v>-17901766.750126448</v>
      </c>
      <c r="AZ141" s="1">
        <f t="shared" si="184"/>
        <v>-18146130.316671416</v>
      </c>
      <c r="BA141" s="1">
        <f t="shared" si="184"/>
        <v>-18407523.275928393</v>
      </c>
      <c r="BB141" s="1">
        <f t="shared" si="184"/>
        <v>-18689502.412785616</v>
      </c>
      <c r="BC141" s="1">
        <f t="shared" si="184"/>
        <v>-18996969.324166901</v>
      </c>
      <c r="BD141" s="1">
        <f t="shared" si="184"/>
        <v>-19336939.398286581</v>
      </c>
      <c r="BE141" s="1">
        <f t="shared" si="184"/>
        <v>-19719951.580389872</v>
      </c>
      <c r="BF141" s="1">
        <f t="shared" si="184"/>
        <v>-20162887.866863377</v>
      </c>
      <c r="BG141" s="1">
        <f t="shared" si="184"/>
        <v>-20695317.118025176</v>
      </c>
      <c r="BH141" s="1">
        <f t="shared" si="184"/>
        <v>-21376411.824140228</v>
      </c>
      <c r="BI141" s="1">
        <f t="shared" si="184"/>
        <v>-22354156.680400457</v>
      </c>
      <c r="BJ141" s="1">
        <f t="shared" si="184"/>
        <v>-23842842.212749526</v>
      </c>
    </row>
    <row r="142" spans="2:62">
      <c r="B142" s="16"/>
      <c r="K142" s="2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62" s="6" customFormat="1">
      <c r="B143" s="18" t="s">
        <v>300</v>
      </c>
      <c r="C143" s="6" t="s">
        <v>324</v>
      </c>
      <c r="K143" s="21"/>
      <c r="AB143" s="17">
        <f>AB138+AB141</f>
        <v>14593565.659668688</v>
      </c>
      <c r="AC143" s="17">
        <f t="shared" ref="AC143:BJ143" si="185">AC138+AC141</f>
        <v>19444302.176695909</v>
      </c>
      <c r="AD143" s="17">
        <f t="shared" si="185"/>
        <v>23995548.160710528</v>
      </c>
      <c r="AE143" s="17">
        <f t="shared" si="185"/>
        <v>30957379.489110664</v>
      </c>
      <c r="AF143" s="17">
        <f t="shared" si="185"/>
        <v>38160395.118582927</v>
      </c>
      <c r="AG143" s="17">
        <f t="shared" si="185"/>
        <v>45642098.325613581</v>
      </c>
      <c r="AH143" s="17">
        <f t="shared" si="185"/>
        <v>46460903.453802794</v>
      </c>
      <c r="AI143" s="17">
        <f t="shared" si="185"/>
        <v>47261936.062029488</v>
      </c>
      <c r="AJ143" s="17">
        <f t="shared" si="185"/>
        <v>48044049.858106263</v>
      </c>
      <c r="AK143" s="17">
        <f t="shared" si="185"/>
        <v>48806086.112568527</v>
      </c>
      <c r="AL143" s="17">
        <f t="shared" si="185"/>
        <v>49546872.423025943</v>
      </c>
      <c r="AM143" s="17">
        <f t="shared" si="185"/>
        <v>50265220.864210837</v>
      </c>
      <c r="AN143" s="17">
        <f t="shared" si="185"/>
        <v>50959925.356777146</v>
      </c>
      <c r="AO143" s="17">
        <f t="shared" si="185"/>
        <v>51629758.036093175</v>
      </c>
      <c r="AP143" s="17">
        <f t="shared" si="185"/>
        <v>52273464.330774471</v>
      </c>
      <c r="AQ143" s="17">
        <f t="shared" si="185"/>
        <v>52889756.360640481</v>
      </c>
      <c r="AR143" s="17">
        <f t="shared" si="185"/>
        <v>53477304.121625669</v>
      </c>
      <c r="AS143" s="17">
        <f t="shared" si="185"/>
        <v>54034723.719868824</v>
      </c>
      <c r="AT143" s="17">
        <f t="shared" si="185"/>
        <v>54560561.615310289</v>
      </c>
      <c r="AU143" s="17">
        <f t="shared" si="185"/>
        <v>55053273.382303573</v>
      </c>
      <c r="AV143" s="17">
        <f t="shared" si="185"/>
        <v>55511194.800424039</v>
      </c>
      <c r="AW143" s="17">
        <f t="shared" si="185"/>
        <v>55932501.997583851</v>
      </c>
      <c r="AX143" s="17">
        <f t="shared" si="185"/>
        <v>56315155.605040208</v>
      </c>
      <c r="AY143" s="17">
        <f t="shared" si="185"/>
        <v>56656820.946332693</v>
      </c>
      <c r="AZ143" s="17">
        <f t="shared" si="185"/>
        <v>56954751.208183184</v>
      </c>
      <c r="BA143" s="17">
        <f t="shared" si="185"/>
        <v>57205611.4081413</v>
      </c>
      <c r="BB143" s="17">
        <f t="shared" si="185"/>
        <v>57405203.721975461</v>
      </c>
      <c r="BC143" s="17">
        <f t="shared" si="185"/>
        <v>57548020.230141185</v>
      </c>
      <c r="BD143" s="17">
        <f t="shared" si="185"/>
        <v>57626475.206082702</v>
      </c>
      <c r="BE143" s="17">
        <f t="shared" si="185"/>
        <v>57629496.550260231</v>
      </c>
      <c r="BF143" s="17">
        <f t="shared" si="185"/>
        <v>57539707.424497195</v>
      </c>
      <c r="BG143" s="17">
        <f t="shared" si="185"/>
        <v>57327083.493007161</v>
      </c>
      <c r="BH143" s="17">
        <f t="shared" si="185"/>
        <v>56932037.132421128</v>
      </c>
      <c r="BI143" s="17">
        <f t="shared" si="185"/>
        <v>56206209.752159491</v>
      </c>
      <c r="BJ143" s="17">
        <f t="shared" si="185"/>
        <v>54934978.980571449</v>
      </c>
    </row>
    <row r="144" spans="2:62">
      <c r="B144" s="16"/>
      <c r="G144" s="16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2:62">
      <c r="B145" s="16" t="s">
        <v>303</v>
      </c>
      <c r="C145" t="s">
        <v>311</v>
      </c>
      <c r="G145" s="50">
        <v>0.34</v>
      </c>
      <c r="AB145" s="1">
        <f>-$G145*AB143</f>
        <v>-4961812.324287354</v>
      </c>
      <c r="AC145" s="1">
        <f t="shared" ref="AC145:BJ145" si="186">-$G145*AC143</f>
        <v>-6611062.7400766099</v>
      </c>
      <c r="AD145" s="1">
        <f t="shared" si="186"/>
        <v>-8158486.3746415805</v>
      </c>
      <c r="AE145" s="1">
        <f t="shared" si="186"/>
        <v>-10525509.026297627</v>
      </c>
      <c r="AF145" s="1">
        <f t="shared" si="186"/>
        <v>-12974534.340318196</v>
      </c>
      <c r="AG145" s="1">
        <f t="shared" si="186"/>
        <v>-15518313.430708619</v>
      </c>
      <c r="AH145" s="1">
        <f t="shared" si="186"/>
        <v>-15796707.174292952</v>
      </c>
      <c r="AI145" s="1">
        <f t="shared" si="186"/>
        <v>-16069058.261090027</v>
      </c>
      <c r="AJ145" s="1">
        <f t="shared" si="186"/>
        <v>-16334976.951756131</v>
      </c>
      <c r="AK145" s="1">
        <f t="shared" si="186"/>
        <v>-16594069.278273301</v>
      </c>
      <c r="AL145" s="1">
        <f t="shared" si="186"/>
        <v>-16845936.623828821</v>
      </c>
      <c r="AM145" s="1">
        <f t="shared" si="186"/>
        <v>-17090175.093831684</v>
      </c>
      <c r="AN145" s="1">
        <f t="shared" si="186"/>
        <v>-17326374.621304233</v>
      </c>
      <c r="AO145" s="1">
        <f t="shared" si="186"/>
        <v>-17554117.732271682</v>
      </c>
      <c r="AP145" s="1">
        <f t="shared" si="186"/>
        <v>-17772977.872463323</v>
      </c>
      <c r="AQ145" s="1">
        <f t="shared" si="186"/>
        <v>-17982517.162617765</v>
      </c>
      <c r="AR145" s="1">
        <f t="shared" si="186"/>
        <v>-18182283.40135273</v>
      </c>
      <c r="AS145" s="1">
        <f t="shared" si="186"/>
        <v>-18371806.064755403</v>
      </c>
      <c r="AT145" s="1">
        <f t="shared" si="186"/>
        <v>-18550590.949205499</v>
      </c>
      <c r="AU145" s="1">
        <f t="shared" si="186"/>
        <v>-18718112.949983217</v>
      </c>
      <c r="AV145" s="1">
        <f t="shared" si="186"/>
        <v>-18873806.232144173</v>
      </c>
      <c r="AW145" s="1">
        <f t="shared" si="186"/>
        <v>-19017050.67917851</v>
      </c>
      <c r="AX145" s="1">
        <f t="shared" si="186"/>
        <v>-19147152.905713674</v>
      </c>
      <c r="AY145" s="1">
        <f t="shared" si="186"/>
        <v>-19263319.121753115</v>
      </c>
      <c r="AZ145" s="1">
        <f t="shared" si="186"/>
        <v>-19364615.410782285</v>
      </c>
      <c r="BA145" s="1">
        <f t="shared" si="186"/>
        <v>-19449907.878768042</v>
      </c>
      <c r="BB145" s="1">
        <f t="shared" si="186"/>
        <v>-19517769.26547166</v>
      </c>
      <c r="BC145" s="1">
        <f t="shared" si="186"/>
        <v>-19566326.878248006</v>
      </c>
      <c r="BD145" s="1">
        <f t="shared" si="186"/>
        <v>-19593001.570068121</v>
      </c>
      <c r="BE145" s="1">
        <f t="shared" si="186"/>
        <v>-19594028.827088479</v>
      </c>
      <c r="BF145" s="1">
        <f t="shared" si="186"/>
        <v>-19563500.524329048</v>
      </c>
      <c r="BG145" s="1">
        <f t="shared" si="186"/>
        <v>-19491208.387622435</v>
      </c>
      <c r="BH145" s="1">
        <f t="shared" si="186"/>
        <v>-19356892.625023186</v>
      </c>
      <c r="BI145" s="1">
        <f t="shared" si="186"/>
        <v>-19110111.31573423</v>
      </c>
      <c r="BJ145" s="1">
        <f t="shared" si="186"/>
        <v>-18677892.853394292</v>
      </c>
    </row>
    <row r="146" spans="2:62">
      <c r="G146" s="16"/>
    </row>
    <row r="147" spans="2:62" s="6" customFormat="1">
      <c r="B147" s="18" t="s">
        <v>300</v>
      </c>
      <c r="C147" s="6" t="s">
        <v>325</v>
      </c>
      <c r="K147" s="21"/>
      <c r="AB147" s="17">
        <f>AB143+AB145</f>
        <v>9631753.3353813328</v>
      </c>
      <c r="AC147" s="17">
        <f t="shared" ref="AC147:BJ147" si="187">AC143+AC145</f>
        <v>12833239.4366193</v>
      </c>
      <c r="AD147" s="17">
        <f t="shared" si="187"/>
        <v>15837061.786068948</v>
      </c>
      <c r="AE147" s="17">
        <f t="shared" si="187"/>
        <v>20431870.462813035</v>
      </c>
      <c r="AF147" s="17">
        <f t="shared" si="187"/>
        <v>25185860.778264731</v>
      </c>
      <c r="AG147" s="17">
        <f t="shared" si="187"/>
        <v>30123784.894904964</v>
      </c>
      <c r="AH147" s="17">
        <f t="shared" si="187"/>
        <v>30664196.279509842</v>
      </c>
      <c r="AI147" s="17">
        <f t="shared" si="187"/>
        <v>31192877.800939463</v>
      </c>
      <c r="AJ147" s="17">
        <f t="shared" si="187"/>
        <v>31709072.906350132</v>
      </c>
      <c r="AK147" s="17">
        <f t="shared" si="187"/>
        <v>32212016.834295228</v>
      </c>
      <c r="AL147" s="17">
        <f t="shared" si="187"/>
        <v>32700935.799197122</v>
      </c>
      <c r="AM147" s="17">
        <f t="shared" si="187"/>
        <v>33175045.770379152</v>
      </c>
      <c r="AN147" s="17">
        <f t="shared" si="187"/>
        <v>33633550.735472918</v>
      </c>
      <c r="AO147" s="17">
        <f t="shared" si="187"/>
        <v>34075640.303821489</v>
      </c>
      <c r="AP147" s="17">
        <f t="shared" si="187"/>
        <v>34500486.458311148</v>
      </c>
      <c r="AQ147" s="17">
        <f t="shared" si="187"/>
        <v>34907239.198022716</v>
      </c>
      <c r="AR147" s="17">
        <f t="shared" si="187"/>
        <v>35295020.720272943</v>
      </c>
      <c r="AS147" s="17">
        <f t="shared" si="187"/>
        <v>35662917.655113421</v>
      </c>
      <c r="AT147" s="17">
        <f t="shared" si="187"/>
        <v>36009970.666104794</v>
      </c>
      <c r="AU147" s="17">
        <f t="shared" si="187"/>
        <v>36335160.432320356</v>
      </c>
      <c r="AV147" s="17">
        <f t="shared" si="187"/>
        <v>36637388.568279862</v>
      </c>
      <c r="AW147" s="17">
        <f t="shared" si="187"/>
        <v>36915451.318405345</v>
      </c>
      <c r="AX147" s="17">
        <f t="shared" si="187"/>
        <v>37168002.69932653</v>
      </c>
      <c r="AY147" s="17">
        <f t="shared" si="187"/>
        <v>37393501.824579582</v>
      </c>
      <c r="AZ147" s="17">
        <f t="shared" si="187"/>
        <v>37590135.797400899</v>
      </c>
      <c r="BA147" s="17">
        <f t="shared" si="187"/>
        <v>37755703.529373258</v>
      </c>
      <c r="BB147" s="17">
        <f t="shared" si="187"/>
        <v>37887434.456503801</v>
      </c>
      <c r="BC147" s="17">
        <f t="shared" si="187"/>
        <v>37981693.351893179</v>
      </c>
      <c r="BD147" s="17">
        <f t="shared" si="187"/>
        <v>38033473.636014581</v>
      </c>
      <c r="BE147" s="17">
        <f t="shared" si="187"/>
        <v>38035467.723171756</v>
      </c>
      <c r="BF147" s="17">
        <f t="shared" si="187"/>
        <v>37976206.900168151</v>
      </c>
      <c r="BG147" s="17">
        <f t="shared" si="187"/>
        <v>37835875.105384722</v>
      </c>
      <c r="BH147" s="17">
        <f t="shared" si="187"/>
        <v>37575144.507397942</v>
      </c>
      <c r="BI147" s="17">
        <f t="shared" si="187"/>
        <v>37096098.436425261</v>
      </c>
      <c r="BJ147" s="17">
        <f t="shared" si="187"/>
        <v>36257086.127177157</v>
      </c>
    </row>
    <row r="148" spans="2:62" s="6" customFormat="1">
      <c r="B148" s="18" t="s">
        <v>323</v>
      </c>
      <c r="C148" s="6" t="s">
        <v>326</v>
      </c>
      <c r="K148" s="21"/>
      <c r="AB148" s="20">
        <f>AB147/AB$122</f>
        <v>9.0708423377921524E-2</v>
      </c>
      <c r="AC148" s="20">
        <f t="shared" ref="AC148:BJ148" si="188">AC147/AC$122</f>
        <v>0.11520653159674908</v>
      </c>
      <c r="AD148" s="20">
        <f t="shared" si="188"/>
        <v>0.13567095878491273</v>
      </c>
      <c r="AE148" s="20">
        <f t="shared" si="188"/>
        <v>0.16720585503205176</v>
      </c>
      <c r="AF148" s="20">
        <f t="shared" si="188"/>
        <v>0.19709627101968108</v>
      </c>
      <c r="AG148" s="20">
        <f t="shared" si="188"/>
        <v>0.22565503434174974</v>
      </c>
      <c r="AH148" s="20">
        <f t="shared" si="188"/>
        <v>0.22652591613959991</v>
      </c>
      <c r="AI148" s="20">
        <f t="shared" si="188"/>
        <v>0.22733926039926938</v>
      </c>
      <c r="AJ148" s="20">
        <f t="shared" si="188"/>
        <v>0.22809574077569753</v>
      </c>
      <c r="AK148" s="20">
        <f t="shared" si="188"/>
        <v>0.22879587863813958</v>
      </c>
      <c r="AL148" s="20">
        <f t="shared" si="188"/>
        <v>0.22944003423173054</v>
      </c>
      <c r="AM148" s="20">
        <f t="shared" si="188"/>
        <v>0.23002839519364424</v>
      </c>
      <c r="AN148" s="20">
        <f t="shared" si="188"/>
        <v>0.23056096179565197</v>
      </c>
      <c r="AO148" s="20">
        <f t="shared" si="188"/>
        <v>0.23103752808180392</v>
      </c>
      <c r="AP148" s="20">
        <f t="shared" si="188"/>
        <v>0.23145765778989158</v>
      </c>
      <c r="AQ148" s="20">
        <f t="shared" si="188"/>
        <v>0.23182065355361406</v>
      </c>
      <c r="AR148" s="20">
        <f t="shared" si="188"/>
        <v>0.23212551732611805</v>
      </c>
      <c r="AS148" s="20">
        <f t="shared" si="188"/>
        <v>0.23237089916252768</v>
      </c>
      <c r="AT148" s="20">
        <f t="shared" si="188"/>
        <v>0.23255503031862709</v>
      </c>
      <c r="AU148" s="20">
        <f t="shared" si="188"/>
        <v>0.23267563485274831</v>
      </c>
      <c r="AV148" s="20">
        <f t="shared" si="188"/>
        <v>0.23272981120440672</v>
      </c>
      <c r="AW148" s="20">
        <f t="shared" si="188"/>
        <v>0.23271387095997159</v>
      </c>
      <c r="AX148" s="20">
        <f t="shared" si="188"/>
        <v>0.23262311512983658</v>
      </c>
      <c r="AY148" s="20">
        <f t="shared" si="188"/>
        <v>0.23245151678645976</v>
      </c>
      <c r="AZ148" s="20">
        <f t="shared" si="188"/>
        <v>0.23219125909350449</v>
      </c>
      <c r="BA148" s="20">
        <f t="shared" si="188"/>
        <v>0.23183204208367866</v>
      </c>
      <c r="BB148" s="20">
        <f t="shared" si="188"/>
        <v>0.23136000416285171</v>
      </c>
      <c r="BC148" s="20">
        <f t="shared" si="188"/>
        <v>0.23075596955824149</v>
      </c>
      <c r="BD148" s="20">
        <f t="shared" si="188"/>
        <v>0.22999244415157935</v>
      </c>
      <c r="BE148" s="20">
        <f t="shared" si="188"/>
        <v>0.22902810829736164</v>
      </c>
      <c r="BF148" s="20">
        <f t="shared" si="188"/>
        <v>0.22779680313061598</v>
      </c>
      <c r="BG148" s="20">
        <f t="shared" si="188"/>
        <v>0.22618275014470415</v>
      </c>
      <c r="BH148" s="20">
        <f t="shared" si="188"/>
        <v>0.22395446716995879</v>
      </c>
      <c r="BI148" s="20">
        <f t="shared" si="188"/>
        <v>0.22053344870148142</v>
      </c>
      <c r="BJ148" s="20">
        <f t="shared" si="188"/>
        <v>0.21508501816091316</v>
      </c>
    </row>
    <row r="149" spans="2:62" s="6" customFormat="1">
      <c r="B149" s="18"/>
      <c r="K149" s="21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</row>
    <row r="150" spans="2:62">
      <c r="B150" s="4" t="s">
        <v>310</v>
      </c>
    </row>
    <row r="152" spans="2:62">
      <c r="B152" s="16" t="s">
        <v>300</v>
      </c>
      <c r="C152" t="s">
        <v>309</v>
      </c>
      <c r="L152" s="1">
        <f t="shared" ref="L152:L153" si="189">SUM(AB152:BJ152)</f>
        <v>2336966848.8476443</v>
      </c>
      <c r="AB152" s="1">
        <f>AB138</f>
        <v>25008056.494878542</v>
      </c>
      <c r="AC152" s="1">
        <f t="shared" ref="AC152:BJ152" si="190">AC138</f>
        <v>31629160.85083146</v>
      </c>
      <c r="AD152" s="1">
        <f t="shared" si="190"/>
        <v>38493193.247920208</v>
      </c>
      <c r="AE152" s="1">
        <f t="shared" si="190"/>
        <v>45602265.57106401</v>
      </c>
      <c r="AF152" s="1">
        <f t="shared" si="190"/>
        <v>52957696.854840189</v>
      </c>
      <c r="AG152" s="1">
        <f t="shared" si="190"/>
        <v>60560063.88934353</v>
      </c>
      <c r="AH152" s="1">
        <f t="shared" si="190"/>
        <v>61502861.227601029</v>
      </c>
      <c r="AI152" s="1">
        <f t="shared" si="190"/>
        <v>62431349.218385741</v>
      </c>
      <c r="AJ152" s="1">
        <f t="shared" si="190"/>
        <v>63344531.371711947</v>
      </c>
      <c r="AK152" s="1">
        <f t="shared" si="190"/>
        <v>64241416.26611536</v>
      </c>
      <c r="AL152" s="1">
        <f t="shared" si="190"/>
        <v>65121019.307082459</v>
      </c>
      <c r="AM152" s="1">
        <f t="shared" si="190"/>
        <v>65982364.496428169</v>
      </c>
      <c r="AN152" s="1">
        <f t="shared" si="190"/>
        <v>66824486.208270431</v>
      </c>
      <c r="AO152" s="1">
        <f t="shared" si="190"/>
        <v>67646430.967164606</v>
      </c>
      <c r="AP152" s="1">
        <f t="shared" si="190"/>
        <v>68447259.223895207</v>
      </c>
      <c r="AQ152" s="1">
        <f t="shared" si="190"/>
        <v>69226047.124365553</v>
      </c>
      <c r="AR152" s="1">
        <f t="shared" si="190"/>
        <v>69981888.266988784</v>
      </c>
      <c r="AS152" s="1">
        <f t="shared" si="190"/>
        <v>70713895.443957239</v>
      </c>
      <c r="AT152" s="1">
        <f t="shared" si="190"/>
        <v>71421202.361758694</v>
      </c>
      <c r="AU152" s="1">
        <f t="shared" si="190"/>
        <v>72102965.33631584</v>
      </c>
      <c r="AV152" s="1">
        <f t="shared" si="190"/>
        <v>72758364.958145335</v>
      </c>
      <c r="AW152" s="1">
        <f t="shared" si="190"/>
        <v>73386607.722973734</v>
      </c>
      <c r="AX152" s="1">
        <f t="shared" si="190"/>
        <v>73986927.623298898</v>
      </c>
      <c r="AY152" s="1">
        <f t="shared" si="190"/>
        <v>74558587.696459144</v>
      </c>
      <c r="AZ152" s="1">
        <f t="shared" si="190"/>
        <v>75100881.5248546</v>
      </c>
      <c r="BA152" s="1">
        <f t="shared" si="190"/>
        <v>75613134.684069693</v>
      </c>
      <c r="BB152" s="1">
        <f t="shared" si="190"/>
        <v>76094706.13476108</v>
      </c>
      <c r="BC152" s="1">
        <f t="shared" si="190"/>
        <v>76544989.554308087</v>
      </c>
      <c r="BD152" s="1">
        <f t="shared" si="190"/>
        <v>76963414.604369283</v>
      </c>
      <c r="BE152" s="1">
        <f t="shared" si="190"/>
        <v>77349448.130650103</v>
      </c>
      <c r="BF152" s="1">
        <f t="shared" si="190"/>
        <v>77702595.291360572</v>
      </c>
      <c r="BG152" s="1">
        <f t="shared" si="190"/>
        <v>78022400.611032337</v>
      </c>
      <c r="BH152" s="1">
        <f t="shared" si="190"/>
        <v>78308448.956561357</v>
      </c>
      <c r="BI152" s="1">
        <f t="shared" si="190"/>
        <v>78560366.432559952</v>
      </c>
      <c r="BJ152" s="1">
        <f t="shared" si="190"/>
        <v>78777821.193320975</v>
      </c>
    </row>
    <row r="153" spans="2:62">
      <c r="B153" s="16" t="s">
        <v>303</v>
      </c>
      <c r="C153" t="s">
        <v>311</v>
      </c>
      <c r="L153" s="1">
        <f t="shared" si="189"/>
        <v>-591526006.84867609</v>
      </c>
      <c r="AB153" s="1">
        <f>AB145</f>
        <v>-4961812.324287354</v>
      </c>
      <c r="AC153" s="1">
        <f t="shared" ref="AC153:BJ153" si="191">AC145</f>
        <v>-6611062.7400766099</v>
      </c>
      <c r="AD153" s="1">
        <f t="shared" si="191"/>
        <v>-8158486.3746415805</v>
      </c>
      <c r="AE153" s="1">
        <f t="shared" si="191"/>
        <v>-10525509.026297627</v>
      </c>
      <c r="AF153" s="1">
        <f t="shared" si="191"/>
        <v>-12974534.340318196</v>
      </c>
      <c r="AG153" s="1">
        <f t="shared" si="191"/>
        <v>-15518313.430708619</v>
      </c>
      <c r="AH153" s="1">
        <f t="shared" si="191"/>
        <v>-15796707.174292952</v>
      </c>
      <c r="AI153" s="1">
        <f t="shared" si="191"/>
        <v>-16069058.261090027</v>
      </c>
      <c r="AJ153" s="1">
        <f t="shared" si="191"/>
        <v>-16334976.951756131</v>
      </c>
      <c r="AK153" s="1">
        <f t="shared" si="191"/>
        <v>-16594069.278273301</v>
      </c>
      <c r="AL153" s="1">
        <f t="shared" si="191"/>
        <v>-16845936.623828821</v>
      </c>
      <c r="AM153" s="1">
        <f t="shared" si="191"/>
        <v>-17090175.093831684</v>
      </c>
      <c r="AN153" s="1">
        <f t="shared" si="191"/>
        <v>-17326374.621304233</v>
      </c>
      <c r="AO153" s="1">
        <f t="shared" si="191"/>
        <v>-17554117.732271682</v>
      </c>
      <c r="AP153" s="1">
        <f t="shared" si="191"/>
        <v>-17772977.872463323</v>
      </c>
      <c r="AQ153" s="1">
        <f t="shared" si="191"/>
        <v>-17982517.162617765</v>
      </c>
      <c r="AR153" s="1">
        <f t="shared" si="191"/>
        <v>-18182283.40135273</v>
      </c>
      <c r="AS153" s="1">
        <f t="shared" si="191"/>
        <v>-18371806.064755403</v>
      </c>
      <c r="AT153" s="1">
        <f t="shared" si="191"/>
        <v>-18550590.949205499</v>
      </c>
      <c r="AU153" s="1">
        <f t="shared" si="191"/>
        <v>-18718112.949983217</v>
      </c>
      <c r="AV153" s="1">
        <f t="shared" si="191"/>
        <v>-18873806.232144173</v>
      </c>
      <c r="AW153" s="1">
        <f t="shared" si="191"/>
        <v>-19017050.67917851</v>
      </c>
      <c r="AX153" s="1">
        <f t="shared" si="191"/>
        <v>-19147152.905713674</v>
      </c>
      <c r="AY153" s="1">
        <f t="shared" si="191"/>
        <v>-19263319.121753115</v>
      </c>
      <c r="AZ153" s="1">
        <f t="shared" si="191"/>
        <v>-19364615.410782285</v>
      </c>
      <c r="BA153" s="1">
        <f t="shared" si="191"/>
        <v>-19449907.878768042</v>
      </c>
      <c r="BB153" s="1">
        <f t="shared" si="191"/>
        <v>-19517769.26547166</v>
      </c>
      <c r="BC153" s="1">
        <f t="shared" si="191"/>
        <v>-19566326.878248006</v>
      </c>
      <c r="BD153" s="1">
        <f t="shared" si="191"/>
        <v>-19593001.570068121</v>
      </c>
      <c r="BE153" s="1">
        <f t="shared" si="191"/>
        <v>-19594028.827088479</v>
      </c>
      <c r="BF153" s="1">
        <f t="shared" si="191"/>
        <v>-19563500.524329048</v>
      </c>
      <c r="BG153" s="1">
        <f t="shared" si="191"/>
        <v>-19491208.387622435</v>
      </c>
      <c r="BH153" s="1">
        <f t="shared" si="191"/>
        <v>-19356892.625023186</v>
      </c>
      <c r="BI153" s="1">
        <f t="shared" si="191"/>
        <v>-19110111.31573423</v>
      </c>
      <c r="BJ153" s="1">
        <f t="shared" si="191"/>
        <v>-18677892.853394292</v>
      </c>
    </row>
    <row r="154" spans="2:62" s="6" customFormat="1">
      <c r="B154" s="18" t="s">
        <v>300</v>
      </c>
      <c r="C154" s="6" t="s">
        <v>312</v>
      </c>
      <c r="K154" s="21"/>
      <c r="L154" s="17">
        <f>L152+L153</f>
        <v>1745440841.9989681</v>
      </c>
      <c r="AB154" s="17">
        <f>AB152+AB153</f>
        <v>20046244.170591187</v>
      </c>
      <c r="AC154" s="17">
        <f t="shared" ref="AC154:BJ154" si="192">AC152+AC153</f>
        <v>25018098.110754851</v>
      </c>
      <c r="AD154" s="17">
        <f t="shared" si="192"/>
        <v>30334706.873278625</v>
      </c>
      <c r="AE154" s="17">
        <f t="shared" si="192"/>
        <v>35076756.544766381</v>
      </c>
      <c r="AF154" s="17">
        <f t="shared" si="192"/>
        <v>39983162.514521994</v>
      </c>
      <c r="AG154" s="17">
        <f t="shared" si="192"/>
        <v>45041750.458634913</v>
      </c>
      <c r="AH154" s="17">
        <f t="shared" si="192"/>
        <v>45706154.053308077</v>
      </c>
      <c r="AI154" s="17">
        <f t="shared" si="192"/>
        <v>46362290.957295716</v>
      </c>
      <c r="AJ154" s="17">
        <f t="shared" si="192"/>
        <v>47009554.41995582</v>
      </c>
      <c r="AK154" s="17">
        <f t="shared" si="192"/>
        <v>47647346.987842061</v>
      </c>
      <c r="AL154" s="17">
        <f t="shared" si="192"/>
        <v>48275082.683253638</v>
      </c>
      <c r="AM154" s="17">
        <f t="shared" si="192"/>
        <v>48892189.402596489</v>
      </c>
      <c r="AN154" s="17">
        <f t="shared" si="192"/>
        <v>49498111.586966202</v>
      </c>
      <c r="AO154" s="17">
        <f t="shared" si="192"/>
        <v>50092313.23489292</v>
      </c>
      <c r="AP154" s="17">
        <f t="shared" si="192"/>
        <v>50674281.351431884</v>
      </c>
      <c r="AQ154" s="17">
        <f t="shared" si="192"/>
        <v>51243529.961747788</v>
      </c>
      <c r="AR154" s="17">
        <f t="shared" si="192"/>
        <v>51799604.865636051</v>
      </c>
      <c r="AS154" s="17">
        <f t="shared" si="192"/>
        <v>52342089.379201837</v>
      </c>
      <c r="AT154" s="17">
        <f t="shared" si="192"/>
        <v>52870611.412553191</v>
      </c>
      <c r="AU154" s="17">
        <f t="shared" si="192"/>
        <v>53384852.386332624</v>
      </c>
      <c r="AV154" s="17">
        <f t="shared" si="192"/>
        <v>53884558.726001158</v>
      </c>
      <c r="AW154" s="17">
        <f t="shared" si="192"/>
        <v>54369557.043795228</v>
      </c>
      <c r="AX154" s="17">
        <f t="shared" si="192"/>
        <v>54839774.717585221</v>
      </c>
      <c r="AY154" s="17">
        <f t="shared" si="192"/>
        <v>55295268.574706033</v>
      </c>
      <c r="AZ154" s="17">
        <f t="shared" si="192"/>
        <v>55736266.114072315</v>
      </c>
      <c r="BA154" s="17">
        <f t="shared" si="192"/>
        <v>56163226.805301651</v>
      </c>
      <c r="BB154" s="17">
        <f t="shared" si="192"/>
        <v>56576936.869289421</v>
      </c>
      <c r="BC154" s="17">
        <f t="shared" si="192"/>
        <v>56978662.676060081</v>
      </c>
      <c r="BD154" s="17">
        <f t="shared" si="192"/>
        <v>57370413.034301162</v>
      </c>
      <c r="BE154" s="17">
        <f t="shared" si="192"/>
        <v>57755419.303561628</v>
      </c>
      <c r="BF154" s="17">
        <f t="shared" si="192"/>
        <v>58139094.767031521</v>
      </c>
      <c r="BG154" s="17">
        <f t="shared" si="192"/>
        <v>58531192.223409906</v>
      </c>
      <c r="BH154" s="17">
        <f t="shared" si="192"/>
        <v>58951556.331538171</v>
      </c>
      <c r="BI154" s="17">
        <f t="shared" si="192"/>
        <v>59450255.116825722</v>
      </c>
      <c r="BJ154" s="17">
        <f t="shared" si="192"/>
        <v>60099928.339926682</v>
      </c>
    </row>
    <row r="156" spans="2:62">
      <c r="C156" t="s">
        <v>313</v>
      </c>
      <c r="F156" s="12">
        <f>$F$175</f>
        <v>7.8424999999999995E-2</v>
      </c>
      <c r="G156" s="1">
        <f>NPV(F156,AB154:BJ154)</f>
        <v>512944956.70478189</v>
      </c>
    </row>
    <row r="157" spans="2:62">
      <c r="C157" t="s">
        <v>313</v>
      </c>
      <c r="F157" s="12">
        <f>F176</f>
        <v>9.5050563333333338E-2</v>
      </c>
      <c r="G157" s="1">
        <f>NPV(F157,AB154:BJ154)</f>
        <v>424216327.54411393</v>
      </c>
    </row>
    <row r="158" spans="2:62">
      <c r="F158" s="12"/>
      <c r="AB158" s="48">
        <f t="shared" ref="AB158:BI158" si="193">-AB159</f>
        <v>14507179.232344907</v>
      </c>
      <c r="AC158" s="48">
        <f t="shared" si="193"/>
        <v>60192506.52347371</v>
      </c>
      <c r="AD158" s="48">
        <f t="shared" si="193"/>
        <v>76321951.631446183</v>
      </c>
      <c r="AE158" s="48">
        <f t="shared" si="193"/>
        <v>4711711.8317973036</v>
      </c>
      <c r="AF158" s="48">
        <f t="shared" si="193"/>
        <v>4724885.2834214922</v>
      </c>
      <c r="AG158" s="48">
        <f t="shared" si="193"/>
        <v>3619914.8241806021</v>
      </c>
      <c r="AH158" s="48">
        <f t="shared" si="193"/>
        <v>3595774.091980326</v>
      </c>
      <c r="AI158" s="48">
        <f t="shared" si="193"/>
        <v>3568750.7116243732</v>
      </c>
      <c r="AJ158" s="48">
        <f t="shared" si="193"/>
        <v>3538845.6457346263</v>
      </c>
      <c r="AK158" s="48">
        <f t="shared" si="193"/>
        <v>3506064.6384700323</v>
      </c>
      <c r="AL158" s="48">
        <f t="shared" si="193"/>
        <v>3470418.2627420011</v>
      </c>
      <c r="AM158" s="48">
        <f t="shared" si="193"/>
        <v>3431921.9558595484</v>
      </c>
      <c r="AN158" s="48">
        <f t="shared" si="193"/>
        <v>3390596.0433468418</v>
      </c>
      <c r="AO158" s="48">
        <f t="shared" si="193"/>
        <v>3346465.7507192609</v>
      </c>
      <c r="AP158" s="48">
        <f t="shared" si="193"/>
        <v>3299561.2030354366</v>
      </c>
      <c r="AQ158" s="48">
        <f t="shared" si="193"/>
        <v>3249917.4120866624</v>
      </c>
      <c r="AR158" s="48">
        <f t="shared" si="193"/>
        <v>3197574.2511228477</v>
      </c>
      <c r="AS158" s="48">
        <f t="shared" si="193"/>
        <v>3142576.4170554411</v>
      </c>
      <c r="AT158" s="48">
        <f t="shared" si="193"/>
        <v>3084973.3801197903</v>
      </c>
      <c r="AU158" s="48">
        <f t="shared" si="193"/>
        <v>3024819.3210218335</v>
      </c>
      <c r="AV158" s="48">
        <f t="shared" si="193"/>
        <v>2962173.0556353256</v>
      </c>
      <c r="AW158" s="48">
        <f t="shared" si="193"/>
        <v>2897097.9473602851</v>
      </c>
      <c r="AX158" s="48">
        <f t="shared" si="193"/>
        <v>2829661.8072944544</v>
      </c>
      <c r="AY158" s="48">
        <f t="shared" si="193"/>
        <v>2759936.7824131381</v>
      </c>
      <c r="AZ158" s="48">
        <f t="shared" si="193"/>
        <v>2687999.231994668</v>
      </c>
      <c r="BA158" s="48">
        <f t="shared" si="193"/>
        <v>2613929.5925697507</v>
      </c>
      <c r="BB158" s="48">
        <f t="shared" si="193"/>
        <v>2537812.2317150068</v>
      </c>
      <c r="BC158" s="48">
        <f t="shared" si="193"/>
        <v>2459735.2910502828</v>
      </c>
      <c r="BD158" s="48">
        <f t="shared" si="193"/>
        <v>2379790.5188377462</v>
      </c>
      <c r="BE158" s="48">
        <f t="shared" si="193"/>
        <v>2298073.0926197572</v>
      </c>
      <c r="BF158" s="48">
        <f t="shared" si="193"/>
        <v>2214681.4323675251</v>
      </c>
      <c r="BG158" s="48">
        <f t="shared" si="193"/>
        <v>2129717.0046471921</v>
      </c>
      <c r="BH158" s="48">
        <f t="shared" si="193"/>
        <v>2043284.1183451486</v>
      </c>
      <c r="BI158" s="48">
        <f t="shared" si="193"/>
        <v>1955489.7125204601</v>
      </c>
      <c r="BJ158" s="48">
        <f>-BJ159</f>
        <v>1488685.5323490687</v>
      </c>
    </row>
    <row r="159" spans="2:62">
      <c r="B159" s="16" t="s">
        <v>303</v>
      </c>
      <c r="C159" t="s">
        <v>314</v>
      </c>
      <c r="F159" s="12"/>
      <c r="L159" s="1">
        <f>SUM(L160:L163)</f>
        <v>-247184475.76330304</v>
      </c>
      <c r="AB159" s="1">
        <f t="shared" ref="AB159:BJ159" si="194">SUM(AB160:AB163)</f>
        <v>-14507179.232344907</v>
      </c>
      <c r="AC159" s="1">
        <f t="shared" si="194"/>
        <v>-60192506.52347371</v>
      </c>
      <c r="AD159" s="1">
        <f t="shared" si="194"/>
        <v>-76321951.631446183</v>
      </c>
      <c r="AE159" s="1">
        <f t="shared" si="194"/>
        <v>-4711711.8317973036</v>
      </c>
      <c r="AF159" s="1">
        <f t="shared" si="194"/>
        <v>-4724885.2834214922</v>
      </c>
      <c r="AG159" s="1">
        <f t="shared" si="194"/>
        <v>-3619914.8241806021</v>
      </c>
      <c r="AH159" s="1">
        <f t="shared" si="194"/>
        <v>-3595774.091980326</v>
      </c>
      <c r="AI159" s="1">
        <f t="shared" si="194"/>
        <v>-3568750.7116243732</v>
      </c>
      <c r="AJ159" s="1">
        <f t="shared" si="194"/>
        <v>-3538845.6457346263</v>
      </c>
      <c r="AK159" s="1">
        <f t="shared" si="194"/>
        <v>-3506064.6384700323</v>
      </c>
      <c r="AL159" s="1">
        <f t="shared" si="194"/>
        <v>-3470418.2627420011</v>
      </c>
      <c r="AM159" s="1">
        <f t="shared" si="194"/>
        <v>-3431921.9558595484</v>
      </c>
      <c r="AN159" s="1">
        <f t="shared" si="194"/>
        <v>-3390596.0433468418</v>
      </c>
      <c r="AO159" s="1">
        <f t="shared" si="194"/>
        <v>-3346465.7507192609</v>
      </c>
      <c r="AP159" s="1">
        <f t="shared" si="194"/>
        <v>-3299561.2030354366</v>
      </c>
      <c r="AQ159" s="1">
        <f t="shared" si="194"/>
        <v>-3249917.4120866624</v>
      </c>
      <c r="AR159" s="1">
        <f t="shared" si="194"/>
        <v>-3197574.2511228477</v>
      </c>
      <c r="AS159" s="1">
        <f t="shared" si="194"/>
        <v>-3142576.4170554411</v>
      </c>
      <c r="AT159" s="1">
        <f t="shared" si="194"/>
        <v>-3084973.3801197903</v>
      </c>
      <c r="AU159" s="1">
        <f t="shared" si="194"/>
        <v>-3024819.3210218335</v>
      </c>
      <c r="AV159" s="1">
        <f t="shared" si="194"/>
        <v>-2962173.0556353256</v>
      </c>
      <c r="AW159" s="1">
        <f t="shared" si="194"/>
        <v>-2897097.9473602851</v>
      </c>
      <c r="AX159" s="1">
        <f t="shared" si="194"/>
        <v>-2829661.8072944544</v>
      </c>
      <c r="AY159" s="1">
        <f t="shared" si="194"/>
        <v>-2759936.7824131381</v>
      </c>
      <c r="AZ159" s="1">
        <f t="shared" si="194"/>
        <v>-2687999.231994668</v>
      </c>
      <c r="BA159" s="1">
        <f t="shared" si="194"/>
        <v>-2613929.5925697507</v>
      </c>
      <c r="BB159" s="1">
        <f t="shared" si="194"/>
        <v>-2537812.2317150068</v>
      </c>
      <c r="BC159" s="1">
        <f t="shared" si="194"/>
        <v>-2459735.2910502828</v>
      </c>
      <c r="BD159" s="1">
        <f t="shared" si="194"/>
        <v>-2379790.5188377462</v>
      </c>
      <c r="BE159" s="1">
        <f t="shared" si="194"/>
        <v>-2298073.0926197572</v>
      </c>
      <c r="BF159" s="1">
        <f t="shared" si="194"/>
        <v>-2214681.4323675251</v>
      </c>
      <c r="BG159" s="1">
        <f t="shared" si="194"/>
        <v>-2129717.0046471921</v>
      </c>
      <c r="BH159" s="1">
        <f t="shared" si="194"/>
        <v>-2043284.1183451486</v>
      </c>
      <c r="BI159" s="1">
        <f t="shared" si="194"/>
        <v>-1955489.7125204601</v>
      </c>
      <c r="BJ159" s="1">
        <f t="shared" si="194"/>
        <v>-1488685.5323490687</v>
      </c>
    </row>
    <row r="160" spans="2:62">
      <c r="C160" t="s">
        <v>315</v>
      </c>
      <c r="F160" s="12"/>
      <c r="K160"/>
      <c r="L160" s="1">
        <f>SUM(AB160:BJ160)</f>
        <v>-113000000</v>
      </c>
      <c r="AB160" s="1">
        <v>-1855576.54</v>
      </c>
      <c r="AC160" s="1">
        <f>-49373098.61-AB160</f>
        <v>-47517522.07</v>
      </c>
      <c r="AD160" s="1">
        <f>-113000000-AB160-AC160</f>
        <v>-63626901.389999993</v>
      </c>
      <c r="AE160" s="1">
        <v>0</v>
      </c>
      <c r="AF160" s="1">
        <f t="shared" ref="AF160:AR161" si="195">IF(AND($I160&lt;=AF$3,AF$3&lt;=$J160),$K160,0)</f>
        <v>0</v>
      </c>
      <c r="AG160" s="1">
        <f t="shared" si="195"/>
        <v>0</v>
      </c>
      <c r="AH160" s="1">
        <f t="shared" si="195"/>
        <v>0</v>
      </c>
      <c r="AI160" s="1">
        <f t="shared" si="195"/>
        <v>0</v>
      </c>
      <c r="AJ160" s="1">
        <f t="shared" si="195"/>
        <v>0</v>
      </c>
      <c r="AK160" s="1">
        <f t="shared" si="195"/>
        <v>0</v>
      </c>
      <c r="AL160" s="1">
        <f t="shared" si="195"/>
        <v>0</v>
      </c>
      <c r="AM160" s="1">
        <f t="shared" si="195"/>
        <v>0</v>
      </c>
      <c r="AN160" s="1">
        <f t="shared" si="195"/>
        <v>0</v>
      </c>
      <c r="AO160" s="1">
        <f t="shared" si="195"/>
        <v>0</v>
      </c>
      <c r="AP160" s="1">
        <f t="shared" si="195"/>
        <v>0</v>
      </c>
      <c r="AQ160" s="1">
        <f t="shared" si="195"/>
        <v>0</v>
      </c>
      <c r="AR160" s="1">
        <f t="shared" si="195"/>
        <v>0</v>
      </c>
      <c r="AS160" s="1">
        <f t="shared" ref="AS160:BH161" si="196">IF(AND($I160&lt;=AS$3,AS$3&lt;=$J160),$K160,0)</f>
        <v>0</v>
      </c>
      <c r="AT160" s="1">
        <f t="shared" si="196"/>
        <v>0</v>
      </c>
      <c r="AU160" s="1">
        <f t="shared" si="196"/>
        <v>0</v>
      </c>
      <c r="AV160" s="1">
        <f t="shared" si="196"/>
        <v>0</v>
      </c>
      <c r="AW160" s="1">
        <f t="shared" si="196"/>
        <v>0</v>
      </c>
      <c r="AX160" s="1">
        <f t="shared" si="196"/>
        <v>0</v>
      </c>
      <c r="AY160" s="1">
        <f t="shared" si="196"/>
        <v>0</v>
      </c>
      <c r="AZ160" s="1">
        <f t="shared" si="196"/>
        <v>0</v>
      </c>
      <c r="BA160" s="1">
        <f t="shared" si="196"/>
        <v>0</v>
      </c>
      <c r="BB160" s="1">
        <f t="shared" si="196"/>
        <v>0</v>
      </c>
      <c r="BC160" s="1">
        <f t="shared" si="196"/>
        <v>0</v>
      </c>
      <c r="BD160" s="1">
        <f t="shared" si="196"/>
        <v>0</v>
      </c>
      <c r="BE160" s="1">
        <f t="shared" si="196"/>
        <v>0</v>
      </c>
      <c r="BF160" s="1">
        <f t="shared" si="196"/>
        <v>0</v>
      </c>
      <c r="BG160" s="1">
        <f t="shared" si="196"/>
        <v>0</v>
      </c>
      <c r="BH160" s="1">
        <f t="shared" si="196"/>
        <v>0</v>
      </c>
      <c r="BI160" s="1">
        <f t="shared" ref="BI160:BJ161" si="197">IF(AND($I160&lt;=BI$3,BI$3&lt;=$J160),$K160,0)</f>
        <v>0</v>
      </c>
      <c r="BJ160" s="1">
        <f t="shared" si="197"/>
        <v>0</v>
      </c>
    </row>
    <row r="161" spans="2:62">
      <c r="C161" t="s">
        <v>370</v>
      </c>
      <c r="F161" s="12"/>
      <c r="K161"/>
      <c r="L161" s="1">
        <f>SUM(AB161:BJ161)</f>
        <v>-24000000</v>
      </c>
      <c r="AB161" s="1">
        <v>-8000000</v>
      </c>
      <c r="AC161" s="1">
        <v>-8000000</v>
      </c>
      <c r="AD161" s="1">
        <v>-8000000</v>
      </c>
      <c r="AE161" s="1">
        <v>0</v>
      </c>
      <c r="AF161" s="1">
        <f t="shared" si="195"/>
        <v>0</v>
      </c>
      <c r="AG161" s="1">
        <f t="shared" si="195"/>
        <v>0</v>
      </c>
      <c r="AH161" s="1">
        <f t="shared" si="195"/>
        <v>0</v>
      </c>
      <c r="AI161" s="1">
        <f t="shared" si="195"/>
        <v>0</v>
      </c>
      <c r="AJ161" s="1">
        <f t="shared" si="195"/>
        <v>0</v>
      </c>
      <c r="AK161" s="1">
        <f t="shared" si="195"/>
        <v>0</v>
      </c>
      <c r="AL161" s="1">
        <f t="shared" si="195"/>
        <v>0</v>
      </c>
      <c r="AM161" s="1">
        <f t="shared" si="195"/>
        <v>0</v>
      </c>
      <c r="AN161" s="1">
        <f t="shared" si="195"/>
        <v>0</v>
      </c>
      <c r="AO161" s="1">
        <f t="shared" si="195"/>
        <v>0</v>
      </c>
      <c r="AP161" s="1">
        <f t="shared" si="195"/>
        <v>0</v>
      </c>
      <c r="AQ161" s="1">
        <f t="shared" si="195"/>
        <v>0</v>
      </c>
      <c r="AR161" s="1">
        <f t="shared" si="195"/>
        <v>0</v>
      </c>
      <c r="AS161" s="1">
        <f t="shared" si="196"/>
        <v>0</v>
      </c>
      <c r="AT161" s="1">
        <f t="shared" si="196"/>
        <v>0</v>
      </c>
      <c r="AU161" s="1">
        <f t="shared" si="196"/>
        <v>0</v>
      </c>
      <c r="AV161" s="1">
        <f t="shared" si="196"/>
        <v>0</v>
      </c>
      <c r="AW161" s="1">
        <f t="shared" si="196"/>
        <v>0</v>
      </c>
      <c r="AX161" s="1">
        <f t="shared" si="196"/>
        <v>0</v>
      </c>
      <c r="AY161" s="1">
        <f t="shared" si="196"/>
        <v>0</v>
      </c>
      <c r="AZ161" s="1">
        <f t="shared" si="196"/>
        <v>0</v>
      </c>
      <c r="BA161" s="1">
        <f t="shared" si="196"/>
        <v>0</v>
      </c>
      <c r="BB161" s="1">
        <f t="shared" si="196"/>
        <v>0</v>
      </c>
      <c r="BC161" s="1">
        <f t="shared" si="196"/>
        <v>0</v>
      </c>
      <c r="BD161" s="1">
        <f t="shared" si="196"/>
        <v>0</v>
      </c>
      <c r="BE161" s="1">
        <f t="shared" si="196"/>
        <v>0</v>
      </c>
      <c r="BF161" s="1">
        <f t="shared" si="196"/>
        <v>0</v>
      </c>
      <c r="BG161" s="1">
        <f t="shared" si="196"/>
        <v>0</v>
      </c>
      <c r="BH161" s="1">
        <f t="shared" si="196"/>
        <v>0</v>
      </c>
      <c r="BI161" s="1">
        <f t="shared" si="197"/>
        <v>0</v>
      </c>
      <c r="BJ161" s="1">
        <f t="shared" si="197"/>
        <v>0</v>
      </c>
    </row>
    <row r="162" spans="2:62">
      <c r="C162" t="s">
        <v>371</v>
      </c>
      <c r="F162" s="12"/>
      <c r="K162" s="1">
        <v>-2000</v>
      </c>
      <c r="L162" s="1">
        <f>SUM(AB162:BJ162)</f>
        <v>-63614540.082949936</v>
      </c>
      <c r="AB162" s="1">
        <f t="shared" ref="AB162:BI162" si="198">((AC30-AB30)+(AC42-AB42))*$K162</f>
        <v>-3561693.3696253691</v>
      </c>
      <c r="AC162" s="1">
        <f t="shared" si="198"/>
        <v>-3567436.6432361566</v>
      </c>
      <c r="AD162" s="1">
        <f t="shared" si="198"/>
        <v>-3570048.4810771886</v>
      </c>
      <c r="AE162" s="1">
        <f t="shared" si="198"/>
        <v>-3569458.4498424372</v>
      </c>
      <c r="AF162" s="1">
        <f t="shared" si="198"/>
        <v>-3565600.4294979358</v>
      </c>
      <c r="AG162" s="1">
        <f t="shared" si="198"/>
        <v>-2443836.4691313328</v>
      </c>
      <c r="AH162" s="1">
        <f t="shared" si="198"/>
        <v>-2403104.9902737285</v>
      </c>
      <c r="AI162" s="1">
        <f t="shared" si="198"/>
        <v>-2359762.905098978</v>
      </c>
      <c r="AJ162" s="1">
        <f t="shared" si="198"/>
        <v>-2313828.8535393076</v>
      </c>
      <c r="AK162" s="1">
        <f t="shared" si="198"/>
        <v>-2265326.1372044361</v>
      </c>
      <c r="AL162" s="1">
        <f t="shared" si="198"/>
        <v>-2214282.7351169544</v>
      </c>
      <c r="AM162" s="1">
        <f t="shared" si="198"/>
        <v>-2160731.3077559229</v>
      </c>
      <c r="AN162" s="1">
        <f t="shared" si="198"/>
        <v>-2104709.1892300523</v>
      </c>
      <c r="AO162" s="1">
        <f t="shared" si="198"/>
        <v>-2046258.3674465714</v>
      </c>
      <c r="AP162" s="1">
        <f t="shared" si="198"/>
        <v>-1985425.4521741823</v>
      </c>
      <c r="AQ162" s="1">
        <f t="shared" si="198"/>
        <v>-1922261.6309431614</v>
      </c>
      <c r="AR162" s="1">
        <f t="shared" si="198"/>
        <v>-1856822.6127638919</v>
      </c>
      <c r="AS162" s="1">
        <f t="shared" si="198"/>
        <v>-1789168.5596865427</v>
      </c>
      <c r="AT162" s="1">
        <f t="shared" si="198"/>
        <v>-1719364.0062665509</v>
      </c>
      <c r="AU162" s="1">
        <f t="shared" si="198"/>
        <v>-1647477.767042612</v>
      </c>
      <c r="AV162" s="1">
        <f t="shared" si="198"/>
        <v>-1573582.8321745212</v>
      </c>
      <c r="AW162" s="1">
        <f t="shared" si="198"/>
        <v>-1497756.2514317543</v>
      </c>
      <c r="AX162" s="1">
        <f t="shared" si="198"/>
        <v>-1420079.0067635535</v>
      </c>
      <c r="AY162" s="1">
        <f t="shared" si="198"/>
        <v>-1340635.8737233386</v>
      </c>
      <c r="AZ162" s="1">
        <f t="shared" si="198"/>
        <v>-1259515.2720603801</v>
      </c>
      <c r="BA162" s="1">
        <f t="shared" si="198"/>
        <v>-1176809.1058305872</v>
      </c>
      <c r="BB162" s="1">
        <f t="shared" si="198"/>
        <v>-1092612.593418031</v>
      </c>
      <c r="BC162" s="1">
        <f t="shared" si="198"/>
        <v>-1007024.0878954646</v>
      </c>
      <c r="BD162" s="1">
        <f t="shared" si="198"/>
        <v>-920144.88818771497</v>
      </c>
      <c r="BE162" s="1">
        <f t="shared" si="198"/>
        <v>-832079.04153769778</v>
      </c>
      <c r="BF162" s="1">
        <f t="shared" si="198"/>
        <v>-742933.13780651079</v>
      </c>
      <c r="BG162" s="1">
        <f t="shared" si="198"/>
        <v>-652816.09617013601</v>
      </c>
      <c r="BH162" s="1">
        <f t="shared" si="198"/>
        <v>-561838.94480668823</v>
      </c>
      <c r="BI162" s="1">
        <f t="shared" si="198"/>
        <v>-470114.5941902505</v>
      </c>
      <c r="BJ162" s="1">
        <v>0</v>
      </c>
    </row>
    <row r="163" spans="2:62">
      <c r="C163" t="s">
        <v>335</v>
      </c>
      <c r="F163" s="12"/>
      <c r="I163">
        <v>5</v>
      </c>
      <c r="J163">
        <v>35</v>
      </c>
      <c r="K163" s="1">
        <f>-200/7</f>
        <v>-28.571428571428573</v>
      </c>
      <c r="L163" s="1">
        <f>SUM(AB163:BJ163)</f>
        <v>-46569935.68035309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1">
        <f>$K163*AB$42</f>
        <v>-1089909.3227195384</v>
      </c>
      <c r="AC163" s="1">
        <f t="shared" ref="AC163:BJ163" si="199">$K163*AC$42</f>
        <v>-1107547.810237556</v>
      </c>
      <c r="AD163" s="1">
        <f t="shared" si="199"/>
        <v>-1125001.7603689956</v>
      </c>
      <c r="AE163" s="1">
        <f t="shared" si="199"/>
        <v>-1142253.3819548662</v>
      </c>
      <c r="AF163" s="1">
        <f t="shared" si="199"/>
        <v>-1159284.8539235559</v>
      </c>
      <c r="AG163" s="1">
        <f t="shared" si="199"/>
        <v>-1176078.355049269</v>
      </c>
      <c r="AH163" s="1">
        <f t="shared" si="199"/>
        <v>-1192669.1017065973</v>
      </c>
      <c r="AI163" s="1">
        <f t="shared" si="199"/>
        <v>-1208987.8065253953</v>
      </c>
      <c r="AJ163" s="1">
        <f t="shared" si="199"/>
        <v>-1225016.7921953187</v>
      </c>
      <c r="AK163" s="1">
        <f t="shared" si="199"/>
        <v>-1240738.5012655964</v>
      </c>
      <c r="AL163" s="1">
        <f t="shared" si="199"/>
        <v>-1256135.5276250467</v>
      </c>
      <c r="AM163" s="1">
        <f t="shared" si="199"/>
        <v>-1271190.6481036253</v>
      </c>
      <c r="AN163" s="1">
        <f t="shared" si="199"/>
        <v>-1285886.8541167895</v>
      </c>
      <c r="AO163" s="1">
        <f t="shared" si="199"/>
        <v>-1300207.3832726895</v>
      </c>
      <c r="AP163" s="1">
        <f t="shared" si="199"/>
        <v>-1314135.7508612543</v>
      </c>
      <c r="AQ163" s="1">
        <f t="shared" si="199"/>
        <v>-1327655.7811435009</v>
      </c>
      <c r="AR163" s="1">
        <f t="shared" si="199"/>
        <v>-1340751.6383589557</v>
      </c>
      <c r="AS163" s="1">
        <f t="shared" si="199"/>
        <v>-1353407.8573688986</v>
      </c>
      <c r="AT163" s="1">
        <f t="shared" si="199"/>
        <v>-1365609.3738532395</v>
      </c>
      <c r="AU163" s="1">
        <f t="shared" si="199"/>
        <v>-1377341.5539792213</v>
      </c>
      <c r="AV163" s="1">
        <f t="shared" si="199"/>
        <v>-1388590.2234608044</v>
      </c>
      <c r="AW163" s="1">
        <f t="shared" si="199"/>
        <v>-1399341.6959285308</v>
      </c>
      <c r="AX163" s="1">
        <f t="shared" si="199"/>
        <v>-1409582.8005309012</v>
      </c>
      <c r="AY163" s="1">
        <f t="shared" si="199"/>
        <v>-1419300.9086897993</v>
      </c>
      <c r="AZ163" s="1">
        <f t="shared" si="199"/>
        <v>-1428483.9599342879</v>
      </c>
      <c r="BA163" s="1">
        <f t="shared" si="199"/>
        <v>-1437120.4867391635</v>
      </c>
      <c r="BB163" s="1">
        <f t="shared" si="199"/>
        <v>-1445199.638296976</v>
      </c>
      <c r="BC163" s="1">
        <f t="shared" si="199"/>
        <v>-1452711.2031548182</v>
      </c>
      <c r="BD163" s="1">
        <f t="shared" si="199"/>
        <v>-1459645.6306500311</v>
      </c>
      <c r="BE163" s="1">
        <f t="shared" si="199"/>
        <v>-1465994.0510820595</v>
      </c>
      <c r="BF163" s="1">
        <f t="shared" si="199"/>
        <v>-1471748.2945610143</v>
      </c>
      <c r="BG163" s="1">
        <f t="shared" si="199"/>
        <v>-1476900.9084770561</v>
      </c>
      <c r="BH163" s="1">
        <f t="shared" si="199"/>
        <v>-1481445.1735384604</v>
      </c>
      <c r="BI163" s="1">
        <f t="shared" si="199"/>
        <v>-1485375.1183302095</v>
      </c>
      <c r="BJ163" s="1">
        <f t="shared" si="199"/>
        <v>-1488685.5323490687</v>
      </c>
    </row>
    <row r="164" spans="2:62" s="6" customFormat="1">
      <c r="B164" s="18" t="s">
        <v>300</v>
      </c>
      <c r="C164" s="6" t="s">
        <v>316</v>
      </c>
      <c r="F164" s="21"/>
      <c r="K164" s="21"/>
      <c r="L164" s="17">
        <f>L154+L159</f>
        <v>1498256366.2356651</v>
      </c>
      <c r="AA164" s="6" t="str">
        <f t="shared" ref="AA164:AA165" si="200">C164</f>
        <v>Fluxo de Caixa, após atividades de investimentos</v>
      </c>
      <c r="AB164" s="17">
        <f t="shared" ref="AB164:BJ164" si="201">AB154+AB159</f>
        <v>5539064.93824628</v>
      </c>
      <c r="AC164" s="17">
        <f t="shared" si="201"/>
        <v>-35174408.412718862</v>
      </c>
      <c r="AD164" s="17">
        <f t="shared" si="201"/>
        <v>-45987244.758167557</v>
      </c>
      <c r="AE164" s="17">
        <f t="shared" si="201"/>
        <v>30365044.71296908</v>
      </c>
      <c r="AF164" s="17">
        <f t="shared" si="201"/>
        <v>35258277.2311005</v>
      </c>
      <c r="AG164" s="17">
        <f t="shared" si="201"/>
        <v>41421835.63445431</v>
      </c>
      <c r="AH164" s="17">
        <f t="shared" si="201"/>
        <v>42110379.961327754</v>
      </c>
      <c r="AI164" s="17">
        <f t="shared" si="201"/>
        <v>42793540.245671339</v>
      </c>
      <c r="AJ164" s="17">
        <f t="shared" si="201"/>
        <v>43470708.774221197</v>
      </c>
      <c r="AK164" s="17">
        <f t="shared" si="201"/>
        <v>44141282.349372029</v>
      </c>
      <c r="AL164" s="17">
        <f t="shared" si="201"/>
        <v>44804664.420511641</v>
      </c>
      <c r="AM164" s="17">
        <f t="shared" si="201"/>
        <v>45460267.446736939</v>
      </c>
      <c r="AN164" s="17">
        <f t="shared" si="201"/>
        <v>46107515.543619357</v>
      </c>
      <c r="AO164" s="17">
        <f t="shared" si="201"/>
        <v>46745847.484173656</v>
      </c>
      <c r="AP164" s="17">
        <f t="shared" si="201"/>
        <v>47374720.148396447</v>
      </c>
      <c r="AQ164" s="17">
        <f t="shared" si="201"/>
        <v>47993612.549661122</v>
      </c>
      <c r="AR164" s="17">
        <f t="shared" si="201"/>
        <v>48602030.614513204</v>
      </c>
      <c r="AS164" s="17">
        <f t="shared" si="201"/>
        <v>49199512.962146394</v>
      </c>
      <c r="AT164" s="17">
        <f t="shared" si="201"/>
        <v>49785638.032433398</v>
      </c>
      <c r="AU164" s="17">
        <f t="shared" si="201"/>
        <v>50360033.065310791</v>
      </c>
      <c r="AV164" s="17">
        <f t="shared" si="201"/>
        <v>50922385.670365833</v>
      </c>
      <c r="AW164" s="17">
        <f t="shared" si="201"/>
        <v>51472459.096434943</v>
      </c>
      <c r="AX164" s="17">
        <f t="shared" si="201"/>
        <v>52010112.910290763</v>
      </c>
      <c r="AY164" s="17">
        <f t="shared" si="201"/>
        <v>52535331.792292893</v>
      </c>
      <c r="AZ164" s="17">
        <f t="shared" si="201"/>
        <v>53048266.882077649</v>
      </c>
      <c r="BA164" s="17">
        <f t="shared" si="201"/>
        <v>53549297.212731898</v>
      </c>
      <c r="BB164" s="17">
        <f t="shared" si="201"/>
        <v>54039124.637574412</v>
      </c>
      <c r="BC164" s="17">
        <f t="shared" si="201"/>
        <v>54518927.385009795</v>
      </c>
      <c r="BD164" s="17">
        <f t="shared" si="201"/>
        <v>54990622.515463412</v>
      </c>
      <c r="BE164" s="17">
        <f t="shared" si="201"/>
        <v>55457346.210941873</v>
      </c>
      <c r="BF164" s="17">
        <f t="shared" si="201"/>
        <v>55924413.334663995</v>
      </c>
      <c r="BG164" s="17">
        <f t="shared" si="201"/>
        <v>56401475.218762711</v>
      </c>
      <c r="BH164" s="17">
        <f t="shared" si="201"/>
        <v>56908272.213193022</v>
      </c>
      <c r="BI164" s="17">
        <f t="shared" si="201"/>
        <v>57494765.404305264</v>
      </c>
      <c r="BJ164" s="17">
        <f t="shared" si="201"/>
        <v>58611242.80757761</v>
      </c>
    </row>
    <row r="165" spans="2:62" s="6" customFormat="1">
      <c r="B165" s="18"/>
      <c r="C165" s="6" t="s">
        <v>366</v>
      </c>
      <c r="F165" s="21"/>
      <c r="K165" s="21"/>
      <c r="L165" s="17"/>
      <c r="AA165" s="6" t="str">
        <f t="shared" si="200"/>
        <v>Fluxo de Caixa, após atividades de investimentos - Acumulado</v>
      </c>
      <c r="AB165" s="17">
        <f>SUM($AB164:AB164)</f>
        <v>5539064.93824628</v>
      </c>
      <c r="AC165" s="17">
        <f>SUM($AB164:AC164)</f>
        <v>-29635343.474472582</v>
      </c>
      <c r="AD165" s="17">
        <f>SUM($AB164:AD164)</f>
        <v>-75622588.232640147</v>
      </c>
      <c r="AE165" s="17">
        <f>SUM($AB164:AE164)</f>
        <v>-45257543.519671068</v>
      </c>
      <c r="AF165" s="17">
        <f>SUM($AB164:AF164)</f>
        <v>-9999266.288570568</v>
      </c>
      <c r="AG165" s="17">
        <f>SUM($AB164:AG164)</f>
        <v>31422569.345883742</v>
      </c>
      <c r="AH165" s="17">
        <f>SUM($AB164:AH164)</f>
        <v>73532949.307211488</v>
      </c>
      <c r="AI165" s="17">
        <f>SUM($AB164:AI164)</f>
        <v>116326489.55288282</v>
      </c>
      <c r="AJ165" s="17">
        <f>SUM($AB164:AJ164)</f>
        <v>159797198.32710403</v>
      </c>
      <c r="AK165" s="17">
        <f>SUM($AB164:AK164)</f>
        <v>203938480.67647606</v>
      </c>
      <c r="AL165" s="17">
        <f>SUM($AB164:AL164)</f>
        <v>248743145.09698769</v>
      </c>
      <c r="AM165" s="17">
        <f>SUM($AB164:AM164)</f>
        <v>294203412.54372466</v>
      </c>
      <c r="AN165" s="17">
        <f>SUM($AB164:AN164)</f>
        <v>340310928.08734399</v>
      </c>
      <c r="AO165" s="17">
        <f>SUM($AB164:AO164)</f>
        <v>387056775.57151765</v>
      </c>
      <c r="AP165" s="17">
        <f>SUM($AB164:AP164)</f>
        <v>434431495.71991408</v>
      </c>
      <c r="AQ165" s="17">
        <f>SUM($AB164:AQ164)</f>
        <v>482425108.26957518</v>
      </c>
      <c r="AR165" s="17">
        <f>SUM($AB164:AR164)</f>
        <v>531027138.8840884</v>
      </c>
      <c r="AS165" s="17">
        <f>SUM($AB164:AS164)</f>
        <v>580226651.8462348</v>
      </c>
      <c r="AT165" s="17">
        <f>SUM($AB164:AT164)</f>
        <v>630012289.87866819</v>
      </c>
      <c r="AU165" s="17">
        <f>SUM($AB164:AU164)</f>
        <v>680372322.94397902</v>
      </c>
      <c r="AV165" s="17">
        <f>SUM($AB164:AV164)</f>
        <v>731294708.61434484</v>
      </c>
      <c r="AW165" s="17">
        <f>SUM($AB164:AW164)</f>
        <v>782767167.71077979</v>
      </c>
      <c r="AX165" s="17">
        <f>SUM($AB164:AX164)</f>
        <v>834777280.6210705</v>
      </c>
      <c r="AY165" s="17">
        <f>SUM($AB164:AY164)</f>
        <v>887312612.41336346</v>
      </c>
      <c r="AZ165" s="17">
        <f>SUM($AB164:AZ164)</f>
        <v>940360879.29544115</v>
      </c>
      <c r="BA165" s="17">
        <f>SUM($AB164:BA164)</f>
        <v>993910176.50817299</v>
      </c>
      <c r="BB165" s="17">
        <f>SUM($AB164:BB164)</f>
        <v>1047949301.1457474</v>
      </c>
      <c r="BC165" s="17">
        <f>SUM($AB164:BC164)</f>
        <v>1102468228.5307572</v>
      </c>
      <c r="BD165" s="17">
        <f>SUM($AB164:BD164)</f>
        <v>1157458851.0462205</v>
      </c>
      <c r="BE165" s="17">
        <f>SUM($AB164:BE164)</f>
        <v>1212916197.2571623</v>
      </c>
      <c r="BF165" s="17">
        <f>SUM($AB164:BF164)</f>
        <v>1268840610.5918264</v>
      </c>
      <c r="BG165" s="17">
        <f>SUM($AB164:BG164)</f>
        <v>1325242085.8105891</v>
      </c>
      <c r="BH165" s="17">
        <f>SUM($AB164:BH164)</f>
        <v>1382150358.023782</v>
      </c>
      <c r="BI165" s="17">
        <f>SUM($AB164:BI164)</f>
        <v>1439645123.4280872</v>
      </c>
      <c r="BJ165" s="17">
        <f>SUM($AB164:BJ164)</f>
        <v>1498256366.2356648</v>
      </c>
    </row>
    <row r="166" spans="2:62">
      <c r="F166" s="12"/>
    </row>
    <row r="167" spans="2:62">
      <c r="C167" t="s">
        <v>313</v>
      </c>
      <c r="F167" s="12">
        <f>$F$175</f>
        <v>7.8424999999999995E-2</v>
      </c>
      <c r="G167" s="1">
        <f>NPV(F167,AB164:BJ164)</f>
        <v>355043041.79024702</v>
      </c>
      <c r="AB167" s="10"/>
    </row>
    <row r="168" spans="2:62">
      <c r="C168" t="s">
        <v>313</v>
      </c>
      <c r="F168" s="12">
        <f>F176</f>
        <v>9.5050563333333338E-2</v>
      </c>
      <c r="G168" s="1">
        <f>NPV(F168,AB164:BJ164)</f>
        <v>276052372.1155169</v>
      </c>
    </row>
    <row r="170" spans="2:62">
      <c r="B170" s="16" t="s">
        <v>303</v>
      </c>
      <c r="C170" t="s">
        <v>362</v>
      </c>
      <c r="F170" s="12"/>
      <c r="L170" s="1">
        <f>SUM(L171:L171)</f>
        <v>-257745069.82511309</v>
      </c>
      <c r="AB170" s="1">
        <f t="shared" ref="AB170:BJ170" si="202">SUM(AB171:AB171)</f>
        <v>-36820724.260730438</v>
      </c>
      <c r="AC170" s="1">
        <f t="shared" si="202"/>
        <v>-36820724.260730438</v>
      </c>
      <c r="AD170" s="1">
        <f t="shared" si="202"/>
        <v>-36820724.260730438</v>
      </c>
      <c r="AE170" s="1">
        <f t="shared" si="202"/>
        <v>-36820724.260730438</v>
      </c>
      <c r="AF170" s="1">
        <f t="shared" si="202"/>
        <v>-36820724.260730438</v>
      </c>
      <c r="AG170" s="1">
        <f t="shared" si="202"/>
        <v>-36820724.260730438</v>
      </c>
      <c r="AH170" s="1">
        <f t="shared" si="202"/>
        <v>-36820724.260730438</v>
      </c>
      <c r="AI170" s="1">
        <f t="shared" si="202"/>
        <v>0</v>
      </c>
      <c r="AJ170" s="1">
        <f t="shared" si="202"/>
        <v>0</v>
      </c>
      <c r="AK170" s="1">
        <f t="shared" si="202"/>
        <v>0</v>
      </c>
      <c r="AL170" s="1">
        <f t="shared" si="202"/>
        <v>0</v>
      </c>
      <c r="AM170" s="1">
        <f t="shared" si="202"/>
        <v>0</v>
      </c>
      <c r="AN170" s="1">
        <f t="shared" si="202"/>
        <v>0</v>
      </c>
      <c r="AO170" s="1">
        <f t="shared" si="202"/>
        <v>0</v>
      </c>
      <c r="AP170" s="1">
        <f t="shared" si="202"/>
        <v>0</v>
      </c>
      <c r="AQ170" s="1">
        <f t="shared" si="202"/>
        <v>0</v>
      </c>
      <c r="AR170" s="1">
        <f t="shared" si="202"/>
        <v>0</v>
      </c>
      <c r="AS170" s="1">
        <f t="shared" si="202"/>
        <v>0</v>
      </c>
      <c r="AT170" s="1">
        <f t="shared" si="202"/>
        <v>0</v>
      </c>
      <c r="AU170" s="1">
        <f t="shared" si="202"/>
        <v>0</v>
      </c>
      <c r="AV170" s="1">
        <f t="shared" si="202"/>
        <v>0</v>
      </c>
      <c r="AW170" s="1">
        <f t="shared" si="202"/>
        <v>0</v>
      </c>
      <c r="AX170" s="1">
        <f t="shared" si="202"/>
        <v>0</v>
      </c>
      <c r="AY170" s="1">
        <f t="shared" si="202"/>
        <v>0</v>
      </c>
      <c r="AZ170" s="1">
        <f t="shared" si="202"/>
        <v>0</v>
      </c>
      <c r="BA170" s="1">
        <f t="shared" si="202"/>
        <v>0</v>
      </c>
      <c r="BB170" s="1">
        <f t="shared" si="202"/>
        <v>0</v>
      </c>
      <c r="BC170" s="1">
        <f t="shared" si="202"/>
        <v>0</v>
      </c>
      <c r="BD170" s="1">
        <f t="shared" si="202"/>
        <v>0</v>
      </c>
      <c r="BE170" s="1">
        <f t="shared" si="202"/>
        <v>0</v>
      </c>
      <c r="BF170" s="1">
        <f t="shared" si="202"/>
        <v>0</v>
      </c>
      <c r="BG170" s="1">
        <f t="shared" si="202"/>
        <v>0</v>
      </c>
      <c r="BH170" s="1">
        <f t="shared" si="202"/>
        <v>0</v>
      </c>
      <c r="BI170" s="1">
        <f t="shared" si="202"/>
        <v>0</v>
      </c>
      <c r="BJ170" s="1">
        <f t="shared" si="202"/>
        <v>0</v>
      </c>
    </row>
    <row r="171" spans="2:62">
      <c r="C171" t="s">
        <v>369</v>
      </c>
      <c r="F171" s="12"/>
      <c r="H171" s="10">
        <v>0.04</v>
      </c>
      <c r="I171">
        <v>1</v>
      </c>
      <c r="J171">
        <v>7</v>
      </c>
      <c r="K171" s="54">
        <v>221000000</v>
      </c>
      <c r="L171" s="1">
        <f>SUM(AB171:BJ171)</f>
        <v>-257745069.82511309</v>
      </c>
      <c r="AB171" s="1">
        <f t="shared" ref="AB171:BJ171" si="203">IF(AND($I171&lt;=AB$3,AB$3&lt;=$J171),PMT($H$171,$J$171,$K$171,0),0)</f>
        <v>-36820724.260730438</v>
      </c>
      <c r="AC171" s="1">
        <f t="shared" si="203"/>
        <v>-36820724.260730438</v>
      </c>
      <c r="AD171" s="1">
        <f t="shared" si="203"/>
        <v>-36820724.260730438</v>
      </c>
      <c r="AE171" s="1">
        <f t="shared" si="203"/>
        <v>-36820724.260730438</v>
      </c>
      <c r="AF171" s="1">
        <f t="shared" si="203"/>
        <v>-36820724.260730438</v>
      </c>
      <c r="AG171" s="1">
        <f t="shared" si="203"/>
        <v>-36820724.260730438</v>
      </c>
      <c r="AH171" s="1">
        <f t="shared" si="203"/>
        <v>-36820724.260730438</v>
      </c>
      <c r="AI171" s="1">
        <f t="shared" si="203"/>
        <v>0</v>
      </c>
      <c r="AJ171" s="1">
        <f t="shared" si="203"/>
        <v>0</v>
      </c>
      <c r="AK171" s="1">
        <f t="shared" si="203"/>
        <v>0</v>
      </c>
      <c r="AL171" s="1">
        <f t="shared" si="203"/>
        <v>0</v>
      </c>
      <c r="AM171" s="1">
        <f t="shared" si="203"/>
        <v>0</v>
      </c>
      <c r="AN171" s="1">
        <f t="shared" si="203"/>
        <v>0</v>
      </c>
      <c r="AO171" s="1">
        <f t="shared" si="203"/>
        <v>0</v>
      </c>
      <c r="AP171" s="1">
        <f t="shared" si="203"/>
        <v>0</v>
      </c>
      <c r="AQ171" s="1">
        <f t="shared" si="203"/>
        <v>0</v>
      </c>
      <c r="AR171" s="1">
        <f t="shared" si="203"/>
        <v>0</v>
      </c>
      <c r="AS171" s="1">
        <f t="shared" si="203"/>
        <v>0</v>
      </c>
      <c r="AT171" s="1">
        <f t="shared" si="203"/>
        <v>0</v>
      </c>
      <c r="AU171" s="1">
        <f t="shared" si="203"/>
        <v>0</v>
      </c>
      <c r="AV171" s="1">
        <f t="shared" si="203"/>
        <v>0</v>
      </c>
      <c r="AW171" s="1">
        <f t="shared" si="203"/>
        <v>0</v>
      </c>
      <c r="AX171" s="1">
        <f t="shared" si="203"/>
        <v>0</v>
      </c>
      <c r="AY171" s="1">
        <f t="shared" si="203"/>
        <v>0</v>
      </c>
      <c r="AZ171" s="1">
        <f t="shared" si="203"/>
        <v>0</v>
      </c>
      <c r="BA171" s="1">
        <f t="shared" si="203"/>
        <v>0</v>
      </c>
      <c r="BB171" s="1">
        <f t="shared" si="203"/>
        <v>0</v>
      </c>
      <c r="BC171" s="1">
        <f t="shared" si="203"/>
        <v>0</v>
      </c>
      <c r="BD171" s="1">
        <f t="shared" si="203"/>
        <v>0</v>
      </c>
      <c r="BE171" s="1">
        <f t="shared" si="203"/>
        <v>0</v>
      </c>
      <c r="BF171" s="1">
        <f t="shared" si="203"/>
        <v>0</v>
      </c>
      <c r="BG171" s="1">
        <f t="shared" si="203"/>
        <v>0</v>
      </c>
      <c r="BH171" s="1">
        <f t="shared" si="203"/>
        <v>0</v>
      </c>
      <c r="BI171" s="1">
        <f t="shared" si="203"/>
        <v>0</v>
      </c>
      <c r="BJ171" s="1">
        <f t="shared" si="203"/>
        <v>0</v>
      </c>
    </row>
    <row r="172" spans="2:62" s="6" customFormat="1">
      <c r="B172" s="18" t="s">
        <v>300</v>
      </c>
      <c r="C172" s="6" t="s">
        <v>330</v>
      </c>
      <c r="F172" s="21"/>
      <c r="K172" s="21"/>
      <c r="L172" s="17">
        <f>L164+L170</f>
        <v>1240511296.410552</v>
      </c>
      <c r="AA172" s="6" t="str">
        <f t="shared" ref="AA172:AA173" si="204">C172</f>
        <v>Fluxo de Caixa, após atividades de financiamento</v>
      </c>
      <c r="AB172" s="17">
        <f t="shared" ref="AB172:BJ172" si="205">AB164+AB170</f>
        <v>-31281659.322484158</v>
      </c>
      <c r="AC172" s="17">
        <f t="shared" si="205"/>
        <v>-71995132.673449308</v>
      </c>
      <c r="AD172" s="17">
        <f t="shared" si="205"/>
        <v>-82807969.018897995</v>
      </c>
      <c r="AE172" s="17">
        <f t="shared" si="205"/>
        <v>-6455679.5477613583</v>
      </c>
      <c r="AF172" s="17">
        <f t="shared" si="205"/>
        <v>-1562447.0296299383</v>
      </c>
      <c r="AG172" s="17">
        <f t="shared" si="205"/>
        <v>4601111.373723872</v>
      </c>
      <c r="AH172" s="17">
        <f t="shared" si="205"/>
        <v>5289655.700597316</v>
      </c>
      <c r="AI172" s="17">
        <f t="shared" si="205"/>
        <v>42793540.245671339</v>
      </c>
      <c r="AJ172" s="17">
        <f t="shared" si="205"/>
        <v>43470708.774221197</v>
      </c>
      <c r="AK172" s="17">
        <f t="shared" si="205"/>
        <v>44141282.349372029</v>
      </c>
      <c r="AL172" s="17">
        <f t="shared" si="205"/>
        <v>44804664.420511641</v>
      </c>
      <c r="AM172" s="17">
        <f t="shared" si="205"/>
        <v>45460267.446736939</v>
      </c>
      <c r="AN172" s="17">
        <f t="shared" si="205"/>
        <v>46107515.543619357</v>
      </c>
      <c r="AO172" s="17">
        <f t="shared" si="205"/>
        <v>46745847.484173656</v>
      </c>
      <c r="AP172" s="17">
        <f t="shared" si="205"/>
        <v>47374720.148396447</v>
      </c>
      <c r="AQ172" s="17">
        <f t="shared" si="205"/>
        <v>47993612.549661122</v>
      </c>
      <c r="AR172" s="17">
        <f t="shared" si="205"/>
        <v>48602030.614513204</v>
      </c>
      <c r="AS172" s="17">
        <f t="shared" si="205"/>
        <v>49199512.962146394</v>
      </c>
      <c r="AT172" s="17">
        <f t="shared" si="205"/>
        <v>49785638.032433398</v>
      </c>
      <c r="AU172" s="17">
        <f t="shared" si="205"/>
        <v>50360033.065310791</v>
      </c>
      <c r="AV172" s="17">
        <f t="shared" si="205"/>
        <v>50922385.670365833</v>
      </c>
      <c r="AW172" s="17">
        <f t="shared" si="205"/>
        <v>51472459.096434943</v>
      </c>
      <c r="AX172" s="17">
        <f t="shared" si="205"/>
        <v>52010112.910290763</v>
      </c>
      <c r="AY172" s="17">
        <f t="shared" si="205"/>
        <v>52535331.792292893</v>
      </c>
      <c r="AZ172" s="17">
        <f t="shared" si="205"/>
        <v>53048266.882077649</v>
      </c>
      <c r="BA172" s="17">
        <f t="shared" si="205"/>
        <v>53549297.212731898</v>
      </c>
      <c r="BB172" s="17">
        <f t="shared" si="205"/>
        <v>54039124.637574412</v>
      </c>
      <c r="BC172" s="17">
        <f t="shared" si="205"/>
        <v>54518927.385009795</v>
      </c>
      <c r="BD172" s="17">
        <f t="shared" si="205"/>
        <v>54990622.515463412</v>
      </c>
      <c r="BE172" s="17">
        <f t="shared" si="205"/>
        <v>55457346.210941873</v>
      </c>
      <c r="BF172" s="17">
        <f t="shared" si="205"/>
        <v>55924413.334663995</v>
      </c>
      <c r="BG172" s="17">
        <f t="shared" si="205"/>
        <v>56401475.218762711</v>
      </c>
      <c r="BH172" s="17">
        <f t="shared" si="205"/>
        <v>56908272.213193022</v>
      </c>
      <c r="BI172" s="17">
        <f t="shared" si="205"/>
        <v>57494765.404305264</v>
      </c>
      <c r="BJ172" s="17">
        <f t="shared" si="205"/>
        <v>58611242.80757761</v>
      </c>
    </row>
    <row r="173" spans="2:62">
      <c r="C173" s="6" t="s">
        <v>367</v>
      </c>
      <c r="F173" s="12"/>
      <c r="G173" s="1"/>
      <c r="AA173" s="6" t="str">
        <f t="shared" si="204"/>
        <v>Fluxo de Caixa, após atividades de financiamento - Acumulado</v>
      </c>
      <c r="AB173" s="17">
        <f>SUM($AB172:AB172)</f>
        <v>-31281659.322484158</v>
      </c>
      <c r="AC173" s="17">
        <f>SUM($AB172:AC172)</f>
        <v>-103276791.99593347</v>
      </c>
      <c r="AD173" s="17">
        <f>SUM($AB172:AD172)</f>
        <v>-186084761.01483148</v>
      </c>
      <c r="AE173" s="17">
        <f>SUM($AB172:AE172)</f>
        <v>-192540440.56259283</v>
      </c>
      <c r="AF173" s="17">
        <f>SUM($AB172:AF172)</f>
        <v>-194102887.59222278</v>
      </c>
      <c r="AG173" s="17">
        <f>SUM($AB172:AG172)</f>
        <v>-189501776.21849892</v>
      </c>
      <c r="AH173" s="17">
        <f>SUM($AB172:AH172)</f>
        <v>-184212120.5179016</v>
      </c>
      <c r="AI173" s="17">
        <f>SUM($AB172:AI172)</f>
        <v>-141418580.27223027</v>
      </c>
      <c r="AJ173" s="17">
        <f>SUM($AB172:AJ172)</f>
        <v>-97947871.498009071</v>
      </c>
      <c r="AK173" s="17">
        <f>SUM($AB172:AK172)</f>
        <v>-53806589.148637041</v>
      </c>
      <c r="AL173" s="17">
        <f>SUM($AB172:AL172)</f>
        <v>-9001924.7281254008</v>
      </c>
      <c r="AM173" s="17">
        <f>SUM($AB172:AM172)</f>
        <v>36458342.718611538</v>
      </c>
      <c r="AN173" s="17">
        <f>SUM($AB172:AN172)</f>
        <v>82565858.262230903</v>
      </c>
      <c r="AO173" s="17">
        <f>SUM($AB172:AO172)</f>
        <v>129311705.74640456</v>
      </c>
      <c r="AP173" s="17">
        <f>SUM($AB172:AP172)</f>
        <v>176686425.89480102</v>
      </c>
      <c r="AQ173" s="17">
        <f>SUM($AB172:AQ172)</f>
        <v>224680038.44446215</v>
      </c>
      <c r="AR173" s="17">
        <f>SUM($AB172:AR172)</f>
        <v>273282069.05897534</v>
      </c>
      <c r="AS173" s="17">
        <f>SUM($AB172:AS172)</f>
        <v>322481582.02112174</v>
      </c>
      <c r="AT173" s="17">
        <f>SUM($AB172:AT172)</f>
        <v>372267220.05355513</v>
      </c>
      <c r="AU173" s="17">
        <f>SUM($AB172:AU172)</f>
        <v>422627253.11886591</v>
      </c>
      <c r="AV173" s="17">
        <f>SUM($AB172:AV172)</f>
        <v>473549638.78923172</v>
      </c>
      <c r="AW173" s="17">
        <f>SUM($AB172:AW172)</f>
        <v>525022097.88566667</v>
      </c>
      <c r="AX173" s="17">
        <f>SUM($AB172:AX172)</f>
        <v>577032210.79595745</v>
      </c>
      <c r="AY173" s="17">
        <f>SUM($AB172:AY172)</f>
        <v>629567542.5882504</v>
      </c>
      <c r="AZ173" s="17">
        <f>SUM($AB172:AZ172)</f>
        <v>682615809.47032809</v>
      </c>
      <c r="BA173" s="17">
        <f>SUM($AB172:BA172)</f>
        <v>736165106.68305993</v>
      </c>
      <c r="BB173" s="17">
        <f>SUM($AB172:BB172)</f>
        <v>790204231.32063437</v>
      </c>
      <c r="BC173" s="17">
        <f>SUM($AB172:BC172)</f>
        <v>844723158.70564413</v>
      </c>
      <c r="BD173" s="17">
        <f>SUM($AB172:BD172)</f>
        <v>899713781.22110748</v>
      </c>
      <c r="BE173" s="17">
        <f>SUM($AB172:BE172)</f>
        <v>955171127.43204939</v>
      </c>
      <c r="BF173" s="17">
        <f>SUM($AB172:BF172)</f>
        <v>1011095540.7667134</v>
      </c>
      <c r="BG173" s="17">
        <f>SUM($AB172:BG172)</f>
        <v>1067497015.9854761</v>
      </c>
      <c r="BH173" s="17">
        <f>SUM($AB172:BH172)</f>
        <v>1124405288.1986692</v>
      </c>
      <c r="BI173" s="17">
        <f>SUM($AB172:BI172)</f>
        <v>1181900053.6029744</v>
      </c>
      <c r="BJ173" s="17">
        <f>SUM($AB172:BJ172)</f>
        <v>1240511296.410552</v>
      </c>
    </row>
    <row r="174" spans="2:62">
      <c r="C174" s="6"/>
      <c r="F174" s="12"/>
      <c r="G174" s="1"/>
      <c r="AA174" s="6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 spans="2:62">
      <c r="C175" s="6" t="s">
        <v>313</v>
      </c>
      <c r="D175" s="6"/>
      <c r="E175" s="6"/>
      <c r="F175" s="21">
        <f>AVERAGE(J197:J200)</f>
        <v>7.8424999999999995E-2</v>
      </c>
      <c r="G175" s="17">
        <f>NPV(F175,AB172:BJ172)</f>
        <v>162303749.7192781</v>
      </c>
      <c r="H175" s="6" t="s">
        <v>333</v>
      </c>
    </row>
    <row r="176" spans="2:62">
      <c r="C176" s="6" t="s">
        <v>313</v>
      </c>
      <c r="D176" s="6"/>
      <c r="E176" s="6"/>
      <c r="F176" s="21">
        <f>AVERAGE(J191:J200)</f>
        <v>9.5050563333333338E-2</v>
      </c>
      <c r="G176" s="17">
        <f>NPV(F176,AB172:BJ172)</f>
        <v>93834689.653677642</v>
      </c>
      <c r="H176" s="6" t="s">
        <v>333</v>
      </c>
    </row>
    <row r="177" spans="2:62" s="6" customFormat="1">
      <c r="C177" s="6" t="s">
        <v>331</v>
      </c>
      <c r="F177" s="21">
        <f>IRR(AB172:BJ172)</f>
        <v>0.13413686276564474</v>
      </c>
      <c r="G177" s="24" t="s">
        <v>332</v>
      </c>
      <c r="K177" s="21"/>
    </row>
    <row r="178" spans="2:62">
      <c r="F178" s="12"/>
      <c r="G178" s="1"/>
    </row>
    <row r="179" spans="2:62">
      <c r="B179" s="4" t="s">
        <v>317</v>
      </c>
    </row>
    <row r="181" spans="2:62">
      <c r="C181" t="s">
        <v>314</v>
      </c>
      <c r="AB181" s="1">
        <f t="shared" ref="AB181:BJ181" si="206">-AB159</f>
        <v>14507179.232344907</v>
      </c>
      <c r="AC181" s="1">
        <f t="shared" si="206"/>
        <v>60192506.52347371</v>
      </c>
      <c r="AD181" s="1">
        <f t="shared" si="206"/>
        <v>76321951.631446183</v>
      </c>
      <c r="AE181" s="1">
        <f t="shared" si="206"/>
        <v>4711711.8317973036</v>
      </c>
      <c r="AF181" s="1">
        <f t="shared" si="206"/>
        <v>4724885.2834214922</v>
      </c>
      <c r="AG181" s="1">
        <f t="shared" si="206"/>
        <v>3619914.8241806021</v>
      </c>
      <c r="AH181" s="1">
        <f t="shared" si="206"/>
        <v>3595774.091980326</v>
      </c>
      <c r="AI181" s="1">
        <f t="shared" si="206"/>
        <v>3568750.7116243732</v>
      </c>
      <c r="AJ181" s="1">
        <f t="shared" si="206"/>
        <v>3538845.6457346263</v>
      </c>
      <c r="AK181" s="1">
        <f t="shared" si="206"/>
        <v>3506064.6384700323</v>
      </c>
      <c r="AL181" s="1">
        <f t="shared" si="206"/>
        <v>3470418.2627420011</v>
      </c>
      <c r="AM181" s="1">
        <f t="shared" si="206"/>
        <v>3431921.9558595484</v>
      </c>
      <c r="AN181" s="1">
        <f t="shared" si="206"/>
        <v>3390596.0433468418</v>
      </c>
      <c r="AO181" s="1">
        <f t="shared" si="206"/>
        <v>3346465.7507192609</v>
      </c>
      <c r="AP181" s="1">
        <f t="shared" si="206"/>
        <v>3299561.2030354366</v>
      </c>
      <c r="AQ181" s="1">
        <f t="shared" si="206"/>
        <v>3249917.4120866624</v>
      </c>
      <c r="AR181" s="1">
        <f t="shared" si="206"/>
        <v>3197574.2511228477</v>
      </c>
      <c r="AS181" s="1">
        <f t="shared" si="206"/>
        <v>3142576.4170554411</v>
      </c>
      <c r="AT181" s="1">
        <f t="shared" si="206"/>
        <v>3084973.3801197903</v>
      </c>
      <c r="AU181" s="1">
        <f t="shared" si="206"/>
        <v>3024819.3210218335</v>
      </c>
      <c r="AV181" s="1">
        <f t="shared" si="206"/>
        <v>2962173.0556353256</v>
      </c>
      <c r="AW181" s="1">
        <f t="shared" si="206"/>
        <v>2897097.9473602851</v>
      </c>
      <c r="AX181" s="1">
        <f t="shared" si="206"/>
        <v>2829661.8072944544</v>
      </c>
      <c r="AY181" s="1">
        <f t="shared" si="206"/>
        <v>2759936.7824131381</v>
      </c>
      <c r="AZ181" s="1">
        <f t="shared" si="206"/>
        <v>2687999.231994668</v>
      </c>
      <c r="BA181" s="1">
        <f t="shared" si="206"/>
        <v>2613929.5925697507</v>
      </c>
      <c r="BB181" s="1">
        <f t="shared" si="206"/>
        <v>2537812.2317150068</v>
      </c>
      <c r="BC181" s="1">
        <f t="shared" si="206"/>
        <v>2459735.2910502828</v>
      </c>
      <c r="BD181" s="1">
        <f t="shared" si="206"/>
        <v>2379790.5188377462</v>
      </c>
      <c r="BE181" s="1">
        <f t="shared" si="206"/>
        <v>2298073.0926197572</v>
      </c>
      <c r="BF181" s="1">
        <f t="shared" si="206"/>
        <v>2214681.4323675251</v>
      </c>
      <c r="BG181" s="1">
        <f t="shared" si="206"/>
        <v>2129717.0046471921</v>
      </c>
      <c r="BH181" s="1">
        <f t="shared" si="206"/>
        <v>2043284.1183451486</v>
      </c>
      <c r="BI181" s="1">
        <f t="shared" si="206"/>
        <v>1955489.7125204601</v>
      </c>
      <c r="BJ181" s="1">
        <f t="shared" si="206"/>
        <v>1488685.5323490687</v>
      </c>
    </row>
    <row r="182" spans="2:62">
      <c r="C182" t="s">
        <v>334</v>
      </c>
      <c r="AB182" s="1">
        <v>350000000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2:62">
      <c r="C183" t="s">
        <v>318</v>
      </c>
      <c r="AB183" s="1">
        <f>SUMPRODUCT($AB182:AB182,$AB185:AB185)+SUMPRODUCT($AB181:AB181,$AB185:AB185)</f>
        <v>10414490.835209854</v>
      </c>
      <c r="AC183" s="1">
        <f>SUMPRODUCT($AB182:AC182,$AB185:AC185)+SUMPRODUCT($AB181:AC181,$AB185:AC185)</f>
        <v>12184858.674135551</v>
      </c>
      <c r="AD183" s="1">
        <f>SUMPRODUCT($AB182:AD182,$AB185:AD185)+SUMPRODUCT($AB181:AD181,$AB185:AD185)</f>
        <v>14497645.087209679</v>
      </c>
      <c r="AE183" s="1">
        <f>SUMPRODUCT($AB182:AE182,$AB185:AE185)+SUMPRODUCT($AB181:AE181,$AB185:AE185)</f>
        <v>14644886.081953345</v>
      </c>
      <c r="AF183" s="1">
        <f>SUMPRODUCT($AB182:AF182,$AB185:AF185)+SUMPRODUCT($AB181:AF181,$AB185:AF185)</f>
        <v>14797301.736257264</v>
      </c>
      <c r="AG183" s="1">
        <f>SUMPRODUCT($AB182:AG182,$AB185:AG185)+SUMPRODUCT($AB181:AG181,$AB185:AG185)</f>
        <v>14917965.563729951</v>
      </c>
      <c r="AH183" s="1">
        <f>SUMPRODUCT($AB182:AH182,$AB185:AH185)+SUMPRODUCT($AB181:AH181,$AB185:AH185)</f>
        <v>15041957.773798238</v>
      </c>
      <c r="AI183" s="1">
        <f>SUMPRODUCT($AB182:AI182,$AB185:AI185)+SUMPRODUCT($AB181:AI181,$AB185:AI185)</f>
        <v>15169413.156356253</v>
      </c>
      <c r="AJ183" s="1">
        <f>SUMPRODUCT($AB182:AJ182,$AB185:AJ185)+SUMPRODUCT($AB181:AJ181,$AB185:AJ185)</f>
        <v>15300481.513605682</v>
      </c>
      <c r="AK183" s="1">
        <f>SUMPRODUCT($AB182:AK182,$AB185:AK185)+SUMPRODUCT($AB181:AK181,$AB185:AK185)</f>
        <v>15435330.153546836</v>
      </c>
      <c r="AL183" s="1">
        <f>SUMPRODUCT($AB182:AL182,$AB185:AL185)+SUMPRODUCT($AB181:AL181,$AB185:AL185)</f>
        <v>15574146.884056516</v>
      </c>
      <c r="AM183" s="1">
        <f>SUMPRODUCT($AB182:AM182,$AB185:AM185)+SUMPRODUCT($AB181:AM181,$AB185:AM185)</f>
        <v>15717143.632217333</v>
      </c>
      <c r="AN183" s="1">
        <f>SUMPRODUCT($AB182:AN182,$AB185:AN185)+SUMPRODUCT($AB181:AN181,$AB185:AN185)</f>
        <v>15864560.85149328</v>
      </c>
      <c r="AO183" s="1">
        <f>SUMPRODUCT($AB182:AO182,$AB185:AO185)+SUMPRODUCT($AB181:AO181,$AB185:AO185)</f>
        <v>16016672.93107143</v>
      </c>
      <c r="AP183" s="1">
        <f>SUMPRODUCT($AB182:AP182,$AB185:AP185)+SUMPRODUCT($AB181:AP181,$AB185:AP185)</f>
        <v>16173794.893120736</v>
      </c>
      <c r="AQ183" s="1">
        <f>SUMPRODUCT($AB182:AQ182,$AB185:AQ185)+SUMPRODUCT($AB181:AQ181,$AB185:AQ185)</f>
        <v>16336290.763725068</v>
      </c>
      <c r="AR183" s="1">
        <f>SUMPRODUCT($AB182:AR182,$AB185:AR185)+SUMPRODUCT($AB181:AR181,$AB185:AR185)</f>
        <v>16504584.145363115</v>
      </c>
      <c r="AS183" s="1">
        <f>SUMPRODUCT($AB182:AS182,$AB185:AS185)+SUMPRODUCT($AB181:AS181,$AB185:AS185)</f>
        <v>16679171.724088416</v>
      </c>
      <c r="AT183" s="1">
        <f>SUMPRODUCT($AB182:AT182,$AB185:AT185)+SUMPRODUCT($AB181:AT181,$AB185:AT185)</f>
        <v>16860640.746448405</v>
      </c>
      <c r="AU183" s="1">
        <f>SUMPRODUCT($AB182:AU182,$AB185:AU185)+SUMPRODUCT($AB181:AU181,$AB185:AU185)</f>
        <v>17049691.954012267</v>
      </c>
      <c r="AV183" s="1">
        <f>SUMPRODUCT($AB182:AV182,$AB185:AV185)+SUMPRODUCT($AB181:AV181,$AB185:AV185)</f>
        <v>17247170.157721292</v>
      </c>
      <c r="AW183" s="1">
        <f>SUMPRODUCT($AB182:AW182,$AB185:AW185)+SUMPRODUCT($AB181:AW181,$AB185:AW185)</f>
        <v>17454105.725389883</v>
      </c>
      <c r="AX183" s="1">
        <f>SUMPRODUCT($AB182:AX182,$AB185:AX185)+SUMPRODUCT($AB181:AX181,$AB185:AX185)</f>
        <v>17671772.018258687</v>
      </c>
      <c r="AY183" s="1">
        <f>SUMPRODUCT($AB182:AY182,$AB185:AY185)+SUMPRODUCT($AB181:AY181,$AB185:AY185)</f>
        <v>17901766.750126448</v>
      </c>
      <c r="AZ183" s="1">
        <f>SUMPRODUCT($AB182:AZ182,$AB185:AZ185)+SUMPRODUCT($AB181:AZ181,$AB185:AZ185)</f>
        <v>18146130.316671416</v>
      </c>
      <c r="BA183" s="1">
        <f>SUMPRODUCT($AB182:BA182,$AB185:BA185)+SUMPRODUCT($AB181:BA181,$AB185:BA185)</f>
        <v>18407523.275928393</v>
      </c>
      <c r="BB183" s="1">
        <f>SUMPRODUCT($AB182:BB182,$AB185:BB185)+SUMPRODUCT($AB181:BB181,$AB185:BB185)</f>
        <v>18689502.412785616</v>
      </c>
      <c r="BC183" s="1">
        <f>SUMPRODUCT($AB182:BC182,$AB185:BC185)+SUMPRODUCT($AB181:BC181,$AB185:BC185)</f>
        <v>18996969.324166901</v>
      </c>
      <c r="BD183" s="1">
        <f>SUMPRODUCT($AB182:BD182,$AB185:BD185)+SUMPRODUCT($AB181:BD181,$AB185:BD185)</f>
        <v>19336939.398286581</v>
      </c>
      <c r="BE183" s="1">
        <f>SUMPRODUCT($AB182:BE182,$AB185:BE185)+SUMPRODUCT($AB181:BE181,$AB185:BE185)</f>
        <v>19719951.580389872</v>
      </c>
      <c r="BF183" s="1">
        <f>SUMPRODUCT($AB182:BF182,$AB185:BF185)+SUMPRODUCT($AB181:BF181,$AB185:BF185)</f>
        <v>20162887.866863377</v>
      </c>
      <c r="BG183" s="1">
        <f>SUMPRODUCT($AB182:BG182,$AB185:BG185)+SUMPRODUCT($AB181:BG181,$AB185:BG185)</f>
        <v>20695317.118025176</v>
      </c>
      <c r="BH183" s="1">
        <f>SUMPRODUCT($AB182:BH182,$AB185:BH185)+SUMPRODUCT($AB181:BH181,$AB185:BH185)</f>
        <v>21376411.824140228</v>
      </c>
      <c r="BI183" s="1">
        <f>SUMPRODUCT($AB182:BI182,$AB185:BI185)+SUMPRODUCT($AB181:BI181,$AB185:BI185)</f>
        <v>22354156.680400457</v>
      </c>
      <c r="BJ183" s="1">
        <f>SUMPRODUCT($AB182:BJ182,$AB185:BJ185)+SUMPRODUCT($AB181:BJ181,$AB185:BJ185)</f>
        <v>23842842.212749526</v>
      </c>
    </row>
    <row r="185" spans="2:62">
      <c r="C185" t="s">
        <v>319</v>
      </c>
      <c r="AB185" s="19">
        <f>1/AB186</f>
        <v>2.8571428571428571E-2</v>
      </c>
      <c r="AC185" s="19">
        <f t="shared" ref="AC185:BJ185" si="207">1/AC186</f>
        <v>2.9411764705882353E-2</v>
      </c>
      <c r="AD185" s="19">
        <f t="shared" si="207"/>
        <v>3.0303030303030304E-2</v>
      </c>
      <c r="AE185" s="19">
        <f t="shared" si="207"/>
        <v>3.125E-2</v>
      </c>
      <c r="AF185" s="19">
        <f t="shared" si="207"/>
        <v>3.2258064516129031E-2</v>
      </c>
      <c r="AG185" s="19">
        <f t="shared" si="207"/>
        <v>3.3333333333333333E-2</v>
      </c>
      <c r="AH185" s="19">
        <f t="shared" si="207"/>
        <v>3.4482758620689655E-2</v>
      </c>
      <c r="AI185" s="19">
        <f t="shared" si="207"/>
        <v>3.5714285714285712E-2</v>
      </c>
      <c r="AJ185" s="19">
        <f t="shared" si="207"/>
        <v>3.7037037037037035E-2</v>
      </c>
      <c r="AK185" s="19">
        <f t="shared" si="207"/>
        <v>3.8461538461538464E-2</v>
      </c>
      <c r="AL185" s="19">
        <f t="shared" si="207"/>
        <v>0.04</v>
      </c>
      <c r="AM185" s="19">
        <f t="shared" si="207"/>
        <v>4.1666666666666664E-2</v>
      </c>
      <c r="AN185" s="19">
        <f t="shared" si="207"/>
        <v>4.3478260869565216E-2</v>
      </c>
      <c r="AO185" s="19">
        <f t="shared" si="207"/>
        <v>4.5454545454545456E-2</v>
      </c>
      <c r="AP185" s="19">
        <f t="shared" si="207"/>
        <v>4.7619047619047616E-2</v>
      </c>
      <c r="AQ185" s="19">
        <f t="shared" si="207"/>
        <v>0.05</v>
      </c>
      <c r="AR185" s="19">
        <f t="shared" si="207"/>
        <v>5.2631578947368418E-2</v>
      </c>
      <c r="AS185" s="19">
        <f t="shared" si="207"/>
        <v>5.5555555555555552E-2</v>
      </c>
      <c r="AT185" s="19">
        <f t="shared" si="207"/>
        <v>5.8823529411764705E-2</v>
      </c>
      <c r="AU185" s="19">
        <f t="shared" si="207"/>
        <v>6.25E-2</v>
      </c>
      <c r="AV185" s="19">
        <f t="shared" si="207"/>
        <v>6.6666666666666666E-2</v>
      </c>
      <c r="AW185" s="19">
        <f t="shared" si="207"/>
        <v>7.1428571428571425E-2</v>
      </c>
      <c r="AX185" s="19">
        <f t="shared" si="207"/>
        <v>7.6923076923076927E-2</v>
      </c>
      <c r="AY185" s="19">
        <f t="shared" si="207"/>
        <v>8.3333333333333329E-2</v>
      </c>
      <c r="AZ185" s="19">
        <f t="shared" si="207"/>
        <v>9.0909090909090912E-2</v>
      </c>
      <c r="BA185" s="19">
        <f t="shared" si="207"/>
        <v>0.1</v>
      </c>
      <c r="BB185" s="19">
        <f t="shared" si="207"/>
        <v>0.1111111111111111</v>
      </c>
      <c r="BC185" s="19">
        <f t="shared" si="207"/>
        <v>0.125</v>
      </c>
      <c r="BD185" s="19">
        <f t="shared" si="207"/>
        <v>0.14285714285714285</v>
      </c>
      <c r="BE185" s="19">
        <f t="shared" si="207"/>
        <v>0.16666666666666666</v>
      </c>
      <c r="BF185" s="19">
        <f t="shared" si="207"/>
        <v>0.2</v>
      </c>
      <c r="BG185" s="19">
        <f t="shared" si="207"/>
        <v>0.25</v>
      </c>
      <c r="BH185" s="19">
        <f t="shared" si="207"/>
        <v>0.33333333333333331</v>
      </c>
      <c r="BI185" s="19">
        <f t="shared" si="207"/>
        <v>0.5</v>
      </c>
      <c r="BJ185" s="19">
        <f t="shared" si="207"/>
        <v>1</v>
      </c>
    </row>
    <row r="186" spans="2:62">
      <c r="C186" t="s">
        <v>320</v>
      </c>
      <c r="AB186">
        <v>35</v>
      </c>
      <c r="AC186">
        <f>AB186-1</f>
        <v>34</v>
      </c>
      <c r="AD186">
        <f t="shared" ref="AD186:BJ186" si="208">AC186-1</f>
        <v>33</v>
      </c>
      <c r="AE186">
        <f t="shared" si="208"/>
        <v>32</v>
      </c>
      <c r="AF186">
        <f t="shared" si="208"/>
        <v>31</v>
      </c>
      <c r="AG186">
        <f t="shared" si="208"/>
        <v>30</v>
      </c>
      <c r="AH186">
        <f t="shared" si="208"/>
        <v>29</v>
      </c>
      <c r="AI186">
        <f t="shared" si="208"/>
        <v>28</v>
      </c>
      <c r="AJ186">
        <f t="shared" si="208"/>
        <v>27</v>
      </c>
      <c r="AK186">
        <f t="shared" si="208"/>
        <v>26</v>
      </c>
      <c r="AL186">
        <f t="shared" si="208"/>
        <v>25</v>
      </c>
      <c r="AM186">
        <f t="shared" si="208"/>
        <v>24</v>
      </c>
      <c r="AN186">
        <f t="shared" si="208"/>
        <v>23</v>
      </c>
      <c r="AO186">
        <f t="shared" si="208"/>
        <v>22</v>
      </c>
      <c r="AP186">
        <f t="shared" si="208"/>
        <v>21</v>
      </c>
      <c r="AQ186">
        <f t="shared" si="208"/>
        <v>20</v>
      </c>
      <c r="AR186">
        <f t="shared" si="208"/>
        <v>19</v>
      </c>
      <c r="AS186">
        <f t="shared" si="208"/>
        <v>18</v>
      </c>
      <c r="AT186">
        <f t="shared" si="208"/>
        <v>17</v>
      </c>
      <c r="AU186">
        <f t="shared" si="208"/>
        <v>16</v>
      </c>
      <c r="AV186">
        <f t="shared" si="208"/>
        <v>15</v>
      </c>
      <c r="AW186">
        <f t="shared" si="208"/>
        <v>14</v>
      </c>
      <c r="AX186">
        <f t="shared" si="208"/>
        <v>13</v>
      </c>
      <c r="AY186">
        <f t="shared" si="208"/>
        <v>12</v>
      </c>
      <c r="AZ186">
        <f t="shared" si="208"/>
        <v>11</v>
      </c>
      <c r="BA186">
        <f t="shared" si="208"/>
        <v>10</v>
      </c>
      <c r="BB186">
        <f t="shared" si="208"/>
        <v>9</v>
      </c>
      <c r="BC186">
        <f t="shared" si="208"/>
        <v>8</v>
      </c>
      <c r="BD186">
        <f t="shared" si="208"/>
        <v>7</v>
      </c>
      <c r="BE186">
        <f t="shared" si="208"/>
        <v>6</v>
      </c>
      <c r="BF186">
        <f t="shared" si="208"/>
        <v>5</v>
      </c>
      <c r="BG186">
        <f t="shared" si="208"/>
        <v>4</v>
      </c>
      <c r="BH186">
        <f t="shared" si="208"/>
        <v>3</v>
      </c>
      <c r="BI186">
        <f t="shared" si="208"/>
        <v>2</v>
      </c>
      <c r="BJ186">
        <f t="shared" si="208"/>
        <v>1</v>
      </c>
    </row>
    <row r="188" spans="2:62">
      <c r="B188" s="4" t="s">
        <v>337</v>
      </c>
    </row>
    <row r="190" spans="2:62">
      <c r="C190" s="6" t="s">
        <v>347</v>
      </c>
      <c r="D190" s="6"/>
      <c r="E190" s="6"/>
      <c r="F190" s="6"/>
      <c r="G190" s="53" t="s">
        <v>338</v>
      </c>
      <c r="H190" s="53"/>
      <c r="I190" s="22" t="s">
        <v>339</v>
      </c>
      <c r="J190" s="22" t="s">
        <v>352</v>
      </c>
    </row>
    <row r="191" spans="2:62">
      <c r="D191" t="s">
        <v>348</v>
      </c>
      <c r="G191">
        <v>2050</v>
      </c>
      <c r="H191" s="12">
        <v>5.7700000000000001E-2</v>
      </c>
      <c r="I191" s="10">
        <v>1.83</v>
      </c>
      <c r="J191" s="12">
        <f>H191*I191</f>
        <v>0.105591</v>
      </c>
    </row>
    <row r="192" spans="2:62">
      <c r="D192" t="s">
        <v>349</v>
      </c>
      <c r="G192">
        <v>2050</v>
      </c>
      <c r="H192" s="12">
        <v>5.7700000000000001E-2</v>
      </c>
      <c r="I192" s="12">
        <v>2.383</v>
      </c>
      <c r="J192" s="12">
        <f t="shared" ref="J192:J194" si="209">H192*I192</f>
        <v>0.13749910000000001</v>
      </c>
    </row>
    <row r="193" spans="3:10">
      <c r="D193" t="s">
        <v>350</v>
      </c>
      <c r="G193">
        <v>2050</v>
      </c>
      <c r="H193" s="12">
        <v>5.7700000000000001E-2</v>
      </c>
      <c r="I193" s="12">
        <v>1.8387</v>
      </c>
      <c r="J193" s="12">
        <f t="shared" si="209"/>
        <v>0.10609299</v>
      </c>
    </row>
    <row r="194" spans="3:10">
      <c r="D194" t="s">
        <v>351</v>
      </c>
      <c r="G194">
        <v>2050</v>
      </c>
      <c r="H194" s="12">
        <v>5.7700000000000001E-2</v>
      </c>
      <c r="I194" s="12">
        <v>1.8573999999999999</v>
      </c>
      <c r="J194" s="12">
        <f t="shared" si="209"/>
        <v>0.10717198</v>
      </c>
    </row>
    <row r="195" spans="3:10">
      <c r="D195" t="s">
        <v>340</v>
      </c>
      <c r="G195">
        <v>2055</v>
      </c>
      <c r="H195" s="12">
        <v>5.7700000000000001E-2</v>
      </c>
      <c r="I195" s="12">
        <v>2.7699999999999999E-2</v>
      </c>
      <c r="J195" s="12">
        <f>H195+I195</f>
        <v>8.5400000000000004E-2</v>
      </c>
    </row>
    <row r="196" spans="3:10">
      <c r="C196" s="6" t="s">
        <v>342</v>
      </c>
      <c r="J196" s="22" t="s">
        <v>341</v>
      </c>
    </row>
    <row r="197" spans="3:10">
      <c r="D197" t="s">
        <v>343</v>
      </c>
      <c r="J197" s="12">
        <v>8.1000000000000003E-2</v>
      </c>
    </row>
    <row r="198" spans="3:10">
      <c r="D198" t="s">
        <v>344</v>
      </c>
      <c r="J198" s="12">
        <v>7.5700000000000003E-2</v>
      </c>
    </row>
    <row r="199" spans="3:10">
      <c r="D199" t="s">
        <v>346</v>
      </c>
      <c r="J199" s="12">
        <v>7.7399999999999997E-2</v>
      </c>
    </row>
    <row r="200" spans="3:10">
      <c r="D200" t="s">
        <v>345</v>
      </c>
      <c r="J200" s="12">
        <v>7.9600000000000004E-2</v>
      </c>
    </row>
  </sheetData>
  <mergeCells count="3">
    <mergeCell ref="G114:G116"/>
    <mergeCell ref="H114:H116"/>
    <mergeCell ref="G190:H190"/>
  </mergeCells>
  <pageMargins left="0.511811024" right="0.511811024" top="0.78740157499999996" bottom="0.78740157499999996" header="0.31496062000000002" footer="0.31496062000000002"/>
  <pageSetup paperSize="9" orientation="portrait" r:id="rId1"/>
  <cellWatches>
    <cellWatch r="G175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2F06-5602-5F47-B4A2-8018ED1F6A63}">
  <dimension ref="B3:E20"/>
  <sheetViews>
    <sheetView zoomScale="179" workbookViewId="0">
      <selection activeCell="E20" sqref="E20"/>
    </sheetView>
  </sheetViews>
  <sheetFormatPr defaultColWidth="11.5546875" defaultRowHeight="13.8"/>
  <cols>
    <col min="2" max="2" width="10.77734375" bestFit="1" customWidth="1"/>
  </cols>
  <sheetData>
    <row r="3" spans="2:5" ht="14.4" thickBot="1">
      <c r="B3" s="25" t="s">
        <v>307</v>
      </c>
      <c r="C3" s="25"/>
      <c r="D3" s="26"/>
      <c r="E3" s="27">
        <f>E4-E5</f>
        <v>104.5</v>
      </c>
    </row>
    <row r="4" spans="2:5">
      <c r="B4" s="28" t="s">
        <v>301</v>
      </c>
      <c r="C4" s="28"/>
      <c r="D4" s="29"/>
      <c r="E4" s="30">
        <v>110</v>
      </c>
    </row>
    <row r="5" spans="2:5">
      <c r="B5" s="31" t="s">
        <v>353</v>
      </c>
      <c r="C5" s="31"/>
      <c r="D5" s="32"/>
      <c r="E5" s="33">
        <f>E4*5%</f>
        <v>5.5</v>
      </c>
    </row>
    <row r="6" spans="2:5">
      <c r="B6" s="32"/>
      <c r="C6" s="32"/>
      <c r="D6" s="32"/>
      <c r="E6" s="34"/>
    </row>
    <row r="7" spans="2:5">
      <c r="B7" s="35" t="s">
        <v>354</v>
      </c>
      <c r="C7" s="35"/>
      <c r="D7" s="35"/>
      <c r="E7" s="35">
        <f>SUM(E9:E14)</f>
        <v>79.5</v>
      </c>
    </row>
    <row r="8" spans="2:5" ht="14.4" thickBot="1">
      <c r="B8" s="25" t="s">
        <v>355</v>
      </c>
      <c r="C8" s="25"/>
      <c r="D8" s="25"/>
      <c r="E8" s="25"/>
    </row>
    <row r="9" spans="2:5">
      <c r="B9" s="36" t="s">
        <v>272</v>
      </c>
      <c r="C9" s="29"/>
      <c r="D9" s="29"/>
      <c r="E9" s="30">
        <v>31</v>
      </c>
    </row>
    <row r="10" spans="2:5">
      <c r="B10" s="37" t="s">
        <v>356</v>
      </c>
      <c r="C10" s="32"/>
      <c r="D10" s="32"/>
      <c r="E10" s="33">
        <v>15</v>
      </c>
    </row>
    <row r="11" spans="2:5">
      <c r="B11" s="31" t="s">
        <v>275</v>
      </c>
      <c r="C11" s="31"/>
      <c r="D11" s="32"/>
      <c r="E11" s="33">
        <v>16</v>
      </c>
    </row>
    <row r="12" spans="2:5">
      <c r="B12" s="31" t="s">
        <v>357</v>
      </c>
      <c r="C12" s="31"/>
      <c r="D12" s="32"/>
      <c r="E12" s="33">
        <v>11</v>
      </c>
    </row>
    <row r="13" spans="2:5">
      <c r="B13" s="37" t="s">
        <v>358</v>
      </c>
      <c r="C13" s="32"/>
      <c r="D13" s="32"/>
      <c r="E13" s="33">
        <v>3</v>
      </c>
    </row>
    <row r="14" spans="2:5">
      <c r="B14" s="38" t="s">
        <v>359</v>
      </c>
      <c r="C14" s="38"/>
      <c r="D14" s="38"/>
      <c r="E14" s="39">
        <v>3.5</v>
      </c>
    </row>
    <row r="15" spans="2:5" ht="14.4" thickBot="1">
      <c r="B15" s="40"/>
      <c r="C15" s="40"/>
      <c r="D15" s="40"/>
      <c r="E15" s="41"/>
    </row>
    <row r="16" spans="2:5">
      <c r="B16" s="42" t="s">
        <v>309</v>
      </c>
      <c r="C16" s="42"/>
      <c r="D16" s="42"/>
      <c r="E16" s="43">
        <f>E3-E7</f>
        <v>25</v>
      </c>
    </row>
    <row r="17" spans="2:5" ht="14.4" thickBot="1">
      <c r="B17" s="25" t="s">
        <v>360</v>
      </c>
      <c r="C17" s="25"/>
      <c r="D17" s="26"/>
      <c r="E17" s="44">
        <f>E16/E3</f>
        <v>0.23923444976076555</v>
      </c>
    </row>
    <row r="19" spans="2:5">
      <c r="B19" t="s">
        <v>361</v>
      </c>
      <c r="D19">
        <v>6</v>
      </c>
      <c r="E19">
        <f>D19*E16</f>
        <v>150</v>
      </c>
    </row>
    <row r="20" spans="2:5">
      <c r="D20">
        <v>7</v>
      </c>
      <c r="E20">
        <f>D20*E16</f>
        <v>175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54ED-4697-8346-B228-5A8BEF1713F8}">
  <dimension ref="A1:IC27"/>
  <sheetViews>
    <sheetView workbookViewId="0">
      <selection activeCell="D13" sqref="D13"/>
    </sheetView>
  </sheetViews>
  <sheetFormatPr defaultColWidth="11.44140625" defaultRowHeight="13.8"/>
  <cols>
    <col min="1" max="235" width="12.77734375" customWidth="1"/>
  </cols>
  <sheetData>
    <row r="1" spans="1:2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247</v>
      </c>
      <c r="IC1" t="s">
        <v>247</v>
      </c>
    </row>
    <row r="2" spans="1:237">
      <c r="A2">
        <v>355620</v>
      </c>
      <c r="B2" t="s">
        <v>235</v>
      </c>
      <c r="C2" t="s">
        <v>236</v>
      </c>
      <c r="D2">
        <v>2021</v>
      </c>
      <c r="E2">
        <v>35562011</v>
      </c>
      <c r="F2" t="s">
        <v>237</v>
      </c>
      <c r="G2" t="s">
        <v>238</v>
      </c>
      <c r="H2" t="s">
        <v>239</v>
      </c>
      <c r="I2" t="s">
        <v>240</v>
      </c>
      <c r="J2" t="s">
        <v>241</v>
      </c>
      <c r="N2">
        <v>1</v>
      </c>
      <c r="O2">
        <v>1</v>
      </c>
      <c r="P2">
        <v>0</v>
      </c>
      <c r="Q2">
        <v>0</v>
      </c>
      <c r="W2" t="s">
        <v>242</v>
      </c>
      <c r="X2" t="s">
        <v>242</v>
      </c>
      <c r="Z2" s="1">
        <v>133169</v>
      </c>
      <c r="AA2" s="1">
        <v>126726</v>
      </c>
      <c r="AB2" s="1">
        <v>125180</v>
      </c>
      <c r="AC2" s="1">
        <v>123337</v>
      </c>
      <c r="AD2" s="1">
        <v>39464</v>
      </c>
      <c r="AE2" s="1">
        <v>38777</v>
      </c>
      <c r="AF2" s="1">
        <v>58035</v>
      </c>
      <c r="AG2" s="1">
        <v>57252</v>
      </c>
      <c r="AH2" s="1">
        <v>39464</v>
      </c>
      <c r="AI2" s="1">
        <v>38777</v>
      </c>
      <c r="AJ2">
        <v>713.7</v>
      </c>
      <c r="AK2">
        <v>709.81</v>
      </c>
      <c r="AL2" s="2">
        <v>12586.83</v>
      </c>
      <c r="AM2" s="2">
        <v>11506.72</v>
      </c>
      <c r="AN2" s="2">
        <v>7416.76</v>
      </c>
      <c r="AO2" s="2">
        <v>7416.76</v>
      </c>
      <c r="AP2" s="2">
        <v>8692.5</v>
      </c>
      <c r="AQ2" s="2">
        <v>12202.87</v>
      </c>
      <c r="AR2" s="1">
        <v>53769</v>
      </c>
      <c r="AS2" s="1">
        <v>52761</v>
      </c>
      <c r="AT2" s="1">
        <v>58035</v>
      </c>
      <c r="AU2" s="1">
        <v>57252</v>
      </c>
      <c r="AV2" s="2">
        <v>1080.1099999999999</v>
      </c>
      <c r="AW2">
        <v>0</v>
      </c>
      <c r="AX2">
        <v>34.26</v>
      </c>
      <c r="AY2">
        <v>0</v>
      </c>
      <c r="AZ2" s="2">
        <v>7018.28</v>
      </c>
      <c r="BA2" s="1">
        <v>40713</v>
      </c>
      <c r="BB2" s="1">
        <v>39399</v>
      </c>
      <c r="BC2" s="1">
        <v>53769</v>
      </c>
      <c r="BD2" s="1">
        <v>52761</v>
      </c>
      <c r="BE2">
        <v>383.96</v>
      </c>
      <c r="BG2" s="1">
        <v>125180</v>
      </c>
      <c r="BH2" s="1">
        <v>123337</v>
      </c>
      <c r="BI2" s="2">
        <v>12202.87</v>
      </c>
      <c r="BJ2" s="2">
        <v>12551.54</v>
      </c>
      <c r="BK2" s="1">
        <v>119883</v>
      </c>
      <c r="BL2" s="1">
        <v>118089</v>
      </c>
      <c r="BM2" s="1">
        <v>37587</v>
      </c>
      <c r="BN2" s="1">
        <v>36933</v>
      </c>
      <c r="BO2" s="1">
        <v>56062</v>
      </c>
      <c r="BP2" s="1">
        <v>53254</v>
      </c>
      <c r="BQ2">
        <v>627.46</v>
      </c>
      <c r="BR2">
        <v>624.30999999999995</v>
      </c>
      <c r="BS2" s="2">
        <v>6500.66</v>
      </c>
      <c r="BT2" s="2">
        <v>6500.66</v>
      </c>
      <c r="BU2" s="2">
        <v>8328.4500000000007</v>
      </c>
      <c r="BV2" s="1">
        <v>51774</v>
      </c>
      <c r="BW2" s="1">
        <v>49104</v>
      </c>
      <c r="BX2" s="1">
        <v>38655</v>
      </c>
      <c r="BY2" s="1">
        <v>37555</v>
      </c>
      <c r="BZ2">
        <v>0</v>
      </c>
      <c r="CA2">
        <v>0</v>
      </c>
      <c r="CB2">
        <v>0</v>
      </c>
      <c r="CC2">
        <v>0</v>
      </c>
      <c r="CE2" s="1">
        <v>119883</v>
      </c>
      <c r="CF2" s="1">
        <v>118089</v>
      </c>
      <c r="CG2" s="2">
        <v>1420.52</v>
      </c>
      <c r="CH2" s="2">
        <v>56304976.899999999</v>
      </c>
      <c r="CI2" s="2">
        <v>26692476.239999998</v>
      </c>
      <c r="CJ2" s="2">
        <v>29612500.66</v>
      </c>
      <c r="CK2" s="2">
        <v>5696964.5</v>
      </c>
      <c r="CL2" s="2">
        <v>62001941.399999999</v>
      </c>
      <c r="CM2" s="2">
        <v>63187759.780000001</v>
      </c>
      <c r="CN2">
        <v>0</v>
      </c>
      <c r="CO2" s="2">
        <v>15187606.310000001</v>
      </c>
      <c r="CP2" s="2">
        <v>14024716.52</v>
      </c>
      <c r="CQ2" s="2">
        <v>21100798.289999999</v>
      </c>
      <c r="CR2" s="2">
        <v>6518018.4900000002</v>
      </c>
      <c r="CS2" s="2">
        <v>9950000</v>
      </c>
      <c r="CT2" s="2">
        <v>7960518.6299999999</v>
      </c>
      <c r="CU2" s="2">
        <v>46819148.359999999</v>
      </c>
      <c r="CV2">
        <v>0</v>
      </c>
      <c r="CW2" s="2">
        <v>57193089.950000003</v>
      </c>
      <c r="CX2">
        <v>0</v>
      </c>
      <c r="CY2">
        <v>0</v>
      </c>
      <c r="CZ2" s="2">
        <v>724631.75</v>
      </c>
      <c r="DA2" s="2">
        <v>565181.19999999995</v>
      </c>
      <c r="DB2">
        <v>0</v>
      </c>
      <c r="DC2" s="2">
        <v>2381757.65</v>
      </c>
      <c r="DD2" s="2">
        <v>350762.51</v>
      </c>
      <c r="DE2" s="2">
        <v>3552304.2</v>
      </c>
      <c r="DF2">
        <v>218</v>
      </c>
      <c r="DG2">
        <v>253</v>
      </c>
      <c r="DH2">
        <v>0</v>
      </c>
      <c r="DI2" s="2">
        <v>10373941.59</v>
      </c>
      <c r="DJ2" s="2">
        <v>6284824.3600000003</v>
      </c>
      <c r="DK2">
        <v>0</v>
      </c>
      <c r="DL2">
        <v>0</v>
      </c>
      <c r="DM2" s="2">
        <v>6284824.3600000003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K2">
        <v>23</v>
      </c>
      <c r="EL2">
        <v>257</v>
      </c>
      <c r="EM2" s="1">
        <v>19321</v>
      </c>
      <c r="EN2" s="1">
        <v>14822</v>
      </c>
      <c r="EO2">
        <v>62</v>
      </c>
      <c r="EP2" s="1">
        <v>12097</v>
      </c>
      <c r="EQ2">
        <v>14</v>
      </c>
      <c r="ER2" s="1">
        <v>1279</v>
      </c>
      <c r="ES2" s="2">
        <v>3837</v>
      </c>
      <c r="ET2" s="1">
        <v>58035</v>
      </c>
      <c r="EU2" s="1">
        <v>10326</v>
      </c>
      <c r="EV2" s="1">
        <v>10326</v>
      </c>
      <c r="EW2">
        <v>109</v>
      </c>
      <c r="EX2" s="2">
        <v>1962</v>
      </c>
      <c r="EY2" s="1">
        <v>11848</v>
      </c>
      <c r="EZ2" s="1">
        <v>9023</v>
      </c>
      <c r="FA2" s="2">
        <v>14679</v>
      </c>
      <c r="FB2" s="1">
        <v>2468</v>
      </c>
      <c r="FC2">
        <v>41</v>
      </c>
      <c r="FD2" s="1">
        <v>2486</v>
      </c>
      <c r="FE2">
        <v>1.47</v>
      </c>
      <c r="FF2">
        <v>476.86</v>
      </c>
      <c r="FG2">
        <v>3.36</v>
      </c>
      <c r="FH2">
        <v>3.31</v>
      </c>
      <c r="FI2">
        <v>3.07</v>
      </c>
      <c r="FJ2">
        <v>3.56</v>
      </c>
      <c r="FK2">
        <v>50.81</v>
      </c>
      <c r="FL2" s="2">
        <v>89599.99</v>
      </c>
      <c r="FM2">
        <v>100</v>
      </c>
      <c r="FN2">
        <v>60.61</v>
      </c>
      <c r="FO2">
        <v>96.69</v>
      </c>
      <c r="FP2">
        <v>98.45</v>
      </c>
      <c r="FQ2">
        <v>28.97</v>
      </c>
      <c r="FR2">
        <v>10.72</v>
      </c>
      <c r="FS2">
        <v>87.65</v>
      </c>
      <c r="FT2">
        <v>100</v>
      </c>
      <c r="FU2">
        <v>12.57</v>
      </c>
      <c r="FV2">
        <v>324.35000000000002</v>
      </c>
      <c r="FW2">
        <v>346.24</v>
      </c>
      <c r="FX2">
        <v>17.77</v>
      </c>
      <c r="FY2">
        <v>16.43</v>
      </c>
      <c r="FZ2">
        <v>163.53</v>
      </c>
      <c r="GA2">
        <v>98.78</v>
      </c>
      <c r="GB2">
        <v>94.6</v>
      </c>
      <c r="GC2">
        <v>18.25</v>
      </c>
      <c r="GD2">
        <v>2.75</v>
      </c>
      <c r="GE2">
        <v>416.91</v>
      </c>
      <c r="GF2">
        <v>71.03</v>
      </c>
      <c r="GG2">
        <v>-1.91</v>
      </c>
      <c r="GH2">
        <v>83.15</v>
      </c>
      <c r="GI2">
        <v>37.479999999999997</v>
      </c>
      <c r="GJ2">
        <v>51.61</v>
      </c>
      <c r="GK2">
        <v>0</v>
      </c>
      <c r="GL2">
        <v>0</v>
      </c>
      <c r="GM2">
        <v>45.07</v>
      </c>
      <c r="GN2">
        <v>62.07</v>
      </c>
      <c r="GO2">
        <v>21.25</v>
      </c>
      <c r="GP2">
        <v>13.92</v>
      </c>
      <c r="GQ2">
        <v>0</v>
      </c>
      <c r="GR2">
        <v>43.05</v>
      </c>
      <c r="GS2">
        <v>47.76</v>
      </c>
      <c r="GT2">
        <v>9.19</v>
      </c>
      <c r="GU2">
        <v>92.4</v>
      </c>
      <c r="GV2">
        <v>100</v>
      </c>
      <c r="GW2">
        <v>6.02</v>
      </c>
      <c r="GX2">
        <v>87.65</v>
      </c>
      <c r="GY2">
        <v>94.6</v>
      </c>
      <c r="GZ2">
        <v>3.08</v>
      </c>
      <c r="HA2">
        <v>39.39</v>
      </c>
      <c r="HB2">
        <v>18.55</v>
      </c>
      <c r="HC2">
        <v>337.58</v>
      </c>
      <c r="HD2">
        <v>60.61</v>
      </c>
      <c r="HE2">
        <v>10.72</v>
      </c>
      <c r="HF2">
        <v>88.18</v>
      </c>
      <c r="HG2">
        <v>94</v>
      </c>
      <c r="HH2">
        <v>90.02</v>
      </c>
      <c r="HI2">
        <v>96.69</v>
      </c>
      <c r="HJ2">
        <v>0.99</v>
      </c>
      <c r="HK2">
        <v>0.22</v>
      </c>
      <c r="HL2">
        <v>0.71</v>
      </c>
      <c r="HM2">
        <v>840.04</v>
      </c>
      <c r="HN2">
        <v>11.17</v>
      </c>
      <c r="HO2">
        <v>532.42999999999995</v>
      </c>
      <c r="HP2">
        <v>18</v>
      </c>
      <c r="HQ2">
        <v>0.42</v>
      </c>
      <c r="HR2">
        <v>0.12</v>
      </c>
      <c r="HS2">
        <v>3</v>
      </c>
      <c r="HT2">
        <v>143.54</v>
      </c>
      <c r="HU2">
        <v>117.15</v>
      </c>
      <c r="HV2">
        <v>2.04</v>
      </c>
      <c r="HW2">
        <v>1.63</v>
      </c>
      <c r="HX2">
        <v>1.66</v>
      </c>
      <c r="HY2">
        <v>99.28</v>
      </c>
      <c r="HZ2">
        <v>134.96</v>
      </c>
      <c r="IA2">
        <v>235.49</v>
      </c>
    </row>
    <row r="3" spans="1:237">
      <c r="A3">
        <v>355620</v>
      </c>
      <c r="B3" t="s">
        <v>235</v>
      </c>
      <c r="C3" t="s">
        <v>236</v>
      </c>
      <c r="D3">
        <v>2020</v>
      </c>
      <c r="E3">
        <v>35562011</v>
      </c>
      <c r="F3" t="s">
        <v>237</v>
      </c>
      <c r="G3" t="s">
        <v>238</v>
      </c>
      <c r="H3" t="s">
        <v>239</v>
      </c>
      <c r="I3" t="s">
        <v>240</v>
      </c>
      <c r="J3" t="s">
        <v>241</v>
      </c>
      <c r="N3">
        <v>1</v>
      </c>
      <c r="O3">
        <v>1</v>
      </c>
      <c r="P3">
        <v>0</v>
      </c>
      <c r="Q3">
        <v>0</v>
      </c>
      <c r="W3" t="s">
        <v>242</v>
      </c>
      <c r="X3" t="s">
        <v>242</v>
      </c>
      <c r="Z3" s="1">
        <v>131210</v>
      </c>
      <c r="AA3" s="1">
        <v>124862</v>
      </c>
      <c r="AB3" s="1">
        <v>123337</v>
      </c>
      <c r="AC3" s="1">
        <v>120483</v>
      </c>
      <c r="AD3" s="1">
        <v>38777</v>
      </c>
      <c r="AE3" s="1">
        <v>38051</v>
      </c>
      <c r="AF3" s="1">
        <v>57252</v>
      </c>
      <c r="AG3" s="1">
        <v>54669</v>
      </c>
      <c r="AH3" s="1">
        <v>38777</v>
      </c>
      <c r="AI3" s="1">
        <v>38051</v>
      </c>
      <c r="AJ3">
        <v>709.81</v>
      </c>
      <c r="AK3">
        <v>672.45</v>
      </c>
      <c r="AL3" s="2">
        <v>12930.38</v>
      </c>
      <c r="AM3" s="2">
        <v>11844.06</v>
      </c>
      <c r="AN3" s="2">
        <v>7985.84</v>
      </c>
      <c r="AO3" s="2">
        <v>7985.84</v>
      </c>
      <c r="AP3" s="2">
        <v>9335.41</v>
      </c>
      <c r="AQ3" s="2">
        <v>11446.23</v>
      </c>
      <c r="AR3" s="1">
        <v>52761</v>
      </c>
      <c r="AS3" s="1">
        <v>50433</v>
      </c>
      <c r="AT3" s="1">
        <v>57252</v>
      </c>
      <c r="AU3" s="1">
        <v>54669</v>
      </c>
      <c r="AV3" s="2">
        <v>1086.32</v>
      </c>
      <c r="AW3">
        <v>0</v>
      </c>
      <c r="AX3">
        <v>14.31</v>
      </c>
      <c r="AY3">
        <v>0</v>
      </c>
      <c r="AZ3" s="2">
        <v>7335.65</v>
      </c>
      <c r="BA3" s="1">
        <v>39399</v>
      </c>
      <c r="BB3" s="1">
        <v>39621</v>
      </c>
      <c r="BC3" s="1">
        <v>52761</v>
      </c>
      <c r="BD3" s="1">
        <v>50433</v>
      </c>
      <c r="BE3">
        <v>397.82</v>
      </c>
      <c r="BG3" s="1">
        <v>123337</v>
      </c>
      <c r="BH3" s="1">
        <v>120483</v>
      </c>
      <c r="BI3" s="2">
        <v>12241.88</v>
      </c>
      <c r="BJ3" s="2">
        <v>12497.84</v>
      </c>
      <c r="BK3" s="1">
        <v>118089</v>
      </c>
      <c r="BL3" s="1">
        <v>115737</v>
      </c>
      <c r="BM3" s="1">
        <v>36933</v>
      </c>
      <c r="BN3" s="1">
        <v>36272</v>
      </c>
      <c r="BO3" s="1">
        <v>53254</v>
      </c>
      <c r="BP3" s="1">
        <v>49025</v>
      </c>
      <c r="BQ3">
        <v>624.30999999999995</v>
      </c>
      <c r="BR3">
        <v>629.54</v>
      </c>
      <c r="BS3" s="2">
        <v>6673.86</v>
      </c>
      <c r="BT3" s="2">
        <v>6673.86</v>
      </c>
      <c r="BU3" s="2">
        <v>9335.41</v>
      </c>
      <c r="BV3" s="1">
        <v>49104</v>
      </c>
      <c r="BW3" s="1">
        <v>44821</v>
      </c>
      <c r="BX3" s="1">
        <v>37555</v>
      </c>
      <c r="BY3" s="1">
        <v>37611</v>
      </c>
      <c r="BZ3">
        <v>0</v>
      </c>
      <c r="CA3">
        <v>0</v>
      </c>
      <c r="CB3">
        <v>0</v>
      </c>
      <c r="CC3">
        <v>0</v>
      </c>
      <c r="CE3" s="1">
        <v>118089</v>
      </c>
      <c r="CF3" s="1">
        <v>115737</v>
      </c>
      <c r="CG3" s="2">
        <v>1282.51</v>
      </c>
      <c r="CH3" s="2">
        <v>59146825.789999999</v>
      </c>
      <c r="CI3" s="2">
        <v>28540099.34</v>
      </c>
      <c r="CJ3" s="2">
        <v>30606726.449999999</v>
      </c>
      <c r="CK3" s="2">
        <v>9403456.2400000002</v>
      </c>
      <c r="CL3" s="2">
        <v>68550282.030000001</v>
      </c>
      <c r="CM3" s="2">
        <v>69573222.239999995</v>
      </c>
      <c r="CN3">
        <v>0</v>
      </c>
      <c r="CO3" s="2">
        <v>14024716.52</v>
      </c>
      <c r="CP3" s="2">
        <v>17175399.559999999</v>
      </c>
      <c r="CQ3" s="2">
        <v>22321680.09</v>
      </c>
      <c r="CR3" s="2">
        <v>6508863.3399999999</v>
      </c>
      <c r="CS3" s="2">
        <v>7544969.8099999996</v>
      </c>
      <c r="CT3" s="2">
        <v>6006455.8899999997</v>
      </c>
      <c r="CU3" s="2">
        <v>43422419.030000001</v>
      </c>
      <c r="CV3">
        <v>0</v>
      </c>
      <c r="CW3" s="2">
        <v>60757922.960000001</v>
      </c>
      <c r="CX3" s="2">
        <v>436200</v>
      </c>
      <c r="CY3">
        <v>0</v>
      </c>
      <c r="CZ3" s="2">
        <v>403750</v>
      </c>
      <c r="DA3" s="2">
        <v>636699.9</v>
      </c>
      <c r="DB3">
        <v>0</v>
      </c>
      <c r="DC3" s="2">
        <v>4722075.18</v>
      </c>
      <c r="DD3" s="2">
        <v>2336091.04</v>
      </c>
      <c r="DE3" s="2">
        <v>1749788.13</v>
      </c>
      <c r="DF3">
        <v>253</v>
      </c>
      <c r="DG3">
        <v>227</v>
      </c>
      <c r="DH3">
        <v>0</v>
      </c>
      <c r="DI3" s="2">
        <v>17335503.93</v>
      </c>
      <c r="DJ3" s="2">
        <v>8807954.3499999996</v>
      </c>
      <c r="DK3">
        <v>0</v>
      </c>
      <c r="DL3" s="2">
        <v>436200</v>
      </c>
      <c r="DM3" s="2">
        <v>9244154.3499999996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K3">
        <v>18</v>
      </c>
      <c r="EL3">
        <v>153</v>
      </c>
      <c r="EM3" s="1">
        <v>25261</v>
      </c>
      <c r="EN3" s="1">
        <v>17542</v>
      </c>
      <c r="EO3">
        <v>308</v>
      </c>
      <c r="EP3" s="1">
        <v>14063</v>
      </c>
      <c r="EQ3">
        <v>79</v>
      </c>
      <c r="ER3" s="1">
        <v>1786</v>
      </c>
      <c r="ES3" s="2">
        <v>5358</v>
      </c>
      <c r="ET3">
        <v>0</v>
      </c>
      <c r="EU3" s="1">
        <v>11232</v>
      </c>
      <c r="EV3" s="1">
        <v>11232</v>
      </c>
      <c r="EW3">
        <v>0</v>
      </c>
      <c r="EX3">
        <v>0</v>
      </c>
      <c r="EY3" s="1">
        <v>10682</v>
      </c>
      <c r="EZ3" s="1">
        <v>10682</v>
      </c>
      <c r="FA3" s="2">
        <v>21364</v>
      </c>
      <c r="FB3" s="1">
        <v>3165</v>
      </c>
      <c r="FC3">
        <v>109</v>
      </c>
      <c r="FD3" s="1">
        <v>3252</v>
      </c>
      <c r="FE3">
        <v>1.46</v>
      </c>
      <c r="FF3">
        <v>446.25</v>
      </c>
      <c r="FG3">
        <v>3.25</v>
      </c>
      <c r="FH3">
        <v>3.17</v>
      </c>
      <c r="FI3">
        <v>3.06</v>
      </c>
      <c r="FJ3">
        <v>3.28</v>
      </c>
      <c r="FK3">
        <v>46.62</v>
      </c>
      <c r="FL3" s="2">
        <v>93007</v>
      </c>
      <c r="FM3">
        <v>100</v>
      </c>
      <c r="FN3">
        <v>63.65</v>
      </c>
      <c r="FO3">
        <v>88.42</v>
      </c>
      <c r="FP3">
        <v>97.35</v>
      </c>
      <c r="FQ3">
        <v>25.6</v>
      </c>
      <c r="FR3">
        <v>11.89</v>
      </c>
      <c r="FS3">
        <v>83.57</v>
      </c>
      <c r="FT3">
        <v>100</v>
      </c>
      <c r="FU3">
        <v>13.9</v>
      </c>
      <c r="FV3">
        <v>304.58</v>
      </c>
      <c r="FW3">
        <v>351.63</v>
      </c>
      <c r="FX3">
        <v>17.489999999999998</v>
      </c>
      <c r="FY3">
        <v>16.68</v>
      </c>
      <c r="FZ3">
        <v>179.47</v>
      </c>
      <c r="GA3">
        <v>98.78</v>
      </c>
      <c r="GB3">
        <v>94.58</v>
      </c>
      <c r="GC3">
        <v>19.28</v>
      </c>
      <c r="GD3">
        <v>2.33</v>
      </c>
      <c r="GE3">
        <v>405.44</v>
      </c>
      <c r="GF3">
        <v>74.400000000000006</v>
      </c>
      <c r="GG3">
        <v>-1.49</v>
      </c>
      <c r="GH3">
        <v>73.41</v>
      </c>
      <c r="GI3">
        <v>37.74</v>
      </c>
      <c r="GJ3">
        <v>47.89</v>
      </c>
      <c r="GK3">
        <v>0</v>
      </c>
      <c r="GL3">
        <v>0</v>
      </c>
      <c r="GM3">
        <v>51.41</v>
      </c>
      <c r="GN3">
        <v>65.239999999999995</v>
      </c>
      <c r="GO3">
        <v>17.38</v>
      </c>
      <c r="GP3">
        <v>14.99</v>
      </c>
      <c r="GQ3">
        <v>0</v>
      </c>
      <c r="GR3">
        <v>41.63</v>
      </c>
      <c r="GS3">
        <v>44.65</v>
      </c>
      <c r="GT3">
        <v>13.72</v>
      </c>
      <c r="GU3">
        <v>92.2</v>
      </c>
      <c r="GV3">
        <v>100</v>
      </c>
      <c r="GW3">
        <v>6.25</v>
      </c>
      <c r="GX3">
        <v>83.57</v>
      </c>
      <c r="GY3">
        <v>94.58</v>
      </c>
      <c r="GZ3">
        <v>3.2</v>
      </c>
      <c r="HA3">
        <v>36.35</v>
      </c>
      <c r="HB3">
        <v>18.079999999999998</v>
      </c>
      <c r="HC3">
        <v>325.3</v>
      </c>
      <c r="HD3">
        <v>63.65</v>
      </c>
      <c r="HE3">
        <v>11.89</v>
      </c>
      <c r="HF3">
        <v>73.650000000000006</v>
      </c>
      <c r="HG3">
        <v>94</v>
      </c>
      <c r="HH3">
        <v>90</v>
      </c>
      <c r="HI3">
        <v>94.57</v>
      </c>
      <c r="HJ3">
        <v>0.97</v>
      </c>
      <c r="HK3">
        <v>0.19</v>
      </c>
      <c r="HL3">
        <v>0.55000000000000004</v>
      </c>
      <c r="HM3" s="2">
        <v>1403.39</v>
      </c>
      <c r="HN3">
        <v>8.5</v>
      </c>
      <c r="HQ3">
        <v>1.76</v>
      </c>
      <c r="HR3">
        <v>0.56000000000000005</v>
      </c>
      <c r="HS3">
        <v>3</v>
      </c>
      <c r="HT3">
        <v>156.18</v>
      </c>
      <c r="HU3">
        <v>125.2</v>
      </c>
      <c r="HV3">
        <v>2.86</v>
      </c>
      <c r="HW3">
        <v>2</v>
      </c>
      <c r="HX3">
        <v>3.44</v>
      </c>
      <c r="HY3">
        <v>97.32</v>
      </c>
      <c r="HZ3">
        <v>160.22</v>
      </c>
      <c r="IA3">
        <v>246.29</v>
      </c>
    </row>
    <row r="4" spans="1:237">
      <c r="A4">
        <v>355620</v>
      </c>
      <c r="B4" t="s">
        <v>235</v>
      </c>
      <c r="C4" t="s">
        <v>236</v>
      </c>
      <c r="D4">
        <v>2019</v>
      </c>
      <c r="E4">
        <v>35562011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N4">
        <v>1</v>
      </c>
      <c r="O4">
        <v>1</v>
      </c>
      <c r="P4">
        <v>0</v>
      </c>
      <c r="Q4">
        <v>0</v>
      </c>
      <c r="W4" t="s">
        <v>242</v>
      </c>
      <c r="X4" t="s">
        <v>242</v>
      </c>
      <c r="Z4" s="1">
        <v>129193</v>
      </c>
      <c r="AA4" s="1">
        <v>122942</v>
      </c>
      <c r="AB4" s="1">
        <v>120483</v>
      </c>
      <c r="AC4" s="1">
        <v>118352</v>
      </c>
      <c r="AD4" s="1">
        <v>38051</v>
      </c>
      <c r="AE4" s="1">
        <v>37186</v>
      </c>
      <c r="AF4" s="1">
        <v>54669</v>
      </c>
      <c r="AG4" s="1">
        <v>53381</v>
      </c>
      <c r="AH4" s="1">
        <v>38051</v>
      </c>
      <c r="AI4" s="1">
        <v>37186</v>
      </c>
      <c r="AJ4">
        <v>672.45</v>
      </c>
      <c r="AK4">
        <v>667.29</v>
      </c>
      <c r="AL4" s="2">
        <v>12373.99</v>
      </c>
      <c r="AM4" s="2">
        <v>11399.77</v>
      </c>
      <c r="AN4" s="2">
        <v>7696.52</v>
      </c>
      <c r="AO4" s="2">
        <v>7696.52</v>
      </c>
      <c r="AP4" s="2">
        <v>9131.5400000000009</v>
      </c>
      <c r="AQ4" s="2">
        <v>11965.58</v>
      </c>
      <c r="AR4" s="1">
        <v>50433</v>
      </c>
      <c r="AS4" s="1">
        <v>49323</v>
      </c>
      <c r="AT4" s="1">
        <v>54669</v>
      </c>
      <c r="AU4" s="1">
        <v>53381</v>
      </c>
      <c r="AV4">
        <v>974.22</v>
      </c>
      <c r="AW4">
        <v>0</v>
      </c>
      <c r="AX4">
        <v>0</v>
      </c>
      <c r="AY4">
        <v>0</v>
      </c>
      <c r="AZ4" s="2">
        <v>6940.7</v>
      </c>
      <c r="BA4" s="1">
        <v>39621</v>
      </c>
      <c r="BB4" s="1">
        <v>38649</v>
      </c>
      <c r="BC4" s="1">
        <v>50433</v>
      </c>
      <c r="BD4" s="1">
        <v>49323</v>
      </c>
      <c r="BE4">
        <v>408.4</v>
      </c>
      <c r="BG4" s="1">
        <v>120483</v>
      </c>
      <c r="BH4" s="1">
        <v>118352</v>
      </c>
      <c r="BI4" s="2">
        <v>12373.99</v>
      </c>
      <c r="BJ4" s="2">
        <v>21151.96</v>
      </c>
      <c r="BK4" s="1">
        <v>115737</v>
      </c>
      <c r="BL4" s="1">
        <v>113883</v>
      </c>
      <c r="BM4" s="1">
        <v>36272</v>
      </c>
      <c r="BN4" s="1">
        <v>35349</v>
      </c>
      <c r="BO4" s="1">
        <v>49025</v>
      </c>
      <c r="BP4" s="1">
        <v>47752</v>
      </c>
      <c r="BQ4">
        <v>629.54</v>
      </c>
      <c r="BR4">
        <v>618.42999999999995</v>
      </c>
      <c r="BS4" s="2">
        <v>7104.35</v>
      </c>
      <c r="BT4" s="2">
        <v>7104.35</v>
      </c>
      <c r="BU4" s="2">
        <v>9131.5400000000009</v>
      </c>
      <c r="BV4" s="1">
        <v>44821</v>
      </c>
      <c r="BW4" s="1">
        <v>43740</v>
      </c>
      <c r="BX4" s="1">
        <v>37611</v>
      </c>
      <c r="BY4" s="1">
        <v>36594</v>
      </c>
      <c r="BZ4">
        <v>0</v>
      </c>
      <c r="CA4">
        <v>0</v>
      </c>
      <c r="CB4">
        <v>0</v>
      </c>
      <c r="CC4">
        <v>0</v>
      </c>
      <c r="CE4" s="1">
        <v>115737</v>
      </c>
      <c r="CF4" s="1">
        <v>113883</v>
      </c>
      <c r="CG4" s="2">
        <v>1622.86</v>
      </c>
      <c r="CH4" s="2">
        <v>54773554.829999998</v>
      </c>
      <c r="CI4" s="2">
        <v>26590453.370000001</v>
      </c>
      <c r="CJ4" s="2">
        <v>28183101.460000001</v>
      </c>
      <c r="CK4" s="2">
        <v>4613436.33</v>
      </c>
      <c r="CL4" s="2">
        <v>59386991.159999996</v>
      </c>
      <c r="CM4" s="2">
        <v>61410778.359999999</v>
      </c>
      <c r="CN4">
        <v>0</v>
      </c>
      <c r="CO4" s="2">
        <v>17175399.559999999</v>
      </c>
      <c r="CP4" s="2">
        <v>12453224.02</v>
      </c>
      <c r="CQ4" s="2">
        <v>20966656.57</v>
      </c>
      <c r="CR4" s="2">
        <v>5931335.9299999997</v>
      </c>
      <c r="CS4" s="2">
        <v>5545000</v>
      </c>
      <c r="CT4" s="2">
        <v>7854699.0999999996</v>
      </c>
      <c r="CU4" s="2">
        <v>40955667.350000001</v>
      </c>
      <c r="CV4">
        <v>0</v>
      </c>
      <c r="CW4" s="2">
        <v>54649721.939999998</v>
      </c>
      <c r="CX4" s="2">
        <v>2090000</v>
      </c>
      <c r="CY4">
        <v>0</v>
      </c>
      <c r="CZ4">
        <v>0</v>
      </c>
      <c r="DA4" s="2">
        <v>657975.73</v>
      </c>
      <c r="DB4">
        <v>0</v>
      </c>
      <c r="DC4" s="2">
        <v>2789445.51</v>
      </c>
      <c r="DD4" s="2">
        <v>196706.87</v>
      </c>
      <c r="DE4" s="2">
        <v>2332971.35</v>
      </c>
      <c r="DF4">
        <v>227</v>
      </c>
      <c r="DG4">
        <v>260</v>
      </c>
      <c r="DH4">
        <v>0</v>
      </c>
      <c r="DI4" s="2">
        <v>13694054.59</v>
      </c>
      <c r="DJ4" s="2">
        <v>5319123.7300000004</v>
      </c>
      <c r="DK4">
        <v>0</v>
      </c>
      <c r="DL4" s="2">
        <v>2090000</v>
      </c>
      <c r="DM4" s="2">
        <v>7409123.7300000004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K4">
        <v>21</v>
      </c>
      <c r="EL4">
        <v>179</v>
      </c>
      <c r="EM4" s="1">
        <v>8713</v>
      </c>
      <c r="EN4" s="1">
        <v>17576</v>
      </c>
      <c r="EO4">
        <v>367</v>
      </c>
      <c r="EP4" s="1">
        <v>14054</v>
      </c>
      <c r="EQ4">
        <v>133</v>
      </c>
      <c r="ER4" s="1">
        <v>1696</v>
      </c>
      <c r="ES4" s="2">
        <v>5088</v>
      </c>
      <c r="ET4" s="1">
        <v>7050</v>
      </c>
      <c r="EU4" s="1">
        <v>11232</v>
      </c>
      <c r="EV4" s="1">
        <v>11232</v>
      </c>
      <c r="EW4">
        <v>16</v>
      </c>
      <c r="EX4">
        <v>149</v>
      </c>
      <c r="EY4" s="1">
        <v>10519</v>
      </c>
      <c r="EZ4" s="1">
        <v>10519</v>
      </c>
      <c r="FA4" s="2">
        <v>21038</v>
      </c>
      <c r="FB4" s="1">
        <v>2770</v>
      </c>
      <c r="FC4">
        <v>90</v>
      </c>
      <c r="FD4" s="1">
        <v>2664</v>
      </c>
      <c r="FE4">
        <v>1.44</v>
      </c>
      <c r="FF4">
        <v>420.59</v>
      </c>
      <c r="FG4">
        <v>2.99</v>
      </c>
      <c r="FH4">
        <v>3</v>
      </c>
      <c r="FI4">
        <v>2.91</v>
      </c>
      <c r="FJ4">
        <v>3.09</v>
      </c>
      <c r="FK4">
        <v>52.74</v>
      </c>
      <c r="FL4" s="2">
        <v>86105.37</v>
      </c>
      <c r="FM4">
        <v>100</v>
      </c>
      <c r="FN4">
        <v>64.319999999999993</v>
      </c>
      <c r="FO4">
        <v>96.7</v>
      </c>
      <c r="FP4">
        <v>100.23</v>
      </c>
      <c r="FQ4">
        <v>23.69</v>
      </c>
      <c r="FR4">
        <v>11.87</v>
      </c>
      <c r="FS4">
        <v>92.31</v>
      </c>
      <c r="FT4">
        <v>100</v>
      </c>
      <c r="FU4">
        <v>14.09</v>
      </c>
      <c r="FV4">
        <v>334.72</v>
      </c>
      <c r="FW4">
        <v>305.97000000000003</v>
      </c>
      <c r="FX4">
        <v>17.12</v>
      </c>
      <c r="FY4">
        <v>16.82</v>
      </c>
      <c r="FZ4">
        <v>176.58</v>
      </c>
      <c r="GA4">
        <v>98</v>
      </c>
      <c r="GB4">
        <v>94.14</v>
      </c>
      <c r="GC4">
        <v>19.09</v>
      </c>
      <c r="GD4">
        <v>2.2400000000000002</v>
      </c>
      <c r="GE4">
        <v>399.9</v>
      </c>
      <c r="GF4">
        <v>76.31</v>
      </c>
      <c r="GG4">
        <v>-3.41</v>
      </c>
      <c r="GH4">
        <v>74.77</v>
      </c>
      <c r="GI4">
        <v>38.28</v>
      </c>
      <c r="GJ4">
        <v>52.62</v>
      </c>
      <c r="GK4">
        <v>0</v>
      </c>
      <c r="GL4">
        <v>0</v>
      </c>
      <c r="GM4">
        <v>51.19</v>
      </c>
      <c r="GN4">
        <v>70.37</v>
      </c>
      <c r="GO4">
        <v>13.54</v>
      </c>
      <c r="GP4">
        <v>14.48</v>
      </c>
      <c r="GQ4">
        <v>0</v>
      </c>
      <c r="GR4">
        <v>44.77</v>
      </c>
      <c r="GS4">
        <v>47.46</v>
      </c>
      <c r="GT4">
        <v>7.77</v>
      </c>
      <c r="GU4">
        <v>92.32</v>
      </c>
      <c r="GV4">
        <v>100</v>
      </c>
      <c r="GW4">
        <v>6.47</v>
      </c>
      <c r="GX4">
        <v>92.31</v>
      </c>
      <c r="GY4">
        <v>94.14</v>
      </c>
      <c r="GZ4">
        <v>3.32</v>
      </c>
      <c r="HA4">
        <v>35.68</v>
      </c>
      <c r="HB4">
        <v>17.46</v>
      </c>
      <c r="HC4">
        <v>310.91000000000003</v>
      </c>
      <c r="HD4">
        <v>64.319999999999993</v>
      </c>
      <c r="HE4">
        <v>11.87</v>
      </c>
      <c r="HF4">
        <v>104.12</v>
      </c>
      <c r="HG4">
        <v>93.26</v>
      </c>
      <c r="HH4">
        <v>89.58</v>
      </c>
      <c r="HI4">
        <v>100</v>
      </c>
      <c r="HJ4">
        <v>1.71</v>
      </c>
      <c r="HK4">
        <v>0.23</v>
      </c>
      <c r="HL4">
        <v>0.24</v>
      </c>
      <c r="HM4">
        <v>414.9</v>
      </c>
      <c r="HN4">
        <v>8.52</v>
      </c>
      <c r="HO4">
        <v>440.63</v>
      </c>
      <c r="HP4">
        <v>9.31</v>
      </c>
      <c r="HQ4">
        <v>2.09</v>
      </c>
      <c r="HR4">
        <v>0.95</v>
      </c>
      <c r="HS4">
        <v>3</v>
      </c>
      <c r="HT4">
        <v>156.47999999999999</v>
      </c>
      <c r="HU4">
        <v>125.12</v>
      </c>
      <c r="HV4">
        <v>2.69</v>
      </c>
      <c r="HW4">
        <v>2</v>
      </c>
      <c r="HX4">
        <v>3.25</v>
      </c>
      <c r="HY4">
        <v>103.98</v>
      </c>
      <c r="HZ4">
        <v>149.94</v>
      </c>
      <c r="IA4">
        <v>219.37</v>
      </c>
    </row>
    <row r="5" spans="1:237">
      <c r="A5">
        <v>355620</v>
      </c>
      <c r="B5" t="s">
        <v>235</v>
      </c>
      <c r="C5" t="s">
        <v>236</v>
      </c>
      <c r="D5">
        <v>2018</v>
      </c>
      <c r="E5">
        <v>35562011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N5">
        <v>1</v>
      </c>
      <c r="O5">
        <v>1</v>
      </c>
      <c r="P5">
        <v>0</v>
      </c>
      <c r="Q5">
        <v>0</v>
      </c>
      <c r="W5" t="s">
        <v>242</v>
      </c>
      <c r="X5" t="s">
        <v>242</v>
      </c>
      <c r="Z5" s="1">
        <v>127123</v>
      </c>
      <c r="AA5" s="1">
        <v>120972</v>
      </c>
      <c r="AB5" s="1">
        <v>118352</v>
      </c>
      <c r="AC5" s="1">
        <v>111932</v>
      </c>
      <c r="AD5" s="1">
        <v>37186</v>
      </c>
      <c r="AE5" s="1">
        <v>36778</v>
      </c>
      <c r="AF5" s="1">
        <v>53381</v>
      </c>
      <c r="AG5" s="1">
        <v>53054</v>
      </c>
      <c r="AH5" s="1">
        <v>37186</v>
      </c>
      <c r="AI5" s="1">
        <v>36778</v>
      </c>
      <c r="AJ5">
        <v>667.29</v>
      </c>
      <c r="AK5">
        <v>667.28</v>
      </c>
      <c r="AL5" s="2">
        <v>11941.56</v>
      </c>
      <c r="AM5" s="2">
        <v>11208.93</v>
      </c>
      <c r="AN5" s="2">
        <v>7493.33</v>
      </c>
      <c r="AO5" s="2">
        <v>7493.33</v>
      </c>
      <c r="AP5" s="2">
        <v>8878.57</v>
      </c>
      <c r="AQ5" s="2">
        <v>11941.56</v>
      </c>
      <c r="AR5" s="1">
        <v>49323</v>
      </c>
      <c r="AS5" s="1">
        <v>49126</v>
      </c>
      <c r="AT5" s="1">
        <v>53381</v>
      </c>
      <c r="AU5" s="1">
        <v>53054</v>
      </c>
      <c r="AV5">
        <v>732.63</v>
      </c>
      <c r="AW5">
        <v>0</v>
      </c>
      <c r="AX5">
        <v>0</v>
      </c>
      <c r="AY5">
        <v>0</v>
      </c>
      <c r="AZ5" s="2">
        <v>6718.81</v>
      </c>
      <c r="BA5" s="1">
        <v>38649</v>
      </c>
      <c r="BB5" s="1">
        <v>38221</v>
      </c>
      <c r="BC5" s="1">
        <v>49323</v>
      </c>
      <c r="BD5" s="1">
        <v>49126</v>
      </c>
      <c r="BE5">
        <v>405.31</v>
      </c>
      <c r="BG5" s="1">
        <v>118352</v>
      </c>
      <c r="BH5" s="1">
        <v>111932</v>
      </c>
      <c r="BI5" s="2">
        <v>11941.56</v>
      </c>
      <c r="BJ5" s="2">
        <v>9595.15</v>
      </c>
      <c r="BK5" s="1">
        <v>113883</v>
      </c>
      <c r="BL5" s="1">
        <v>107209</v>
      </c>
      <c r="BM5" s="1">
        <v>35349</v>
      </c>
      <c r="BN5" s="1">
        <v>34619</v>
      </c>
      <c r="BO5" s="1">
        <v>47752</v>
      </c>
      <c r="BP5" s="1">
        <v>46286</v>
      </c>
      <c r="BQ5">
        <v>618.42999999999995</v>
      </c>
      <c r="BR5">
        <v>616.73</v>
      </c>
      <c r="BS5" s="2">
        <v>7519.23</v>
      </c>
      <c r="BT5" s="2">
        <v>7519.23</v>
      </c>
      <c r="BU5" s="2">
        <v>8878.57</v>
      </c>
      <c r="BV5" s="1">
        <v>43740</v>
      </c>
      <c r="BW5" s="1">
        <v>42423</v>
      </c>
      <c r="BX5" s="1">
        <v>36594</v>
      </c>
      <c r="BY5" s="1">
        <v>35829</v>
      </c>
      <c r="BZ5">
        <v>0</v>
      </c>
      <c r="CA5">
        <v>0</v>
      </c>
      <c r="CB5">
        <v>0</v>
      </c>
      <c r="CC5">
        <v>0</v>
      </c>
      <c r="CE5" s="1">
        <v>113883</v>
      </c>
      <c r="CF5" s="1">
        <v>107209</v>
      </c>
      <c r="CG5" s="2">
        <v>1542.1</v>
      </c>
      <c r="CH5" s="2">
        <v>50166367.090000004</v>
      </c>
      <c r="CI5" s="2">
        <v>24224224.120000001</v>
      </c>
      <c r="CJ5" s="2">
        <v>25942142.969999999</v>
      </c>
      <c r="CK5" s="2">
        <v>2118384.67</v>
      </c>
      <c r="CL5" s="2">
        <v>52284751.759999998</v>
      </c>
      <c r="CM5" s="2">
        <v>54926946.259999998</v>
      </c>
      <c r="CN5">
        <v>0</v>
      </c>
      <c r="CO5" s="2">
        <v>12453224.02</v>
      </c>
      <c r="CP5">
        <v>0</v>
      </c>
      <c r="CQ5" s="2">
        <v>21631604.91</v>
      </c>
      <c r="CR5" s="2">
        <v>5778490.4699999997</v>
      </c>
      <c r="CS5" s="2">
        <v>6189825.0800000001</v>
      </c>
      <c r="CT5" s="2">
        <v>6554164.4699999997</v>
      </c>
      <c r="CU5" s="2">
        <v>40740134.090000004</v>
      </c>
      <c r="CV5">
        <v>0</v>
      </c>
      <c r="CW5" s="2">
        <v>48130687.219999999</v>
      </c>
      <c r="CX5" s="2">
        <v>407464.44</v>
      </c>
      <c r="CY5">
        <v>0</v>
      </c>
      <c r="CZ5">
        <v>0</v>
      </c>
      <c r="DA5" s="2">
        <v>586049.16</v>
      </c>
      <c r="DB5">
        <v>0</v>
      </c>
      <c r="DC5" s="2">
        <v>3165481.65</v>
      </c>
      <c r="DD5" s="2">
        <v>619285.79</v>
      </c>
      <c r="DE5" s="2">
        <v>1176733.6399999999</v>
      </c>
      <c r="DF5">
        <v>260</v>
      </c>
      <c r="DG5">
        <v>251</v>
      </c>
      <c r="DH5">
        <v>0</v>
      </c>
      <c r="DI5" s="2">
        <v>7390553.1299999999</v>
      </c>
      <c r="DJ5" s="2">
        <v>4961501.08</v>
      </c>
      <c r="DK5">
        <v>0</v>
      </c>
      <c r="DL5" s="2">
        <v>407464.44</v>
      </c>
      <c r="DM5" s="2">
        <v>5368965.5199999996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K5">
        <v>18</v>
      </c>
      <c r="EL5">
        <v>133</v>
      </c>
      <c r="EM5" s="1">
        <v>15432</v>
      </c>
      <c r="EN5" s="1">
        <v>17063</v>
      </c>
      <c r="EO5">
        <v>324</v>
      </c>
      <c r="EP5" s="1">
        <v>13817</v>
      </c>
      <c r="EQ5">
        <v>152</v>
      </c>
      <c r="ER5" s="1">
        <v>1530</v>
      </c>
      <c r="ES5" s="2">
        <v>3892</v>
      </c>
      <c r="ET5" s="1">
        <v>9199</v>
      </c>
      <c r="EU5" s="1">
        <v>11232</v>
      </c>
      <c r="EV5" s="1">
        <v>11232</v>
      </c>
      <c r="EW5">
        <v>12</v>
      </c>
      <c r="EX5">
        <v>121</v>
      </c>
      <c r="EY5" s="1">
        <v>8866</v>
      </c>
      <c r="EZ5" s="1">
        <v>8547</v>
      </c>
      <c r="FA5" s="2">
        <v>4160</v>
      </c>
      <c r="FB5" s="1">
        <v>2592</v>
      </c>
      <c r="FC5">
        <v>76</v>
      </c>
      <c r="FD5" s="1">
        <v>2664</v>
      </c>
      <c r="FE5">
        <v>1.44</v>
      </c>
      <c r="FF5">
        <v>392.32</v>
      </c>
      <c r="FG5">
        <v>2.71</v>
      </c>
      <c r="FH5">
        <v>2.83</v>
      </c>
      <c r="FI5">
        <v>2.73</v>
      </c>
      <c r="FJ5">
        <v>2.92</v>
      </c>
      <c r="FK5">
        <v>58.56</v>
      </c>
      <c r="FL5" s="2">
        <v>84663.82</v>
      </c>
      <c r="FM5">
        <v>100</v>
      </c>
      <c r="FN5">
        <v>64.95</v>
      </c>
      <c r="FO5">
        <v>100</v>
      </c>
      <c r="FP5">
        <v>104.23</v>
      </c>
      <c r="FQ5">
        <v>23.04</v>
      </c>
      <c r="FR5">
        <v>11.73</v>
      </c>
      <c r="FS5">
        <v>100</v>
      </c>
      <c r="FT5">
        <v>100</v>
      </c>
      <c r="FU5">
        <v>13.9</v>
      </c>
      <c r="FV5">
        <v>332.91</v>
      </c>
      <c r="FW5">
        <v>301.08999999999997</v>
      </c>
      <c r="FX5">
        <v>17.36</v>
      </c>
      <c r="FY5">
        <v>17.05</v>
      </c>
      <c r="FZ5">
        <v>178.3</v>
      </c>
      <c r="GA5">
        <v>97.83</v>
      </c>
      <c r="GB5">
        <v>94.14</v>
      </c>
      <c r="GC5">
        <v>18.7</v>
      </c>
      <c r="GD5">
        <v>2.29</v>
      </c>
      <c r="GE5">
        <v>406.44</v>
      </c>
      <c r="GF5">
        <v>76.959999999999994</v>
      </c>
      <c r="GG5">
        <v>-5.05</v>
      </c>
      <c r="GH5">
        <v>81.209999999999994</v>
      </c>
      <c r="GI5">
        <v>43.12</v>
      </c>
      <c r="GJ5">
        <v>56.18</v>
      </c>
      <c r="GK5">
        <v>0</v>
      </c>
      <c r="GL5">
        <v>0</v>
      </c>
      <c r="GM5">
        <v>53.1</v>
      </c>
      <c r="GN5">
        <v>69.180000000000007</v>
      </c>
      <c r="GO5">
        <v>15.19</v>
      </c>
      <c r="GP5">
        <v>14.18</v>
      </c>
      <c r="GQ5">
        <v>0</v>
      </c>
      <c r="GR5">
        <v>46.33</v>
      </c>
      <c r="GS5">
        <v>49.62</v>
      </c>
      <c r="GT5">
        <v>4.05</v>
      </c>
      <c r="GU5">
        <v>92.5</v>
      </c>
      <c r="GV5">
        <v>100</v>
      </c>
      <c r="GW5">
        <v>6.91</v>
      </c>
      <c r="GX5">
        <v>100</v>
      </c>
      <c r="GY5">
        <v>94.14</v>
      </c>
      <c r="GZ5">
        <v>3.55</v>
      </c>
      <c r="HA5">
        <v>35.049999999999997</v>
      </c>
      <c r="HB5">
        <v>16.600000000000001</v>
      </c>
      <c r="HC5">
        <v>299.51</v>
      </c>
      <c r="HD5">
        <v>64.95</v>
      </c>
      <c r="HE5">
        <v>11.73</v>
      </c>
      <c r="HF5">
        <v>85.75</v>
      </c>
      <c r="HG5">
        <v>93.1</v>
      </c>
      <c r="HH5">
        <v>89.58</v>
      </c>
      <c r="HI5">
        <v>100</v>
      </c>
      <c r="HJ5">
        <v>0.8</v>
      </c>
      <c r="HK5">
        <v>0.21</v>
      </c>
      <c r="HL5">
        <v>0.56000000000000005</v>
      </c>
      <c r="HM5">
        <v>857.33</v>
      </c>
      <c r="HN5">
        <v>7.39</v>
      </c>
      <c r="HO5">
        <v>766.58</v>
      </c>
      <c r="HP5">
        <v>10.08</v>
      </c>
      <c r="HQ5">
        <v>1.9</v>
      </c>
      <c r="HR5">
        <v>1.1000000000000001</v>
      </c>
      <c r="HS5">
        <v>2.54</v>
      </c>
      <c r="HT5">
        <v>151.91</v>
      </c>
      <c r="HU5">
        <v>123.01</v>
      </c>
      <c r="HV5">
        <v>2.4700000000000002</v>
      </c>
      <c r="HW5">
        <v>0.49</v>
      </c>
      <c r="HX5">
        <v>2.93</v>
      </c>
      <c r="HY5">
        <v>97.3</v>
      </c>
      <c r="HZ5">
        <v>134.82</v>
      </c>
      <c r="IA5">
        <v>216.17</v>
      </c>
    </row>
    <row r="6" spans="1:237">
      <c r="A6">
        <v>355620</v>
      </c>
      <c r="B6" t="s">
        <v>235</v>
      </c>
      <c r="C6" t="s">
        <v>236</v>
      </c>
      <c r="D6">
        <v>2017</v>
      </c>
      <c r="E6">
        <v>35562011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N6">
        <v>1</v>
      </c>
      <c r="O6">
        <v>1</v>
      </c>
      <c r="P6">
        <v>0</v>
      </c>
      <c r="Q6">
        <v>0</v>
      </c>
      <c r="W6" t="s">
        <v>242</v>
      </c>
      <c r="X6" t="s">
        <v>242</v>
      </c>
      <c r="Z6" s="1">
        <v>124024</v>
      </c>
      <c r="AA6" s="1">
        <v>118023</v>
      </c>
      <c r="AB6" s="1">
        <v>111932</v>
      </c>
      <c r="AC6" s="1">
        <v>110252</v>
      </c>
      <c r="AD6" s="1">
        <v>36778</v>
      </c>
      <c r="AE6" s="1">
        <v>35949</v>
      </c>
      <c r="AF6" s="1">
        <v>53054</v>
      </c>
      <c r="AG6" s="1">
        <v>52903</v>
      </c>
      <c r="AH6" s="1">
        <v>36778</v>
      </c>
      <c r="AI6" s="1">
        <v>35949</v>
      </c>
      <c r="AJ6">
        <v>667.28</v>
      </c>
      <c r="AK6">
        <v>662</v>
      </c>
      <c r="AL6" s="2">
        <v>12039.63</v>
      </c>
      <c r="AM6" s="2">
        <v>11125.77</v>
      </c>
      <c r="AN6" s="2">
        <v>7514.43</v>
      </c>
      <c r="AO6" s="2">
        <v>7514.43</v>
      </c>
      <c r="AP6" s="2">
        <v>8904.82</v>
      </c>
      <c r="AQ6" s="2">
        <v>12039.63</v>
      </c>
      <c r="AR6" s="1">
        <v>49126</v>
      </c>
      <c r="AS6" s="1">
        <v>48001</v>
      </c>
      <c r="AT6" s="1">
        <v>53054</v>
      </c>
      <c r="AU6" s="1">
        <v>52903</v>
      </c>
      <c r="AV6">
        <v>913.86</v>
      </c>
      <c r="AW6">
        <v>0</v>
      </c>
      <c r="AX6">
        <v>0</v>
      </c>
      <c r="AY6">
        <v>0</v>
      </c>
      <c r="AZ6" s="2">
        <v>6700.01</v>
      </c>
      <c r="BA6" s="1">
        <v>38221</v>
      </c>
      <c r="BB6" s="1">
        <v>37440</v>
      </c>
      <c r="BC6" s="1">
        <v>49126</v>
      </c>
      <c r="BD6" s="1">
        <v>48001</v>
      </c>
      <c r="BE6">
        <v>386.32</v>
      </c>
      <c r="BG6" s="1">
        <v>111932</v>
      </c>
      <c r="BH6" s="1">
        <v>110252</v>
      </c>
      <c r="BI6" s="2">
        <v>12039.63</v>
      </c>
      <c r="BJ6" s="2">
        <v>9326.98</v>
      </c>
      <c r="BK6" s="1">
        <v>107209</v>
      </c>
      <c r="BL6" s="1">
        <v>105603</v>
      </c>
      <c r="BM6" s="1">
        <v>34619</v>
      </c>
      <c r="BN6" s="1">
        <v>33727</v>
      </c>
      <c r="BO6" s="1">
        <v>46286</v>
      </c>
      <c r="BP6" s="1">
        <v>45188</v>
      </c>
      <c r="BQ6">
        <v>616.73</v>
      </c>
      <c r="BR6">
        <v>605</v>
      </c>
      <c r="BS6" s="2">
        <v>7688.71</v>
      </c>
      <c r="BT6" s="2">
        <v>7688.71</v>
      </c>
      <c r="BU6" s="2">
        <v>8905.39</v>
      </c>
      <c r="BV6" s="1">
        <v>42423</v>
      </c>
      <c r="BW6" s="1">
        <v>41623</v>
      </c>
      <c r="BX6" s="1">
        <v>35829</v>
      </c>
      <c r="BY6" s="1">
        <v>34973</v>
      </c>
      <c r="BZ6">
        <v>0</v>
      </c>
      <c r="CA6">
        <v>0</v>
      </c>
      <c r="CB6">
        <v>0</v>
      </c>
      <c r="CC6">
        <v>0</v>
      </c>
      <c r="CE6" s="1">
        <v>107209</v>
      </c>
      <c r="CF6" s="1">
        <v>105603</v>
      </c>
      <c r="CG6" s="2">
        <v>1574.82</v>
      </c>
      <c r="CH6" s="2">
        <v>46177451.789999999</v>
      </c>
      <c r="CI6" s="2">
        <v>22462941.989999998</v>
      </c>
      <c r="CJ6" s="2">
        <v>23714509.800000001</v>
      </c>
      <c r="CK6" s="2">
        <v>3198347.75</v>
      </c>
      <c r="CL6" s="2">
        <v>49375799.539999999</v>
      </c>
      <c r="CM6" s="2">
        <v>52020148.25</v>
      </c>
      <c r="CN6">
        <v>0</v>
      </c>
      <c r="CO6">
        <v>0</v>
      </c>
      <c r="CP6">
        <v>0</v>
      </c>
      <c r="CQ6" s="2">
        <v>20362879.57</v>
      </c>
      <c r="CR6" s="2">
        <v>5128470.3899999997</v>
      </c>
      <c r="CS6" s="2">
        <v>5746874.1500000004</v>
      </c>
      <c r="CT6" s="2">
        <v>5748998.3899999997</v>
      </c>
      <c r="CU6" s="2">
        <v>37494388.939999998</v>
      </c>
      <c r="CV6">
        <v>0</v>
      </c>
      <c r="CW6" s="2">
        <v>46121551.850000001</v>
      </c>
      <c r="CX6" s="2">
        <v>5406758.9699999997</v>
      </c>
      <c r="CY6">
        <v>0</v>
      </c>
      <c r="CZ6">
        <v>0</v>
      </c>
      <c r="DA6" s="2">
        <v>507166.44</v>
      </c>
      <c r="DB6">
        <v>0</v>
      </c>
      <c r="DC6" s="2">
        <v>1316971.33</v>
      </c>
      <c r="DD6" s="2">
        <v>448534.15</v>
      </c>
      <c r="DE6" s="2">
        <v>261040.44</v>
      </c>
      <c r="DF6">
        <v>251</v>
      </c>
      <c r="DG6">
        <v>257</v>
      </c>
      <c r="DH6">
        <v>0</v>
      </c>
      <c r="DI6" s="2">
        <v>8627162.9100000001</v>
      </c>
      <c r="DJ6" s="2">
        <v>2026545.92</v>
      </c>
      <c r="DK6">
        <v>0</v>
      </c>
      <c r="DL6" s="2">
        <v>5406758.9699999997</v>
      </c>
      <c r="DM6" s="2">
        <v>7433304.8899999997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K6">
        <v>31</v>
      </c>
      <c r="EL6">
        <v>316</v>
      </c>
      <c r="EM6" s="1">
        <v>37100</v>
      </c>
      <c r="EN6" s="1">
        <v>17226</v>
      </c>
      <c r="EO6">
        <v>209</v>
      </c>
      <c r="EP6" s="1">
        <v>14200</v>
      </c>
      <c r="EQ6">
        <v>260</v>
      </c>
      <c r="ER6" s="1">
        <v>1336</v>
      </c>
      <c r="ES6" s="2">
        <v>3316</v>
      </c>
      <c r="ET6" s="1">
        <v>12750</v>
      </c>
      <c r="EU6" s="1">
        <v>11232</v>
      </c>
      <c r="EV6" s="1">
        <v>11232</v>
      </c>
      <c r="EW6">
        <v>6</v>
      </c>
      <c r="EX6">
        <v>43</v>
      </c>
      <c r="EY6" s="1">
        <v>15687</v>
      </c>
      <c r="EZ6" s="1">
        <v>15211</v>
      </c>
      <c r="FA6" s="2">
        <v>8384</v>
      </c>
      <c r="FB6" s="1">
        <v>2713</v>
      </c>
      <c r="FC6">
        <v>55</v>
      </c>
      <c r="FD6" s="1">
        <v>2664</v>
      </c>
      <c r="FE6">
        <v>1.46</v>
      </c>
      <c r="FF6">
        <v>388.64</v>
      </c>
      <c r="FG6">
        <v>2.59</v>
      </c>
      <c r="FH6">
        <v>2.59</v>
      </c>
      <c r="FI6">
        <v>2.52</v>
      </c>
      <c r="FJ6">
        <v>2.66</v>
      </c>
      <c r="FK6">
        <v>56.62</v>
      </c>
      <c r="FL6" s="2">
        <v>80168.820000000007</v>
      </c>
      <c r="FM6">
        <v>100</v>
      </c>
      <c r="FN6">
        <v>64.48</v>
      </c>
      <c r="FO6">
        <v>100</v>
      </c>
      <c r="FP6">
        <v>100.12</v>
      </c>
      <c r="FQ6">
        <v>23.59</v>
      </c>
      <c r="FR6">
        <v>11.82</v>
      </c>
      <c r="FS6">
        <v>100</v>
      </c>
      <c r="FT6">
        <v>100</v>
      </c>
      <c r="FU6">
        <v>14.01</v>
      </c>
      <c r="FV6">
        <v>325.70999999999998</v>
      </c>
      <c r="FW6">
        <v>303.08</v>
      </c>
      <c r="FX6">
        <v>17.57</v>
      </c>
      <c r="FY6">
        <v>17.260000000000002</v>
      </c>
      <c r="FZ6">
        <v>185.32</v>
      </c>
      <c r="GA6">
        <v>94.84</v>
      </c>
      <c r="GB6">
        <v>90.84</v>
      </c>
      <c r="GC6">
        <v>18.940000000000001</v>
      </c>
      <c r="GD6">
        <v>2.11</v>
      </c>
      <c r="GE6">
        <v>379.82</v>
      </c>
      <c r="GF6">
        <v>76.41</v>
      </c>
      <c r="GG6">
        <v>-5.36</v>
      </c>
      <c r="GH6">
        <v>81.2</v>
      </c>
      <c r="GI6">
        <v>44.1</v>
      </c>
      <c r="GJ6">
        <v>56.55</v>
      </c>
      <c r="GK6">
        <v>0</v>
      </c>
      <c r="GL6">
        <v>0</v>
      </c>
      <c r="GM6">
        <v>54.31</v>
      </c>
      <c r="GN6">
        <v>69.64</v>
      </c>
      <c r="GO6">
        <v>15.33</v>
      </c>
      <c r="GP6">
        <v>13.68</v>
      </c>
      <c r="GQ6">
        <v>0</v>
      </c>
      <c r="GR6">
        <v>45.49</v>
      </c>
      <c r="GS6">
        <v>48.03</v>
      </c>
      <c r="GT6">
        <v>6.48</v>
      </c>
      <c r="GU6">
        <v>91.67</v>
      </c>
      <c r="GV6">
        <v>100</v>
      </c>
      <c r="GW6">
        <v>6.99</v>
      </c>
      <c r="GX6">
        <v>100</v>
      </c>
      <c r="GY6">
        <v>90.84</v>
      </c>
      <c r="GZ6">
        <v>3.6</v>
      </c>
      <c r="HA6">
        <v>35.520000000000003</v>
      </c>
      <c r="HB6">
        <v>17.059999999999999</v>
      </c>
      <c r="HC6">
        <v>311.83</v>
      </c>
      <c r="HD6">
        <v>64.48</v>
      </c>
      <c r="HE6">
        <v>11.82</v>
      </c>
      <c r="HF6">
        <v>0</v>
      </c>
      <c r="HG6">
        <v>90.25</v>
      </c>
      <c r="HH6">
        <v>86.44</v>
      </c>
      <c r="HI6">
        <v>100</v>
      </c>
      <c r="HJ6">
        <v>0.77</v>
      </c>
      <c r="HK6">
        <v>0.2</v>
      </c>
      <c r="HL6">
        <v>0.53</v>
      </c>
      <c r="HM6" s="2">
        <v>1196.77</v>
      </c>
      <c r="HN6">
        <v>10.19</v>
      </c>
      <c r="HO6" s="2">
        <v>2125</v>
      </c>
      <c r="HP6">
        <v>7.17</v>
      </c>
      <c r="HQ6">
        <v>1.21</v>
      </c>
      <c r="HR6">
        <v>1.83</v>
      </c>
      <c r="HS6">
        <v>2.48</v>
      </c>
      <c r="HT6">
        <v>153.37</v>
      </c>
      <c r="HU6">
        <v>126.42</v>
      </c>
      <c r="HV6">
        <v>2.17</v>
      </c>
      <c r="HW6">
        <v>0.55000000000000004</v>
      </c>
      <c r="HX6">
        <v>2.0299999999999998</v>
      </c>
      <c r="HY6">
        <v>101.84</v>
      </c>
      <c r="HZ6">
        <v>138.74</v>
      </c>
      <c r="IA6">
        <v>216.56</v>
      </c>
    </row>
    <row r="7" spans="1:237">
      <c r="A7">
        <v>355620</v>
      </c>
      <c r="B7" t="s">
        <v>235</v>
      </c>
      <c r="C7" t="s">
        <v>236</v>
      </c>
      <c r="D7">
        <v>2016</v>
      </c>
      <c r="E7">
        <v>35562011</v>
      </c>
      <c r="F7" t="s">
        <v>237</v>
      </c>
      <c r="G7" t="s">
        <v>238</v>
      </c>
      <c r="H7" t="s">
        <v>239</v>
      </c>
      <c r="I7" t="s">
        <v>240</v>
      </c>
      <c r="J7" t="s">
        <v>241</v>
      </c>
      <c r="N7">
        <v>1</v>
      </c>
      <c r="O7">
        <v>1</v>
      </c>
      <c r="P7">
        <v>0</v>
      </c>
      <c r="Q7">
        <v>0</v>
      </c>
      <c r="W7" t="s">
        <v>242</v>
      </c>
      <c r="X7" t="s">
        <v>242</v>
      </c>
      <c r="Z7" s="1">
        <v>122163</v>
      </c>
      <c r="AA7" s="1">
        <v>116252</v>
      </c>
      <c r="AB7" s="1">
        <v>110252</v>
      </c>
      <c r="AC7" s="1">
        <v>108534</v>
      </c>
      <c r="AD7" s="1">
        <v>35949</v>
      </c>
      <c r="AE7" s="1">
        <v>36895</v>
      </c>
      <c r="AF7" s="1">
        <v>52903</v>
      </c>
      <c r="AG7" s="1">
        <v>51609</v>
      </c>
      <c r="AH7" s="1">
        <v>35949</v>
      </c>
      <c r="AI7" s="1">
        <v>36895</v>
      </c>
      <c r="AJ7">
        <v>662</v>
      </c>
      <c r="AK7">
        <v>643.92999999999995</v>
      </c>
      <c r="AL7" s="2">
        <v>12306.48</v>
      </c>
      <c r="AM7" s="2">
        <v>11380.31</v>
      </c>
      <c r="AN7" s="2">
        <v>7152.09</v>
      </c>
      <c r="AO7" s="2">
        <v>7650.33</v>
      </c>
      <c r="AP7" s="2">
        <v>8461.8799999999992</v>
      </c>
      <c r="AQ7" s="2">
        <v>12306.48</v>
      </c>
      <c r="AR7" s="1">
        <v>48001</v>
      </c>
      <c r="AS7" s="1">
        <v>47324</v>
      </c>
      <c r="AT7" s="1">
        <v>52903</v>
      </c>
      <c r="AU7" s="1">
        <v>51609</v>
      </c>
      <c r="AV7">
        <v>926.17</v>
      </c>
      <c r="AW7">
        <v>0</v>
      </c>
      <c r="AX7">
        <v>0</v>
      </c>
      <c r="AY7">
        <v>0</v>
      </c>
      <c r="AZ7" s="2">
        <v>6669.24</v>
      </c>
      <c r="BA7" s="1">
        <v>37440</v>
      </c>
      <c r="BB7" s="1">
        <v>36895</v>
      </c>
      <c r="BC7" s="1">
        <v>48001</v>
      </c>
      <c r="BD7" s="1">
        <v>47324</v>
      </c>
      <c r="BE7">
        <v>395.99</v>
      </c>
      <c r="BG7" s="1">
        <v>110252</v>
      </c>
      <c r="BH7" s="1">
        <v>108534</v>
      </c>
      <c r="BI7" s="2">
        <v>12306.48</v>
      </c>
      <c r="BJ7" s="2">
        <v>9477.77</v>
      </c>
      <c r="BK7" s="1">
        <v>105603</v>
      </c>
      <c r="BL7" s="1">
        <v>103963</v>
      </c>
      <c r="BM7" s="1">
        <v>33727</v>
      </c>
      <c r="BN7" s="1">
        <v>36894</v>
      </c>
      <c r="BO7" s="1">
        <v>45188</v>
      </c>
      <c r="BP7" s="1">
        <v>51608</v>
      </c>
      <c r="BQ7">
        <v>605</v>
      </c>
      <c r="BR7">
        <v>612.29999999999995</v>
      </c>
      <c r="BS7" s="2">
        <v>7650.33</v>
      </c>
      <c r="BT7" s="2">
        <v>7650.33</v>
      </c>
      <c r="BU7" s="2">
        <v>7650.33</v>
      </c>
      <c r="BV7" s="1">
        <v>41623</v>
      </c>
      <c r="BW7" s="1">
        <v>51608</v>
      </c>
      <c r="BX7" s="1">
        <v>34973</v>
      </c>
      <c r="BY7" s="1">
        <v>36894</v>
      </c>
      <c r="BZ7">
        <v>0</v>
      </c>
      <c r="CA7">
        <v>0</v>
      </c>
      <c r="CB7">
        <v>0</v>
      </c>
      <c r="CC7">
        <v>0</v>
      </c>
      <c r="CE7" s="1">
        <v>105603</v>
      </c>
      <c r="CF7" s="1">
        <v>103963</v>
      </c>
      <c r="CG7" s="2">
        <v>1539.85</v>
      </c>
      <c r="CH7" s="2">
        <v>41817749.740000002</v>
      </c>
      <c r="CI7" s="2">
        <v>20285126.309999999</v>
      </c>
      <c r="CJ7" s="2">
        <v>21532623.43</v>
      </c>
      <c r="CK7" s="2">
        <v>3183400.22</v>
      </c>
      <c r="CL7" s="2">
        <v>45001149.960000001</v>
      </c>
      <c r="CM7" s="2">
        <v>46387957.979999997</v>
      </c>
      <c r="CN7">
        <v>0</v>
      </c>
      <c r="CO7">
        <v>0</v>
      </c>
      <c r="CP7" s="2">
        <v>11566398.24</v>
      </c>
      <c r="CQ7" s="2">
        <v>18466707.809999999</v>
      </c>
      <c r="CR7" s="2">
        <v>5034178.07</v>
      </c>
      <c r="CS7" s="2">
        <v>5850181.04</v>
      </c>
      <c r="CT7" s="2">
        <v>6319025.5099999998</v>
      </c>
      <c r="CU7" s="2">
        <v>36087557.350000001</v>
      </c>
      <c r="CV7">
        <v>0</v>
      </c>
      <c r="CW7" s="2">
        <v>41915683.590000004</v>
      </c>
      <c r="CX7" s="2">
        <v>2437586.06</v>
      </c>
      <c r="CY7">
        <v>0</v>
      </c>
      <c r="CZ7">
        <v>0</v>
      </c>
      <c r="DA7" s="2">
        <v>417464.91</v>
      </c>
      <c r="DB7">
        <v>0</v>
      </c>
      <c r="DC7" s="2">
        <v>2432320.4300000002</v>
      </c>
      <c r="DD7" s="2">
        <v>1812284.35</v>
      </c>
      <c r="DE7" s="2">
        <v>658573.71</v>
      </c>
      <c r="DF7">
        <v>257</v>
      </c>
      <c r="DG7">
        <v>254</v>
      </c>
      <c r="DH7">
        <v>0</v>
      </c>
      <c r="DI7" s="2">
        <v>5828126.2400000002</v>
      </c>
      <c r="DJ7" s="2">
        <v>4903178.49</v>
      </c>
      <c r="DK7">
        <v>0</v>
      </c>
      <c r="DL7" s="2">
        <v>2437586.06</v>
      </c>
      <c r="DM7" s="2">
        <v>7340764.5499999998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K7">
        <v>77</v>
      </c>
      <c r="EL7">
        <v>561</v>
      </c>
      <c r="EM7" s="1">
        <v>15964</v>
      </c>
      <c r="EN7" s="1">
        <v>17462</v>
      </c>
      <c r="EO7">
        <v>350</v>
      </c>
      <c r="EP7" s="1">
        <v>14158</v>
      </c>
      <c r="EQ7">
        <v>97</v>
      </c>
      <c r="ER7" s="1">
        <v>1419</v>
      </c>
      <c r="ES7" s="2">
        <v>3292</v>
      </c>
      <c r="ET7" s="1">
        <v>36322</v>
      </c>
      <c r="EU7" s="1">
        <v>11232</v>
      </c>
      <c r="EV7" s="1">
        <v>11232</v>
      </c>
      <c r="EW7">
        <v>9</v>
      </c>
      <c r="EX7">
        <v>136</v>
      </c>
      <c r="EY7" s="1">
        <v>9677</v>
      </c>
      <c r="EZ7" s="1">
        <v>8052</v>
      </c>
      <c r="FA7" s="2">
        <v>13205</v>
      </c>
      <c r="FB7" s="1">
        <v>2664</v>
      </c>
      <c r="FC7">
        <v>39</v>
      </c>
      <c r="FD7" s="1">
        <v>2649</v>
      </c>
      <c r="FE7">
        <v>1.43</v>
      </c>
      <c r="FF7">
        <v>393.95</v>
      </c>
      <c r="FG7">
        <v>2.6</v>
      </c>
      <c r="FH7">
        <v>2.6</v>
      </c>
      <c r="FI7">
        <v>2.4</v>
      </c>
      <c r="FJ7">
        <v>2.81</v>
      </c>
      <c r="FK7">
        <v>59.13</v>
      </c>
      <c r="FL7" s="2">
        <v>72276.740000000005</v>
      </c>
      <c r="FM7">
        <v>100</v>
      </c>
      <c r="FN7">
        <v>60.05</v>
      </c>
      <c r="FO7">
        <v>100</v>
      </c>
      <c r="FP7">
        <v>99.77</v>
      </c>
      <c r="FQ7">
        <v>28.95</v>
      </c>
      <c r="FR7">
        <v>11.41</v>
      </c>
      <c r="FS7">
        <v>100</v>
      </c>
      <c r="FT7">
        <v>100</v>
      </c>
      <c r="FU7">
        <v>13.49</v>
      </c>
      <c r="FV7">
        <v>342.93</v>
      </c>
      <c r="FW7">
        <v>293.51</v>
      </c>
      <c r="FX7">
        <v>17.57</v>
      </c>
      <c r="FY7">
        <v>16.940000000000001</v>
      </c>
      <c r="FZ7">
        <v>191.6</v>
      </c>
      <c r="GA7">
        <v>94.84</v>
      </c>
      <c r="GB7">
        <v>90.84</v>
      </c>
      <c r="GC7">
        <v>19.63</v>
      </c>
      <c r="GD7">
        <v>2.2400000000000002</v>
      </c>
      <c r="GE7">
        <v>358.53</v>
      </c>
      <c r="GF7">
        <v>71.05</v>
      </c>
      <c r="GG7">
        <v>-3.08</v>
      </c>
      <c r="GH7">
        <v>86.3</v>
      </c>
      <c r="GI7">
        <v>44.16</v>
      </c>
      <c r="GJ7">
        <v>59.27</v>
      </c>
      <c r="GK7">
        <v>0</v>
      </c>
      <c r="GL7">
        <v>0</v>
      </c>
      <c r="GM7">
        <v>51.17</v>
      </c>
      <c r="GN7">
        <v>68.680000000000007</v>
      </c>
      <c r="GO7">
        <v>16.21</v>
      </c>
      <c r="GP7">
        <v>13.95</v>
      </c>
      <c r="GQ7">
        <v>0</v>
      </c>
      <c r="GR7">
        <v>45.08</v>
      </c>
      <c r="GS7">
        <v>47.85</v>
      </c>
      <c r="GT7">
        <v>7.07</v>
      </c>
      <c r="GU7">
        <v>91.21</v>
      </c>
      <c r="GV7">
        <v>93.49</v>
      </c>
      <c r="GW7">
        <v>7.01</v>
      </c>
      <c r="GX7">
        <v>100</v>
      </c>
      <c r="GY7">
        <v>90.84</v>
      </c>
      <c r="GZ7">
        <v>3.56</v>
      </c>
      <c r="HA7">
        <v>35.770000000000003</v>
      </c>
      <c r="HB7">
        <v>17.87</v>
      </c>
      <c r="HC7">
        <v>320.45999999999998</v>
      </c>
      <c r="HD7">
        <v>64.23</v>
      </c>
      <c r="HE7">
        <v>12.2</v>
      </c>
      <c r="HF7">
        <v>0</v>
      </c>
      <c r="HG7">
        <v>90.25</v>
      </c>
      <c r="HH7">
        <v>86.44</v>
      </c>
      <c r="HI7">
        <v>100</v>
      </c>
      <c r="HJ7">
        <v>0.77</v>
      </c>
      <c r="HK7">
        <v>0.2</v>
      </c>
      <c r="HL7">
        <v>0.53</v>
      </c>
      <c r="HM7">
        <v>207.32</v>
      </c>
      <c r="HN7">
        <v>7.29</v>
      </c>
      <c r="HO7" s="2">
        <v>4035.78</v>
      </c>
      <c r="HP7">
        <v>15.11</v>
      </c>
      <c r="HQ7">
        <v>2</v>
      </c>
      <c r="HR7">
        <v>0.69</v>
      </c>
      <c r="HS7">
        <v>2.3199999999999998</v>
      </c>
      <c r="HT7">
        <v>155.47</v>
      </c>
      <c r="HU7">
        <v>126.05</v>
      </c>
      <c r="HV7">
        <v>2.35</v>
      </c>
      <c r="HW7">
        <v>1.64</v>
      </c>
      <c r="HX7">
        <v>1.46</v>
      </c>
      <c r="HY7">
        <v>100.57</v>
      </c>
      <c r="HZ7">
        <v>128.54</v>
      </c>
      <c r="IA7">
        <v>209.18</v>
      </c>
    </row>
    <row r="8" spans="1:237">
      <c r="A8">
        <v>355620</v>
      </c>
      <c r="B8" t="s">
        <v>235</v>
      </c>
      <c r="C8" t="s">
        <v>236</v>
      </c>
      <c r="D8">
        <v>2015</v>
      </c>
      <c r="E8">
        <v>35562011</v>
      </c>
      <c r="F8" t="s">
        <v>237</v>
      </c>
      <c r="G8" t="s">
        <v>238</v>
      </c>
      <c r="H8" t="s">
        <v>239</v>
      </c>
      <c r="I8" t="s">
        <v>240</v>
      </c>
      <c r="J8" t="s">
        <v>241</v>
      </c>
      <c r="N8">
        <v>1</v>
      </c>
      <c r="O8">
        <v>1</v>
      </c>
      <c r="P8">
        <v>0</v>
      </c>
      <c r="Q8">
        <v>0</v>
      </c>
      <c r="W8" t="s">
        <v>242</v>
      </c>
      <c r="X8" t="s">
        <v>242</v>
      </c>
      <c r="Z8" s="1">
        <v>120258</v>
      </c>
      <c r="AA8" s="1">
        <v>114440</v>
      </c>
      <c r="AB8" s="1">
        <v>108534</v>
      </c>
      <c r="AC8" s="1">
        <v>106776</v>
      </c>
      <c r="AD8" s="1">
        <v>36895</v>
      </c>
      <c r="AE8" s="1">
        <v>35671</v>
      </c>
      <c r="AF8" s="1">
        <v>51609</v>
      </c>
      <c r="AG8" s="1">
        <v>50019</v>
      </c>
      <c r="AH8" s="1">
        <v>36895</v>
      </c>
      <c r="AI8" s="1">
        <v>35671</v>
      </c>
      <c r="AJ8">
        <v>643.92999999999995</v>
      </c>
      <c r="AK8">
        <v>642.37</v>
      </c>
      <c r="AL8" s="2">
        <v>11349.58</v>
      </c>
      <c r="AM8" s="2">
        <v>10619.17</v>
      </c>
      <c r="AN8" s="2">
        <v>6828.45</v>
      </c>
      <c r="AO8" s="2">
        <v>6828.45</v>
      </c>
      <c r="AP8" s="2">
        <v>7649.78</v>
      </c>
      <c r="AQ8" s="2">
        <v>11349.58</v>
      </c>
      <c r="AR8" s="1">
        <v>47324</v>
      </c>
      <c r="AS8" s="1">
        <v>45917</v>
      </c>
      <c r="AT8" s="1">
        <v>51609</v>
      </c>
      <c r="AU8" s="1">
        <v>50019</v>
      </c>
      <c r="AV8">
        <v>730.41</v>
      </c>
      <c r="AW8">
        <v>0</v>
      </c>
      <c r="AX8">
        <v>0</v>
      </c>
      <c r="AY8">
        <v>0</v>
      </c>
      <c r="AZ8" s="2">
        <v>6398.27</v>
      </c>
      <c r="BA8" s="1">
        <v>36895</v>
      </c>
      <c r="BB8" s="1">
        <v>36080</v>
      </c>
      <c r="BC8" s="1">
        <v>47324</v>
      </c>
      <c r="BD8" s="1">
        <v>45917</v>
      </c>
      <c r="BE8">
        <v>363.43</v>
      </c>
      <c r="BG8" s="1">
        <v>108534</v>
      </c>
      <c r="BH8" s="1">
        <v>106776</v>
      </c>
      <c r="BI8" s="2">
        <v>11349.58</v>
      </c>
      <c r="BJ8" s="2">
        <v>9922.32</v>
      </c>
      <c r="BK8" s="1">
        <v>103963</v>
      </c>
      <c r="BL8" s="1">
        <v>102280</v>
      </c>
      <c r="BM8" s="1">
        <v>36894</v>
      </c>
      <c r="BN8" s="1">
        <v>35425</v>
      </c>
      <c r="BO8" s="1">
        <v>51608</v>
      </c>
      <c r="BP8" s="1">
        <v>49725</v>
      </c>
      <c r="BQ8">
        <v>612.29999999999995</v>
      </c>
      <c r="BR8">
        <v>608.28</v>
      </c>
      <c r="BS8" s="2">
        <v>5764.08</v>
      </c>
      <c r="BT8" s="2">
        <v>5764.08</v>
      </c>
      <c r="BU8" s="2">
        <v>5764.08</v>
      </c>
      <c r="BV8" s="1">
        <v>51608</v>
      </c>
      <c r="BW8" s="1">
        <v>45668</v>
      </c>
      <c r="BX8" s="1">
        <v>36894</v>
      </c>
      <c r="BY8" s="1">
        <v>35425</v>
      </c>
      <c r="BZ8">
        <v>0</v>
      </c>
      <c r="CA8">
        <v>0</v>
      </c>
      <c r="CB8">
        <v>0</v>
      </c>
      <c r="CC8">
        <v>0</v>
      </c>
      <c r="CE8" s="1">
        <v>103963</v>
      </c>
      <c r="CF8" s="1">
        <v>102280</v>
      </c>
      <c r="CG8" s="2">
        <v>1408.59</v>
      </c>
      <c r="CH8" s="2">
        <v>33861410.270000003</v>
      </c>
      <c r="CI8" s="2">
        <v>16445934.33</v>
      </c>
      <c r="CJ8" s="2">
        <v>17415475.940000001</v>
      </c>
      <c r="CK8" s="2">
        <v>3902080.29</v>
      </c>
      <c r="CL8" s="2">
        <v>37763490.560000002</v>
      </c>
      <c r="CM8" s="2">
        <v>38680862.590000004</v>
      </c>
      <c r="CN8">
        <v>0</v>
      </c>
      <c r="CO8" s="2">
        <v>11566398.24</v>
      </c>
      <c r="CP8" s="2">
        <v>3811695.83</v>
      </c>
      <c r="CQ8" s="2">
        <v>17064924.079999998</v>
      </c>
      <c r="CR8" s="2">
        <v>2423121.6800000002</v>
      </c>
      <c r="CS8" s="2">
        <v>5156929.1500000004</v>
      </c>
      <c r="CT8" s="2">
        <v>4364322.3499999996</v>
      </c>
      <c r="CU8" s="2">
        <v>29424582.640000001</v>
      </c>
      <c r="CV8">
        <v>0</v>
      </c>
      <c r="CW8" s="2">
        <v>33524239.140000001</v>
      </c>
      <c r="CX8" s="2">
        <v>920914.86</v>
      </c>
      <c r="CY8">
        <v>0</v>
      </c>
      <c r="CZ8">
        <v>0</v>
      </c>
      <c r="DA8" s="2">
        <v>415285.38</v>
      </c>
      <c r="DB8">
        <v>0</v>
      </c>
      <c r="DC8" s="2">
        <v>3106319.36</v>
      </c>
      <c r="DD8" s="2">
        <v>647583.42000000004</v>
      </c>
      <c r="DE8" s="2">
        <v>786050.01</v>
      </c>
      <c r="DF8">
        <v>254</v>
      </c>
      <c r="DG8">
        <v>240</v>
      </c>
      <c r="DH8">
        <v>0</v>
      </c>
      <c r="DI8" s="2">
        <v>4099656.5</v>
      </c>
      <c r="DJ8" s="2">
        <v>4539952.79</v>
      </c>
      <c r="DK8">
        <v>0</v>
      </c>
      <c r="DL8" s="2">
        <v>920914.86</v>
      </c>
      <c r="DM8" s="2">
        <v>5460867.6500000004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K8">
        <v>61</v>
      </c>
      <c r="EL8">
        <v>525</v>
      </c>
      <c r="EN8" s="1">
        <v>17727</v>
      </c>
      <c r="EO8">
        <v>353</v>
      </c>
      <c r="EP8" s="1">
        <v>14161</v>
      </c>
      <c r="EQ8">
        <v>139</v>
      </c>
      <c r="ER8" s="1">
        <v>1216</v>
      </c>
      <c r="ES8" s="2">
        <v>2553</v>
      </c>
      <c r="ET8" s="1">
        <v>50001</v>
      </c>
      <c r="EU8" s="1">
        <v>11304</v>
      </c>
      <c r="EV8" s="1">
        <v>11304</v>
      </c>
      <c r="EW8">
        <v>351</v>
      </c>
      <c r="EX8" s="2">
        <v>6318</v>
      </c>
      <c r="EY8" s="1">
        <v>11254</v>
      </c>
      <c r="EZ8" s="1">
        <v>11254</v>
      </c>
      <c r="FA8" s="2">
        <v>9040</v>
      </c>
      <c r="FB8" s="1">
        <v>2635</v>
      </c>
      <c r="FC8">
        <v>64</v>
      </c>
      <c r="FD8" s="1">
        <v>2580</v>
      </c>
      <c r="FE8">
        <v>1.4</v>
      </c>
      <c r="FF8">
        <v>410.85</v>
      </c>
      <c r="FG8">
        <v>2.5</v>
      </c>
      <c r="FH8">
        <v>2.52</v>
      </c>
      <c r="FI8">
        <v>2.15</v>
      </c>
      <c r="FJ8">
        <v>3.02</v>
      </c>
      <c r="FK8">
        <v>63.92</v>
      </c>
      <c r="FL8" s="2">
        <v>69088.759999999995</v>
      </c>
      <c r="FM8">
        <v>100</v>
      </c>
      <c r="FN8">
        <v>62.16</v>
      </c>
      <c r="FO8">
        <v>100</v>
      </c>
      <c r="FP8">
        <v>101.01</v>
      </c>
      <c r="FQ8">
        <v>30.37</v>
      </c>
      <c r="FR8">
        <v>11.2</v>
      </c>
      <c r="FS8">
        <v>84.41</v>
      </c>
      <c r="FT8">
        <v>100</v>
      </c>
      <c r="FU8">
        <v>12.55</v>
      </c>
      <c r="FV8">
        <v>310.17</v>
      </c>
      <c r="FW8">
        <v>327.18</v>
      </c>
      <c r="FX8">
        <v>17.63</v>
      </c>
      <c r="FY8">
        <v>16.88</v>
      </c>
      <c r="FZ8">
        <v>173.78</v>
      </c>
      <c r="GA8">
        <v>94.84</v>
      </c>
      <c r="GB8">
        <v>90.84</v>
      </c>
      <c r="GC8">
        <v>18.61</v>
      </c>
      <c r="GD8">
        <v>2.19</v>
      </c>
      <c r="GE8">
        <v>289.95</v>
      </c>
      <c r="GF8">
        <v>69.63</v>
      </c>
      <c r="GG8">
        <v>-2.4300000000000002</v>
      </c>
      <c r="GH8">
        <v>86.9</v>
      </c>
      <c r="GI8">
        <v>50.4</v>
      </c>
      <c r="GJ8">
        <v>63.29</v>
      </c>
      <c r="GK8">
        <v>0</v>
      </c>
      <c r="GL8">
        <v>0</v>
      </c>
      <c r="GM8">
        <v>58</v>
      </c>
      <c r="GN8">
        <v>72.83</v>
      </c>
      <c r="GO8">
        <v>17.53</v>
      </c>
      <c r="GP8">
        <v>8.24</v>
      </c>
      <c r="GQ8">
        <v>0</v>
      </c>
      <c r="GR8">
        <v>43.55</v>
      </c>
      <c r="GS8">
        <v>46.12</v>
      </c>
      <c r="GT8">
        <v>10.33</v>
      </c>
      <c r="GU8">
        <v>91.75</v>
      </c>
      <c r="GV8">
        <v>100</v>
      </c>
      <c r="GW8">
        <v>6.81</v>
      </c>
      <c r="GX8">
        <v>84.41</v>
      </c>
      <c r="GY8">
        <v>90.84</v>
      </c>
      <c r="GZ8">
        <v>3.41</v>
      </c>
      <c r="HA8">
        <v>37.840000000000003</v>
      </c>
      <c r="HB8">
        <v>17.71</v>
      </c>
      <c r="HC8">
        <v>313.95</v>
      </c>
      <c r="HD8">
        <v>62.16</v>
      </c>
      <c r="HE8">
        <v>11.2</v>
      </c>
      <c r="HF8">
        <v>110.26</v>
      </c>
      <c r="HG8">
        <v>90.25</v>
      </c>
      <c r="HH8">
        <v>86.45</v>
      </c>
      <c r="HI8">
        <v>100</v>
      </c>
      <c r="HJ8">
        <v>0.87</v>
      </c>
      <c r="HK8">
        <v>0.24</v>
      </c>
      <c r="HL8">
        <v>0.46</v>
      </c>
      <c r="HN8">
        <v>8.61</v>
      </c>
      <c r="HO8">
        <v>142.44999999999999</v>
      </c>
      <c r="HP8">
        <v>18</v>
      </c>
      <c r="HQ8">
        <v>1.99</v>
      </c>
      <c r="HR8">
        <v>0.98</v>
      </c>
      <c r="HS8">
        <v>2.1</v>
      </c>
      <c r="HT8">
        <v>156.82</v>
      </c>
      <c r="HU8">
        <v>125.27</v>
      </c>
      <c r="HV8">
        <v>1.99</v>
      </c>
      <c r="HW8">
        <v>0.8</v>
      </c>
      <c r="HX8">
        <v>2.4300000000000002</v>
      </c>
      <c r="HY8">
        <v>102.13</v>
      </c>
      <c r="HZ8">
        <v>131.46</v>
      </c>
      <c r="IA8">
        <v>233.56</v>
      </c>
    </row>
    <row r="9" spans="1:237">
      <c r="A9">
        <v>355620</v>
      </c>
      <c r="B9" t="s">
        <v>235</v>
      </c>
      <c r="C9" t="s">
        <v>236</v>
      </c>
      <c r="D9">
        <v>2014</v>
      </c>
      <c r="E9">
        <v>35562011</v>
      </c>
      <c r="F9" t="s">
        <v>237</v>
      </c>
      <c r="G9" t="s">
        <v>238</v>
      </c>
      <c r="H9" t="s">
        <v>239</v>
      </c>
      <c r="I9" t="s">
        <v>240</v>
      </c>
      <c r="J9" t="s">
        <v>241</v>
      </c>
      <c r="N9">
        <v>1</v>
      </c>
      <c r="O9">
        <v>1</v>
      </c>
      <c r="P9">
        <v>0</v>
      </c>
      <c r="Q9">
        <v>0</v>
      </c>
      <c r="W9" t="s">
        <v>242</v>
      </c>
      <c r="X9" t="s">
        <v>242</v>
      </c>
      <c r="Z9" s="1">
        <v>118312</v>
      </c>
      <c r="AA9" s="1">
        <v>112588</v>
      </c>
      <c r="AB9" s="1">
        <v>106776</v>
      </c>
      <c r="AC9" s="1">
        <v>112848</v>
      </c>
      <c r="AD9" s="1">
        <v>35671</v>
      </c>
      <c r="AE9" s="1">
        <v>33984</v>
      </c>
      <c r="AF9" s="1">
        <v>50019</v>
      </c>
      <c r="AG9" s="1">
        <v>46579</v>
      </c>
      <c r="AH9" s="1">
        <v>35671</v>
      </c>
      <c r="AI9" s="1">
        <v>33984</v>
      </c>
      <c r="AJ9">
        <v>642.37</v>
      </c>
      <c r="AK9">
        <v>640.9</v>
      </c>
      <c r="AL9" s="2">
        <v>11318.26</v>
      </c>
      <c r="AM9" s="2">
        <v>11007.15</v>
      </c>
      <c r="AN9" s="2">
        <v>7320.53</v>
      </c>
      <c r="AO9" s="2">
        <v>7320.53</v>
      </c>
      <c r="AP9" s="2">
        <v>7946.72</v>
      </c>
      <c r="AQ9" s="2">
        <v>11318.26</v>
      </c>
      <c r="AR9" s="1">
        <v>45917</v>
      </c>
      <c r="AS9" s="1">
        <v>42627</v>
      </c>
      <c r="AT9" s="1">
        <v>50019</v>
      </c>
      <c r="AU9" s="1">
        <v>46579</v>
      </c>
      <c r="AV9">
        <v>311.11</v>
      </c>
      <c r="AW9">
        <v>0</v>
      </c>
      <c r="AX9">
        <v>0</v>
      </c>
      <c r="AY9">
        <v>0</v>
      </c>
      <c r="AZ9" s="2">
        <v>6858.85</v>
      </c>
      <c r="BA9" s="1">
        <v>36080</v>
      </c>
      <c r="BB9" s="1">
        <v>34386</v>
      </c>
      <c r="BC9" s="1">
        <v>45917</v>
      </c>
      <c r="BD9" s="1">
        <v>42627</v>
      </c>
      <c r="BE9">
        <v>101.52</v>
      </c>
      <c r="BG9" s="1">
        <v>106776</v>
      </c>
      <c r="BH9" s="1">
        <v>107492</v>
      </c>
      <c r="BI9" s="2">
        <v>11318.26</v>
      </c>
      <c r="BJ9" s="2">
        <v>5205.67</v>
      </c>
      <c r="BK9" s="1">
        <v>102280</v>
      </c>
      <c r="BL9" s="1">
        <v>112848</v>
      </c>
      <c r="BM9" s="1">
        <v>35425</v>
      </c>
      <c r="BN9" s="1">
        <v>33718</v>
      </c>
      <c r="BO9" s="1">
        <v>49725</v>
      </c>
      <c r="BP9" s="1">
        <v>46265</v>
      </c>
      <c r="BQ9">
        <v>608.28</v>
      </c>
      <c r="BR9">
        <v>597.21</v>
      </c>
      <c r="BS9" s="2">
        <v>5470.75</v>
      </c>
      <c r="BT9" s="2">
        <v>5470.75</v>
      </c>
      <c r="BU9" s="2">
        <v>7946.72</v>
      </c>
      <c r="BV9" s="1">
        <v>45668</v>
      </c>
      <c r="BW9" s="1">
        <v>42361</v>
      </c>
      <c r="BX9" s="1">
        <v>35425</v>
      </c>
      <c r="BY9" s="1">
        <v>33718</v>
      </c>
      <c r="BZ9">
        <v>0</v>
      </c>
      <c r="CA9">
        <v>0</v>
      </c>
      <c r="CB9">
        <v>0</v>
      </c>
      <c r="CC9">
        <v>0</v>
      </c>
      <c r="CE9" s="1">
        <v>102280</v>
      </c>
      <c r="CF9" s="1">
        <v>107492</v>
      </c>
      <c r="CG9" s="2">
        <v>1488.71</v>
      </c>
      <c r="CH9" s="2">
        <v>34709206.75</v>
      </c>
      <c r="CI9" s="2">
        <v>17135799.579999998</v>
      </c>
      <c r="CJ9" s="2">
        <v>17573407.170000002</v>
      </c>
      <c r="CK9" s="2">
        <v>4216509.5199999996</v>
      </c>
      <c r="CL9" s="2">
        <v>38925716.270000003</v>
      </c>
      <c r="CM9" s="2">
        <v>39624226.68</v>
      </c>
      <c r="CN9">
        <v>0</v>
      </c>
      <c r="CO9" s="2">
        <v>3811695.83</v>
      </c>
      <c r="CP9" s="2">
        <v>3669779.32</v>
      </c>
      <c r="CQ9" s="2">
        <v>14203585.380000001</v>
      </c>
      <c r="CR9" s="2">
        <v>4006353.89</v>
      </c>
      <c r="CS9" s="2">
        <v>3851385.95</v>
      </c>
      <c r="CT9" s="2">
        <v>6923005.5700000003</v>
      </c>
      <c r="CU9" s="2">
        <v>29349926.190000001</v>
      </c>
      <c r="CV9">
        <v>0</v>
      </c>
      <c r="CW9" s="2">
        <v>35850416.659999996</v>
      </c>
      <c r="CX9" s="2">
        <v>499981.98</v>
      </c>
      <c r="CY9">
        <v>0</v>
      </c>
      <c r="CZ9">
        <v>0</v>
      </c>
      <c r="DA9" s="2">
        <v>365595.4</v>
      </c>
      <c r="DB9">
        <v>0</v>
      </c>
      <c r="DC9" s="2">
        <v>2850030.68</v>
      </c>
      <c r="DD9" s="2">
        <v>410888.05</v>
      </c>
      <c r="DE9" s="2">
        <v>77678.5</v>
      </c>
      <c r="DF9">
        <v>240</v>
      </c>
      <c r="DG9">
        <v>217</v>
      </c>
      <c r="DH9">
        <v>0</v>
      </c>
      <c r="DI9" s="2">
        <v>6500490.4699999997</v>
      </c>
      <c r="DJ9" s="2">
        <v>3338597.23</v>
      </c>
      <c r="DK9">
        <v>0</v>
      </c>
      <c r="DL9" s="2">
        <v>499981.98</v>
      </c>
      <c r="DM9" s="2">
        <v>3838579.21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K9">
        <v>44</v>
      </c>
      <c r="EL9">
        <v>446</v>
      </c>
      <c r="EN9" s="1">
        <v>17832</v>
      </c>
      <c r="EO9">
        <v>171</v>
      </c>
      <c r="EP9" s="1">
        <v>14535</v>
      </c>
      <c r="EQ9">
        <v>48</v>
      </c>
      <c r="ER9" s="1">
        <v>1259</v>
      </c>
      <c r="ES9" s="2">
        <v>2518</v>
      </c>
      <c r="ET9" s="1">
        <v>50019</v>
      </c>
      <c r="EU9" s="1">
        <v>11232</v>
      </c>
      <c r="EV9" s="1">
        <v>11232</v>
      </c>
      <c r="EW9">
        <v>325</v>
      </c>
      <c r="EX9" s="2">
        <v>5850</v>
      </c>
      <c r="EY9" s="1">
        <v>22328</v>
      </c>
      <c r="EZ9" s="1">
        <v>22328</v>
      </c>
      <c r="FA9" s="2">
        <v>18085</v>
      </c>
      <c r="FB9" s="1">
        <v>2670</v>
      </c>
      <c r="FC9">
        <v>40</v>
      </c>
      <c r="FD9" s="1">
        <v>2664</v>
      </c>
      <c r="FE9">
        <v>1.39</v>
      </c>
      <c r="FF9">
        <v>421.42</v>
      </c>
      <c r="FG9">
        <v>2.2599999999999998</v>
      </c>
      <c r="FH9">
        <v>2.1800000000000002</v>
      </c>
      <c r="FI9">
        <v>2.16</v>
      </c>
      <c r="FJ9">
        <v>2.21</v>
      </c>
      <c r="FK9">
        <v>58.93</v>
      </c>
      <c r="FL9" s="2">
        <v>62160.11</v>
      </c>
      <c r="FM9">
        <v>100</v>
      </c>
      <c r="FN9">
        <v>65.260000000000005</v>
      </c>
      <c r="FO9">
        <v>100</v>
      </c>
      <c r="FP9">
        <v>96.82</v>
      </c>
      <c r="FQ9">
        <v>29.15</v>
      </c>
      <c r="FR9">
        <v>12.63</v>
      </c>
      <c r="FS9">
        <v>74.73</v>
      </c>
      <c r="FT9">
        <v>100</v>
      </c>
      <c r="FU9">
        <v>13.71</v>
      </c>
      <c r="FV9">
        <v>339.87</v>
      </c>
      <c r="FW9">
        <v>283.32</v>
      </c>
      <c r="FX9">
        <v>18.21</v>
      </c>
      <c r="FY9">
        <v>17.43</v>
      </c>
      <c r="FZ9">
        <v>182.64</v>
      </c>
      <c r="GA9">
        <v>94.84</v>
      </c>
      <c r="GB9">
        <v>90.84</v>
      </c>
      <c r="GC9">
        <v>19.53</v>
      </c>
      <c r="GD9">
        <v>1.85</v>
      </c>
      <c r="GE9">
        <v>304.79000000000002</v>
      </c>
      <c r="GF9">
        <v>70.849999999999994</v>
      </c>
      <c r="GG9">
        <v>-1.79</v>
      </c>
      <c r="GH9">
        <v>84.56</v>
      </c>
      <c r="GI9">
        <v>40.92</v>
      </c>
      <c r="GJ9">
        <v>60.87</v>
      </c>
      <c r="GK9">
        <v>0</v>
      </c>
      <c r="GL9">
        <v>0</v>
      </c>
      <c r="GM9">
        <v>48.39</v>
      </c>
      <c r="GN9">
        <v>71.98</v>
      </c>
      <c r="GO9">
        <v>13.12</v>
      </c>
      <c r="GP9">
        <v>13.65</v>
      </c>
      <c r="GQ9">
        <v>0</v>
      </c>
      <c r="GR9">
        <v>44.02</v>
      </c>
      <c r="GS9">
        <v>45.15</v>
      </c>
      <c r="GT9">
        <v>10.83</v>
      </c>
      <c r="GU9">
        <v>91.66</v>
      </c>
      <c r="GV9">
        <v>100</v>
      </c>
      <c r="GW9">
        <v>6.56</v>
      </c>
      <c r="GX9">
        <v>74.73</v>
      </c>
      <c r="GY9">
        <v>90.84</v>
      </c>
      <c r="GZ9">
        <v>3.29</v>
      </c>
      <c r="HA9">
        <v>34.74</v>
      </c>
      <c r="HB9">
        <v>16.64</v>
      </c>
      <c r="HC9">
        <v>306.5</v>
      </c>
      <c r="HD9">
        <v>65.260000000000005</v>
      </c>
      <c r="HE9">
        <v>12.63</v>
      </c>
      <c r="HF9">
        <v>35.25</v>
      </c>
      <c r="HG9">
        <v>90.25</v>
      </c>
      <c r="HH9">
        <v>86.45</v>
      </c>
      <c r="HI9">
        <v>100</v>
      </c>
      <c r="HJ9">
        <v>0.46</v>
      </c>
      <c r="HK9">
        <v>0.27</v>
      </c>
      <c r="HL9">
        <v>0.57999999999999996</v>
      </c>
      <c r="HN9">
        <v>10.14</v>
      </c>
      <c r="HO9">
        <v>153.9</v>
      </c>
      <c r="HP9">
        <v>18</v>
      </c>
      <c r="HQ9">
        <v>0.96</v>
      </c>
      <c r="HR9">
        <v>0.33</v>
      </c>
      <c r="HS9">
        <v>2</v>
      </c>
      <c r="HT9">
        <v>158.76</v>
      </c>
      <c r="HU9">
        <v>129.41</v>
      </c>
      <c r="HV9">
        <v>2.0699999999999998</v>
      </c>
      <c r="HW9">
        <v>0.81</v>
      </c>
      <c r="HX9">
        <v>1.5</v>
      </c>
      <c r="HY9">
        <v>100.23</v>
      </c>
      <c r="HZ9">
        <v>135.01</v>
      </c>
      <c r="IA9">
        <v>204.19</v>
      </c>
    </row>
    <row r="10" spans="1:237">
      <c r="A10">
        <v>355620</v>
      </c>
      <c r="B10" t="s">
        <v>235</v>
      </c>
      <c r="C10" t="s">
        <v>236</v>
      </c>
      <c r="D10">
        <v>2013</v>
      </c>
      <c r="E10">
        <v>35562011</v>
      </c>
      <c r="F10" t="s">
        <v>237</v>
      </c>
      <c r="G10" t="s">
        <v>238</v>
      </c>
      <c r="H10" t="s">
        <v>239</v>
      </c>
      <c r="I10" t="s">
        <v>240</v>
      </c>
      <c r="J10" t="s">
        <v>241</v>
      </c>
      <c r="N10">
        <v>1</v>
      </c>
      <c r="O10">
        <v>1</v>
      </c>
      <c r="P10">
        <v>0</v>
      </c>
      <c r="Q10">
        <v>0</v>
      </c>
      <c r="W10" t="s">
        <v>242</v>
      </c>
      <c r="X10" t="s">
        <v>242</v>
      </c>
      <c r="Z10" s="1">
        <v>116308</v>
      </c>
      <c r="AA10" s="1">
        <v>110681</v>
      </c>
      <c r="AB10" s="1">
        <v>112848</v>
      </c>
      <c r="AC10" s="1">
        <v>110096</v>
      </c>
      <c r="AD10" s="1">
        <v>33984</v>
      </c>
      <c r="AE10" s="1">
        <v>33013</v>
      </c>
      <c r="AF10" s="1">
        <v>46579</v>
      </c>
      <c r="AG10" s="1">
        <v>44949</v>
      </c>
      <c r="AH10" s="1">
        <v>33984</v>
      </c>
      <c r="AI10" s="1">
        <v>33013</v>
      </c>
      <c r="AJ10">
        <v>640.9</v>
      </c>
      <c r="AK10">
        <v>638.95000000000005</v>
      </c>
      <c r="AL10" s="2">
        <v>12310.75</v>
      </c>
      <c r="AM10" s="2">
        <v>11890.39</v>
      </c>
      <c r="AN10" s="2">
        <v>7059.37</v>
      </c>
      <c r="AO10" s="2">
        <v>7902.37</v>
      </c>
      <c r="AP10" s="2">
        <v>7902.37</v>
      </c>
      <c r="AQ10" s="2">
        <v>12310.75</v>
      </c>
      <c r="AR10" s="1">
        <v>42627</v>
      </c>
      <c r="AS10" s="1">
        <v>41169</v>
      </c>
      <c r="AT10" s="1">
        <v>46579</v>
      </c>
      <c r="AU10" s="1">
        <v>44949</v>
      </c>
      <c r="AV10">
        <v>420.36</v>
      </c>
      <c r="AW10">
        <v>0</v>
      </c>
      <c r="AX10">
        <v>0</v>
      </c>
      <c r="AY10">
        <v>0</v>
      </c>
      <c r="AZ10" s="2">
        <v>6448.59</v>
      </c>
      <c r="BA10" s="1">
        <v>34386</v>
      </c>
      <c r="BB10" s="1">
        <v>33414</v>
      </c>
      <c r="BC10" s="1">
        <v>42627</v>
      </c>
      <c r="BD10" s="1">
        <v>41169</v>
      </c>
      <c r="BE10">
        <v>420.36</v>
      </c>
      <c r="BG10" s="1">
        <v>107492</v>
      </c>
      <c r="BH10" s="1">
        <v>104871</v>
      </c>
      <c r="BI10" s="2">
        <v>12310.75</v>
      </c>
      <c r="BJ10" s="2">
        <v>5662.16</v>
      </c>
      <c r="BK10" s="1">
        <v>112848</v>
      </c>
      <c r="BL10" s="1">
        <v>110096</v>
      </c>
      <c r="BM10" s="1">
        <v>33718</v>
      </c>
      <c r="BN10" s="1">
        <v>31973</v>
      </c>
      <c r="BO10" s="1">
        <v>46265</v>
      </c>
      <c r="BP10" s="1">
        <v>44840</v>
      </c>
      <c r="BQ10">
        <v>597.21</v>
      </c>
      <c r="BR10">
        <v>579.38</v>
      </c>
      <c r="BS10" s="2">
        <v>6639.5</v>
      </c>
      <c r="BT10" s="2">
        <v>6639.5</v>
      </c>
      <c r="BU10" s="2">
        <v>7902.37</v>
      </c>
      <c r="BV10" s="1">
        <v>42361</v>
      </c>
      <c r="BW10" s="1">
        <v>39652</v>
      </c>
      <c r="BX10" s="1">
        <v>33718</v>
      </c>
      <c r="BY10" s="1">
        <v>32950</v>
      </c>
      <c r="BZ10">
        <v>0</v>
      </c>
      <c r="CA10">
        <v>0</v>
      </c>
      <c r="CB10">
        <v>0</v>
      </c>
      <c r="CC10">
        <v>0</v>
      </c>
      <c r="CE10" s="1">
        <v>107492</v>
      </c>
      <c r="CF10" s="1">
        <v>104871</v>
      </c>
      <c r="CG10" s="2">
        <v>1806.75</v>
      </c>
      <c r="CH10" s="2">
        <v>34907179.57</v>
      </c>
      <c r="CI10" s="2">
        <v>17277851.09</v>
      </c>
      <c r="CJ10" s="2">
        <v>17629328.48</v>
      </c>
      <c r="CK10" s="2">
        <v>3607072.34</v>
      </c>
      <c r="CL10" s="2">
        <v>38514251.909999996</v>
      </c>
      <c r="CM10" s="2">
        <v>39220938.130000003</v>
      </c>
      <c r="CN10">
        <v>0</v>
      </c>
      <c r="CO10" s="2">
        <v>3669779.32</v>
      </c>
      <c r="CP10" s="2">
        <v>3309026.9</v>
      </c>
      <c r="CQ10" s="2">
        <v>12251479.380000001</v>
      </c>
      <c r="CR10" s="2">
        <v>3237701.05</v>
      </c>
      <c r="CS10" s="2">
        <v>3096962.5</v>
      </c>
      <c r="CT10" s="2">
        <v>7780030.1399999997</v>
      </c>
      <c r="CU10" s="2">
        <v>26758383.399999999</v>
      </c>
      <c r="CV10">
        <v>0</v>
      </c>
      <c r="CW10" s="2">
        <v>34411039.810000002</v>
      </c>
      <c r="CX10" s="2">
        <v>751440.82</v>
      </c>
      <c r="CY10">
        <v>0</v>
      </c>
      <c r="CZ10">
        <v>0</v>
      </c>
      <c r="DA10" s="2">
        <v>392209.37</v>
      </c>
      <c r="DB10">
        <v>0</v>
      </c>
      <c r="DC10" s="2">
        <v>1346007.49</v>
      </c>
      <c r="DD10" s="2">
        <v>759843.75</v>
      </c>
      <c r="DE10" s="2">
        <v>696955.92</v>
      </c>
      <c r="DF10">
        <v>217</v>
      </c>
      <c r="DG10">
        <v>201</v>
      </c>
      <c r="DH10">
        <v>0</v>
      </c>
      <c r="DI10" s="2">
        <v>7652656.4100000001</v>
      </c>
      <c r="DJ10" s="2">
        <v>2802807.16</v>
      </c>
      <c r="DK10">
        <v>0</v>
      </c>
      <c r="DL10" s="2">
        <v>751440.82</v>
      </c>
      <c r="DM10" s="2">
        <v>3554247.98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K10">
        <v>75</v>
      </c>
      <c r="EL10">
        <v>724</v>
      </c>
      <c r="EN10" s="1">
        <v>17985</v>
      </c>
      <c r="EO10">
        <v>156</v>
      </c>
      <c r="EP10" s="1">
        <v>14678</v>
      </c>
      <c r="EQ10">
        <v>61</v>
      </c>
      <c r="ER10" s="1">
        <v>1300</v>
      </c>
      <c r="ES10" s="2">
        <v>2600</v>
      </c>
      <c r="EU10" s="1">
        <v>11232</v>
      </c>
      <c r="EV10" s="1">
        <v>11232</v>
      </c>
      <c r="EW10">
        <v>0</v>
      </c>
      <c r="EX10">
        <v>0</v>
      </c>
      <c r="EY10" s="1">
        <v>15809</v>
      </c>
      <c r="EZ10" s="1">
        <v>15809</v>
      </c>
      <c r="FA10" s="2">
        <v>12805</v>
      </c>
      <c r="FB10" s="1">
        <v>2685</v>
      </c>
      <c r="FC10">
        <v>38</v>
      </c>
      <c r="FD10" s="1">
        <v>2664</v>
      </c>
      <c r="FE10">
        <v>1.37</v>
      </c>
      <c r="FF10">
        <v>436.92</v>
      </c>
      <c r="FG10">
        <v>2.1800000000000002</v>
      </c>
      <c r="FH10">
        <v>2.21</v>
      </c>
      <c r="FI10">
        <v>2.19</v>
      </c>
      <c r="FJ10">
        <v>2.23</v>
      </c>
      <c r="FK10">
        <v>58.21</v>
      </c>
      <c r="FL10" s="2">
        <v>58619.519999999997</v>
      </c>
      <c r="FM10">
        <v>100</v>
      </c>
      <c r="FN10">
        <v>59.37</v>
      </c>
      <c r="FO10">
        <v>100</v>
      </c>
      <c r="FP10">
        <v>101.44</v>
      </c>
      <c r="FQ10">
        <v>33.54</v>
      </c>
      <c r="FR10">
        <v>12.85</v>
      </c>
      <c r="FS10">
        <v>84.02</v>
      </c>
      <c r="FT10">
        <v>100</v>
      </c>
      <c r="FU10">
        <v>14.39</v>
      </c>
      <c r="FV10">
        <v>341.72</v>
      </c>
      <c r="FW10">
        <v>267.23</v>
      </c>
      <c r="FX10">
        <v>18.88</v>
      </c>
      <c r="FY10">
        <v>17.649999999999999</v>
      </c>
      <c r="FZ10">
        <v>194.22</v>
      </c>
      <c r="GA10">
        <v>97.12</v>
      </c>
      <c r="GB10">
        <v>97.12</v>
      </c>
      <c r="GC10">
        <v>22.42</v>
      </c>
      <c r="GD10">
        <v>1.69</v>
      </c>
      <c r="GE10">
        <v>293.02999999999997</v>
      </c>
      <c r="GF10">
        <v>66.459999999999994</v>
      </c>
      <c r="GG10">
        <v>-1.83</v>
      </c>
      <c r="GH10">
        <v>76.66</v>
      </c>
      <c r="GI10">
        <v>35.1</v>
      </c>
      <c r="GJ10">
        <v>57.39</v>
      </c>
      <c r="GK10">
        <v>0</v>
      </c>
      <c r="GL10">
        <v>0</v>
      </c>
      <c r="GM10">
        <v>45.79</v>
      </c>
      <c r="GN10">
        <v>74.86</v>
      </c>
      <c r="GO10">
        <v>11.57</v>
      </c>
      <c r="GP10">
        <v>12.1</v>
      </c>
      <c r="GQ10">
        <v>0</v>
      </c>
      <c r="GR10">
        <v>44.86</v>
      </c>
      <c r="GS10">
        <v>45.77</v>
      </c>
      <c r="GT10">
        <v>9.3699999999999992</v>
      </c>
      <c r="GU10">
        <v>91.55</v>
      </c>
      <c r="GV10">
        <v>89.33</v>
      </c>
      <c r="GW10">
        <v>6.24</v>
      </c>
      <c r="GX10">
        <v>84.02</v>
      </c>
      <c r="GY10">
        <v>97.12</v>
      </c>
      <c r="GZ10">
        <v>3.15</v>
      </c>
      <c r="HA10">
        <v>33.54</v>
      </c>
      <c r="HB10">
        <v>17.07</v>
      </c>
      <c r="HC10">
        <v>326.17</v>
      </c>
      <c r="HD10">
        <v>66.459999999999994</v>
      </c>
      <c r="HE10">
        <v>14.39</v>
      </c>
      <c r="HF10">
        <v>34.299999999999997</v>
      </c>
      <c r="HG10">
        <v>97.03</v>
      </c>
      <c r="HH10">
        <v>97.03</v>
      </c>
      <c r="HI10">
        <v>100</v>
      </c>
      <c r="HJ10">
        <v>0.46</v>
      </c>
      <c r="HK10">
        <v>0.27</v>
      </c>
      <c r="HL10">
        <v>0.41</v>
      </c>
      <c r="HN10">
        <v>9.65</v>
      </c>
      <c r="HQ10">
        <v>0.87</v>
      </c>
      <c r="HR10">
        <v>0.42</v>
      </c>
      <c r="HS10">
        <v>2</v>
      </c>
      <c r="HT10">
        <v>160.12</v>
      </c>
      <c r="HU10">
        <v>130.68</v>
      </c>
      <c r="HV10">
        <v>2.1800000000000002</v>
      </c>
      <c r="HW10">
        <v>0.81</v>
      </c>
      <c r="HX10">
        <v>1.42</v>
      </c>
      <c r="HY10">
        <v>100.79</v>
      </c>
      <c r="HZ10">
        <v>146.57</v>
      </c>
      <c r="IA10">
        <v>194.15</v>
      </c>
    </row>
    <row r="11" spans="1:237">
      <c r="A11">
        <v>355620</v>
      </c>
      <c r="B11" t="s">
        <v>235</v>
      </c>
      <c r="C11" t="s">
        <v>236</v>
      </c>
      <c r="D11">
        <v>2012</v>
      </c>
      <c r="E11">
        <v>35562011</v>
      </c>
      <c r="F11" t="s">
        <v>237</v>
      </c>
      <c r="G11" t="s">
        <v>238</v>
      </c>
      <c r="H11" t="s">
        <v>239</v>
      </c>
      <c r="I11" t="s">
        <v>240</v>
      </c>
      <c r="J11" t="s">
        <v>241</v>
      </c>
      <c r="N11">
        <v>1</v>
      </c>
      <c r="O11">
        <v>1</v>
      </c>
      <c r="P11">
        <v>0</v>
      </c>
      <c r="Q11">
        <v>0</v>
      </c>
      <c r="W11" t="s">
        <v>242</v>
      </c>
      <c r="X11" t="s">
        <v>242</v>
      </c>
      <c r="Z11" s="1">
        <v>110390</v>
      </c>
      <c r="AA11" s="1">
        <v>105049</v>
      </c>
      <c r="AB11" s="1">
        <v>110096</v>
      </c>
      <c r="AC11" s="1">
        <v>108622</v>
      </c>
      <c r="AD11" s="1">
        <v>33013</v>
      </c>
      <c r="AE11" s="1">
        <v>31539</v>
      </c>
      <c r="AF11" s="1">
        <v>44949</v>
      </c>
      <c r="AG11" s="1">
        <v>42971</v>
      </c>
      <c r="AH11" s="1">
        <v>33013</v>
      </c>
      <c r="AI11" s="1">
        <v>31539</v>
      </c>
      <c r="AJ11">
        <v>638.95000000000005</v>
      </c>
      <c r="AK11">
        <v>615.89</v>
      </c>
      <c r="AL11" s="2">
        <v>12162.41</v>
      </c>
      <c r="AM11" s="2">
        <v>11721.01</v>
      </c>
      <c r="AN11" s="2">
        <v>7190.12</v>
      </c>
      <c r="AO11" s="2">
        <v>8100.27</v>
      </c>
      <c r="AP11" s="2">
        <v>8100.27</v>
      </c>
      <c r="AQ11" s="2">
        <v>12162.41</v>
      </c>
      <c r="AR11" s="1">
        <v>41169</v>
      </c>
      <c r="AS11" s="1">
        <v>39397</v>
      </c>
      <c r="AT11" s="1">
        <v>44949</v>
      </c>
      <c r="AU11" s="1">
        <v>42971</v>
      </c>
      <c r="AV11">
        <v>441.4</v>
      </c>
      <c r="AW11">
        <v>0</v>
      </c>
      <c r="AX11">
        <v>0</v>
      </c>
      <c r="AY11">
        <v>0</v>
      </c>
      <c r="AZ11" s="2">
        <v>7068.8</v>
      </c>
      <c r="BA11" s="1">
        <v>33414</v>
      </c>
      <c r="BB11" s="1">
        <v>31539</v>
      </c>
      <c r="BC11" s="1">
        <v>41169</v>
      </c>
      <c r="BD11" s="1">
        <v>39397</v>
      </c>
      <c r="BE11">
        <v>425.17</v>
      </c>
      <c r="BG11" s="1">
        <v>104871</v>
      </c>
      <c r="BH11" s="1">
        <v>103367</v>
      </c>
      <c r="BI11" s="2">
        <v>12162.41</v>
      </c>
      <c r="BJ11" s="2">
        <v>5147.42</v>
      </c>
      <c r="BK11" s="1">
        <v>110096</v>
      </c>
      <c r="BL11" s="1">
        <v>108622</v>
      </c>
      <c r="BM11" s="1">
        <v>31973</v>
      </c>
      <c r="BN11" s="1">
        <v>31539</v>
      </c>
      <c r="BO11" s="1">
        <v>44840</v>
      </c>
      <c r="BP11" s="1">
        <v>42735</v>
      </c>
      <c r="BQ11">
        <v>579.38</v>
      </c>
      <c r="BR11">
        <v>501.44</v>
      </c>
      <c r="BS11" s="2">
        <v>7298.3</v>
      </c>
      <c r="BT11" s="2">
        <v>7298.3</v>
      </c>
      <c r="BU11" s="2">
        <v>8099.82</v>
      </c>
      <c r="BV11" s="1">
        <v>39652</v>
      </c>
      <c r="BW11" s="1">
        <v>39200</v>
      </c>
      <c r="BX11" s="1">
        <v>32950</v>
      </c>
      <c r="BY11" s="1">
        <v>31539</v>
      </c>
      <c r="BZ11">
        <v>0</v>
      </c>
      <c r="CA11">
        <v>0</v>
      </c>
      <c r="CB11">
        <v>0</v>
      </c>
      <c r="CC11">
        <v>0</v>
      </c>
      <c r="CE11" s="1">
        <v>104871</v>
      </c>
      <c r="CF11" s="1">
        <v>103367</v>
      </c>
      <c r="CG11" s="2">
        <v>1642.5</v>
      </c>
      <c r="CH11" s="2">
        <v>32918438.280000001</v>
      </c>
      <c r="CI11" s="2">
        <v>16076780.77</v>
      </c>
      <c r="CJ11" s="2">
        <v>16841657.510000002</v>
      </c>
      <c r="CK11" s="2">
        <v>3440349.11</v>
      </c>
      <c r="CL11" s="2">
        <v>36358787.390000001</v>
      </c>
      <c r="CM11" s="2">
        <v>37063627.32</v>
      </c>
      <c r="CN11">
        <v>0</v>
      </c>
      <c r="CO11" s="2">
        <v>3309026.9</v>
      </c>
      <c r="CP11" s="2">
        <v>3048067</v>
      </c>
      <c r="CQ11" s="2">
        <v>12725800.4</v>
      </c>
      <c r="CR11" s="2">
        <v>3083375.1</v>
      </c>
      <c r="CS11" s="2">
        <v>3267080.25</v>
      </c>
      <c r="CT11" s="2">
        <v>7590129.0899999999</v>
      </c>
      <c r="CU11" s="2">
        <v>27036667.050000001</v>
      </c>
      <c r="CV11">
        <v>0</v>
      </c>
      <c r="CW11" s="2">
        <v>30524279.629999999</v>
      </c>
      <c r="CX11" s="2">
        <v>456776.06</v>
      </c>
      <c r="CY11">
        <v>0</v>
      </c>
      <c r="CZ11">
        <v>0</v>
      </c>
      <c r="DA11" s="2">
        <v>370282.21</v>
      </c>
      <c r="DB11">
        <v>0</v>
      </c>
      <c r="DC11" s="2">
        <v>2591251.5</v>
      </c>
      <c r="DD11" s="2">
        <v>1307347.92</v>
      </c>
      <c r="DE11" s="2">
        <v>578118.63</v>
      </c>
      <c r="DF11">
        <v>201</v>
      </c>
      <c r="DG11">
        <v>223</v>
      </c>
      <c r="DH11">
        <v>0</v>
      </c>
      <c r="DI11" s="2">
        <v>3487612.58</v>
      </c>
      <c r="DJ11" s="2">
        <v>4476718.05</v>
      </c>
      <c r="DK11">
        <v>0</v>
      </c>
      <c r="DL11" s="2">
        <v>456776.06</v>
      </c>
      <c r="DM11" s="2">
        <v>4933494.1100000003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K11">
        <v>76</v>
      </c>
      <c r="EL11">
        <v>775</v>
      </c>
      <c r="EN11" s="1">
        <v>18132</v>
      </c>
      <c r="EO11">
        <v>171</v>
      </c>
      <c r="EP11" s="1">
        <v>14815</v>
      </c>
      <c r="EQ11">
        <v>124</v>
      </c>
      <c r="ER11" s="1">
        <v>1537</v>
      </c>
      <c r="ES11" s="2">
        <v>3074</v>
      </c>
      <c r="EU11" s="1">
        <v>11256</v>
      </c>
      <c r="EV11" s="1">
        <v>11256</v>
      </c>
      <c r="EW11">
        <v>0</v>
      </c>
      <c r="EX11">
        <v>0</v>
      </c>
      <c r="EY11" s="1">
        <v>12111</v>
      </c>
      <c r="EZ11" s="1">
        <v>11103</v>
      </c>
      <c r="FA11" s="2">
        <v>9000</v>
      </c>
      <c r="FB11">
        <v>970</v>
      </c>
      <c r="FC11">
        <v>19</v>
      </c>
      <c r="FD11" s="1">
        <v>1000</v>
      </c>
      <c r="FE11">
        <v>1.36</v>
      </c>
      <c r="FF11">
        <v>413.9</v>
      </c>
      <c r="FG11">
        <v>1.88</v>
      </c>
      <c r="FH11">
        <v>2.0299999999999998</v>
      </c>
      <c r="FI11">
        <v>1.98</v>
      </c>
      <c r="FJ11">
        <v>2.08</v>
      </c>
      <c r="FK11">
        <v>66.56</v>
      </c>
      <c r="FL11" s="2">
        <v>60027.360000000001</v>
      </c>
      <c r="FM11">
        <v>100</v>
      </c>
      <c r="FN11">
        <v>61.26</v>
      </c>
      <c r="FO11">
        <v>100</v>
      </c>
      <c r="FP11">
        <v>107.84</v>
      </c>
      <c r="FQ11">
        <v>30.99</v>
      </c>
      <c r="FR11">
        <v>13.6</v>
      </c>
      <c r="FS11">
        <v>90.1</v>
      </c>
      <c r="FT11">
        <v>100</v>
      </c>
      <c r="FU11">
        <v>15.4</v>
      </c>
      <c r="FV11">
        <v>338</v>
      </c>
      <c r="FW11">
        <v>259.27</v>
      </c>
      <c r="FX11">
        <v>19.3</v>
      </c>
      <c r="FY11">
        <v>16.760000000000002</v>
      </c>
      <c r="FZ11">
        <v>202.9</v>
      </c>
      <c r="GA11">
        <v>99.8</v>
      </c>
      <c r="GB11">
        <v>99.83</v>
      </c>
      <c r="GC11">
        <v>23.1</v>
      </c>
      <c r="GD11">
        <v>1.67</v>
      </c>
      <c r="GE11">
        <v>308.12</v>
      </c>
      <c r="GF11">
        <v>69.010000000000005</v>
      </c>
      <c r="GG11">
        <v>-1.94</v>
      </c>
      <c r="GH11">
        <v>82.13</v>
      </c>
      <c r="GI11">
        <v>38.659999999999997</v>
      </c>
      <c r="GJ11">
        <v>61.72</v>
      </c>
      <c r="GK11">
        <v>0</v>
      </c>
      <c r="GL11">
        <v>0</v>
      </c>
      <c r="GM11">
        <v>47.07</v>
      </c>
      <c r="GN11">
        <v>75.14</v>
      </c>
      <c r="GO11">
        <v>12.08</v>
      </c>
      <c r="GP11">
        <v>11.4</v>
      </c>
      <c r="GQ11">
        <v>0</v>
      </c>
      <c r="GR11">
        <v>44.22</v>
      </c>
      <c r="GS11">
        <v>46.32</v>
      </c>
      <c r="GT11">
        <v>9.4600000000000009</v>
      </c>
      <c r="GU11">
        <v>91.64</v>
      </c>
      <c r="GV11">
        <v>88.76</v>
      </c>
      <c r="GW11">
        <v>6.57</v>
      </c>
      <c r="GX11">
        <v>90.1</v>
      </c>
      <c r="GY11">
        <v>99.83</v>
      </c>
      <c r="GZ11">
        <v>3.31</v>
      </c>
      <c r="HA11">
        <v>30.99</v>
      </c>
      <c r="HB11">
        <v>15.88</v>
      </c>
      <c r="HC11">
        <v>308.72000000000003</v>
      </c>
      <c r="HD11">
        <v>69.010000000000005</v>
      </c>
      <c r="HE11">
        <v>15.4</v>
      </c>
      <c r="HF11">
        <v>36</v>
      </c>
      <c r="HG11">
        <v>99.73</v>
      </c>
      <c r="HH11">
        <v>99.73</v>
      </c>
      <c r="HI11">
        <v>100</v>
      </c>
      <c r="HJ11">
        <v>0.42</v>
      </c>
      <c r="HK11">
        <v>0.23</v>
      </c>
      <c r="HL11">
        <v>0.48</v>
      </c>
      <c r="HN11">
        <v>10.199999999999999</v>
      </c>
      <c r="HQ11">
        <v>0.94</v>
      </c>
      <c r="HR11">
        <v>0.84</v>
      </c>
      <c r="HS11">
        <v>2</v>
      </c>
      <c r="HT11">
        <v>161.09</v>
      </c>
      <c r="HU11">
        <v>131.62</v>
      </c>
      <c r="HV11">
        <v>2.65</v>
      </c>
      <c r="HW11">
        <v>0.81</v>
      </c>
      <c r="HX11">
        <v>1.96</v>
      </c>
      <c r="HY11">
        <v>97</v>
      </c>
      <c r="HZ11">
        <v>137.09</v>
      </c>
      <c r="IA11">
        <v>189.19</v>
      </c>
    </row>
    <row r="12" spans="1:237">
      <c r="A12">
        <v>355620</v>
      </c>
      <c r="B12" t="s">
        <v>235</v>
      </c>
      <c r="C12" t="s">
        <v>236</v>
      </c>
      <c r="D12">
        <v>2011</v>
      </c>
      <c r="E12">
        <v>35562011</v>
      </c>
      <c r="F12" t="s">
        <v>237</v>
      </c>
      <c r="G12" t="s">
        <v>238</v>
      </c>
      <c r="H12" t="s">
        <v>239</v>
      </c>
      <c r="I12" t="s">
        <v>240</v>
      </c>
      <c r="J12" t="s">
        <v>241</v>
      </c>
      <c r="N12">
        <v>1</v>
      </c>
      <c r="O12">
        <v>1</v>
      </c>
      <c r="P12">
        <v>2</v>
      </c>
      <c r="Q12">
        <v>0</v>
      </c>
      <c r="W12" t="s">
        <v>243</v>
      </c>
      <c r="X12" t="s">
        <v>242</v>
      </c>
      <c r="Z12" s="1">
        <v>108622</v>
      </c>
      <c r="AA12" s="1">
        <v>103367</v>
      </c>
      <c r="AB12" s="1">
        <v>108622</v>
      </c>
      <c r="AC12" s="1">
        <v>106793</v>
      </c>
      <c r="AD12" s="1">
        <v>31539</v>
      </c>
      <c r="AE12" s="1">
        <v>29885</v>
      </c>
      <c r="AF12" s="1">
        <v>42971</v>
      </c>
      <c r="AG12" s="1">
        <v>41192</v>
      </c>
      <c r="AH12" s="1">
        <v>31539</v>
      </c>
      <c r="AI12" s="1">
        <v>29885</v>
      </c>
      <c r="AJ12">
        <v>615.89</v>
      </c>
      <c r="AK12">
        <v>615.89</v>
      </c>
      <c r="AL12" s="2">
        <v>10708.59</v>
      </c>
      <c r="AM12" s="2">
        <v>10307.25</v>
      </c>
      <c r="AN12" s="2">
        <v>7081.63</v>
      </c>
      <c r="AO12" s="2">
        <v>7081.63</v>
      </c>
      <c r="AP12" s="2">
        <v>7891.69</v>
      </c>
      <c r="AQ12" s="2">
        <v>10705.45</v>
      </c>
      <c r="AR12" s="1">
        <v>39397</v>
      </c>
      <c r="AS12" s="1">
        <v>37296</v>
      </c>
      <c r="AT12" s="1">
        <v>42971</v>
      </c>
      <c r="AU12" s="1">
        <v>41192</v>
      </c>
      <c r="AV12">
        <v>401.34</v>
      </c>
      <c r="AW12">
        <v>0</v>
      </c>
      <c r="AX12">
        <v>0</v>
      </c>
      <c r="AY12">
        <v>0</v>
      </c>
      <c r="AZ12" s="2">
        <v>6491.85</v>
      </c>
      <c r="BA12" s="1">
        <v>31539</v>
      </c>
      <c r="BB12" s="1">
        <v>29885</v>
      </c>
      <c r="BC12" s="1">
        <v>39397</v>
      </c>
      <c r="BD12" s="1">
        <v>37296</v>
      </c>
      <c r="BE12">
        <v>386.8</v>
      </c>
      <c r="BF12" s="1">
        <v>5167</v>
      </c>
      <c r="BG12" s="1">
        <v>103367</v>
      </c>
      <c r="BH12" s="1">
        <v>101626</v>
      </c>
      <c r="BI12" s="2">
        <v>10705.45</v>
      </c>
      <c r="BJ12" s="2">
        <v>4679.4799999999996</v>
      </c>
      <c r="BK12" s="1">
        <v>108622</v>
      </c>
      <c r="BL12" s="1">
        <v>101626</v>
      </c>
      <c r="BM12" s="1">
        <v>31539</v>
      </c>
      <c r="BN12" s="1">
        <v>29855</v>
      </c>
      <c r="BO12" s="1">
        <v>42735</v>
      </c>
      <c r="BP12" s="1">
        <v>40478</v>
      </c>
      <c r="BQ12">
        <v>501.44</v>
      </c>
      <c r="BR12">
        <v>501.02</v>
      </c>
      <c r="BS12" s="2">
        <v>7230.46</v>
      </c>
      <c r="BT12" s="2">
        <v>7230.46</v>
      </c>
      <c r="BU12" s="2">
        <v>8092.09</v>
      </c>
      <c r="BV12" s="1">
        <v>39200</v>
      </c>
      <c r="BW12" s="1">
        <v>37116</v>
      </c>
      <c r="BX12" s="1">
        <v>31539</v>
      </c>
      <c r="BY12" s="1">
        <v>29855</v>
      </c>
      <c r="BZ12">
        <v>0</v>
      </c>
      <c r="CA12">
        <v>0</v>
      </c>
      <c r="CB12">
        <v>0</v>
      </c>
      <c r="CC12">
        <v>0</v>
      </c>
      <c r="CD12">
        <v>0</v>
      </c>
      <c r="CE12" s="1">
        <v>103367</v>
      </c>
      <c r="CF12" s="1">
        <v>101626</v>
      </c>
      <c r="CG12" s="2">
        <v>1471.42</v>
      </c>
      <c r="CH12" s="2">
        <v>29753327</v>
      </c>
      <c r="CI12" s="2">
        <v>14617978</v>
      </c>
      <c r="CJ12" s="2">
        <v>15135349</v>
      </c>
      <c r="CK12">
        <v>0</v>
      </c>
      <c r="CL12" s="2">
        <v>29753327</v>
      </c>
      <c r="CM12" s="2">
        <v>33843828</v>
      </c>
      <c r="CN12">
        <v>0</v>
      </c>
      <c r="CO12" s="2">
        <v>3048067</v>
      </c>
      <c r="CP12" s="2">
        <v>2753240</v>
      </c>
      <c r="CQ12" s="2">
        <v>11545864</v>
      </c>
      <c r="CR12" s="2">
        <v>2309928</v>
      </c>
      <c r="CS12" s="2">
        <v>2913680</v>
      </c>
      <c r="CT12" s="2">
        <v>6613810</v>
      </c>
      <c r="CU12" s="2">
        <v>23721720</v>
      </c>
      <c r="CV12">
        <v>0</v>
      </c>
      <c r="CW12" s="2">
        <v>23721720</v>
      </c>
      <c r="CX12">
        <v>0</v>
      </c>
      <c r="CY12">
        <v>0</v>
      </c>
      <c r="CZ12">
        <v>0</v>
      </c>
      <c r="DA12" s="2">
        <v>338438</v>
      </c>
      <c r="DB12">
        <v>0</v>
      </c>
      <c r="DC12" s="2">
        <v>1258514</v>
      </c>
      <c r="DD12" s="2">
        <v>931235</v>
      </c>
      <c r="DE12" s="2">
        <v>586311</v>
      </c>
      <c r="DF12">
        <v>223</v>
      </c>
      <c r="DG12">
        <v>233</v>
      </c>
      <c r="DH12">
        <v>0</v>
      </c>
      <c r="DI12">
        <v>0</v>
      </c>
      <c r="DJ12" s="2">
        <v>2776060</v>
      </c>
      <c r="DK12">
        <v>0</v>
      </c>
      <c r="DL12">
        <v>0</v>
      </c>
      <c r="DM12" s="2">
        <v>2776060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K12">
        <v>83</v>
      </c>
      <c r="EL12">
        <v>332</v>
      </c>
      <c r="EN12" s="1">
        <v>17897</v>
      </c>
      <c r="EO12">
        <v>298</v>
      </c>
      <c r="EP12" s="1">
        <v>14823</v>
      </c>
      <c r="EQ12">
        <v>112</v>
      </c>
      <c r="ER12" s="1">
        <v>1098</v>
      </c>
      <c r="ES12" s="2">
        <v>3294</v>
      </c>
      <c r="EU12" s="1">
        <v>11490</v>
      </c>
      <c r="EV12" s="1">
        <v>12546</v>
      </c>
      <c r="EW12">
        <v>0</v>
      </c>
      <c r="EX12">
        <v>0</v>
      </c>
      <c r="EY12" s="1">
        <v>9217</v>
      </c>
      <c r="EZ12" s="1">
        <v>9217</v>
      </c>
      <c r="FA12" s="2">
        <v>5000</v>
      </c>
      <c r="FB12" s="1">
        <v>2154</v>
      </c>
      <c r="FC12">
        <v>25</v>
      </c>
      <c r="FD12" s="1">
        <v>2064</v>
      </c>
      <c r="FE12">
        <v>1.37</v>
      </c>
      <c r="FF12">
        <v>367.05</v>
      </c>
      <c r="FG12">
        <v>1.48</v>
      </c>
      <c r="FH12">
        <v>1.86</v>
      </c>
      <c r="FI12">
        <v>1.85</v>
      </c>
      <c r="FJ12">
        <v>1.87</v>
      </c>
      <c r="FK12">
        <v>76.55</v>
      </c>
      <c r="FL12" s="2">
        <v>50639.75</v>
      </c>
      <c r="FM12">
        <v>100</v>
      </c>
      <c r="FN12">
        <v>68.61</v>
      </c>
      <c r="FO12">
        <v>99.97</v>
      </c>
      <c r="FP12">
        <v>125.43</v>
      </c>
      <c r="FQ12">
        <v>23.54</v>
      </c>
      <c r="FR12">
        <v>14</v>
      </c>
      <c r="FS12">
        <v>102.1</v>
      </c>
      <c r="FT12">
        <v>100</v>
      </c>
      <c r="FU12">
        <v>15.6</v>
      </c>
      <c r="FV12">
        <v>359</v>
      </c>
      <c r="FW12">
        <v>233.37</v>
      </c>
      <c r="FX12">
        <v>20.100000000000001</v>
      </c>
      <c r="FY12">
        <v>16.329999999999998</v>
      </c>
      <c r="FZ12">
        <v>180.1</v>
      </c>
      <c r="GA12">
        <v>100</v>
      </c>
      <c r="GB12">
        <v>100</v>
      </c>
      <c r="GC12">
        <v>21.2</v>
      </c>
      <c r="GD12">
        <v>1.48</v>
      </c>
      <c r="GE12">
        <v>283.45</v>
      </c>
      <c r="GF12">
        <v>76.459999999999994</v>
      </c>
      <c r="GG12">
        <v>-13.75</v>
      </c>
      <c r="GH12">
        <v>79.73</v>
      </c>
      <c r="GI12">
        <v>38.81</v>
      </c>
      <c r="GJ12">
        <v>61.03</v>
      </c>
      <c r="GK12">
        <v>0</v>
      </c>
      <c r="GL12">
        <v>0</v>
      </c>
      <c r="GM12">
        <v>48.67</v>
      </c>
      <c r="GN12">
        <v>76.55</v>
      </c>
      <c r="GO12">
        <v>12.28</v>
      </c>
      <c r="GP12">
        <v>9.74</v>
      </c>
      <c r="GQ12">
        <v>0</v>
      </c>
      <c r="GR12">
        <v>49.13</v>
      </c>
      <c r="GS12">
        <v>50.87</v>
      </c>
      <c r="GT12">
        <v>0</v>
      </c>
      <c r="GU12">
        <v>91.12</v>
      </c>
      <c r="GV12">
        <v>100</v>
      </c>
      <c r="GW12">
        <v>7.42</v>
      </c>
      <c r="GX12">
        <v>102.1</v>
      </c>
      <c r="GY12">
        <v>100</v>
      </c>
      <c r="GZ12">
        <v>3.71</v>
      </c>
      <c r="HA12">
        <v>31.39</v>
      </c>
      <c r="HB12">
        <v>14.41</v>
      </c>
      <c r="HC12">
        <v>289.05</v>
      </c>
      <c r="HD12">
        <v>68.61</v>
      </c>
      <c r="HE12">
        <v>14</v>
      </c>
      <c r="HF12">
        <v>37</v>
      </c>
      <c r="HG12">
        <v>100</v>
      </c>
      <c r="HH12">
        <v>100</v>
      </c>
      <c r="HI12">
        <v>99.97</v>
      </c>
      <c r="HJ12">
        <v>0.44</v>
      </c>
      <c r="HK12">
        <v>0.2</v>
      </c>
      <c r="HL12">
        <v>0.47</v>
      </c>
      <c r="HN12">
        <v>4</v>
      </c>
      <c r="HQ12">
        <v>1.67</v>
      </c>
      <c r="HR12">
        <v>0.76</v>
      </c>
      <c r="HS12">
        <v>3</v>
      </c>
      <c r="HT12">
        <v>142.65</v>
      </c>
      <c r="HU12">
        <v>129.01</v>
      </c>
      <c r="HV12">
        <v>2.19</v>
      </c>
      <c r="HW12">
        <v>0.54</v>
      </c>
      <c r="HX12">
        <v>1.1599999999999999</v>
      </c>
      <c r="HY12">
        <v>104.36</v>
      </c>
      <c r="HZ12">
        <v>142.66999999999999</v>
      </c>
      <c r="IA12">
        <v>171.24</v>
      </c>
    </row>
    <row r="13" spans="1:237">
      <c r="A13">
        <v>355620</v>
      </c>
      <c r="B13" t="s">
        <v>235</v>
      </c>
      <c r="C13" t="s">
        <v>236</v>
      </c>
      <c r="D13">
        <v>2010</v>
      </c>
      <c r="E13">
        <v>35562011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N13">
        <v>1</v>
      </c>
      <c r="O13">
        <v>1</v>
      </c>
      <c r="P13">
        <v>2</v>
      </c>
      <c r="Q13">
        <v>0</v>
      </c>
      <c r="W13" t="s">
        <v>242</v>
      </c>
      <c r="X13" t="s">
        <v>242</v>
      </c>
      <c r="Z13" s="1">
        <v>106793</v>
      </c>
      <c r="AA13" s="1">
        <v>101626</v>
      </c>
      <c r="AB13" s="1">
        <v>106793</v>
      </c>
      <c r="AC13" s="1">
        <v>101877</v>
      </c>
      <c r="AD13" s="1">
        <v>29885</v>
      </c>
      <c r="AE13" s="1">
        <v>26877</v>
      </c>
      <c r="AF13" s="1">
        <v>41192</v>
      </c>
      <c r="AG13" s="1">
        <v>39261</v>
      </c>
      <c r="AH13" s="1">
        <v>29885</v>
      </c>
      <c r="AI13" s="1">
        <v>26877</v>
      </c>
      <c r="AJ13">
        <v>615.89</v>
      </c>
      <c r="AK13">
        <v>573</v>
      </c>
      <c r="AL13" s="2">
        <v>10360</v>
      </c>
      <c r="AM13" s="2">
        <v>10360</v>
      </c>
      <c r="AN13" s="2">
        <v>7122.76</v>
      </c>
      <c r="AO13" s="2">
        <v>7122.76</v>
      </c>
      <c r="AP13" s="2">
        <v>7787.51</v>
      </c>
      <c r="AQ13" s="2">
        <v>10360</v>
      </c>
      <c r="AR13" s="1">
        <v>37296</v>
      </c>
      <c r="AS13" s="1">
        <v>35263</v>
      </c>
      <c r="AT13" s="1">
        <v>41192</v>
      </c>
      <c r="AU13" s="1">
        <v>39261</v>
      </c>
      <c r="AV13">
        <v>0</v>
      </c>
      <c r="AW13">
        <v>0</v>
      </c>
      <c r="AX13">
        <v>0</v>
      </c>
      <c r="AY13">
        <v>0</v>
      </c>
      <c r="AZ13" s="2">
        <v>6639.31</v>
      </c>
      <c r="BA13" s="1">
        <v>29885</v>
      </c>
      <c r="BB13" s="1">
        <v>26877</v>
      </c>
      <c r="BC13" s="1">
        <v>37296</v>
      </c>
      <c r="BD13" s="1">
        <v>35263</v>
      </c>
      <c r="BE13">
        <v>391</v>
      </c>
      <c r="BF13">
        <v>0</v>
      </c>
      <c r="BG13" s="1">
        <v>101626</v>
      </c>
      <c r="BH13" s="1">
        <v>101877</v>
      </c>
      <c r="BI13" s="2">
        <v>10360</v>
      </c>
      <c r="BJ13" s="2">
        <v>5024.84</v>
      </c>
      <c r="BK13" s="1">
        <v>101626</v>
      </c>
      <c r="BL13" s="1">
        <v>96733</v>
      </c>
      <c r="BM13" s="1">
        <v>29855</v>
      </c>
      <c r="BN13" s="1">
        <v>28572</v>
      </c>
      <c r="BO13" s="1">
        <v>40478</v>
      </c>
      <c r="BP13" s="1">
        <v>38740</v>
      </c>
      <c r="BQ13">
        <v>501.02</v>
      </c>
      <c r="BR13">
        <v>500</v>
      </c>
      <c r="BS13" s="2">
        <v>7122.76</v>
      </c>
      <c r="BT13" s="2">
        <v>7122.76</v>
      </c>
      <c r="BU13" s="2">
        <v>7787.5</v>
      </c>
      <c r="BV13" s="1">
        <v>37116</v>
      </c>
      <c r="BW13" s="1">
        <v>35263</v>
      </c>
      <c r="BX13" s="1">
        <v>29855</v>
      </c>
      <c r="BY13" s="1">
        <v>28572</v>
      </c>
      <c r="BZ13">
        <v>0</v>
      </c>
      <c r="CA13">
        <v>0</v>
      </c>
      <c r="CB13">
        <v>0</v>
      </c>
      <c r="CC13">
        <v>0</v>
      </c>
      <c r="CD13">
        <v>0</v>
      </c>
      <c r="CE13" s="1">
        <v>101626</v>
      </c>
      <c r="CF13" s="1">
        <v>96733</v>
      </c>
      <c r="CG13" s="2">
        <v>1129.6099999999999</v>
      </c>
      <c r="CH13" s="2">
        <v>26351928</v>
      </c>
      <c r="CI13" s="2">
        <v>13060355</v>
      </c>
      <c r="CJ13" s="2">
        <v>13291573</v>
      </c>
      <c r="CK13">
        <v>0</v>
      </c>
      <c r="CL13" s="2">
        <v>26351928</v>
      </c>
      <c r="CM13" s="2">
        <v>30180257</v>
      </c>
      <c r="CN13">
        <v>0</v>
      </c>
      <c r="CO13" s="2">
        <v>2753240</v>
      </c>
      <c r="CP13" s="2">
        <v>2372247</v>
      </c>
      <c r="CQ13" s="2">
        <v>11160314</v>
      </c>
      <c r="CR13" s="2">
        <v>2530631</v>
      </c>
      <c r="CS13" s="2">
        <v>2550000</v>
      </c>
      <c r="CT13" s="2">
        <v>6067312</v>
      </c>
      <c r="CU13" s="2">
        <v>22619554</v>
      </c>
      <c r="CV13">
        <v>0</v>
      </c>
      <c r="CW13" s="2">
        <v>22619554</v>
      </c>
      <c r="CX13">
        <v>0</v>
      </c>
      <c r="CY13">
        <v>0</v>
      </c>
      <c r="CZ13">
        <v>0</v>
      </c>
      <c r="DA13" s="2">
        <v>311297</v>
      </c>
      <c r="DB13">
        <v>0</v>
      </c>
      <c r="DC13" s="2">
        <v>1414399</v>
      </c>
      <c r="DD13" s="2">
        <v>466388</v>
      </c>
      <c r="DE13" s="2">
        <v>49723</v>
      </c>
      <c r="DF13">
        <v>233</v>
      </c>
      <c r="DG13">
        <v>238</v>
      </c>
      <c r="DH13">
        <v>0</v>
      </c>
      <c r="DI13">
        <v>0</v>
      </c>
      <c r="DJ13" s="2">
        <v>1930510</v>
      </c>
      <c r="DK13">
        <v>0</v>
      </c>
      <c r="DL13">
        <v>0</v>
      </c>
      <c r="DM13" s="2">
        <v>1930510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K13">
        <v>135</v>
      </c>
      <c r="EL13">
        <v>810</v>
      </c>
      <c r="EN13" s="1">
        <v>17831</v>
      </c>
      <c r="EO13">
        <v>235</v>
      </c>
      <c r="EP13" s="1">
        <v>14920</v>
      </c>
      <c r="EQ13">
        <v>240</v>
      </c>
      <c r="ER13" s="1">
        <v>1056</v>
      </c>
      <c r="ES13" s="2">
        <v>3168</v>
      </c>
      <c r="ET13">
        <v>0</v>
      </c>
      <c r="EU13" s="1">
        <v>11480</v>
      </c>
      <c r="EV13" s="1">
        <v>12826</v>
      </c>
      <c r="EW13">
        <v>0</v>
      </c>
      <c r="EX13">
        <v>0</v>
      </c>
      <c r="EY13" s="1">
        <v>9207</v>
      </c>
      <c r="EZ13" s="1">
        <v>9207</v>
      </c>
      <c r="FA13" s="2">
        <v>4600</v>
      </c>
      <c r="FB13" s="1">
        <v>2731</v>
      </c>
      <c r="FC13">
        <v>68</v>
      </c>
      <c r="FD13" s="1">
        <v>2644</v>
      </c>
      <c r="FE13">
        <v>1.41</v>
      </c>
      <c r="FF13">
        <v>339</v>
      </c>
      <c r="FG13">
        <v>1.45</v>
      </c>
      <c r="FH13">
        <v>1.69</v>
      </c>
      <c r="FI13">
        <v>1.67</v>
      </c>
      <c r="FJ13">
        <v>1.7</v>
      </c>
      <c r="FK13">
        <v>76.16</v>
      </c>
      <c r="FL13" s="2">
        <v>47389.86</v>
      </c>
      <c r="FM13">
        <v>100</v>
      </c>
      <c r="FN13">
        <v>71.44</v>
      </c>
      <c r="FO13">
        <v>100</v>
      </c>
      <c r="FP13">
        <v>116.5</v>
      </c>
      <c r="FQ13">
        <v>21.88</v>
      </c>
      <c r="FR13">
        <v>14.7</v>
      </c>
      <c r="FS13">
        <v>100</v>
      </c>
      <c r="FT13">
        <v>100</v>
      </c>
      <c r="FU13">
        <v>16.100000000000001</v>
      </c>
      <c r="FV13">
        <v>364</v>
      </c>
      <c r="FW13">
        <v>219.61</v>
      </c>
      <c r="FX13">
        <v>20.9</v>
      </c>
      <c r="FY13">
        <v>17.13</v>
      </c>
      <c r="FZ13">
        <v>187</v>
      </c>
      <c r="GA13">
        <v>100</v>
      </c>
      <c r="GB13">
        <v>100</v>
      </c>
      <c r="GC13">
        <v>21.4</v>
      </c>
      <c r="GD13">
        <v>1.45</v>
      </c>
      <c r="GE13">
        <v>283.32</v>
      </c>
      <c r="GF13">
        <v>78.11</v>
      </c>
      <c r="GG13">
        <v>-14.52</v>
      </c>
      <c r="GH13">
        <v>85.83</v>
      </c>
      <c r="GI13">
        <v>42.35</v>
      </c>
      <c r="GJ13">
        <v>65.37</v>
      </c>
      <c r="GK13">
        <v>0</v>
      </c>
      <c r="GL13">
        <v>0</v>
      </c>
      <c r="GM13">
        <v>49.33</v>
      </c>
      <c r="GN13">
        <v>76.16</v>
      </c>
      <c r="GO13">
        <v>11.27</v>
      </c>
      <c r="GP13">
        <v>11.18</v>
      </c>
      <c r="GQ13">
        <v>0</v>
      </c>
      <c r="GR13">
        <v>49.56</v>
      </c>
      <c r="GS13">
        <v>50.43</v>
      </c>
      <c r="GT13">
        <v>0</v>
      </c>
      <c r="GU13">
        <v>90.18</v>
      </c>
      <c r="GV13">
        <v>100</v>
      </c>
      <c r="GW13">
        <v>8.2899999999999991</v>
      </c>
      <c r="GX13">
        <v>100</v>
      </c>
      <c r="GY13">
        <v>100</v>
      </c>
      <c r="GZ13">
        <v>4.08</v>
      </c>
      <c r="HA13">
        <v>28.55</v>
      </c>
      <c r="HB13">
        <v>13.11</v>
      </c>
      <c r="HC13">
        <v>274.75</v>
      </c>
      <c r="HD13">
        <v>71.44</v>
      </c>
      <c r="HE13">
        <v>14.7</v>
      </c>
      <c r="HF13">
        <v>38</v>
      </c>
      <c r="HG13">
        <v>100</v>
      </c>
      <c r="HH13">
        <v>95.16</v>
      </c>
      <c r="HI13">
        <v>100</v>
      </c>
      <c r="HJ13">
        <v>0.48</v>
      </c>
      <c r="HK13">
        <v>0.15</v>
      </c>
      <c r="HL13">
        <v>0.41</v>
      </c>
      <c r="HN13">
        <v>6</v>
      </c>
      <c r="HQ13">
        <v>1.31</v>
      </c>
      <c r="HR13">
        <v>1.6</v>
      </c>
      <c r="HS13">
        <v>3</v>
      </c>
      <c r="HT13">
        <v>139.02000000000001</v>
      </c>
      <c r="HU13">
        <v>129.96</v>
      </c>
      <c r="HV13">
        <v>2.1</v>
      </c>
      <c r="HW13">
        <v>0.49</v>
      </c>
      <c r="HX13">
        <v>2.48</v>
      </c>
      <c r="HY13">
        <v>103.29</v>
      </c>
      <c r="HZ13">
        <v>133.41999999999999</v>
      </c>
      <c r="IA13">
        <v>158.43</v>
      </c>
    </row>
    <row r="14" spans="1:237">
      <c r="A14">
        <v>355620</v>
      </c>
      <c r="B14" t="s">
        <v>235</v>
      </c>
      <c r="C14" t="s">
        <v>236</v>
      </c>
      <c r="D14">
        <v>2009</v>
      </c>
      <c r="E14">
        <v>35562011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N14">
        <v>1</v>
      </c>
      <c r="O14">
        <v>1</v>
      </c>
      <c r="P14">
        <v>2</v>
      </c>
      <c r="Q14">
        <v>0</v>
      </c>
      <c r="W14" t="s">
        <v>242</v>
      </c>
      <c r="X14" t="s">
        <v>242</v>
      </c>
      <c r="Z14" s="1">
        <v>107481</v>
      </c>
      <c r="AA14" s="1">
        <v>101877</v>
      </c>
      <c r="AB14" s="1">
        <v>101877</v>
      </c>
      <c r="AC14" s="1">
        <v>95734</v>
      </c>
      <c r="AD14" s="1">
        <v>26877</v>
      </c>
      <c r="AE14" s="1">
        <v>26131</v>
      </c>
      <c r="AF14" s="1">
        <v>39261</v>
      </c>
      <c r="AG14" s="1">
        <v>36353</v>
      </c>
      <c r="AH14" s="1">
        <v>26877</v>
      </c>
      <c r="AI14" s="1">
        <v>26131</v>
      </c>
      <c r="AJ14">
        <v>573</v>
      </c>
      <c r="AK14">
        <v>324.25</v>
      </c>
      <c r="AL14" s="2">
        <v>9941</v>
      </c>
      <c r="AM14" s="2">
        <v>9941</v>
      </c>
      <c r="AN14" s="2">
        <v>6268</v>
      </c>
      <c r="AO14" s="2">
        <v>6268</v>
      </c>
      <c r="AP14" s="2">
        <v>7038</v>
      </c>
      <c r="AQ14" s="2">
        <v>9941</v>
      </c>
      <c r="AR14" s="1">
        <v>35263</v>
      </c>
      <c r="AS14" s="1">
        <v>33315</v>
      </c>
      <c r="AT14" s="1">
        <v>39261</v>
      </c>
      <c r="AU14" s="1">
        <v>36353</v>
      </c>
      <c r="AV14">
        <v>0</v>
      </c>
      <c r="AW14">
        <v>0</v>
      </c>
      <c r="AX14">
        <v>0</v>
      </c>
      <c r="AY14">
        <v>0</v>
      </c>
      <c r="AZ14" s="2">
        <v>5622</v>
      </c>
      <c r="BA14" s="1">
        <v>26877</v>
      </c>
      <c r="BB14" s="1">
        <v>26131</v>
      </c>
      <c r="BC14" s="1">
        <v>35263</v>
      </c>
      <c r="BD14" s="1">
        <v>33315</v>
      </c>
      <c r="BE14">
        <v>329</v>
      </c>
      <c r="BF14">
        <v>0</v>
      </c>
      <c r="BG14" s="1">
        <v>101877</v>
      </c>
      <c r="BH14" s="1">
        <v>95734</v>
      </c>
      <c r="BI14" s="2">
        <v>9941</v>
      </c>
      <c r="BK14" s="1">
        <v>96733</v>
      </c>
      <c r="BL14" s="1">
        <v>91552</v>
      </c>
      <c r="BM14" s="1">
        <v>28572</v>
      </c>
      <c r="BN14" s="1">
        <v>25627</v>
      </c>
      <c r="BO14" s="1">
        <v>38740</v>
      </c>
      <c r="BP14" s="1">
        <v>35466</v>
      </c>
      <c r="BQ14">
        <v>500</v>
      </c>
      <c r="BR14">
        <v>371.36</v>
      </c>
      <c r="BS14" s="2">
        <v>6487</v>
      </c>
      <c r="BT14" s="2">
        <v>6487</v>
      </c>
      <c r="BU14" s="2">
        <v>5631</v>
      </c>
      <c r="BV14" s="1">
        <v>35263</v>
      </c>
      <c r="BW14" s="1">
        <v>32717</v>
      </c>
      <c r="BX14" s="1">
        <v>28572</v>
      </c>
      <c r="BY14" s="1">
        <v>25627</v>
      </c>
      <c r="BZ14">
        <v>0</v>
      </c>
      <c r="CA14">
        <v>0</v>
      </c>
      <c r="CB14">
        <v>0</v>
      </c>
      <c r="CC14">
        <v>0</v>
      </c>
      <c r="CD14">
        <v>0</v>
      </c>
      <c r="CE14" s="1">
        <v>96733</v>
      </c>
      <c r="CF14" s="1">
        <v>91552</v>
      </c>
      <c r="CG14" s="2">
        <v>1119</v>
      </c>
      <c r="CH14" s="2">
        <v>22413430</v>
      </c>
      <c r="CI14" s="2">
        <v>10999158</v>
      </c>
      <c r="CJ14" s="2">
        <v>11414272</v>
      </c>
      <c r="CK14">
        <v>0</v>
      </c>
      <c r="CL14" s="2">
        <v>22413431</v>
      </c>
      <c r="CM14" s="2">
        <v>26415092</v>
      </c>
      <c r="CN14">
        <v>0</v>
      </c>
      <c r="CO14" s="2">
        <v>2372247</v>
      </c>
      <c r="CP14" s="2">
        <v>848332.12</v>
      </c>
      <c r="CQ14" s="2">
        <v>9361351</v>
      </c>
      <c r="CR14" s="2">
        <v>1413830</v>
      </c>
      <c r="CS14" s="2">
        <v>2297778</v>
      </c>
      <c r="CT14" s="2">
        <v>5073213</v>
      </c>
      <c r="CU14" s="2">
        <v>18401172</v>
      </c>
      <c r="CV14">
        <v>0</v>
      </c>
      <c r="CW14" s="2">
        <v>18401172</v>
      </c>
      <c r="CX14">
        <v>0</v>
      </c>
      <c r="CY14">
        <v>0</v>
      </c>
      <c r="CZ14">
        <v>0</v>
      </c>
      <c r="DA14" s="2">
        <v>255000</v>
      </c>
      <c r="DB14">
        <v>0</v>
      </c>
      <c r="DC14" s="2">
        <v>1842925</v>
      </c>
      <c r="DD14" s="2">
        <v>966949</v>
      </c>
      <c r="DE14" s="2">
        <v>94029</v>
      </c>
      <c r="DF14">
        <v>238</v>
      </c>
      <c r="DG14">
        <v>240</v>
      </c>
      <c r="DH14">
        <v>0</v>
      </c>
      <c r="DI14">
        <v>0</v>
      </c>
      <c r="DJ14" s="2">
        <v>2903903</v>
      </c>
      <c r="DK14">
        <v>0</v>
      </c>
      <c r="DL14">
        <v>0</v>
      </c>
      <c r="DM14" s="2">
        <v>2903903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K14">
        <v>68</v>
      </c>
      <c r="EL14">
        <v>705</v>
      </c>
      <c r="EN14" s="1">
        <v>15236</v>
      </c>
      <c r="EO14">
        <v>188</v>
      </c>
      <c r="EP14" s="1">
        <v>12631</v>
      </c>
      <c r="EQ14">
        <v>488</v>
      </c>
      <c r="ER14" s="1">
        <v>1027</v>
      </c>
      <c r="ES14" s="2">
        <v>3027</v>
      </c>
      <c r="ET14">
        <v>0</v>
      </c>
      <c r="EU14" s="1">
        <v>10585</v>
      </c>
      <c r="EV14" s="1">
        <v>10585</v>
      </c>
      <c r="EW14">
        <v>0</v>
      </c>
      <c r="EX14">
        <v>0</v>
      </c>
      <c r="EY14" s="1">
        <v>8936</v>
      </c>
      <c r="EZ14" s="1">
        <v>8936</v>
      </c>
      <c r="FA14" s="2">
        <v>1500</v>
      </c>
      <c r="FB14" s="1">
        <v>1767</v>
      </c>
      <c r="FC14">
        <v>15</v>
      </c>
      <c r="FD14" s="1">
        <v>1738</v>
      </c>
      <c r="FE14">
        <v>1.46</v>
      </c>
      <c r="FF14">
        <v>327.73</v>
      </c>
      <c r="FG14">
        <v>1.45</v>
      </c>
      <c r="FH14">
        <v>1.76</v>
      </c>
      <c r="FI14">
        <v>1.56</v>
      </c>
      <c r="FJ14">
        <v>2.02</v>
      </c>
      <c r="FK14">
        <v>78.44</v>
      </c>
      <c r="FL14" s="2">
        <v>39333.4</v>
      </c>
      <c r="FM14">
        <v>100</v>
      </c>
      <c r="FN14">
        <v>65.209999999999994</v>
      </c>
      <c r="FO14">
        <v>100</v>
      </c>
      <c r="FP14">
        <v>121.8</v>
      </c>
      <c r="FQ14">
        <v>26.77</v>
      </c>
      <c r="FR14">
        <v>13.3</v>
      </c>
      <c r="FS14">
        <v>103.49</v>
      </c>
      <c r="FT14">
        <v>100</v>
      </c>
      <c r="FU14">
        <v>14.9</v>
      </c>
      <c r="FV14">
        <v>367</v>
      </c>
      <c r="FW14">
        <v>212.54</v>
      </c>
      <c r="FX14">
        <v>21.3</v>
      </c>
      <c r="FY14">
        <v>17.489999999999998</v>
      </c>
      <c r="FZ14">
        <v>168.5</v>
      </c>
      <c r="GA14">
        <v>100</v>
      </c>
      <c r="GB14">
        <v>94.95</v>
      </c>
      <c r="GC14">
        <v>21.1</v>
      </c>
      <c r="GD14">
        <v>1.45</v>
      </c>
      <c r="GE14">
        <v>235.9</v>
      </c>
      <c r="GF14">
        <v>73.22</v>
      </c>
      <c r="GG14">
        <v>-17.850000000000001</v>
      </c>
      <c r="GH14">
        <v>82.09</v>
      </c>
      <c r="GI14">
        <v>41.76</v>
      </c>
      <c r="GJ14">
        <v>64.400000000000006</v>
      </c>
      <c r="GK14">
        <v>0</v>
      </c>
      <c r="GL14">
        <v>0</v>
      </c>
      <c r="GM14">
        <v>50.87</v>
      </c>
      <c r="GN14">
        <v>78.44</v>
      </c>
      <c r="GO14">
        <v>12.48</v>
      </c>
      <c r="GP14">
        <v>7.68</v>
      </c>
      <c r="GQ14">
        <v>0</v>
      </c>
      <c r="GR14">
        <v>49.07</v>
      </c>
      <c r="GS14">
        <v>50.92</v>
      </c>
      <c r="GT14">
        <v>0</v>
      </c>
      <c r="GU14">
        <v>89.81</v>
      </c>
      <c r="GV14">
        <v>100</v>
      </c>
      <c r="GW14">
        <v>8.85</v>
      </c>
      <c r="GX14">
        <v>103.49</v>
      </c>
      <c r="GY14">
        <v>94.95</v>
      </c>
      <c r="GZ14">
        <v>4.29</v>
      </c>
      <c r="HA14">
        <v>34.78</v>
      </c>
      <c r="HB14">
        <v>15.98</v>
      </c>
      <c r="HC14">
        <v>340.87</v>
      </c>
      <c r="HD14">
        <v>65.209999999999994</v>
      </c>
      <c r="HE14">
        <v>13.3</v>
      </c>
      <c r="HF14">
        <v>38</v>
      </c>
      <c r="HG14">
        <v>94.78</v>
      </c>
      <c r="HH14">
        <v>90</v>
      </c>
      <c r="HI14">
        <v>100</v>
      </c>
      <c r="HK14">
        <v>0.17</v>
      </c>
      <c r="HN14">
        <v>10.36</v>
      </c>
      <c r="HQ14">
        <v>1.23</v>
      </c>
      <c r="HR14">
        <v>3.86</v>
      </c>
      <c r="HS14">
        <v>2.94</v>
      </c>
      <c r="HT14">
        <v>143.93</v>
      </c>
      <c r="HU14">
        <v>119.32</v>
      </c>
      <c r="HV14">
        <v>2.0499999999999998</v>
      </c>
      <c r="HW14">
        <v>0.16</v>
      </c>
      <c r="HX14">
        <v>0.84</v>
      </c>
      <c r="HY14">
        <v>101.66</v>
      </c>
      <c r="HZ14">
        <v>143.55000000000001</v>
      </c>
      <c r="IA14">
        <v>151.09</v>
      </c>
    </row>
    <row r="15" spans="1:237">
      <c r="A15">
        <v>355620</v>
      </c>
      <c r="B15" t="s">
        <v>235</v>
      </c>
      <c r="C15" t="s">
        <v>236</v>
      </c>
      <c r="D15">
        <v>2008</v>
      </c>
      <c r="E15">
        <v>35562011</v>
      </c>
      <c r="F15" t="s">
        <v>237</v>
      </c>
      <c r="G15" t="s">
        <v>238</v>
      </c>
      <c r="H15" t="s">
        <v>239</v>
      </c>
      <c r="I15" t="s">
        <v>240</v>
      </c>
      <c r="J15" t="s">
        <v>241</v>
      </c>
      <c r="P15">
        <v>0</v>
      </c>
      <c r="Q15">
        <v>0</v>
      </c>
      <c r="W15" t="s">
        <v>242</v>
      </c>
      <c r="X15" t="s">
        <v>242</v>
      </c>
      <c r="Z15" s="1">
        <v>105282</v>
      </c>
      <c r="AA15" s="1">
        <v>99793</v>
      </c>
      <c r="AB15" s="1">
        <v>95734</v>
      </c>
      <c r="AC15" s="1">
        <v>94088</v>
      </c>
      <c r="AD15" s="1">
        <v>26131</v>
      </c>
      <c r="AE15" s="1">
        <v>24477</v>
      </c>
      <c r="AF15" s="1">
        <v>36353</v>
      </c>
      <c r="AG15" s="1">
        <v>34361</v>
      </c>
      <c r="AH15" s="1">
        <v>26131</v>
      </c>
      <c r="AI15" s="1">
        <v>24477</v>
      </c>
      <c r="AJ15">
        <v>324.25</v>
      </c>
      <c r="AK15">
        <v>290.77</v>
      </c>
      <c r="AL15" s="2">
        <v>9596.1299999999992</v>
      </c>
      <c r="AM15" s="2">
        <v>9596.1299999999992</v>
      </c>
      <c r="AN15" s="2">
        <v>6151.93</v>
      </c>
      <c r="AO15" s="2">
        <v>6151.93</v>
      </c>
      <c r="AP15" s="2">
        <v>6796.09</v>
      </c>
      <c r="AQ15" s="2">
        <v>9286.7000000000007</v>
      </c>
      <c r="AR15" s="1">
        <v>33315</v>
      </c>
      <c r="AS15" s="1">
        <v>31466</v>
      </c>
      <c r="AT15" s="1">
        <v>36353</v>
      </c>
      <c r="AU15" s="1">
        <v>34361</v>
      </c>
      <c r="AV15">
        <v>0</v>
      </c>
      <c r="AW15">
        <v>0</v>
      </c>
      <c r="AX15">
        <v>0</v>
      </c>
      <c r="AY15">
        <v>0</v>
      </c>
      <c r="AZ15" s="2">
        <v>5483.95</v>
      </c>
      <c r="BA15" s="1">
        <v>26131</v>
      </c>
      <c r="BB15" s="1">
        <v>24477</v>
      </c>
      <c r="BC15" s="1">
        <v>33315</v>
      </c>
      <c r="BD15" s="1">
        <v>31466</v>
      </c>
      <c r="BE15">
        <v>309.43</v>
      </c>
      <c r="BF15">
        <v>0</v>
      </c>
      <c r="BG15" s="1">
        <v>95734</v>
      </c>
      <c r="BH15" s="1">
        <v>94088</v>
      </c>
      <c r="BI15" s="2">
        <v>9286.7000000000007</v>
      </c>
      <c r="BJ15" s="2">
        <v>6373.69</v>
      </c>
      <c r="BK15" s="1">
        <v>91552</v>
      </c>
      <c r="BL15" s="1">
        <v>89978</v>
      </c>
      <c r="BM15" s="1">
        <v>25627</v>
      </c>
      <c r="BN15" s="1">
        <v>23942</v>
      </c>
      <c r="BO15" s="1">
        <v>35466</v>
      </c>
      <c r="BP15" s="1">
        <v>33657</v>
      </c>
      <c r="BQ15">
        <v>371.36</v>
      </c>
      <c r="BR15">
        <v>367.4</v>
      </c>
      <c r="BS15" s="2">
        <v>6598.92</v>
      </c>
      <c r="BT15" s="2">
        <v>6598.92</v>
      </c>
      <c r="BU15" s="2">
        <v>6598.92</v>
      </c>
      <c r="BV15" s="1">
        <v>32717</v>
      </c>
      <c r="BW15" s="1">
        <v>30838</v>
      </c>
      <c r="BX15" s="1">
        <v>25627</v>
      </c>
      <c r="BY15" s="1">
        <v>23942</v>
      </c>
      <c r="BZ15">
        <v>0</v>
      </c>
      <c r="CA15">
        <v>0</v>
      </c>
      <c r="CB15">
        <v>0</v>
      </c>
      <c r="CD15">
        <v>0</v>
      </c>
      <c r="CE15" s="1">
        <v>91552</v>
      </c>
      <c r="CF15" s="1">
        <v>89978</v>
      </c>
      <c r="CG15" s="2">
        <v>1306.6300000000001</v>
      </c>
      <c r="CH15" s="2">
        <v>21496808.23</v>
      </c>
      <c r="CI15" s="2">
        <v>10939555.039999999</v>
      </c>
      <c r="CJ15" s="2">
        <v>10557253.189999999</v>
      </c>
      <c r="CK15">
        <v>0</v>
      </c>
      <c r="CL15" s="2">
        <v>21496808.23</v>
      </c>
      <c r="CM15" s="2">
        <v>26734687.84</v>
      </c>
      <c r="CN15">
        <v>0</v>
      </c>
      <c r="CO15" s="2">
        <v>848332.12</v>
      </c>
      <c r="CP15" s="2">
        <v>3007257.75</v>
      </c>
      <c r="CQ15" s="2">
        <v>8515773.2799999993</v>
      </c>
      <c r="CR15" s="2">
        <v>2326048.9</v>
      </c>
      <c r="CS15" s="2">
        <v>2161144.15</v>
      </c>
      <c r="CT15" s="2">
        <v>3626548.13</v>
      </c>
      <c r="CU15" s="2">
        <v>16899861.34</v>
      </c>
      <c r="CV15">
        <v>0</v>
      </c>
      <c r="CW15" s="2">
        <v>16899861.34</v>
      </c>
      <c r="CX15">
        <v>0</v>
      </c>
      <c r="CY15">
        <v>0</v>
      </c>
      <c r="CZ15">
        <v>0</v>
      </c>
      <c r="DA15" s="2">
        <v>267346.88</v>
      </c>
      <c r="DB15">
        <v>0</v>
      </c>
      <c r="DC15" s="2">
        <v>5761468.1299999999</v>
      </c>
      <c r="DD15" s="2">
        <v>1644139.19</v>
      </c>
      <c r="DE15" s="2">
        <v>84158.45</v>
      </c>
      <c r="DF15">
        <v>240</v>
      </c>
      <c r="DG15">
        <v>212</v>
      </c>
      <c r="DH15" s="2">
        <v>3000</v>
      </c>
      <c r="DI15">
        <v>0</v>
      </c>
      <c r="DJ15" s="2">
        <v>7489765.7699999996</v>
      </c>
      <c r="DK15">
        <v>0</v>
      </c>
      <c r="DL15">
        <v>0</v>
      </c>
      <c r="DM15" s="2">
        <v>7489765.7699999996</v>
      </c>
      <c r="DN15">
        <v>0</v>
      </c>
      <c r="DO15">
        <v>0</v>
      </c>
      <c r="DP15">
        <v>0</v>
      </c>
      <c r="DR15">
        <v>0</v>
      </c>
      <c r="DS15">
        <v>0</v>
      </c>
      <c r="EJ15" t="s">
        <v>244</v>
      </c>
      <c r="EK15">
        <v>55</v>
      </c>
      <c r="EL15">
        <v>604</v>
      </c>
      <c r="EN15" s="1">
        <v>14715</v>
      </c>
      <c r="EO15">
        <v>2</v>
      </c>
      <c r="EP15" s="1">
        <v>10310</v>
      </c>
      <c r="EQ15">
        <v>145</v>
      </c>
      <c r="ER15">
        <v>898</v>
      </c>
      <c r="ES15" s="2">
        <v>2694</v>
      </c>
      <c r="ET15">
        <v>0</v>
      </c>
      <c r="EU15" s="1">
        <v>10020</v>
      </c>
      <c r="EV15" s="1">
        <v>10020</v>
      </c>
      <c r="EW15">
        <v>0</v>
      </c>
      <c r="EX15">
        <v>0</v>
      </c>
      <c r="EY15" s="1">
        <v>7500</v>
      </c>
      <c r="EZ15" s="1">
        <v>7500</v>
      </c>
      <c r="FB15" s="1">
        <v>1486</v>
      </c>
      <c r="FC15">
        <v>1</v>
      </c>
      <c r="FD15" s="1">
        <v>1452</v>
      </c>
      <c r="FE15">
        <v>1.39</v>
      </c>
      <c r="FF15">
        <v>309.37</v>
      </c>
      <c r="FG15">
        <v>1.26</v>
      </c>
      <c r="FH15">
        <v>1.6</v>
      </c>
      <c r="FI15">
        <v>1.6</v>
      </c>
      <c r="FJ15">
        <v>1.59</v>
      </c>
      <c r="FK15">
        <v>71.84</v>
      </c>
      <c r="FL15" s="2">
        <v>37680.410000000003</v>
      </c>
      <c r="FM15">
        <v>100</v>
      </c>
      <c r="FN15">
        <v>66.239999999999995</v>
      </c>
      <c r="FO15">
        <v>96.77</v>
      </c>
      <c r="FP15">
        <v>127.2</v>
      </c>
      <c r="FQ15">
        <v>26.81</v>
      </c>
      <c r="FR15">
        <v>14.5</v>
      </c>
      <c r="FS15">
        <v>107.26</v>
      </c>
      <c r="FT15">
        <v>100</v>
      </c>
      <c r="FU15">
        <v>16</v>
      </c>
      <c r="FV15">
        <v>322</v>
      </c>
      <c r="FW15">
        <v>216.97</v>
      </c>
      <c r="FX15">
        <v>12.2</v>
      </c>
      <c r="FY15">
        <v>14.9</v>
      </c>
      <c r="FZ15">
        <v>177.6</v>
      </c>
      <c r="GA15">
        <v>95.9</v>
      </c>
      <c r="GB15">
        <v>91.74</v>
      </c>
      <c r="GC15">
        <v>22.6</v>
      </c>
      <c r="GD15">
        <v>1.26</v>
      </c>
      <c r="GE15">
        <v>241.7</v>
      </c>
      <c r="GF15">
        <v>73.180000000000007</v>
      </c>
      <c r="GG15">
        <v>-24.36</v>
      </c>
      <c r="GH15">
        <v>78.61</v>
      </c>
      <c r="GI15">
        <v>39.61</v>
      </c>
      <c r="GJ15">
        <v>56.48</v>
      </c>
      <c r="GK15">
        <v>0</v>
      </c>
      <c r="GL15">
        <v>0.01</v>
      </c>
      <c r="GM15">
        <v>50.38</v>
      </c>
      <c r="GN15">
        <v>71.84</v>
      </c>
      <c r="GO15">
        <v>12.78</v>
      </c>
      <c r="GP15">
        <v>13.76</v>
      </c>
      <c r="GQ15">
        <v>0.01</v>
      </c>
      <c r="GR15">
        <v>50.88</v>
      </c>
      <c r="GS15">
        <v>49.11</v>
      </c>
      <c r="GT15">
        <v>0</v>
      </c>
      <c r="GU15">
        <v>91.6</v>
      </c>
      <c r="GV15">
        <v>100</v>
      </c>
      <c r="GW15">
        <v>8.93</v>
      </c>
      <c r="GX15">
        <v>107.26</v>
      </c>
      <c r="GY15">
        <v>91.74</v>
      </c>
      <c r="GZ15">
        <v>4.51</v>
      </c>
      <c r="HA15">
        <v>33.75</v>
      </c>
      <c r="HB15">
        <v>27.92</v>
      </c>
      <c r="HC15">
        <v>339.4</v>
      </c>
      <c r="HD15">
        <v>66.239999999999995</v>
      </c>
      <c r="HE15">
        <v>14.5</v>
      </c>
      <c r="HF15">
        <v>14</v>
      </c>
      <c r="HG15">
        <v>90.93</v>
      </c>
      <c r="HH15">
        <v>86.95</v>
      </c>
      <c r="HI15">
        <v>96.77</v>
      </c>
      <c r="HJ15">
        <v>0.66</v>
      </c>
      <c r="HK15">
        <v>0.19</v>
      </c>
      <c r="HL15">
        <v>0.28000000000000003</v>
      </c>
      <c r="HN15">
        <v>10.98</v>
      </c>
      <c r="HQ15">
        <v>0.01</v>
      </c>
      <c r="HR15">
        <v>1.4</v>
      </c>
      <c r="HS15">
        <v>3</v>
      </c>
      <c r="HT15">
        <v>146.85</v>
      </c>
      <c r="HU15">
        <v>102.89</v>
      </c>
      <c r="HV15">
        <v>2.41</v>
      </c>
      <c r="HX15">
        <v>0.06</v>
      </c>
      <c r="HY15">
        <v>102.34</v>
      </c>
      <c r="HZ15">
        <v>158.19</v>
      </c>
      <c r="IA15">
        <v>155.43</v>
      </c>
    </row>
    <row r="16" spans="1:237">
      <c r="A16">
        <v>355620</v>
      </c>
      <c r="B16" t="s">
        <v>235</v>
      </c>
      <c r="C16" t="s">
        <v>236</v>
      </c>
      <c r="D16">
        <v>2007</v>
      </c>
      <c r="E16">
        <v>35562011</v>
      </c>
      <c r="F16" t="s">
        <v>237</v>
      </c>
      <c r="G16" t="s">
        <v>238</v>
      </c>
      <c r="H16" t="s">
        <v>239</v>
      </c>
      <c r="I16" t="s">
        <v>240</v>
      </c>
      <c r="J16" t="s">
        <v>241</v>
      </c>
      <c r="P16">
        <v>0</v>
      </c>
      <c r="Q16">
        <v>0</v>
      </c>
      <c r="W16" t="s">
        <v>242</v>
      </c>
      <c r="X16" t="s">
        <v>242</v>
      </c>
      <c r="Z16" s="1">
        <v>97814</v>
      </c>
      <c r="AA16" s="1">
        <v>92714</v>
      </c>
      <c r="AB16" s="1">
        <v>94088</v>
      </c>
      <c r="AC16" s="1">
        <v>87595</v>
      </c>
      <c r="AD16" s="1">
        <v>24477</v>
      </c>
      <c r="AE16" s="1">
        <v>23643</v>
      </c>
      <c r="AF16" s="1">
        <v>34361</v>
      </c>
      <c r="AG16" s="1">
        <v>32455</v>
      </c>
      <c r="AH16" s="1">
        <v>24477</v>
      </c>
      <c r="AI16" s="1">
        <v>23643</v>
      </c>
      <c r="AJ16">
        <v>290.77</v>
      </c>
      <c r="AK16">
        <v>288.5</v>
      </c>
      <c r="AL16" s="2">
        <v>9605.2099999999991</v>
      </c>
      <c r="AM16" s="2">
        <v>9605.2099999999991</v>
      </c>
      <c r="AN16" s="2">
        <v>6150</v>
      </c>
      <c r="AO16" s="2">
        <v>6150</v>
      </c>
      <c r="AP16" s="2">
        <v>6698</v>
      </c>
      <c r="AQ16" s="2">
        <v>9321.98</v>
      </c>
      <c r="AR16" s="1">
        <v>31466</v>
      </c>
      <c r="AS16" s="1">
        <v>29916</v>
      </c>
      <c r="AT16" s="1">
        <v>34361</v>
      </c>
      <c r="AU16" s="1">
        <v>32455</v>
      </c>
      <c r="AV16">
        <v>0</v>
      </c>
      <c r="AW16">
        <v>0</v>
      </c>
      <c r="AX16">
        <v>0</v>
      </c>
      <c r="AY16">
        <v>0</v>
      </c>
      <c r="AZ16" s="2">
        <v>5627</v>
      </c>
      <c r="BA16" s="1">
        <v>24477</v>
      </c>
      <c r="BB16" s="1">
        <v>23643</v>
      </c>
      <c r="BC16" s="1">
        <v>31466</v>
      </c>
      <c r="BD16" s="1">
        <v>29916</v>
      </c>
      <c r="BE16">
        <v>283.23</v>
      </c>
      <c r="BF16">
        <v>0</v>
      </c>
      <c r="BG16" s="1">
        <v>94088</v>
      </c>
      <c r="BH16" s="1">
        <v>87595</v>
      </c>
      <c r="BI16" s="2">
        <v>9321.98</v>
      </c>
      <c r="BK16" s="1">
        <v>89978</v>
      </c>
      <c r="BL16" s="1">
        <v>83769</v>
      </c>
      <c r="BM16" s="1">
        <v>23942</v>
      </c>
      <c r="BN16" s="1">
        <v>22986</v>
      </c>
      <c r="BO16" s="1">
        <v>33657</v>
      </c>
      <c r="BP16" s="1">
        <v>31640</v>
      </c>
      <c r="BQ16">
        <v>367.4</v>
      </c>
      <c r="BR16">
        <v>364.9</v>
      </c>
      <c r="BS16" s="2">
        <v>5748</v>
      </c>
      <c r="BT16" s="2">
        <v>5748</v>
      </c>
      <c r="BU16" s="2">
        <v>5748</v>
      </c>
      <c r="BV16" s="1">
        <v>30838</v>
      </c>
      <c r="BW16" s="1">
        <v>29182</v>
      </c>
      <c r="BX16" s="1">
        <v>23942</v>
      </c>
      <c r="BY16" s="1">
        <v>22986</v>
      </c>
      <c r="BZ16">
        <v>0</v>
      </c>
      <c r="CA16">
        <v>0</v>
      </c>
      <c r="CB16">
        <v>0</v>
      </c>
      <c r="CD16">
        <v>0</v>
      </c>
      <c r="CE16" s="1">
        <v>89978</v>
      </c>
      <c r="CF16" s="1">
        <v>83769</v>
      </c>
      <c r="CH16" s="2">
        <v>20088384.690000001</v>
      </c>
      <c r="CI16" s="2">
        <v>10372293.67</v>
      </c>
      <c r="CJ16" s="2">
        <v>9716091.0199999996</v>
      </c>
      <c r="CK16" s="2">
        <v>2442733.7000000002</v>
      </c>
      <c r="CL16" s="2">
        <v>22531118.390000001</v>
      </c>
      <c r="CM16" s="2">
        <v>23960589.469999999</v>
      </c>
      <c r="CN16">
        <v>0</v>
      </c>
      <c r="CO16" s="2">
        <v>3007257.75</v>
      </c>
      <c r="CP16" s="2">
        <v>1492605</v>
      </c>
      <c r="CQ16" s="2">
        <v>7592318.6100000003</v>
      </c>
      <c r="CR16" s="2">
        <v>2578453.14</v>
      </c>
      <c r="CS16" s="2">
        <v>2339161.42</v>
      </c>
      <c r="CT16" s="2">
        <v>3722174.93</v>
      </c>
      <c r="CU16" s="2">
        <v>16471713.939999999</v>
      </c>
      <c r="CV16">
        <v>0</v>
      </c>
      <c r="CW16" s="2">
        <v>16471713.939999999</v>
      </c>
      <c r="CX16">
        <v>0</v>
      </c>
      <c r="CY16">
        <v>0</v>
      </c>
      <c r="CZ16">
        <v>0</v>
      </c>
      <c r="DA16" s="2">
        <v>239605.84</v>
      </c>
      <c r="DB16">
        <v>0</v>
      </c>
      <c r="DC16" s="2">
        <v>1891605.92</v>
      </c>
      <c r="DD16" s="2">
        <v>274306.78999999998</v>
      </c>
      <c r="DE16" s="2">
        <v>1645840.65</v>
      </c>
      <c r="DF16">
        <v>212</v>
      </c>
      <c r="DG16">
        <v>207</v>
      </c>
      <c r="DH16">
        <v>0</v>
      </c>
      <c r="DI16">
        <v>0</v>
      </c>
      <c r="DJ16" s="2">
        <v>3811753.36</v>
      </c>
      <c r="DK16">
        <v>0</v>
      </c>
      <c r="DL16">
        <v>0</v>
      </c>
      <c r="DM16" s="2">
        <v>3811753.36</v>
      </c>
      <c r="DN16">
        <v>0</v>
      </c>
      <c r="DO16">
        <v>0</v>
      </c>
      <c r="DP16">
        <v>0</v>
      </c>
      <c r="DR16">
        <v>0</v>
      </c>
      <c r="DS16">
        <v>0</v>
      </c>
      <c r="EJ16" t="s">
        <v>244</v>
      </c>
      <c r="EK16">
        <v>38</v>
      </c>
      <c r="EL16">
        <v>391</v>
      </c>
      <c r="EN16" s="1">
        <v>14711</v>
      </c>
      <c r="EO16">
        <v>8</v>
      </c>
      <c r="EP16" s="1">
        <v>10310</v>
      </c>
      <c r="EQ16">
        <v>142</v>
      </c>
      <c r="ER16">
        <v>944</v>
      </c>
      <c r="ES16" s="2">
        <v>1416</v>
      </c>
      <c r="ET16">
        <v>0</v>
      </c>
      <c r="EU16" s="1">
        <v>10020</v>
      </c>
      <c r="EV16" s="1">
        <v>10020</v>
      </c>
      <c r="EW16">
        <v>0</v>
      </c>
      <c r="EX16">
        <v>0</v>
      </c>
      <c r="EY16" s="1">
        <v>7057</v>
      </c>
      <c r="EZ16" s="1">
        <v>7057</v>
      </c>
      <c r="FB16" s="1">
        <v>1486</v>
      </c>
      <c r="FC16">
        <v>1</v>
      </c>
      <c r="FD16" s="1">
        <v>1452</v>
      </c>
      <c r="FE16">
        <v>1.38</v>
      </c>
      <c r="FF16">
        <v>315.3</v>
      </c>
      <c r="FG16">
        <v>1.32</v>
      </c>
      <c r="FH16">
        <v>1.61</v>
      </c>
      <c r="FI16">
        <v>1.54</v>
      </c>
      <c r="FJ16">
        <v>1.69</v>
      </c>
      <c r="FK16">
        <v>68.69</v>
      </c>
      <c r="FL16" s="2">
        <v>36240.18</v>
      </c>
      <c r="FM16">
        <v>100</v>
      </c>
      <c r="FN16">
        <v>65.97</v>
      </c>
      <c r="FO16">
        <v>97.05</v>
      </c>
      <c r="FP16">
        <v>121.95</v>
      </c>
      <c r="FQ16">
        <v>28.14</v>
      </c>
      <c r="FR16">
        <v>15.3</v>
      </c>
      <c r="FS16">
        <v>93.46</v>
      </c>
      <c r="FT16">
        <v>100</v>
      </c>
      <c r="FU16">
        <v>16.7</v>
      </c>
      <c r="FV16">
        <v>312</v>
      </c>
      <c r="FW16">
        <v>211.57</v>
      </c>
      <c r="FX16">
        <v>12</v>
      </c>
      <c r="FY16">
        <v>15.6</v>
      </c>
      <c r="FZ16">
        <v>185.5</v>
      </c>
      <c r="GA16">
        <v>100</v>
      </c>
      <c r="GB16">
        <v>97.04</v>
      </c>
      <c r="GC16">
        <v>24</v>
      </c>
      <c r="GD16">
        <v>1.32</v>
      </c>
      <c r="GE16">
        <v>249.35</v>
      </c>
      <c r="GF16">
        <v>71.849999999999994</v>
      </c>
      <c r="GG16">
        <v>-6.34</v>
      </c>
      <c r="GH16">
        <v>81.99</v>
      </c>
      <c r="GI16">
        <v>37.79</v>
      </c>
      <c r="GJ16">
        <v>56.32</v>
      </c>
      <c r="GK16">
        <v>0</v>
      </c>
      <c r="GL16">
        <v>0</v>
      </c>
      <c r="GM16">
        <v>46.09</v>
      </c>
      <c r="GN16">
        <v>68.69</v>
      </c>
      <c r="GO16">
        <v>14.2</v>
      </c>
      <c r="GP16">
        <v>15.65</v>
      </c>
      <c r="GQ16">
        <v>0</v>
      </c>
      <c r="GR16">
        <v>46.03</v>
      </c>
      <c r="GS16">
        <v>43.12</v>
      </c>
      <c r="GT16">
        <v>10.84</v>
      </c>
      <c r="GU16">
        <v>91.86</v>
      </c>
      <c r="GV16">
        <v>100</v>
      </c>
      <c r="GW16">
        <v>8.6999999999999993</v>
      </c>
      <c r="GX16">
        <v>93.46</v>
      </c>
      <c r="GY16">
        <v>97.04</v>
      </c>
      <c r="GZ16">
        <v>4.4000000000000004</v>
      </c>
      <c r="HA16">
        <v>34.020000000000003</v>
      </c>
      <c r="HB16">
        <v>30</v>
      </c>
      <c r="HC16">
        <v>361.19</v>
      </c>
      <c r="HD16">
        <v>65.97</v>
      </c>
      <c r="HE16">
        <v>15.3</v>
      </c>
      <c r="HF16">
        <v>54</v>
      </c>
      <c r="HG16">
        <v>96.19</v>
      </c>
      <c r="HH16">
        <v>91.98</v>
      </c>
      <c r="HJ16">
        <v>10.28</v>
      </c>
      <c r="HM16">
        <v>102</v>
      </c>
      <c r="HN16">
        <v>97.05</v>
      </c>
      <c r="HO16">
        <v>0</v>
      </c>
      <c r="HP16">
        <v>0</v>
      </c>
      <c r="HR16">
        <v>145.46</v>
      </c>
      <c r="HS16">
        <v>152.21</v>
      </c>
    </row>
    <row r="17" spans="1:235">
      <c r="A17">
        <v>355620</v>
      </c>
      <c r="B17" t="s">
        <v>235</v>
      </c>
      <c r="C17" t="s">
        <v>236</v>
      </c>
      <c r="D17">
        <v>2006</v>
      </c>
      <c r="E17">
        <v>35562011</v>
      </c>
      <c r="F17" t="s">
        <v>237</v>
      </c>
      <c r="G17" t="s">
        <v>238</v>
      </c>
      <c r="H17" t="s">
        <v>239</v>
      </c>
      <c r="I17" t="s">
        <v>240</v>
      </c>
      <c r="J17" t="s">
        <v>241</v>
      </c>
      <c r="K17">
        <v>0</v>
      </c>
      <c r="L17">
        <v>0</v>
      </c>
      <c r="M17">
        <v>1</v>
      </c>
      <c r="P17">
        <v>0</v>
      </c>
      <c r="Q17">
        <v>0</v>
      </c>
      <c r="R17">
        <v>0</v>
      </c>
      <c r="S17">
        <v>0</v>
      </c>
      <c r="T17">
        <v>1</v>
      </c>
      <c r="W17" t="s">
        <v>242</v>
      </c>
      <c r="X17" t="s">
        <v>242</v>
      </c>
      <c r="Z17" s="1">
        <v>94124</v>
      </c>
      <c r="AA17" s="1">
        <v>89057</v>
      </c>
      <c r="AB17" s="1">
        <v>87595</v>
      </c>
      <c r="AC17" s="1">
        <v>83860</v>
      </c>
      <c r="AD17" s="1">
        <v>23643</v>
      </c>
      <c r="AE17" s="1">
        <v>22873</v>
      </c>
      <c r="AF17" s="1">
        <v>32455</v>
      </c>
      <c r="AG17" s="1">
        <v>31058</v>
      </c>
      <c r="AH17" s="1">
        <v>23643</v>
      </c>
      <c r="AI17" s="1">
        <v>22873</v>
      </c>
      <c r="AJ17">
        <v>288.5</v>
      </c>
      <c r="AK17">
        <v>287.5</v>
      </c>
      <c r="AL17" s="2">
        <v>9101.6</v>
      </c>
      <c r="AM17" s="2">
        <v>9101.6</v>
      </c>
      <c r="AN17" s="2">
        <v>5869</v>
      </c>
      <c r="AO17" s="2">
        <v>5869</v>
      </c>
      <c r="AP17" s="2">
        <v>6487</v>
      </c>
      <c r="AQ17" s="2">
        <v>8831</v>
      </c>
      <c r="AR17" s="1">
        <v>29916</v>
      </c>
      <c r="AS17" s="1">
        <v>28652</v>
      </c>
      <c r="AT17" s="1">
        <v>32455</v>
      </c>
      <c r="AU17" s="1">
        <v>31058</v>
      </c>
      <c r="AV17">
        <v>0</v>
      </c>
      <c r="AW17">
        <v>0</v>
      </c>
      <c r="AX17">
        <v>0</v>
      </c>
      <c r="AY17">
        <v>0</v>
      </c>
      <c r="AZ17" s="2">
        <v>5490</v>
      </c>
      <c r="BA17" s="1">
        <v>23643</v>
      </c>
      <c r="BB17" s="1">
        <v>22873</v>
      </c>
      <c r="BC17" s="1">
        <v>29916</v>
      </c>
      <c r="BD17" s="1">
        <v>28652</v>
      </c>
      <c r="BE17">
        <v>0</v>
      </c>
      <c r="BF17">
        <v>0</v>
      </c>
      <c r="BG17" s="1">
        <v>87595</v>
      </c>
      <c r="BH17" s="1">
        <v>83860</v>
      </c>
      <c r="BI17" s="2">
        <v>8831</v>
      </c>
      <c r="BK17" s="1">
        <v>83769</v>
      </c>
      <c r="BL17" s="1">
        <v>79446</v>
      </c>
      <c r="BM17" s="1">
        <v>22986</v>
      </c>
      <c r="BN17" s="1">
        <v>21970</v>
      </c>
      <c r="BO17" s="1">
        <v>31640</v>
      </c>
      <c r="BP17" s="1">
        <v>29988</v>
      </c>
      <c r="BQ17">
        <v>364.9</v>
      </c>
      <c r="BR17">
        <v>363.8</v>
      </c>
      <c r="BS17" s="2">
        <v>4695.2</v>
      </c>
      <c r="BT17" s="2">
        <v>4695.2</v>
      </c>
      <c r="BU17" s="2">
        <v>4695.2</v>
      </c>
      <c r="BV17" s="1">
        <v>29182</v>
      </c>
      <c r="BW17" s="1">
        <v>27676</v>
      </c>
      <c r="BX17" s="1">
        <v>22986</v>
      </c>
      <c r="BY17" s="1">
        <v>21970</v>
      </c>
      <c r="CD17">
        <v>0</v>
      </c>
      <c r="CE17" s="1">
        <v>83769</v>
      </c>
      <c r="CF17" s="1">
        <v>79446</v>
      </c>
      <c r="CH17" s="2">
        <v>17697592.32</v>
      </c>
      <c r="CI17" s="2">
        <v>8817158.3000000007</v>
      </c>
      <c r="CJ17" s="2">
        <v>8880434.0199999996</v>
      </c>
      <c r="CK17" s="2">
        <v>2806189.29</v>
      </c>
      <c r="CL17" s="2">
        <v>20503781.609999999</v>
      </c>
      <c r="CM17" s="2">
        <v>20503781.609999999</v>
      </c>
      <c r="CN17">
        <v>0</v>
      </c>
      <c r="CO17" s="2">
        <v>1492605</v>
      </c>
      <c r="CP17" s="2">
        <v>1746874</v>
      </c>
      <c r="CQ17" s="2">
        <v>6386267.54</v>
      </c>
      <c r="CR17" s="2">
        <v>1787115.25</v>
      </c>
      <c r="CS17" s="2">
        <v>2201970.41</v>
      </c>
      <c r="CT17" s="2">
        <v>3093152.43</v>
      </c>
      <c r="CU17" s="2">
        <v>13678298.039999999</v>
      </c>
      <c r="CV17">
        <v>0</v>
      </c>
      <c r="CW17" s="2">
        <v>13678298.039999999</v>
      </c>
      <c r="CX17">
        <v>0</v>
      </c>
      <c r="CY17">
        <v>0</v>
      </c>
      <c r="CZ17">
        <v>0</v>
      </c>
      <c r="DA17" s="2">
        <v>209792.41</v>
      </c>
      <c r="DB17">
        <v>0</v>
      </c>
      <c r="DC17" s="2">
        <v>1570175.63</v>
      </c>
      <c r="DD17" s="2">
        <v>456765.67</v>
      </c>
      <c r="DE17" s="2">
        <v>1459499.41</v>
      </c>
      <c r="DF17">
        <v>207</v>
      </c>
      <c r="DG17">
        <v>207</v>
      </c>
      <c r="DH17">
        <v>0</v>
      </c>
      <c r="DI17">
        <v>0</v>
      </c>
      <c r="DJ17" s="2">
        <v>3486440.71</v>
      </c>
      <c r="DK17">
        <v>0</v>
      </c>
      <c r="DL17">
        <v>0</v>
      </c>
      <c r="DM17" s="2">
        <v>3486440.71</v>
      </c>
      <c r="DN17">
        <v>0</v>
      </c>
      <c r="DO17">
        <v>0</v>
      </c>
      <c r="DP17">
        <v>0</v>
      </c>
      <c r="EK17">
        <v>27</v>
      </c>
      <c r="EL17">
        <v>275</v>
      </c>
      <c r="EN17" s="1">
        <v>14449</v>
      </c>
      <c r="EO17">
        <v>5</v>
      </c>
      <c r="EP17" s="1">
        <v>10048</v>
      </c>
      <c r="EQ17">
        <v>29</v>
      </c>
      <c r="ER17">
        <v>925</v>
      </c>
      <c r="ES17" s="2">
        <v>1388</v>
      </c>
      <c r="ET17">
        <v>0</v>
      </c>
      <c r="EU17" s="1">
        <v>10020</v>
      </c>
      <c r="EV17" s="1">
        <v>10020</v>
      </c>
      <c r="EW17">
        <v>0</v>
      </c>
      <c r="EX17">
        <v>0</v>
      </c>
      <c r="EY17" s="1">
        <v>8713</v>
      </c>
      <c r="EZ17" s="1">
        <v>8713</v>
      </c>
      <c r="FB17" s="1">
        <v>1452</v>
      </c>
      <c r="FC17">
        <v>6</v>
      </c>
      <c r="FD17" s="1">
        <v>1452</v>
      </c>
      <c r="FE17">
        <v>1.36</v>
      </c>
      <c r="FF17">
        <v>302.27</v>
      </c>
      <c r="FG17">
        <v>1.22</v>
      </c>
      <c r="FH17">
        <v>1.58</v>
      </c>
      <c r="FI17">
        <v>1.35</v>
      </c>
      <c r="FJ17">
        <v>1.89</v>
      </c>
      <c r="FK17">
        <v>69.3</v>
      </c>
      <c r="FL17" s="2">
        <v>30851.53</v>
      </c>
      <c r="FM17">
        <v>100</v>
      </c>
      <c r="FN17">
        <v>64.48</v>
      </c>
      <c r="FO17">
        <v>97.02</v>
      </c>
      <c r="FP17">
        <v>129.38</v>
      </c>
      <c r="FQ17">
        <v>28.72</v>
      </c>
      <c r="FR17">
        <v>15.4</v>
      </c>
      <c r="FS17">
        <v>80</v>
      </c>
      <c r="FT17">
        <v>100</v>
      </c>
      <c r="FU17">
        <v>17</v>
      </c>
      <c r="FV17">
        <v>307</v>
      </c>
      <c r="FW17">
        <v>203.81</v>
      </c>
      <c r="FX17">
        <v>12.4</v>
      </c>
      <c r="FY17">
        <v>16.2</v>
      </c>
      <c r="FZ17">
        <v>187.6</v>
      </c>
      <c r="GA17">
        <v>98.4</v>
      </c>
      <c r="GB17">
        <v>94.06</v>
      </c>
      <c r="GC17">
        <v>23.9</v>
      </c>
      <c r="GD17">
        <v>1.22</v>
      </c>
      <c r="GE17">
        <v>218.6</v>
      </c>
      <c r="GF17">
        <v>71.27</v>
      </c>
      <c r="GG17">
        <v>0</v>
      </c>
      <c r="GH17">
        <v>77.28</v>
      </c>
      <c r="GI17">
        <v>36.08</v>
      </c>
      <c r="GJ17">
        <v>53.56</v>
      </c>
      <c r="GK17">
        <v>0</v>
      </c>
      <c r="GL17">
        <v>0</v>
      </c>
      <c r="GM17">
        <v>46.68</v>
      </c>
      <c r="GN17">
        <v>69.3</v>
      </c>
      <c r="GO17">
        <v>16.09</v>
      </c>
      <c r="GP17">
        <v>13.06</v>
      </c>
      <c r="GQ17">
        <v>0</v>
      </c>
      <c r="GR17">
        <v>43</v>
      </c>
      <c r="GS17">
        <v>43.31</v>
      </c>
      <c r="GT17">
        <v>13.68</v>
      </c>
      <c r="GU17">
        <v>92.21</v>
      </c>
      <c r="GV17">
        <v>100</v>
      </c>
      <c r="GW17">
        <v>8.9</v>
      </c>
      <c r="GX17">
        <v>80</v>
      </c>
      <c r="GY17">
        <v>94.06</v>
      </c>
      <c r="GZ17">
        <v>4.5199999999999996</v>
      </c>
      <c r="HA17">
        <v>35.51</v>
      </c>
      <c r="HB17">
        <v>30.75</v>
      </c>
      <c r="HC17">
        <v>380.79</v>
      </c>
      <c r="HD17">
        <v>64.48</v>
      </c>
      <c r="HE17">
        <v>15.4</v>
      </c>
      <c r="HF17">
        <v>30</v>
      </c>
      <c r="HG17">
        <v>93.06</v>
      </c>
      <c r="HH17">
        <v>88.99</v>
      </c>
      <c r="HI17">
        <v>97.02</v>
      </c>
      <c r="HN17">
        <v>10.18</v>
      </c>
      <c r="HQ17">
        <v>0.03</v>
      </c>
      <c r="HR17">
        <v>0.28000000000000003</v>
      </c>
      <c r="HS17">
        <v>1.5</v>
      </c>
      <c r="HT17">
        <v>144.19999999999999</v>
      </c>
      <c r="HU17">
        <v>100.27</v>
      </c>
      <c r="HV17">
        <v>2.5299999999999998</v>
      </c>
      <c r="HX17">
        <v>0.41</v>
      </c>
      <c r="HY17">
        <v>100</v>
      </c>
      <c r="HZ17">
        <v>149.9</v>
      </c>
      <c r="IA17">
        <v>148.85</v>
      </c>
    </row>
    <row r="18" spans="1:235">
      <c r="A18">
        <v>355620</v>
      </c>
      <c r="B18" t="s">
        <v>235</v>
      </c>
      <c r="C18" t="s">
        <v>236</v>
      </c>
      <c r="D18">
        <v>2005</v>
      </c>
      <c r="E18">
        <v>35562011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  <c r="K18">
        <v>0</v>
      </c>
      <c r="L18">
        <v>0</v>
      </c>
      <c r="M18">
        <v>1</v>
      </c>
      <c r="P18">
        <v>0</v>
      </c>
      <c r="Q18">
        <v>0</v>
      </c>
      <c r="R18">
        <v>0</v>
      </c>
      <c r="S18">
        <v>0</v>
      </c>
      <c r="T18">
        <v>1</v>
      </c>
      <c r="W18" t="s">
        <v>242</v>
      </c>
      <c r="X18" t="s">
        <v>242</v>
      </c>
      <c r="Z18" s="1">
        <v>92425</v>
      </c>
      <c r="AA18" s="1">
        <v>87449</v>
      </c>
      <c r="AB18" s="1">
        <v>83860</v>
      </c>
      <c r="AC18" s="1">
        <v>82378</v>
      </c>
      <c r="AD18" s="1">
        <v>22873</v>
      </c>
      <c r="AE18" s="1">
        <v>19126</v>
      </c>
      <c r="AF18" s="1">
        <v>31058</v>
      </c>
      <c r="AG18" s="1">
        <v>30123</v>
      </c>
      <c r="AH18" s="1">
        <v>22873</v>
      </c>
      <c r="AI18" s="1">
        <v>19046</v>
      </c>
      <c r="AJ18">
        <v>287.5</v>
      </c>
      <c r="AK18">
        <v>283.39999999999998</v>
      </c>
      <c r="AL18" s="2">
        <v>8414.5</v>
      </c>
      <c r="AM18" s="2">
        <v>8414.5</v>
      </c>
      <c r="AN18" s="2">
        <v>5810</v>
      </c>
      <c r="AO18" s="2">
        <v>5810</v>
      </c>
      <c r="AP18" s="2">
        <v>6388</v>
      </c>
      <c r="AQ18" s="2">
        <v>8414.5</v>
      </c>
      <c r="AR18" s="1">
        <v>28652</v>
      </c>
      <c r="AS18" s="1">
        <v>27783</v>
      </c>
      <c r="AT18" s="1">
        <v>31058</v>
      </c>
      <c r="AU18" s="1">
        <v>30123</v>
      </c>
      <c r="AV18">
        <v>0</v>
      </c>
      <c r="AW18">
        <v>0</v>
      </c>
      <c r="AX18">
        <v>0</v>
      </c>
      <c r="AY18">
        <v>0</v>
      </c>
      <c r="AZ18" s="2">
        <v>5414</v>
      </c>
      <c r="BA18" s="1">
        <v>22873</v>
      </c>
      <c r="BB18" s="1">
        <v>19126</v>
      </c>
      <c r="BC18" s="1">
        <v>28652</v>
      </c>
      <c r="BD18" s="1">
        <v>27783</v>
      </c>
      <c r="BE18">
        <v>0</v>
      </c>
      <c r="BF18">
        <v>0</v>
      </c>
      <c r="BG18" s="1">
        <v>83860</v>
      </c>
      <c r="BH18" s="1">
        <v>82378</v>
      </c>
      <c r="BI18" s="2">
        <v>8414.5</v>
      </c>
      <c r="BK18" s="1">
        <v>79446</v>
      </c>
      <c r="BL18" s="1">
        <v>78042</v>
      </c>
      <c r="BM18" s="1">
        <v>21970</v>
      </c>
      <c r="BN18" s="1">
        <v>18914</v>
      </c>
      <c r="BO18" s="1">
        <v>29988</v>
      </c>
      <c r="BP18" s="1">
        <v>29032</v>
      </c>
      <c r="BQ18">
        <v>363.8</v>
      </c>
      <c r="BR18">
        <v>360</v>
      </c>
      <c r="BS18" s="2">
        <v>4648</v>
      </c>
      <c r="BT18" s="2">
        <v>1970</v>
      </c>
      <c r="BU18" s="2">
        <v>5110</v>
      </c>
      <c r="BV18" s="1">
        <v>27676</v>
      </c>
      <c r="BW18" s="1">
        <v>26790</v>
      </c>
      <c r="BX18" s="1">
        <v>21970</v>
      </c>
      <c r="BY18" s="1">
        <v>18914</v>
      </c>
      <c r="CD18">
        <v>0</v>
      </c>
      <c r="CE18" s="1">
        <v>79446</v>
      </c>
      <c r="CF18" s="1">
        <v>78042</v>
      </c>
      <c r="CH18" s="2">
        <v>14037774</v>
      </c>
      <c r="CI18" s="2">
        <v>7524431</v>
      </c>
      <c r="CJ18" s="2">
        <v>6513343</v>
      </c>
      <c r="CK18" s="2">
        <v>2738564</v>
      </c>
      <c r="CL18" s="2">
        <v>16776338</v>
      </c>
      <c r="CM18" s="2">
        <v>17075470</v>
      </c>
      <c r="CN18">
        <v>0</v>
      </c>
      <c r="CO18" s="2">
        <v>1746874</v>
      </c>
      <c r="CP18" s="2">
        <v>832420</v>
      </c>
      <c r="CQ18" s="2">
        <v>4583084</v>
      </c>
      <c r="CR18" s="2">
        <v>1228342</v>
      </c>
      <c r="CS18" s="2">
        <v>1896750</v>
      </c>
      <c r="CT18" s="2">
        <v>2761321</v>
      </c>
      <c r="CU18" s="2">
        <v>10635497</v>
      </c>
      <c r="CV18">
        <v>0</v>
      </c>
      <c r="CW18" s="2">
        <v>15293568</v>
      </c>
      <c r="CX18">
        <v>0</v>
      </c>
      <c r="CY18">
        <v>0</v>
      </c>
      <c r="CZ18">
        <v>0</v>
      </c>
      <c r="DA18" s="2">
        <v>166000</v>
      </c>
      <c r="DB18">
        <v>0</v>
      </c>
      <c r="DC18" s="2">
        <v>836857</v>
      </c>
      <c r="DD18" s="2">
        <v>523154</v>
      </c>
      <c r="DE18" s="2">
        <v>593208</v>
      </c>
      <c r="DF18">
        <v>207</v>
      </c>
      <c r="DG18">
        <v>160</v>
      </c>
      <c r="DH18">
        <v>0</v>
      </c>
      <c r="DI18" s="2">
        <v>4658071</v>
      </c>
      <c r="DJ18" s="2">
        <v>1953219</v>
      </c>
      <c r="DK18">
        <v>0</v>
      </c>
      <c r="DL18">
        <v>0</v>
      </c>
      <c r="DM18" s="2">
        <v>1953219</v>
      </c>
      <c r="DN18">
        <v>0</v>
      </c>
      <c r="DO18">
        <v>0</v>
      </c>
      <c r="DP18">
        <v>0</v>
      </c>
      <c r="EK18">
        <v>25</v>
      </c>
      <c r="EL18">
        <v>234</v>
      </c>
      <c r="EN18" s="1">
        <v>16309</v>
      </c>
      <c r="EO18">
        <v>14</v>
      </c>
      <c r="EP18" s="1">
        <v>9906</v>
      </c>
      <c r="EQ18">
        <v>49</v>
      </c>
      <c r="ER18">
        <v>955</v>
      </c>
      <c r="ES18" s="2">
        <v>2865</v>
      </c>
      <c r="ET18">
        <v>0</v>
      </c>
      <c r="EU18" s="1">
        <v>10015</v>
      </c>
      <c r="EV18" s="1">
        <v>10015</v>
      </c>
      <c r="EW18">
        <v>0</v>
      </c>
      <c r="EX18">
        <v>0</v>
      </c>
      <c r="FB18" s="1">
        <v>1437</v>
      </c>
      <c r="FC18">
        <v>2</v>
      </c>
      <c r="FD18" s="1">
        <v>1447</v>
      </c>
      <c r="FE18">
        <v>1.45</v>
      </c>
      <c r="FF18">
        <v>327.52</v>
      </c>
      <c r="FG18">
        <v>1.33</v>
      </c>
      <c r="FH18">
        <v>1.22</v>
      </c>
      <c r="FI18">
        <v>1.17</v>
      </c>
      <c r="FJ18">
        <v>1.27</v>
      </c>
      <c r="FK18">
        <v>48.02</v>
      </c>
      <c r="FL18" s="2">
        <v>24975.94</v>
      </c>
      <c r="FM18">
        <v>99.8</v>
      </c>
      <c r="FN18">
        <v>69.040000000000006</v>
      </c>
      <c r="FO18">
        <v>100</v>
      </c>
      <c r="FP18">
        <v>91.78</v>
      </c>
      <c r="FQ18">
        <v>24.08</v>
      </c>
      <c r="FR18">
        <v>15.8</v>
      </c>
      <c r="FS18">
        <v>80</v>
      </c>
      <c r="FT18">
        <v>42.38</v>
      </c>
      <c r="FU18">
        <v>17.399999999999999</v>
      </c>
      <c r="FV18">
        <v>294</v>
      </c>
      <c r="FW18">
        <v>204.38</v>
      </c>
      <c r="FX18">
        <v>13.6</v>
      </c>
      <c r="FY18">
        <v>17.7</v>
      </c>
      <c r="FZ18">
        <v>191.5</v>
      </c>
      <c r="GA18">
        <v>95.9</v>
      </c>
      <c r="GB18">
        <v>90.84</v>
      </c>
      <c r="GC18">
        <v>22.9</v>
      </c>
      <c r="GD18">
        <v>0.92</v>
      </c>
      <c r="GE18">
        <v>176.96</v>
      </c>
      <c r="GF18">
        <v>75.91</v>
      </c>
      <c r="GG18">
        <v>-1.78</v>
      </c>
      <c r="GH18">
        <v>75.760000000000005</v>
      </c>
      <c r="GI18">
        <v>32.64</v>
      </c>
      <c r="GJ18">
        <v>52.31</v>
      </c>
      <c r="GK18">
        <v>0</v>
      </c>
      <c r="GL18">
        <v>0</v>
      </c>
      <c r="GM18">
        <v>43.09</v>
      </c>
      <c r="GN18">
        <v>69.05</v>
      </c>
      <c r="GO18">
        <v>17.829999999999998</v>
      </c>
      <c r="GP18">
        <v>11.54</v>
      </c>
      <c r="GQ18">
        <v>0</v>
      </c>
      <c r="GR18">
        <v>44.85</v>
      </c>
      <c r="GS18">
        <v>38.82</v>
      </c>
      <c r="GT18">
        <v>16.32</v>
      </c>
      <c r="GU18">
        <v>92.24</v>
      </c>
      <c r="GV18">
        <v>100</v>
      </c>
      <c r="GW18">
        <v>8.73</v>
      </c>
      <c r="GX18">
        <v>33.9</v>
      </c>
      <c r="GY18">
        <v>90.84</v>
      </c>
      <c r="GZ18">
        <v>4.42</v>
      </c>
      <c r="HA18">
        <v>30.95</v>
      </c>
      <c r="HB18">
        <v>24.99</v>
      </c>
      <c r="HC18">
        <v>339.79</v>
      </c>
      <c r="HD18">
        <v>69.040000000000006</v>
      </c>
      <c r="HE18">
        <v>15.8</v>
      </c>
      <c r="HF18">
        <v>45</v>
      </c>
      <c r="HG18">
        <v>90.73</v>
      </c>
      <c r="HH18">
        <v>85.95</v>
      </c>
      <c r="HI18">
        <v>100</v>
      </c>
      <c r="HN18">
        <v>9.36</v>
      </c>
      <c r="HQ18">
        <v>0.08</v>
      </c>
      <c r="HR18">
        <v>0.49</v>
      </c>
      <c r="HS18">
        <v>3</v>
      </c>
      <c r="HT18">
        <v>162.84</v>
      </c>
      <c r="HU18">
        <v>98.91</v>
      </c>
      <c r="HV18">
        <v>2.62</v>
      </c>
      <c r="HX18">
        <v>0.13</v>
      </c>
      <c r="HY18">
        <v>99.3</v>
      </c>
      <c r="HZ18">
        <v>160.55000000000001</v>
      </c>
      <c r="IA18">
        <v>140.91999999999999</v>
      </c>
    </row>
    <row r="19" spans="1:235">
      <c r="A19">
        <v>355620</v>
      </c>
      <c r="B19" t="s">
        <v>235</v>
      </c>
      <c r="C19" t="s">
        <v>236</v>
      </c>
      <c r="D19">
        <v>2004</v>
      </c>
      <c r="E19">
        <v>35562011</v>
      </c>
      <c r="F19" t="s">
        <v>237</v>
      </c>
      <c r="G19" t="s">
        <v>238</v>
      </c>
      <c r="H19" t="s">
        <v>239</v>
      </c>
      <c r="I19" t="s">
        <v>240</v>
      </c>
      <c r="J19" t="s">
        <v>241</v>
      </c>
      <c r="K19">
        <v>0</v>
      </c>
      <c r="L19">
        <v>0</v>
      </c>
      <c r="M19">
        <v>1</v>
      </c>
      <c r="P19">
        <v>0</v>
      </c>
      <c r="Q19">
        <v>0</v>
      </c>
      <c r="R19">
        <v>0</v>
      </c>
      <c r="S19">
        <v>0</v>
      </c>
      <c r="T19">
        <v>1</v>
      </c>
      <c r="W19" t="s">
        <v>242</v>
      </c>
      <c r="X19" t="s">
        <v>242</v>
      </c>
      <c r="Z19" s="1">
        <v>90714</v>
      </c>
      <c r="AA19" s="1">
        <v>85830</v>
      </c>
      <c r="AB19" s="1">
        <v>82378</v>
      </c>
      <c r="AC19" s="1">
        <v>80812</v>
      </c>
      <c r="AD19" s="1">
        <v>19126</v>
      </c>
      <c r="AE19" s="1">
        <v>21613</v>
      </c>
      <c r="AF19" s="1">
        <v>30123</v>
      </c>
      <c r="AG19" s="1">
        <v>28663</v>
      </c>
      <c r="AH19" s="1">
        <v>19046</v>
      </c>
      <c r="AI19" s="1">
        <v>21613</v>
      </c>
      <c r="AJ19">
        <v>283.39999999999998</v>
      </c>
      <c r="AK19">
        <v>283.39999999999998</v>
      </c>
      <c r="AL19" s="2">
        <v>8156.03</v>
      </c>
      <c r="AM19" s="2">
        <v>8156.04</v>
      </c>
      <c r="AN19" s="2">
        <v>5382.81</v>
      </c>
      <c r="AO19" s="2">
        <v>5382.81</v>
      </c>
      <c r="AP19" s="2">
        <v>5833.01</v>
      </c>
      <c r="AQ19" s="2">
        <v>8156.04</v>
      </c>
      <c r="AR19" s="1">
        <v>27783</v>
      </c>
      <c r="AS19" s="1">
        <v>26546</v>
      </c>
      <c r="AT19" s="1">
        <v>30123</v>
      </c>
      <c r="AU19" s="1">
        <v>28663</v>
      </c>
      <c r="AV19">
        <v>0</v>
      </c>
      <c r="AW19">
        <v>0</v>
      </c>
      <c r="AX19">
        <v>0</v>
      </c>
      <c r="AY19">
        <v>0</v>
      </c>
      <c r="BA19" s="1">
        <v>19126</v>
      </c>
      <c r="BB19" s="1">
        <v>21613</v>
      </c>
      <c r="BC19" s="1">
        <v>27783</v>
      </c>
      <c r="BD19" s="1">
        <v>26546</v>
      </c>
      <c r="BF19">
        <v>0</v>
      </c>
      <c r="BG19" s="1">
        <v>82378</v>
      </c>
      <c r="BH19" s="1">
        <v>80812</v>
      </c>
      <c r="BI19" s="2">
        <v>7901.78</v>
      </c>
      <c r="BJ19" s="2">
        <v>1427.93</v>
      </c>
      <c r="BK19" s="1">
        <v>78042</v>
      </c>
      <c r="BL19" s="1">
        <v>76771</v>
      </c>
      <c r="BM19" s="1">
        <v>18914</v>
      </c>
      <c r="BN19" s="1">
        <v>19751</v>
      </c>
      <c r="BO19" s="1">
        <v>29032</v>
      </c>
      <c r="BP19" s="1">
        <v>26855</v>
      </c>
      <c r="BQ19">
        <v>360</v>
      </c>
      <c r="BR19">
        <v>355.1</v>
      </c>
      <c r="BS19" s="2">
        <v>4306.2</v>
      </c>
      <c r="BT19">
        <v>0</v>
      </c>
      <c r="BU19" s="2">
        <v>4306.2</v>
      </c>
      <c r="BV19" s="1">
        <v>26790</v>
      </c>
      <c r="BW19" s="1">
        <v>24894</v>
      </c>
      <c r="BX19" s="1">
        <v>18914</v>
      </c>
      <c r="BY19" s="1">
        <v>19751</v>
      </c>
      <c r="CD19">
        <v>0</v>
      </c>
      <c r="CE19" s="1">
        <v>78042</v>
      </c>
      <c r="CF19" s="1">
        <v>76771</v>
      </c>
      <c r="CH19" s="2">
        <v>11375190</v>
      </c>
      <c r="CI19" s="2">
        <v>6357196</v>
      </c>
      <c r="CJ19" s="2">
        <v>5017994</v>
      </c>
      <c r="CK19" s="2">
        <v>2361907</v>
      </c>
      <c r="CL19" s="2">
        <v>13737097</v>
      </c>
      <c r="CM19" s="2">
        <v>15179139</v>
      </c>
      <c r="CN19">
        <v>0</v>
      </c>
      <c r="CO19" s="2">
        <v>832420</v>
      </c>
      <c r="CP19" s="2">
        <v>775891</v>
      </c>
      <c r="CQ19" s="2">
        <v>4305453</v>
      </c>
      <c r="CR19" s="2">
        <v>653324</v>
      </c>
      <c r="CS19" s="2">
        <v>1275695</v>
      </c>
      <c r="CT19" s="2">
        <v>2389394</v>
      </c>
      <c r="CU19" s="2">
        <v>11021163</v>
      </c>
      <c r="CV19">
        <v>0</v>
      </c>
      <c r="CW19" s="2">
        <v>13747033</v>
      </c>
      <c r="CX19">
        <v>0</v>
      </c>
      <c r="CY19">
        <v>0</v>
      </c>
      <c r="CZ19">
        <v>0</v>
      </c>
      <c r="DA19" s="2">
        <v>167633</v>
      </c>
      <c r="DB19">
        <v>0</v>
      </c>
      <c r="DC19" s="2">
        <v>1050306</v>
      </c>
      <c r="DD19" s="2">
        <v>4320643</v>
      </c>
      <c r="DE19" s="2">
        <v>168735</v>
      </c>
      <c r="DF19">
        <v>160</v>
      </c>
      <c r="DG19">
        <v>158</v>
      </c>
      <c r="DH19" s="2">
        <v>2229664</v>
      </c>
      <c r="DI19" s="2">
        <v>2725870</v>
      </c>
      <c r="DJ19" s="2">
        <v>5539684</v>
      </c>
      <c r="DK19">
        <v>0</v>
      </c>
      <c r="DL19">
        <v>0</v>
      </c>
      <c r="DM19" s="2">
        <v>5539684</v>
      </c>
      <c r="DN19">
        <v>0</v>
      </c>
      <c r="DO19">
        <v>0</v>
      </c>
      <c r="DP19">
        <v>0</v>
      </c>
      <c r="EK19">
        <v>0</v>
      </c>
      <c r="EL19">
        <v>0</v>
      </c>
      <c r="EM19">
        <v>0</v>
      </c>
      <c r="EN19" s="1">
        <v>1240</v>
      </c>
      <c r="EO19">
        <v>8</v>
      </c>
      <c r="EP19" s="1">
        <v>1240</v>
      </c>
      <c r="EQ19">
        <v>0</v>
      </c>
      <c r="ET19">
        <v>0</v>
      </c>
      <c r="EU19" s="1">
        <v>1260</v>
      </c>
      <c r="EV19" s="1">
        <v>1260</v>
      </c>
      <c r="EW19">
        <v>0</v>
      </c>
      <c r="EX19">
        <v>0</v>
      </c>
      <c r="EY19">
        <v>220</v>
      </c>
      <c r="EZ19">
        <v>220</v>
      </c>
      <c r="FB19" s="1">
        <v>1240</v>
      </c>
      <c r="FC19">
        <v>0</v>
      </c>
      <c r="FD19" s="1">
        <v>1260</v>
      </c>
      <c r="FE19">
        <v>1.44</v>
      </c>
      <c r="FF19">
        <v>360.6</v>
      </c>
      <c r="FG19">
        <v>1.35</v>
      </c>
      <c r="FH19">
        <v>1.1200000000000001</v>
      </c>
      <c r="FI19">
        <v>1.08</v>
      </c>
      <c r="FJ19">
        <v>1.1599999999999999</v>
      </c>
      <c r="FK19">
        <v>48.7</v>
      </c>
      <c r="FL19" s="2">
        <v>27078.32</v>
      </c>
      <c r="FM19">
        <v>99.8</v>
      </c>
      <c r="FN19">
        <v>65.989999999999995</v>
      </c>
      <c r="FO19">
        <v>100</v>
      </c>
      <c r="FP19">
        <v>82.74</v>
      </c>
      <c r="FQ19">
        <v>28.48</v>
      </c>
      <c r="FR19">
        <v>15.3</v>
      </c>
      <c r="FS19">
        <v>79.989999999999995</v>
      </c>
      <c r="FT19">
        <v>0</v>
      </c>
      <c r="FU19">
        <v>16.5</v>
      </c>
      <c r="FV19">
        <v>247</v>
      </c>
      <c r="FW19">
        <v>231.9</v>
      </c>
      <c r="FX19">
        <v>13.9</v>
      </c>
      <c r="FY19">
        <v>18.489999999999998</v>
      </c>
      <c r="FZ19">
        <v>180.7</v>
      </c>
      <c r="GA19">
        <v>96</v>
      </c>
      <c r="GB19">
        <v>90.92</v>
      </c>
      <c r="GC19">
        <v>23.1</v>
      </c>
      <c r="GD19">
        <v>1.08</v>
      </c>
      <c r="GE19">
        <v>192.21</v>
      </c>
      <c r="GF19">
        <v>71.510000000000005</v>
      </c>
      <c r="GG19">
        <v>-10.49</v>
      </c>
      <c r="GH19">
        <v>96.88</v>
      </c>
      <c r="GI19">
        <v>37.840000000000003</v>
      </c>
      <c r="GJ19">
        <v>58.85</v>
      </c>
      <c r="GK19">
        <v>0</v>
      </c>
      <c r="GL19">
        <v>19.600000000000001</v>
      </c>
      <c r="GM19">
        <v>39.06</v>
      </c>
      <c r="GN19">
        <v>60.74</v>
      </c>
      <c r="GO19">
        <v>11.57</v>
      </c>
      <c r="GP19">
        <v>5.92</v>
      </c>
      <c r="GQ19">
        <v>20.23</v>
      </c>
      <c r="GR19">
        <v>46.27</v>
      </c>
      <c r="GS19">
        <v>36.520000000000003</v>
      </c>
      <c r="GT19">
        <v>17.190000000000001</v>
      </c>
      <c r="GU19">
        <v>92.41</v>
      </c>
      <c r="GV19">
        <v>100</v>
      </c>
      <c r="GW19">
        <v>7.8</v>
      </c>
      <c r="GX19">
        <v>0</v>
      </c>
      <c r="GY19">
        <v>90.92</v>
      </c>
      <c r="GZ19">
        <v>4</v>
      </c>
      <c r="HA19">
        <v>34</v>
      </c>
      <c r="HB19">
        <v>26.8</v>
      </c>
      <c r="HC19">
        <v>373</v>
      </c>
      <c r="HD19">
        <v>65.989999999999995</v>
      </c>
      <c r="HE19">
        <v>15.3</v>
      </c>
      <c r="HF19">
        <v>26</v>
      </c>
      <c r="HG19">
        <v>90.81</v>
      </c>
      <c r="HH19">
        <v>86.03</v>
      </c>
      <c r="HI19">
        <v>96.88</v>
      </c>
      <c r="HJ19">
        <v>0.17</v>
      </c>
      <c r="HQ19">
        <v>0.64</v>
      </c>
      <c r="HR19">
        <v>0</v>
      </c>
      <c r="HT19">
        <v>98.41</v>
      </c>
      <c r="HU19">
        <v>98.41</v>
      </c>
      <c r="HX19">
        <v>0</v>
      </c>
      <c r="HY19">
        <v>98.41</v>
      </c>
      <c r="HZ19">
        <v>137.72</v>
      </c>
      <c r="IA19">
        <v>160.58000000000001</v>
      </c>
    </row>
    <row r="20" spans="1:235">
      <c r="A20">
        <v>355620</v>
      </c>
      <c r="B20" t="s">
        <v>235</v>
      </c>
      <c r="C20" t="s">
        <v>236</v>
      </c>
      <c r="D20">
        <v>2003</v>
      </c>
      <c r="E20">
        <v>35562011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>
        <v>0</v>
      </c>
      <c r="L20">
        <v>0</v>
      </c>
      <c r="M20">
        <v>1</v>
      </c>
      <c r="P20">
        <v>1</v>
      </c>
      <c r="Q20">
        <v>1</v>
      </c>
      <c r="R20">
        <v>0</v>
      </c>
      <c r="S20">
        <v>0</v>
      </c>
      <c r="T20">
        <v>1</v>
      </c>
      <c r="W20" t="s">
        <v>242</v>
      </c>
      <c r="X20" t="s">
        <v>242</v>
      </c>
      <c r="Z20" s="1">
        <v>87621</v>
      </c>
      <c r="AA20" s="1">
        <v>82904</v>
      </c>
      <c r="AB20" s="1">
        <v>80812</v>
      </c>
      <c r="AC20" s="1">
        <v>78741</v>
      </c>
      <c r="AD20" s="1">
        <v>21613</v>
      </c>
      <c r="AE20" s="1">
        <v>21278</v>
      </c>
      <c r="AF20" s="1">
        <v>28663</v>
      </c>
      <c r="AG20" s="1">
        <v>27519</v>
      </c>
      <c r="AH20" s="1">
        <v>21613</v>
      </c>
      <c r="AI20" s="1">
        <v>21278</v>
      </c>
      <c r="AJ20">
        <v>283.39999999999998</v>
      </c>
      <c r="AK20">
        <v>277</v>
      </c>
      <c r="AL20" s="2">
        <v>7672</v>
      </c>
      <c r="AM20" s="2">
        <v>7672</v>
      </c>
      <c r="AN20" s="2">
        <v>4419.12</v>
      </c>
      <c r="AO20" s="2">
        <v>4419.12</v>
      </c>
      <c r="AP20" s="2">
        <v>4831.74</v>
      </c>
      <c r="AQ20" s="2">
        <v>7459.2</v>
      </c>
      <c r="AR20" s="1">
        <v>26546</v>
      </c>
      <c r="AS20" s="1">
        <v>25395</v>
      </c>
      <c r="AT20" s="1">
        <v>28663</v>
      </c>
      <c r="AU20" s="1">
        <v>27519</v>
      </c>
      <c r="AV20">
        <v>0</v>
      </c>
      <c r="AW20">
        <v>0</v>
      </c>
      <c r="AX20">
        <v>0</v>
      </c>
      <c r="AY20">
        <v>0</v>
      </c>
      <c r="AZ20" s="2">
        <v>4135.5200000000004</v>
      </c>
      <c r="BA20" s="1">
        <v>21613</v>
      </c>
      <c r="BB20" s="1">
        <v>21278</v>
      </c>
      <c r="BC20" s="1">
        <v>26546</v>
      </c>
      <c r="BD20" s="1">
        <v>25395</v>
      </c>
      <c r="BE20">
        <v>212.8</v>
      </c>
      <c r="BF20">
        <v>0</v>
      </c>
      <c r="BG20" s="1">
        <v>80812</v>
      </c>
      <c r="BH20" s="1">
        <v>78741</v>
      </c>
      <c r="BI20" s="2">
        <v>7672</v>
      </c>
      <c r="BJ20" s="2">
        <v>3438.53</v>
      </c>
      <c r="BK20" s="1">
        <v>76771</v>
      </c>
      <c r="BL20" s="1">
        <v>75426</v>
      </c>
      <c r="BM20" s="1">
        <v>19751</v>
      </c>
      <c r="BN20" s="1">
        <v>18889</v>
      </c>
      <c r="BO20" s="1">
        <v>26855</v>
      </c>
      <c r="BP20" s="1">
        <v>24909</v>
      </c>
      <c r="BQ20">
        <v>355.1</v>
      </c>
      <c r="BR20">
        <v>347</v>
      </c>
      <c r="BS20" s="2">
        <v>4230.72</v>
      </c>
      <c r="BT20">
        <v>0</v>
      </c>
      <c r="BU20" s="2">
        <v>4230.72</v>
      </c>
      <c r="BV20" s="1">
        <v>24894</v>
      </c>
      <c r="BW20" s="1">
        <v>22984</v>
      </c>
      <c r="BX20" s="1">
        <v>19751</v>
      </c>
      <c r="BY20" s="1">
        <v>18889</v>
      </c>
      <c r="CD20">
        <v>0</v>
      </c>
      <c r="CE20" s="1">
        <v>76771</v>
      </c>
      <c r="CF20" s="1">
        <v>75426</v>
      </c>
      <c r="CH20" s="2">
        <v>10735832</v>
      </c>
      <c r="CI20" s="2">
        <v>6034465</v>
      </c>
      <c r="CJ20" s="2">
        <v>4701367</v>
      </c>
      <c r="CK20" s="2">
        <v>2564738</v>
      </c>
      <c r="CL20" s="2">
        <v>13300570</v>
      </c>
      <c r="CM20" s="2">
        <v>17846020</v>
      </c>
      <c r="CN20">
        <v>0</v>
      </c>
      <c r="CO20" s="2">
        <v>775891</v>
      </c>
      <c r="CP20" s="2">
        <v>495428</v>
      </c>
      <c r="CQ20" s="2">
        <v>3799499</v>
      </c>
      <c r="CR20" s="2">
        <v>557577</v>
      </c>
      <c r="CS20" s="2">
        <v>1138391</v>
      </c>
      <c r="CT20" s="2">
        <v>1952892</v>
      </c>
      <c r="CU20" s="2">
        <v>7600877</v>
      </c>
      <c r="CV20">
        <v>0</v>
      </c>
      <c r="CW20" s="2">
        <v>7600877</v>
      </c>
      <c r="CX20">
        <v>0</v>
      </c>
      <c r="CY20">
        <v>0</v>
      </c>
      <c r="CZ20">
        <v>0</v>
      </c>
      <c r="DA20" s="2">
        <v>152518</v>
      </c>
      <c r="DB20">
        <v>0</v>
      </c>
      <c r="DC20" s="2">
        <v>521011</v>
      </c>
      <c r="DD20" s="2">
        <v>5967351</v>
      </c>
      <c r="DE20" s="2">
        <v>196017</v>
      </c>
      <c r="DF20">
        <v>158</v>
      </c>
      <c r="DG20">
        <v>168</v>
      </c>
      <c r="DH20">
        <v>0</v>
      </c>
      <c r="DI20">
        <v>0</v>
      </c>
      <c r="DJ20" s="2">
        <v>6684379</v>
      </c>
      <c r="DK20">
        <v>0</v>
      </c>
      <c r="DL20">
        <v>0</v>
      </c>
      <c r="DM20" s="2">
        <v>6684379</v>
      </c>
      <c r="DN20">
        <v>0</v>
      </c>
      <c r="DO20">
        <v>0</v>
      </c>
      <c r="DP20">
        <v>0</v>
      </c>
      <c r="EK20">
        <v>7</v>
      </c>
      <c r="EL20">
        <v>68</v>
      </c>
      <c r="EN20" s="1">
        <v>1200</v>
      </c>
      <c r="EO20">
        <v>14</v>
      </c>
      <c r="EP20" s="1">
        <v>1200</v>
      </c>
      <c r="EQ20">
        <v>0</v>
      </c>
      <c r="ER20" s="1">
        <v>1085</v>
      </c>
      <c r="ES20" s="2">
        <v>6510</v>
      </c>
      <c r="EU20">
        <v>192</v>
      </c>
      <c r="EV20" s="1">
        <v>1200</v>
      </c>
      <c r="EW20">
        <v>4</v>
      </c>
      <c r="EX20">
        <v>25.5</v>
      </c>
      <c r="FB20" s="1">
        <v>1200</v>
      </c>
      <c r="FC20">
        <v>0</v>
      </c>
      <c r="FD20" s="1">
        <v>1200</v>
      </c>
      <c r="FE20">
        <v>1.3</v>
      </c>
      <c r="FF20">
        <v>331.12</v>
      </c>
      <c r="FG20">
        <v>0.83</v>
      </c>
      <c r="FH20">
        <v>1.18</v>
      </c>
      <c r="FI20">
        <v>1.24</v>
      </c>
      <c r="FJ20">
        <v>1.1100000000000001</v>
      </c>
      <c r="FK20">
        <v>75.680000000000007</v>
      </c>
      <c r="FL20" s="2">
        <v>23309.81</v>
      </c>
      <c r="FM20">
        <v>100</v>
      </c>
      <c r="FN20">
        <v>59.24</v>
      </c>
      <c r="FO20">
        <v>97.22</v>
      </c>
      <c r="FP20">
        <v>141.24</v>
      </c>
      <c r="FQ20">
        <v>35.22</v>
      </c>
      <c r="FR20">
        <v>13.1</v>
      </c>
      <c r="FS20">
        <v>95.73</v>
      </c>
      <c r="FT20">
        <v>0</v>
      </c>
      <c r="FU20">
        <v>14.3</v>
      </c>
      <c r="FV20">
        <v>247</v>
      </c>
      <c r="FW20">
        <v>218.7</v>
      </c>
      <c r="FX20">
        <v>13.1</v>
      </c>
      <c r="FY20">
        <v>18.170000000000002</v>
      </c>
      <c r="FZ20">
        <v>151.80000000000001</v>
      </c>
      <c r="GA20">
        <v>97.5</v>
      </c>
      <c r="GB20">
        <v>92.6</v>
      </c>
      <c r="GC20">
        <v>22.8</v>
      </c>
      <c r="GD20">
        <v>0.83</v>
      </c>
      <c r="GE20">
        <v>140.82</v>
      </c>
      <c r="GF20">
        <v>64.77</v>
      </c>
      <c r="GG20">
        <v>-34.17</v>
      </c>
      <c r="GH20">
        <v>70.790000000000006</v>
      </c>
      <c r="GI20">
        <v>35.39</v>
      </c>
      <c r="GJ20">
        <v>53.58</v>
      </c>
      <c r="GK20">
        <v>0</v>
      </c>
      <c r="GL20">
        <v>0</v>
      </c>
      <c r="GM20">
        <v>49.98</v>
      </c>
      <c r="GN20">
        <v>75.680000000000007</v>
      </c>
      <c r="GO20">
        <v>14.97</v>
      </c>
      <c r="GP20">
        <v>7.33</v>
      </c>
      <c r="GQ20">
        <v>0</v>
      </c>
      <c r="GR20">
        <v>45.36</v>
      </c>
      <c r="GS20">
        <v>35.340000000000003</v>
      </c>
      <c r="GT20">
        <v>19.28</v>
      </c>
      <c r="GU20">
        <v>92.45</v>
      </c>
      <c r="GV20">
        <v>100</v>
      </c>
      <c r="GW20">
        <v>7.6</v>
      </c>
      <c r="GX20">
        <v>0</v>
      </c>
      <c r="GY20">
        <v>92.6</v>
      </c>
      <c r="GZ20">
        <v>3.99</v>
      </c>
      <c r="HA20">
        <v>40.75</v>
      </c>
      <c r="HB20">
        <v>29.72</v>
      </c>
      <c r="HC20">
        <v>388.37</v>
      </c>
      <c r="HD20">
        <v>59.24</v>
      </c>
      <c r="HE20">
        <v>13.1</v>
      </c>
      <c r="HF20">
        <v>26</v>
      </c>
      <c r="HG20">
        <v>92.22</v>
      </c>
      <c r="HH20">
        <v>87.61</v>
      </c>
      <c r="HI20">
        <v>100</v>
      </c>
      <c r="HJ20">
        <v>0.44</v>
      </c>
      <c r="HN20">
        <v>9.7799999999999994</v>
      </c>
      <c r="HP20">
        <v>6.37</v>
      </c>
      <c r="HQ20">
        <v>1.1599999999999999</v>
      </c>
      <c r="HR20">
        <v>0</v>
      </c>
      <c r="HS20">
        <v>6</v>
      </c>
      <c r="HT20">
        <v>100</v>
      </c>
      <c r="HU20">
        <v>625</v>
      </c>
      <c r="HV20">
        <v>3.05</v>
      </c>
      <c r="HX20">
        <v>0</v>
      </c>
      <c r="HY20">
        <v>100</v>
      </c>
      <c r="HZ20">
        <v>234.78</v>
      </c>
      <c r="IA20">
        <v>165.18</v>
      </c>
    </row>
    <row r="21" spans="1:235">
      <c r="A21">
        <v>355620</v>
      </c>
      <c r="B21" t="s">
        <v>235</v>
      </c>
      <c r="C21" t="s">
        <v>236</v>
      </c>
      <c r="D21">
        <v>2002</v>
      </c>
      <c r="E21">
        <v>35562011</v>
      </c>
      <c r="F21" t="s">
        <v>237</v>
      </c>
      <c r="G21" t="s">
        <v>238</v>
      </c>
      <c r="H21" t="s">
        <v>239</v>
      </c>
      <c r="I21" t="s">
        <v>240</v>
      </c>
      <c r="J21" t="s">
        <v>241</v>
      </c>
      <c r="K21">
        <v>0</v>
      </c>
      <c r="L21">
        <v>0</v>
      </c>
      <c r="M21">
        <v>1</v>
      </c>
      <c r="P21">
        <v>1</v>
      </c>
      <c r="Q21">
        <v>1</v>
      </c>
      <c r="R21">
        <v>0</v>
      </c>
      <c r="S21">
        <v>0</v>
      </c>
      <c r="T21">
        <v>1</v>
      </c>
      <c r="W21" t="s">
        <v>242</v>
      </c>
      <c r="X21" t="s">
        <v>242</v>
      </c>
      <c r="Z21" s="1">
        <v>86147</v>
      </c>
      <c r="AA21" s="1">
        <v>81509</v>
      </c>
      <c r="AB21" s="1">
        <v>78741</v>
      </c>
      <c r="AC21" s="1">
        <v>76541</v>
      </c>
      <c r="AD21" s="1">
        <v>21278</v>
      </c>
      <c r="AE21" s="1">
        <v>20540</v>
      </c>
      <c r="AF21" s="1">
        <v>27519</v>
      </c>
      <c r="AG21" s="1">
        <v>25946</v>
      </c>
      <c r="AH21" s="1">
        <v>21278</v>
      </c>
      <c r="AI21" s="1">
        <v>20540</v>
      </c>
      <c r="AJ21">
        <v>277</v>
      </c>
      <c r="AK21">
        <v>272</v>
      </c>
      <c r="AL21" s="2">
        <v>8194</v>
      </c>
      <c r="AM21" s="2">
        <v>8156</v>
      </c>
      <c r="AN21" s="2">
        <v>5165</v>
      </c>
      <c r="AO21" s="2">
        <v>5165</v>
      </c>
      <c r="AP21" s="2">
        <v>5654</v>
      </c>
      <c r="AQ21" s="2">
        <v>7805</v>
      </c>
      <c r="AR21" s="1">
        <v>25395</v>
      </c>
      <c r="AS21" s="1">
        <v>23798</v>
      </c>
      <c r="AT21" s="1">
        <v>27519</v>
      </c>
      <c r="AU21" s="1">
        <v>25946</v>
      </c>
      <c r="AV21">
        <v>38</v>
      </c>
      <c r="AW21">
        <v>0</v>
      </c>
      <c r="AX21">
        <v>0</v>
      </c>
      <c r="AY21">
        <v>0</v>
      </c>
      <c r="AZ21" s="2">
        <v>5148</v>
      </c>
      <c r="BA21" s="1">
        <v>21278</v>
      </c>
      <c r="BB21" s="1">
        <v>20540</v>
      </c>
      <c r="BC21" s="1">
        <v>25395</v>
      </c>
      <c r="BD21" s="1">
        <v>23798</v>
      </c>
      <c r="BE21">
        <v>21</v>
      </c>
      <c r="BF21">
        <v>0</v>
      </c>
      <c r="BG21" s="1">
        <v>78741</v>
      </c>
      <c r="BH21" s="1">
        <v>76541</v>
      </c>
      <c r="BK21" s="1">
        <v>75426</v>
      </c>
      <c r="BL21" s="1">
        <v>73318</v>
      </c>
      <c r="BM21" s="1">
        <v>18889</v>
      </c>
      <c r="BN21" s="1">
        <v>18364</v>
      </c>
      <c r="BO21" s="1">
        <v>24909</v>
      </c>
      <c r="BP21" s="1">
        <v>23609</v>
      </c>
      <c r="BQ21">
        <v>347</v>
      </c>
      <c r="BR21">
        <v>340</v>
      </c>
      <c r="BS21" s="2">
        <v>4160</v>
      </c>
      <c r="BT21">
        <v>0</v>
      </c>
      <c r="BU21" s="2">
        <v>4160</v>
      </c>
      <c r="BV21" s="1">
        <v>22984</v>
      </c>
      <c r="BW21" s="1">
        <v>21736</v>
      </c>
      <c r="BX21" s="1">
        <v>18889</v>
      </c>
      <c r="BY21" s="1">
        <v>18364</v>
      </c>
      <c r="CD21">
        <v>0</v>
      </c>
      <c r="CE21" s="1">
        <v>75426</v>
      </c>
      <c r="CF21" s="1">
        <v>73318</v>
      </c>
      <c r="CH21" s="2">
        <v>9476981</v>
      </c>
      <c r="CI21" s="2">
        <v>5488604</v>
      </c>
      <c r="CJ21" s="2">
        <v>3988377</v>
      </c>
      <c r="CK21" s="2">
        <v>135172</v>
      </c>
      <c r="CL21" s="2">
        <v>9612153</v>
      </c>
      <c r="CM21" s="2">
        <v>10902622</v>
      </c>
      <c r="CN21">
        <v>0</v>
      </c>
      <c r="CO21" s="2">
        <v>495428</v>
      </c>
      <c r="CP21" s="2">
        <v>350162.13</v>
      </c>
      <c r="CQ21" s="2">
        <v>3584066</v>
      </c>
      <c r="CR21" s="2">
        <v>413621</v>
      </c>
      <c r="CS21" s="2">
        <v>1031774</v>
      </c>
      <c r="CT21" s="2">
        <v>2240543</v>
      </c>
      <c r="CU21" s="2">
        <v>7380785</v>
      </c>
      <c r="CV21">
        <v>6</v>
      </c>
      <c r="CW21" s="2">
        <v>11159192</v>
      </c>
      <c r="CX21">
        <v>0</v>
      </c>
      <c r="CY21" s="2">
        <v>1836141</v>
      </c>
      <c r="CZ21">
        <v>0</v>
      </c>
      <c r="DA21" s="2">
        <v>110778</v>
      </c>
      <c r="DB21" s="2">
        <v>110778</v>
      </c>
      <c r="DC21" s="2">
        <v>821054</v>
      </c>
      <c r="DD21" s="2">
        <v>1860211</v>
      </c>
      <c r="DE21" s="2">
        <v>268096</v>
      </c>
      <c r="DF21">
        <v>168</v>
      </c>
      <c r="DG21">
        <v>166</v>
      </c>
      <c r="DH21">
        <v>3</v>
      </c>
      <c r="DI21" s="2">
        <v>1831482</v>
      </c>
      <c r="DJ21" s="2">
        <v>2949361</v>
      </c>
      <c r="DK21">
        <v>0</v>
      </c>
      <c r="DL21">
        <v>0</v>
      </c>
      <c r="DM21" s="2">
        <v>2949361</v>
      </c>
      <c r="DN21">
        <v>0</v>
      </c>
      <c r="DO21">
        <v>6</v>
      </c>
      <c r="DP21">
        <v>0</v>
      </c>
      <c r="EK21">
        <v>13</v>
      </c>
      <c r="EL21" s="1">
        <v>1305</v>
      </c>
      <c r="EN21">
        <v>960</v>
      </c>
      <c r="EO21">
        <v>11</v>
      </c>
      <c r="EP21">
        <v>480</v>
      </c>
      <c r="EQ21">
        <v>1</v>
      </c>
      <c r="ER21">
        <v>922</v>
      </c>
      <c r="ES21" s="2">
        <v>3905</v>
      </c>
      <c r="ET21">
        <v>0</v>
      </c>
      <c r="EU21">
        <v>48</v>
      </c>
      <c r="EV21">
        <v>960</v>
      </c>
      <c r="EW21">
        <v>0</v>
      </c>
      <c r="EX21">
        <v>0</v>
      </c>
      <c r="EY21" s="1">
        <v>7078</v>
      </c>
      <c r="EZ21" s="1">
        <v>6875</v>
      </c>
      <c r="FA21" s="2">
        <v>9606</v>
      </c>
      <c r="FE21">
        <v>1.27</v>
      </c>
      <c r="FF21">
        <v>305.33</v>
      </c>
      <c r="FG21">
        <v>1.1299999999999999</v>
      </c>
      <c r="FH21">
        <v>0.96</v>
      </c>
      <c r="FI21">
        <v>0.97</v>
      </c>
      <c r="FJ21">
        <v>0.95</v>
      </c>
      <c r="FK21">
        <v>52.19</v>
      </c>
      <c r="FL21" s="2">
        <v>21461.47</v>
      </c>
      <c r="FM21">
        <v>100</v>
      </c>
      <c r="FN21">
        <v>63.19</v>
      </c>
      <c r="FO21">
        <v>95.25</v>
      </c>
      <c r="FP21">
        <v>84.92</v>
      </c>
      <c r="FQ21">
        <v>30.82</v>
      </c>
      <c r="FR21">
        <v>16.100000000000001</v>
      </c>
      <c r="FS21">
        <v>80.540000000000006</v>
      </c>
      <c r="FT21">
        <v>0</v>
      </c>
      <c r="FU21">
        <v>17.600000000000001</v>
      </c>
      <c r="FV21">
        <v>271</v>
      </c>
      <c r="FW21">
        <v>187.88</v>
      </c>
      <c r="FX21">
        <v>13.1</v>
      </c>
      <c r="FY21">
        <v>18.440000000000001</v>
      </c>
      <c r="FZ21">
        <v>182.3</v>
      </c>
      <c r="GA21">
        <v>95</v>
      </c>
      <c r="GB21">
        <v>90.99</v>
      </c>
      <c r="GC21">
        <v>25.5</v>
      </c>
      <c r="GD21">
        <v>0.75</v>
      </c>
      <c r="GE21">
        <v>144.74</v>
      </c>
      <c r="GF21">
        <v>69.17</v>
      </c>
      <c r="GG21">
        <v>-13.42</v>
      </c>
      <c r="GH21">
        <v>77.88</v>
      </c>
      <c r="GI21">
        <v>37.81</v>
      </c>
      <c r="GJ21">
        <v>61.46</v>
      </c>
      <c r="GK21">
        <v>0</v>
      </c>
      <c r="GL21">
        <v>0</v>
      </c>
      <c r="GM21">
        <v>48.55</v>
      </c>
      <c r="GN21">
        <v>78.91</v>
      </c>
      <c r="GO21">
        <v>13.97</v>
      </c>
      <c r="GP21">
        <v>5.6</v>
      </c>
      <c r="GQ21">
        <v>0</v>
      </c>
      <c r="GR21">
        <v>57.1</v>
      </c>
      <c r="GS21">
        <v>41.49</v>
      </c>
      <c r="GT21">
        <v>1.4</v>
      </c>
      <c r="GU21">
        <v>92</v>
      </c>
      <c r="GV21">
        <v>100</v>
      </c>
      <c r="GW21">
        <v>7.98</v>
      </c>
      <c r="GX21">
        <v>0</v>
      </c>
      <c r="GY21">
        <v>90.99</v>
      </c>
      <c r="GZ21">
        <v>4.22</v>
      </c>
      <c r="HA21">
        <v>36.799999999999997</v>
      </c>
      <c r="HB21">
        <v>30.02</v>
      </c>
      <c r="HC21">
        <v>394.14</v>
      </c>
      <c r="HD21">
        <v>63.19</v>
      </c>
      <c r="HE21">
        <v>16.100000000000001</v>
      </c>
      <c r="HF21">
        <v>19</v>
      </c>
      <c r="HG21">
        <v>91.4</v>
      </c>
      <c r="HH21">
        <v>87.55</v>
      </c>
      <c r="HN21">
        <v>100.38</v>
      </c>
      <c r="HQ21">
        <v>1.1399999999999999</v>
      </c>
      <c r="HR21">
        <v>0.2</v>
      </c>
      <c r="HS21">
        <v>4.2300000000000004</v>
      </c>
      <c r="HT21">
        <v>100</v>
      </c>
      <c r="HU21" s="2">
        <v>1000</v>
      </c>
      <c r="HV21">
        <v>2.65</v>
      </c>
      <c r="HW21">
        <v>1.39</v>
      </c>
    </row>
    <row r="22" spans="1:235">
      <c r="A22">
        <v>355620</v>
      </c>
      <c r="B22" t="s">
        <v>235</v>
      </c>
      <c r="C22" t="s">
        <v>236</v>
      </c>
      <c r="D22">
        <v>2001</v>
      </c>
      <c r="E22">
        <v>35562011</v>
      </c>
      <c r="F22" t="s">
        <v>237</v>
      </c>
      <c r="G22" t="s">
        <v>238</v>
      </c>
      <c r="H22" t="s">
        <v>239</v>
      </c>
      <c r="I22" t="s">
        <v>240</v>
      </c>
      <c r="J22" t="s">
        <v>241</v>
      </c>
      <c r="K22">
        <v>0</v>
      </c>
      <c r="L22">
        <v>0</v>
      </c>
      <c r="M22">
        <v>1</v>
      </c>
      <c r="P22">
        <v>1</v>
      </c>
      <c r="Q22">
        <v>1</v>
      </c>
      <c r="R22">
        <v>0</v>
      </c>
      <c r="S22">
        <v>0</v>
      </c>
      <c r="T22">
        <v>1</v>
      </c>
      <c r="W22" t="s">
        <v>242</v>
      </c>
      <c r="X22" t="s">
        <v>242</v>
      </c>
      <c r="Z22" s="1">
        <v>84601</v>
      </c>
      <c r="AA22" s="1">
        <v>80046</v>
      </c>
      <c r="AB22" s="1">
        <v>76541</v>
      </c>
      <c r="AC22" s="1">
        <v>74403</v>
      </c>
      <c r="AD22" s="1">
        <v>20540</v>
      </c>
      <c r="AE22" s="1">
        <v>19740</v>
      </c>
      <c r="AF22" s="1">
        <v>25946</v>
      </c>
      <c r="AG22" s="1">
        <v>24580</v>
      </c>
      <c r="AH22" s="1">
        <v>20540</v>
      </c>
      <c r="AI22" s="1">
        <v>19658</v>
      </c>
      <c r="AJ22">
        <v>272</v>
      </c>
      <c r="AK22">
        <v>262</v>
      </c>
      <c r="AM22" s="2">
        <v>7570</v>
      </c>
      <c r="AN22" s="2">
        <v>4934</v>
      </c>
      <c r="AO22" s="2">
        <v>4934</v>
      </c>
      <c r="AP22" s="2">
        <v>5434</v>
      </c>
      <c r="AQ22" s="2">
        <v>7327</v>
      </c>
      <c r="AR22" s="1">
        <v>23798</v>
      </c>
      <c r="AS22" s="1">
        <v>22545</v>
      </c>
      <c r="AT22" s="1">
        <v>25946</v>
      </c>
      <c r="AU22" s="1">
        <v>24495</v>
      </c>
      <c r="AV22">
        <v>32</v>
      </c>
      <c r="AW22">
        <v>0</v>
      </c>
      <c r="AX22">
        <v>0</v>
      </c>
      <c r="AY22">
        <v>0</v>
      </c>
      <c r="AZ22" s="2">
        <v>4934</v>
      </c>
      <c r="BA22" s="1">
        <v>20540</v>
      </c>
      <c r="BB22" s="1">
        <v>19740</v>
      </c>
      <c r="BC22" s="1">
        <v>23798</v>
      </c>
      <c r="BD22" s="1">
        <v>22545</v>
      </c>
      <c r="BE22">
        <v>18</v>
      </c>
      <c r="BG22" s="1">
        <v>76541</v>
      </c>
      <c r="BK22" s="1">
        <v>73318</v>
      </c>
      <c r="BL22" s="1">
        <v>71270</v>
      </c>
      <c r="BM22" s="1">
        <v>18364</v>
      </c>
      <c r="BN22" s="1">
        <v>17664</v>
      </c>
      <c r="BO22" s="1">
        <v>23609</v>
      </c>
      <c r="BP22" s="1">
        <v>22354</v>
      </c>
      <c r="BQ22">
        <v>340</v>
      </c>
      <c r="BR22">
        <v>324</v>
      </c>
      <c r="BS22" s="2">
        <v>3947</v>
      </c>
      <c r="BT22">
        <v>0</v>
      </c>
      <c r="BU22" s="2">
        <v>3947</v>
      </c>
      <c r="BV22" s="1">
        <v>21736</v>
      </c>
      <c r="BW22" s="1">
        <v>20483</v>
      </c>
      <c r="BX22" s="1">
        <v>18364</v>
      </c>
      <c r="BY22" s="1">
        <v>17664</v>
      </c>
      <c r="CE22" s="1">
        <v>73318</v>
      </c>
      <c r="CH22" s="2">
        <v>7603198.0999999996</v>
      </c>
      <c r="CI22" s="2">
        <v>4315139.49</v>
      </c>
      <c r="CJ22" s="2">
        <v>3288058.61</v>
      </c>
      <c r="CK22" s="2">
        <v>551282.15</v>
      </c>
      <c r="CL22" s="2">
        <v>8154480.25</v>
      </c>
      <c r="CM22" s="2">
        <v>8154480.25</v>
      </c>
      <c r="CN22">
        <v>0</v>
      </c>
      <c r="CO22" s="2">
        <v>350162.13</v>
      </c>
      <c r="CP22" s="2">
        <v>584816</v>
      </c>
      <c r="CQ22" s="2">
        <v>2995968.03</v>
      </c>
      <c r="CR22" s="2">
        <v>455948.99</v>
      </c>
      <c r="CS22" s="2">
        <v>772842.95</v>
      </c>
      <c r="CT22" s="2">
        <v>917698.67</v>
      </c>
      <c r="CU22" s="2">
        <v>5230592.8</v>
      </c>
      <c r="CV22">
        <v>0</v>
      </c>
      <c r="CW22" s="2">
        <v>5378115.9100000001</v>
      </c>
      <c r="CX22">
        <v>0</v>
      </c>
      <c r="CY22" s="2">
        <v>147523.10999999999</v>
      </c>
      <c r="CZ22">
        <v>0</v>
      </c>
      <c r="DA22" s="2">
        <v>88134.24</v>
      </c>
      <c r="DB22">
        <v>0</v>
      </c>
      <c r="DC22" s="2">
        <v>540910.65</v>
      </c>
      <c r="DD22" s="2">
        <v>377606.25</v>
      </c>
      <c r="DE22" s="2">
        <v>277368.84999999998</v>
      </c>
      <c r="DF22">
        <v>166</v>
      </c>
      <c r="DG22">
        <v>162</v>
      </c>
      <c r="DH22">
        <v>-7.0000000000000007E-2</v>
      </c>
      <c r="DI22">
        <v>0</v>
      </c>
      <c r="DJ22" s="2">
        <v>1195885.75</v>
      </c>
      <c r="DK22">
        <v>0</v>
      </c>
      <c r="DL22" s="2">
        <v>1195885.75</v>
      </c>
      <c r="DM22" s="2">
        <v>1195885.75</v>
      </c>
      <c r="DN22">
        <v>0</v>
      </c>
      <c r="EK22">
        <v>14</v>
      </c>
      <c r="EL22">
        <v>140</v>
      </c>
      <c r="EN22" s="1">
        <v>1026</v>
      </c>
      <c r="EO22">
        <v>10</v>
      </c>
      <c r="EP22">
        <v>576</v>
      </c>
      <c r="EQ22">
        <v>0</v>
      </c>
      <c r="ER22" s="1">
        <v>1119</v>
      </c>
      <c r="ES22" s="2">
        <v>2980.5</v>
      </c>
      <c r="EU22">
        <v>48</v>
      </c>
      <c r="EV22">
        <v>960</v>
      </c>
      <c r="EW22">
        <v>0</v>
      </c>
      <c r="EX22">
        <v>0</v>
      </c>
      <c r="EY22" s="1">
        <v>4443</v>
      </c>
      <c r="EZ22" s="1">
        <v>4443</v>
      </c>
      <c r="FA22" s="2">
        <v>8452</v>
      </c>
      <c r="FE22">
        <v>1.25</v>
      </c>
      <c r="FF22">
        <v>294.17</v>
      </c>
      <c r="FG22">
        <v>0.56999999999999995</v>
      </c>
      <c r="FH22">
        <v>0.81</v>
      </c>
      <c r="FI22">
        <v>0.79</v>
      </c>
      <c r="FJ22">
        <v>0.83</v>
      </c>
      <c r="FK22">
        <v>72.77</v>
      </c>
      <c r="FL22" s="2">
        <v>18268.099999999999</v>
      </c>
      <c r="FM22">
        <v>99.79</v>
      </c>
      <c r="FP22">
        <v>141.37</v>
      </c>
      <c r="FR22">
        <v>16.3</v>
      </c>
      <c r="FS22">
        <v>79.989999999999995</v>
      </c>
      <c r="FT22">
        <v>0</v>
      </c>
      <c r="FU22">
        <v>17.899999999999999</v>
      </c>
      <c r="FV22">
        <v>214</v>
      </c>
      <c r="FW22">
        <v>225.19</v>
      </c>
      <c r="FX22">
        <v>13.3</v>
      </c>
      <c r="FY22">
        <v>18.43</v>
      </c>
      <c r="FZ22">
        <v>179.1</v>
      </c>
      <c r="GA22">
        <v>95</v>
      </c>
      <c r="GB22">
        <v>90.99</v>
      </c>
      <c r="GD22">
        <v>0.55000000000000004</v>
      </c>
      <c r="GE22">
        <v>108.41</v>
      </c>
      <c r="GG22">
        <v>0</v>
      </c>
      <c r="GH22">
        <v>68.790000000000006</v>
      </c>
      <c r="GI22">
        <v>39.4</v>
      </c>
      <c r="GJ22">
        <v>51.47</v>
      </c>
      <c r="GK22">
        <v>0</v>
      </c>
      <c r="GL22">
        <v>0</v>
      </c>
      <c r="GM22">
        <v>57.27</v>
      </c>
      <c r="GN22">
        <v>74.819999999999993</v>
      </c>
      <c r="GO22">
        <v>14.77</v>
      </c>
      <c r="GP22">
        <v>8.7100000000000009</v>
      </c>
      <c r="GQ22">
        <v>0</v>
      </c>
      <c r="GR22">
        <v>52.91</v>
      </c>
      <c r="GS22">
        <v>40.32</v>
      </c>
      <c r="GT22">
        <v>6.76</v>
      </c>
      <c r="GU22">
        <v>91.72</v>
      </c>
      <c r="GV22">
        <v>100</v>
      </c>
      <c r="GW22">
        <v>8.14</v>
      </c>
      <c r="GX22">
        <v>0</v>
      </c>
      <c r="GY22">
        <v>90.99</v>
      </c>
      <c r="GZ22">
        <v>4.29</v>
      </c>
      <c r="HE22">
        <v>16.3</v>
      </c>
      <c r="HF22">
        <v>17</v>
      </c>
      <c r="HG22">
        <v>90.47</v>
      </c>
      <c r="HH22">
        <v>86.66</v>
      </c>
      <c r="HN22">
        <v>10</v>
      </c>
      <c r="HQ22">
        <v>0.97</v>
      </c>
      <c r="HR22">
        <v>0</v>
      </c>
      <c r="HS22">
        <v>2.66</v>
      </c>
      <c r="HT22">
        <v>106.87</v>
      </c>
      <c r="HU22" s="2">
        <v>1200</v>
      </c>
      <c r="HV22">
        <v>3.29</v>
      </c>
      <c r="HW22">
        <v>1.9</v>
      </c>
    </row>
    <row r="23" spans="1:235">
      <c r="A23">
        <v>355620</v>
      </c>
      <c r="B23" t="s">
        <v>235</v>
      </c>
      <c r="C23" t="s">
        <v>236</v>
      </c>
      <c r="D23">
        <v>2000</v>
      </c>
      <c r="E23">
        <v>35562011</v>
      </c>
      <c r="F23" t="s">
        <v>237</v>
      </c>
      <c r="G23" t="s">
        <v>238</v>
      </c>
      <c r="H23" t="s">
        <v>239</v>
      </c>
      <c r="I23" t="s">
        <v>240</v>
      </c>
      <c r="J23" t="s">
        <v>241</v>
      </c>
      <c r="K23">
        <v>0</v>
      </c>
      <c r="L23">
        <v>0</v>
      </c>
      <c r="M23">
        <v>1</v>
      </c>
      <c r="P23">
        <v>1</v>
      </c>
      <c r="Q23">
        <v>1</v>
      </c>
      <c r="R23">
        <v>0</v>
      </c>
      <c r="S23">
        <v>0</v>
      </c>
      <c r="T23">
        <v>1</v>
      </c>
      <c r="W23" t="s">
        <v>242</v>
      </c>
      <c r="X23" t="s">
        <v>242</v>
      </c>
      <c r="Z23" s="1">
        <v>82973</v>
      </c>
      <c r="AA23" s="1">
        <v>78506</v>
      </c>
      <c r="AB23" s="1">
        <v>74403</v>
      </c>
      <c r="AC23" s="1">
        <v>69000</v>
      </c>
      <c r="AD23" s="1">
        <v>19740</v>
      </c>
      <c r="AE23" s="1">
        <v>18912</v>
      </c>
      <c r="AF23" s="1">
        <v>24580</v>
      </c>
      <c r="AG23" s="1">
        <v>23045</v>
      </c>
      <c r="AH23" s="1">
        <v>19658</v>
      </c>
      <c r="AI23" s="1">
        <v>18833</v>
      </c>
      <c r="AJ23">
        <v>262</v>
      </c>
      <c r="AK23">
        <v>250</v>
      </c>
      <c r="AL23" s="2">
        <v>7906</v>
      </c>
      <c r="AM23" s="2">
        <v>7906</v>
      </c>
      <c r="AN23" s="2">
        <v>4952</v>
      </c>
      <c r="AO23" s="2">
        <v>4952</v>
      </c>
      <c r="AP23" s="2">
        <v>5520</v>
      </c>
      <c r="AQ23" s="2">
        <v>7646.23</v>
      </c>
      <c r="AR23" s="1">
        <v>22545</v>
      </c>
      <c r="AS23" s="1">
        <v>21059</v>
      </c>
      <c r="AT23" s="1">
        <v>24495</v>
      </c>
      <c r="AU23" s="1">
        <v>22966</v>
      </c>
      <c r="AV23">
        <v>0</v>
      </c>
      <c r="AW23">
        <v>0</v>
      </c>
      <c r="AX23">
        <v>0</v>
      </c>
      <c r="AY23">
        <v>0</v>
      </c>
      <c r="AZ23" s="2">
        <v>4952</v>
      </c>
      <c r="BA23" s="1">
        <v>19740</v>
      </c>
      <c r="BB23" s="1">
        <v>18912</v>
      </c>
      <c r="BC23" s="1">
        <v>22545</v>
      </c>
      <c r="BD23" s="1">
        <v>21059</v>
      </c>
      <c r="BE23">
        <v>123</v>
      </c>
      <c r="BK23" s="1">
        <v>71270</v>
      </c>
      <c r="BL23" s="1">
        <v>59100</v>
      </c>
      <c r="BM23" s="1">
        <v>17664</v>
      </c>
      <c r="BN23" s="1">
        <v>16740</v>
      </c>
      <c r="BO23" s="1">
        <v>22354</v>
      </c>
      <c r="BP23" s="1">
        <v>21059</v>
      </c>
      <c r="BQ23">
        <v>324</v>
      </c>
      <c r="BR23">
        <v>278</v>
      </c>
      <c r="BS23" s="2">
        <v>4642</v>
      </c>
      <c r="BT23">
        <v>0</v>
      </c>
      <c r="BU23" s="2">
        <v>4642</v>
      </c>
      <c r="BV23" s="1">
        <v>20483</v>
      </c>
      <c r="BW23" s="1">
        <v>21059</v>
      </c>
      <c r="BX23" s="1">
        <v>17664</v>
      </c>
      <c r="BY23" s="1">
        <v>16740</v>
      </c>
      <c r="CH23" s="2">
        <v>6931195.2800000003</v>
      </c>
      <c r="CI23" s="2">
        <v>4144206.77</v>
      </c>
      <c r="CJ23" s="2">
        <v>2786988.51</v>
      </c>
      <c r="CK23" s="2">
        <v>1274936.6000000001</v>
      </c>
      <c r="CL23" s="2">
        <v>8206131.8799999999</v>
      </c>
      <c r="CM23" s="2">
        <v>8358825.8700000001</v>
      </c>
      <c r="CN23">
        <v>0</v>
      </c>
      <c r="CO23" s="2">
        <v>584816</v>
      </c>
      <c r="CP23" s="2">
        <v>677473</v>
      </c>
      <c r="CQ23" s="2">
        <v>3287432.66</v>
      </c>
      <c r="CR23" s="2">
        <v>201764.69</v>
      </c>
      <c r="CS23" s="2">
        <v>752585.47</v>
      </c>
      <c r="CT23" s="2">
        <v>533098.69999999995</v>
      </c>
      <c r="CU23" s="2">
        <v>5375380.5199999996</v>
      </c>
      <c r="CV23">
        <v>0</v>
      </c>
      <c r="CW23" s="2">
        <v>5530703</v>
      </c>
      <c r="CX23">
        <v>0</v>
      </c>
      <c r="CY23" s="2">
        <v>155146</v>
      </c>
      <c r="CZ23">
        <v>0</v>
      </c>
      <c r="DA23" s="2">
        <v>600499</v>
      </c>
      <c r="DB23">
        <v>0</v>
      </c>
      <c r="DC23" s="2">
        <v>435440</v>
      </c>
      <c r="DD23" s="2">
        <v>1031497.52</v>
      </c>
      <c r="DE23" s="2">
        <v>143680</v>
      </c>
      <c r="DF23">
        <v>162</v>
      </c>
      <c r="DG23">
        <v>172</v>
      </c>
      <c r="DH23">
        <v>0</v>
      </c>
      <c r="DI23">
        <v>176.48</v>
      </c>
      <c r="DJ23" s="2">
        <v>1610617.52</v>
      </c>
      <c r="DK23">
        <v>0</v>
      </c>
      <c r="DL23" s="2">
        <v>1610617.52</v>
      </c>
      <c r="DM23" s="2">
        <v>1610617.52</v>
      </c>
      <c r="DN23">
        <v>0</v>
      </c>
      <c r="EK23">
        <v>36</v>
      </c>
      <c r="EL23">
        <v>400</v>
      </c>
      <c r="EM23" s="1">
        <v>3150</v>
      </c>
      <c r="EN23">
        <v>960</v>
      </c>
      <c r="EO23">
        <v>5</v>
      </c>
      <c r="EP23">
        <v>480</v>
      </c>
      <c r="EQ23">
        <v>0</v>
      </c>
      <c r="ER23">
        <v>549</v>
      </c>
      <c r="ES23">
        <v>549</v>
      </c>
      <c r="ET23">
        <v>0</v>
      </c>
      <c r="EU23">
        <v>24</v>
      </c>
      <c r="EV23">
        <v>960</v>
      </c>
      <c r="EW23">
        <v>0</v>
      </c>
      <c r="EX23">
        <v>0</v>
      </c>
      <c r="FE23">
        <v>1.23</v>
      </c>
      <c r="FF23">
        <v>272.56</v>
      </c>
      <c r="FG23">
        <v>0.54</v>
      </c>
      <c r="FH23">
        <v>0.68</v>
      </c>
      <c r="FI23">
        <v>0.75</v>
      </c>
      <c r="FJ23">
        <v>0.6</v>
      </c>
      <c r="FK23">
        <v>69.069999999999993</v>
      </c>
      <c r="FL23" s="2">
        <v>19685.22</v>
      </c>
      <c r="FM23">
        <v>99.58</v>
      </c>
      <c r="FN23">
        <v>63.62</v>
      </c>
      <c r="FO23">
        <v>96.71</v>
      </c>
      <c r="FP23">
        <v>125.32</v>
      </c>
      <c r="FQ23">
        <v>29.07</v>
      </c>
      <c r="FR23">
        <v>17.399999999999999</v>
      </c>
      <c r="FS23">
        <v>93.73</v>
      </c>
      <c r="FT23">
        <v>0</v>
      </c>
      <c r="FU23">
        <v>19.3</v>
      </c>
      <c r="FV23">
        <v>194</v>
      </c>
      <c r="FW23">
        <v>234.53</v>
      </c>
      <c r="FX23">
        <v>13.2</v>
      </c>
      <c r="FY23">
        <v>17.489999999999998</v>
      </c>
      <c r="FZ23">
        <v>189.2</v>
      </c>
      <c r="GA23">
        <v>95</v>
      </c>
      <c r="GB23">
        <v>90.99</v>
      </c>
      <c r="GC23">
        <v>27.7</v>
      </c>
      <c r="GD23">
        <v>0.52</v>
      </c>
      <c r="GE23">
        <v>118.09</v>
      </c>
      <c r="GF23">
        <v>70.92</v>
      </c>
      <c r="GG23">
        <v>-1.86</v>
      </c>
      <c r="GH23">
        <v>77.55</v>
      </c>
      <c r="GI23">
        <v>47.42</v>
      </c>
      <c r="GJ23">
        <v>55.12</v>
      </c>
      <c r="GK23">
        <v>0</v>
      </c>
      <c r="GL23">
        <v>0</v>
      </c>
      <c r="GM23">
        <v>61.15</v>
      </c>
      <c r="GN23">
        <v>71.069999999999993</v>
      </c>
      <c r="GO23">
        <v>14</v>
      </c>
      <c r="GP23">
        <v>3.75</v>
      </c>
      <c r="GQ23">
        <v>0</v>
      </c>
      <c r="GR23">
        <v>50.5</v>
      </c>
      <c r="GS23">
        <v>33.96</v>
      </c>
      <c r="GT23">
        <v>15.53</v>
      </c>
      <c r="GU23">
        <v>91.55</v>
      </c>
      <c r="GV23">
        <v>100</v>
      </c>
      <c r="GW23">
        <v>8.64</v>
      </c>
      <c r="GX23">
        <v>0</v>
      </c>
      <c r="GY23">
        <v>90.99</v>
      </c>
      <c r="GZ23">
        <v>4.57</v>
      </c>
      <c r="HA23">
        <v>36.369999999999997</v>
      </c>
      <c r="HB23">
        <v>30.29</v>
      </c>
      <c r="HC23">
        <v>401.33</v>
      </c>
      <c r="HD23">
        <v>63.62</v>
      </c>
      <c r="HE23">
        <v>17.3</v>
      </c>
      <c r="HF23">
        <v>30</v>
      </c>
      <c r="HM23">
        <v>88</v>
      </c>
      <c r="HN23">
        <v>11.11</v>
      </c>
      <c r="HQ23">
        <v>0.52</v>
      </c>
      <c r="HR23">
        <v>0</v>
      </c>
      <c r="HS23">
        <v>1</v>
      </c>
      <c r="HT23">
        <v>100</v>
      </c>
      <c r="HU23" s="2">
        <v>2000</v>
      </c>
      <c r="HV23">
        <v>1.69</v>
      </c>
    </row>
    <row r="24" spans="1:235">
      <c r="A24">
        <v>355620</v>
      </c>
      <c r="B24" t="s">
        <v>235</v>
      </c>
      <c r="C24" t="s">
        <v>236</v>
      </c>
      <c r="D24">
        <v>1999</v>
      </c>
      <c r="E24">
        <v>35562011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>
        <v>0</v>
      </c>
      <c r="L24">
        <v>0</v>
      </c>
      <c r="M24">
        <v>1</v>
      </c>
      <c r="P24">
        <v>1</v>
      </c>
      <c r="Q24">
        <v>1</v>
      </c>
      <c r="R24">
        <v>0</v>
      </c>
      <c r="S24">
        <v>0</v>
      </c>
      <c r="T24">
        <v>1</v>
      </c>
      <c r="W24" t="s">
        <v>242</v>
      </c>
      <c r="X24" t="s">
        <v>242</v>
      </c>
      <c r="Z24" s="1">
        <v>78532</v>
      </c>
      <c r="AA24" s="1">
        <v>73416</v>
      </c>
      <c r="AB24" s="1">
        <v>69000</v>
      </c>
      <c r="AC24" s="1">
        <v>66747</v>
      </c>
      <c r="AD24" s="1">
        <v>18912</v>
      </c>
      <c r="AE24" s="1">
        <v>18182</v>
      </c>
      <c r="AF24" s="1">
        <v>23045</v>
      </c>
      <c r="AG24" s="1">
        <v>21258</v>
      </c>
      <c r="AH24" s="1">
        <v>18833</v>
      </c>
      <c r="AI24" s="1">
        <v>18182</v>
      </c>
      <c r="AJ24">
        <v>250</v>
      </c>
      <c r="AK24">
        <v>246</v>
      </c>
      <c r="AL24" s="2">
        <v>7516</v>
      </c>
      <c r="AM24" s="2">
        <v>7516</v>
      </c>
      <c r="AN24" s="2">
        <v>4828</v>
      </c>
      <c r="AO24" s="2">
        <v>4864</v>
      </c>
      <c r="AP24" s="2">
        <v>5358</v>
      </c>
      <c r="AQ24">
        <v>0</v>
      </c>
      <c r="AR24" s="1">
        <v>21059</v>
      </c>
      <c r="AS24" s="1">
        <v>19402</v>
      </c>
      <c r="AT24" s="1">
        <v>22966</v>
      </c>
      <c r="AU24" s="1">
        <v>18182</v>
      </c>
      <c r="AV24">
        <v>0</v>
      </c>
      <c r="AW24">
        <v>0</v>
      </c>
      <c r="AX24">
        <v>0</v>
      </c>
      <c r="AY24">
        <v>0</v>
      </c>
      <c r="AZ24" s="2">
        <v>4828</v>
      </c>
      <c r="BA24" s="1">
        <v>18912</v>
      </c>
      <c r="BB24" s="1">
        <v>18182</v>
      </c>
      <c r="BC24" s="1">
        <v>21059</v>
      </c>
      <c r="BD24" s="1">
        <v>19402</v>
      </c>
      <c r="BE24">
        <v>29</v>
      </c>
      <c r="BK24" s="1">
        <v>59100</v>
      </c>
      <c r="BL24" s="1">
        <v>58070</v>
      </c>
      <c r="BM24" s="1">
        <v>16740</v>
      </c>
      <c r="BN24" s="1">
        <v>15754</v>
      </c>
      <c r="BO24" s="1">
        <v>21059</v>
      </c>
      <c r="BP24" s="1">
        <v>18565</v>
      </c>
      <c r="BQ24">
        <v>278</v>
      </c>
      <c r="BR24">
        <v>273</v>
      </c>
      <c r="BS24" s="2">
        <v>4400</v>
      </c>
      <c r="BT24">
        <v>0</v>
      </c>
      <c r="BU24" s="2">
        <v>4400</v>
      </c>
      <c r="BV24" s="1">
        <v>21059</v>
      </c>
      <c r="BW24" s="1">
        <v>16930</v>
      </c>
      <c r="BX24" s="1">
        <v>16740</v>
      </c>
      <c r="BY24" s="1">
        <v>15754</v>
      </c>
      <c r="CH24" s="2">
        <v>8097362</v>
      </c>
      <c r="CI24" s="2">
        <v>4762773</v>
      </c>
      <c r="CJ24" s="2">
        <v>3334589</v>
      </c>
      <c r="CK24">
        <v>0</v>
      </c>
      <c r="CL24" s="2">
        <v>8097362</v>
      </c>
      <c r="CM24" s="2">
        <v>9000653</v>
      </c>
      <c r="CN24">
        <v>0</v>
      </c>
      <c r="CO24" s="2">
        <v>677473</v>
      </c>
      <c r="CP24" s="2">
        <v>509232.55</v>
      </c>
      <c r="CQ24" s="2">
        <v>3037736</v>
      </c>
      <c r="CR24" s="2">
        <v>298529</v>
      </c>
      <c r="CS24" s="2">
        <v>607176</v>
      </c>
      <c r="CT24" s="2">
        <v>769029</v>
      </c>
      <c r="CU24" s="2">
        <v>5836810</v>
      </c>
      <c r="CV24">
        <v>0</v>
      </c>
      <c r="CW24" s="2">
        <v>8515508</v>
      </c>
      <c r="CX24">
        <v>0</v>
      </c>
      <c r="CY24" s="2">
        <v>158291</v>
      </c>
      <c r="CZ24">
        <v>0</v>
      </c>
      <c r="DC24" s="2">
        <v>597052</v>
      </c>
      <c r="DD24" s="2">
        <v>396245</v>
      </c>
      <c r="DE24" s="2">
        <v>210401</v>
      </c>
      <c r="DF24">
        <v>172</v>
      </c>
      <c r="DG24">
        <v>220</v>
      </c>
      <c r="DH24" s="2">
        <v>1124340</v>
      </c>
      <c r="DI24" s="2">
        <v>2520407</v>
      </c>
      <c r="DJ24" s="2">
        <v>1203698</v>
      </c>
      <c r="DK24">
        <v>0</v>
      </c>
      <c r="DL24">
        <v>0</v>
      </c>
      <c r="DM24" s="2">
        <v>1203698</v>
      </c>
      <c r="DN24" s="2">
        <v>19998</v>
      </c>
      <c r="EK24">
        <v>8</v>
      </c>
      <c r="EL24">
        <v>64</v>
      </c>
      <c r="EM24">
        <v>700</v>
      </c>
      <c r="EN24">
        <v>960</v>
      </c>
      <c r="EO24">
        <v>0</v>
      </c>
      <c r="EP24">
        <v>480</v>
      </c>
      <c r="EQ24">
        <v>0</v>
      </c>
      <c r="ER24">
        <v>598</v>
      </c>
      <c r="ES24">
        <v>598</v>
      </c>
      <c r="ET24">
        <v>0</v>
      </c>
      <c r="EU24">
        <v>24</v>
      </c>
      <c r="EV24">
        <v>960</v>
      </c>
      <c r="EW24">
        <v>0</v>
      </c>
      <c r="EX24">
        <v>0</v>
      </c>
      <c r="FE24">
        <v>1.19</v>
      </c>
      <c r="FF24">
        <v>214.09</v>
      </c>
      <c r="FG24">
        <v>0.87</v>
      </c>
      <c r="FH24">
        <v>0.82</v>
      </c>
      <c r="FI24">
        <v>0.88</v>
      </c>
      <c r="FJ24">
        <v>0.75</v>
      </c>
      <c r="FK24">
        <v>44.7</v>
      </c>
      <c r="FL24" s="2">
        <v>15498.65</v>
      </c>
      <c r="FM24">
        <v>99.78</v>
      </c>
      <c r="FN24">
        <v>64.48</v>
      </c>
      <c r="FO24">
        <v>0</v>
      </c>
      <c r="FP24">
        <v>95.08</v>
      </c>
      <c r="FQ24">
        <v>28.43</v>
      </c>
      <c r="FR24">
        <v>19.600000000000001</v>
      </c>
      <c r="FS24">
        <v>90.46</v>
      </c>
      <c r="FT24">
        <v>0</v>
      </c>
      <c r="FU24">
        <v>20.2</v>
      </c>
      <c r="FV24">
        <v>246</v>
      </c>
      <c r="FW24">
        <v>170.84</v>
      </c>
      <c r="FX24">
        <v>13.4</v>
      </c>
      <c r="FY24">
        <v>16.95</v>
      </c>
      <c r="FZ24">
        <v>196.3</v>
      </c>
      <c r="GA24">
        <v>93.9</v>
      </c>
      <c r="GB24">
        <v>80.41</v>
      </c>
      <c r="GC24">
        <v>28.3</v>
      </c>
      <c r="GD24">
        <v>0.59</v>
      </c>
      <c r="GE24">
        <v>139.09</v>
      </c>
      <c r="GF24">
        <v>71.56</v>
      </c>
      <c r="GG24">
        <v>-11.15</v>
      </c>
      <c r="GH24">
        <v>72.08</v>
      </c>
      <c r="GI24">
        <v>37.51</v>
      </c>
      <c r="GJ24">
        <v>47.01</v>
      </c>
      <c r="GK24">
        <v>0.24</v>
      </c>
      <c r="GL24">
        <v>13.88</v>
      </c>
      <c r="GM24">
        <v>52.04</v>
      </c>
      <c r="GN24">
        <v>65.209999999999994</v>
      </c>
      <c r="GO24">
        <v>10.4</v>
      </c>
      <c r="GP24">
        <v>5.1100000000000003</v>
      </c>
      <c r="GQ24">
        <v>19.260000000000002</v>
      </c>
      <c r="GR24">
        <v>58.81</v>
      </c>
      <c r="GS24">
        <v>41.18</v>
      </c>
      <c r="GT24">
        <v>0</v>
      </c>
      <c r="GU24">
        <v>91.32</v>
      </c>
      <c r="GV24">
        <v>99.25</v>
      </c>
      <c r="GW24">
        <v>10.56</v>
      </c>
      <c r="GX24">
        <v>0</v>
      </c>
      <c r="GY24">
        <v>80.41</v>
      </c>
      <c r="GZ24">
        <v>5.63</v>
      </c>
      <c r="HA24">
        <v>35.03</v>
      </c>
      <c r="HB24">
        <v>28.97</v>
      </c>
      <c r="HC24">
        <v>387.46</v>
      </c>
      <c r="HD24">
        <v>64.959999999999994</v>
      </c>
      <c r="HE24">
        <v>18.3</v>
      </c>
      <c r="HF24">
        <v>30</v>
      </c>
      <c r="HM24">
        <v>88</v>
      </c>
      <c r="HN24">
        <v>8</v>
      </c>
      <c r="HQ24">
        <v>0</v>
      </c>
      <c r="HR24">
        <v>0</v>
      </c>
      <c r="HS24">
        <v>1</v>
      </c>
      <c r="HT24">
        <v>100</v>
      </c>
      <c r="HU24" s="2">
        <v>2000</v>
      </c>
      <c r="HV24">
        <v>2.15</v>
      </c>
    </row>
    <row r="25" spans="1:235">
      <c r="A25">
        <v>355620</v>
      </c>
      <c r="B25" t="s">
        <v>235</v>
      </c>
      <c r="C25" t="s">
        <v>236</v>
      </c>
      <c r="D25">
        <v>1998</v>
      </c>
      <c r="E25">
        <v>35562011</v>
      </c>
      <c r="F25" t="s">
        <v>237</v>
      </c>
      <c r="G25" t="s">
        <v>238</v>
      </c>
      <c r="H25" t="s">
        <v>239</v>
      </c>
      <c r="I25" t="s">
        <v>240</v>
      </c>
      <c r="J25" t="s">
        <v>241</v>
      </c>
      <c r="K25">
        <v>0</v>
      </c>
      <c r="L25">
        <v>0</v>
      </c>
      <c r="M25">
        <v>1</v>
      </c>
      <c r="P25">
        <v>1</v>
      </c>
      <c r="Q25">
        <v>1</v>
      </c>
      <c r="R25">
        <v>0</v>
      </c>
      <c r="S25">
        <v>0</v>
      </c>
      <c r="T25">
        <v>1</v>
      </c>
      <c r="W25" t="s">
        <v>242</v>
      </c>
      <c r="X25" t="s">
        <v>242</v>
      </c>
      <c r="Z25" s="1">
        <v>77301</v>
      </c>
      <c r="AA25" s="1">
        <v>72266</v>
      </c>
      <c r="AB25" s="1">
        <v>66747</v>
      </c>
      <c r="AC25" s="1">
        <v>63569</v>
      </c>
      <c r="AD25" s="1">
        <v>18182</v>
      </c>
      <c r="AE25" s="1">
        <v>17142</v>
      </c>
      <c r="AF25" s="1">
        <v>21258</v>
      </c>
      <c r="AG25" s="1">
        <v>19549</v>
      </c>
      <c r="AH25" s="1">
        <v>18182</v>
      </c>
      <c r="AI25" s="1">
        <v>17072</v>
      </c>
      <c r="AJ25">
        <v>246</v>
      </c>
      <c r="AK25">
        <v>238</v>
      </c>
      <c r="AL25" s="2">
        <v>7391</v>
      </c>
      <c r="AM25" s="2">
        <v>7391</v>
      </c>
      <c r="AN25" s="2">
        <v>4649</v>
      </c>
      <c r="AO25" s="2">
        <v>4649</v>
      </c>
      <c r="AP25" s="2">
        <v>5109</v>
      </c>
      <c r="AQ25">
        <v>0</v>
      </c>
      <c r="AR25" s="1">
        <v>19402</v>
      </c>
      <c r="AS25" s="1">
        <v>17901</v>
      </c>
      <c r="AT25" s="1">
        <v>18182</v>
      </c>
      <c r="AU25" s="1">
        <v>17142</v>
      </c>
      <c r="AV25">
        <v>0</v>
      </c>
      <c r="AW25">
        <v>0</v>
      </c>
      <c r="AX25">
        <v>0</v>
      </c>
      <c r="AY25">
        <v>0</v>
      </c>
      <c r="AZ25" s="2">
        <v>4200</v>
      </c>
      <c r="BA25" s="1">
        <v>18182</v>
      </c>
      <c r="BC25" s="1">
        <v>19402</v>
      </c>
      <c r="BK25" s="1">
        <v>58070</v>
      </c>
      <c r="BL25" s="1">
        <v>55305</v>
      </c>
      <c r="BM25" s="1">
        <v>15754</v>
      </c>
      <c r="BN25" s="1">
        <v>15164</v>
      </c>
      <c r="BO25" s="1">
        <v>18565</v>
      </c>
      <c r="BP25" s="1">
        <v>17442</v>
      </c>
      <c r="BQ25">
        <v>273</v>
      </c>
      <c r="BR25">
        <v>261</v>
      </c>
      <c r="BS25" s="2">
        <v>4218</v>
      </c>
      <c r="BT25">
        <v>0</v>
      </c>
      <c r="BU25" s="2">
        <v>4218</v>
      </c>
      <c r="BV25" s="1">
        <v>16930</v>
      </c>
      <c r="BW25" s="1">
        <v>15960</v>
      </c>
      <c r="BX25" s="1">
        <v>15754</v>
      </c>
      <c r="CH25" s="2">
        <v>7176623.8200000003</v>
      </c>
      <c r="CI25" s="2">
        <v>4316861.03</v>
      </c>
      <c r="CJ25" s="2">
        <v>2859762.79</v>
      </c>
      <c r="CK25" s="2">
        <v>893641.51</v>
      </c>
      <c r="CL25" s="2">
        <v>8070265.3300000001</v>
      </c>
      <c r="CM25" s="2">
        <v>7711434.1399999997</v>
      </c>
      <c r="CN25">
        <v>0</v>
      </c>
      <c r="CO25" s="2">
        <v>509232.55</v>
      </c>
      <c r="CQ25" s="2">
        <v>3052901.94</v>
      </c>
      <c r="CR25" s="2">
        <v>166703.59</v>
      </c>
      <c r="CS25" s="2">
        <v>560762.51</v>
      </c>
      <c r="CT25" s="2">
        <v>455220.07</v>
      </c>
      <c r="CU25" s="2">
        <v>5072185.5</v>
      </c>
      <c r="CV25" s="2">
        <v>17999.98</v>
      </c>
      <c r="CW25" s="2">
        <v>7957734.8700000001</v>
      </c>
      <c r="CY25" s="2">
        <v>678438.94</v>
      </c>
      <c r="CZ25">
        <v>0</v>
      </c>
      <c r="DC25" s="2">
        <v>268322.56</v>
      </c>
      <c r="DD25" s="2">
        <v>210280.45</v>
      </c>
      <c r="DE25" s="2">
        <v>89959.77</v>
      </c>
      <c r="DF25">
        <v>220</v>
      </c>
      <c r="DG25">
        <v>211</v>
      </c>
      <c r="DH25" s="2">
        <v>836597.39</v>
      </c>
      <c r="DI25" s="2">
        <v>2189110.4500000002</v>
      </c>
      <c r="DJ25" s="2">
        <v>568562.78</v>
      </c>
      <c r="DK25">
        <v>0</v>
      </c>
      <c r="DL25">
        <v>0</v>
      </c>
      <c r="DM25" s="2">
        <v>568562.78</v>
      </c>
      <c r="DN25">
        <v>0</v>
      </c>
      <c r="EK25">
        <v>100</v>
      </c>
      <c r="EL25">
        <v>300</v>
      </c>
      <c r="EN25" s="1">
        <v>1690</v>
      </c>
      <c r="EO25">
        <v>12</v>
      </c>
      <c r="EP25">
        <v>778</v>
      </c>
      <c r="EQ25">
        <v>0</v>
      </c>
      <c r="ER25">
        <v>698</v>
      </c>
      <c r="ES25">
        <v>698</v>
      </c>
      <c r="ET25">
        <v>350</v>
      </c>
      <c r="EX25">
        <v>7</v>
      </c>
      <c r="FE25">
        <v>1.1499999999999999</v>
      </c>
      <c r="FF25">
        <v>178.22</v>
      </c>
      <c r="FG25">
        <v>0.85</v>
      </c>
      <c r="FH25">
        <v>0.76</v>
      </c>
      <c r="FI25">
        <v>0.84</v>
      </c>
      <c r="FJ25">
        <v>0.67</v>
      </c>
      <c r="FK25">
        <v>44.08</v>
      </c>
      <c r="FL25" s="2">
        <v>14166.6</v>
      </c>
      <c r="FM25">
        <v>99.8</v>
      </c>
      <c r="FN25">
        <v>62.9</v>
      </c>
      <c r="FO25">
        <v>0</v>
      </c>
      <c r="FP25">
        <v>90.18</v>
      </c>
      <c r="FQ25">
        <v>30.87</v>
      </c>
      <c r="FR25">
        <v>21.9</v>
      </c>
      <c r="FS25">
        <v>90.72</v>
      </c>
      <c r="FT25">
        <v>0</v>
      </c>
      <c r="FU25">
        <v>20.9</v>
      </c>
      <c r="FV25">
        <v>248</v>
      </c>
      <c r="FW25">
        <v>155.09</v>
      </c>
      <c r="FX25">
        <v>13.5</v>
      </c>
      <c r="FY25">
        <v>17.32</v>
      </c>
      <c r="FZ25">
        <v>195.5</v>
      </c>
      <c r="GA25">
        <v>92.4</v>
      </c>
      <c r="GB25">
        <v>80.349999999999994</v>
      </c>
      <c r="GC25">
        <v>30.2</v>
      </c>
      <c r="GD25">
        <v>0.54</v>
      </c>
      <c r="GE25">
        <v>132.06</v>
      </c>
      <c r="GF25">
        <v>69.12</v>
      </c>
      <c r="GG25">
        <v>4.4400000000000004</v>
      </c>
      <c r="GH25">
        <v>70.67</v>
      </c>
      <c r="GI25">
        <v>42.53</v>
      </c>
      <c r="GJ25">
        <v>48.88</v>
      </c>
      <c r="GK25">
        <v>0.25</v>
      </c>
      <c r="GL25">
        <v>11.65</v>
      </c>
      <c r="GM25">
        <v>60.18</v>
      </c>
      <c r="GN25">
        <v>69.16</v>
      </c>
      <c r="GO25">
        <v>11.05</v>
      </c>
      <c r="GP25">
        <v>3.28</v>
      </c>
      <c r="GQ25">
        <v>16.489999999999998</v>
      </c>
      <c r="GR25">
        <v>53.49</v>
      </c>
      <c r="GS25">
        <v>35.43</v>
      </c>
      <c r="GT25">
        <v>11.07</v>
      </c>
      <c r="GU25">
        <v>91.41</v>
      </c>
      <c r="GV25">
        <v>100</v>
      </c>
      <c r="GW25">
        <v>12.2</v>
      </c>
      <c r="GX25">
        <v>0</v>
      </c>
      <c r="GY25">
        <v>80.349999999999994</v>
      </c>
      <c r="GZ25">
        <v>6.5</v>
      </c>
      <c r="HA25">
        <v>37.090000000000003</v>
      </c>
      <c r="HB25">
        <v>31.04</v>
      </c>
      <c r="HC25">
        <v>425.33</v>
      </c>
      <c r="HD25">
        <v>62.9</v>
      </c>
      <c r="HE25">
        <v>19</v>
      </c>
      <c r="HF25">
        <v>26</v>
      </c>
      <c r="HN25">
        <v>3</v>
      </c>
      <c r="HQ25">
        <v>0.71</v>
      </c>
      <c r="HR25">
        <v>0</v>
      </c>
      <c r="HS25">
        <v>1</v>
      </c>
    </row>
    <row r="26" spans="1:235">
      <c r="A26">
        <v>355620</v>
      </c>
      <c r="B26" t="s">
        <v>235</v>
      </c>
      <c r="C26" t="s">
        <v>236</v>
      </c>
      <c r="D26">
        <v>1997</v>
      </c>
      <c r="E26">
        <v>35562011</v>
      </c>
      <c r="F26" t="s">
        <v>237</v>
      </c>
      <c r="G26" t="s">
        <v>238</v>
      </c>
      <c r="H26" t="s">
        <v>239</v>
      </c>
      <c r="I26" t="s">
        <v>240</v>
      </c>
      <c r="J26" t="s">
        <v>241</v>
      </c>
      <c r="K26">
        <v>0</v>
      </c>
      <c r="L26">
        <v>0</v>
      </c>
      <c r="M26">
        <v>1</v>
      </c>
      <c r="P26">
        <v>0</v>
      </c>
      <c r="Q26">
        <v>0</v>
      </c>
      <c r="R26">
        <v>0</v>
      </c>
      <c r="S26">
        <v>0</v>
      </c>
      <c r="T26">
        <v>1</v>
      </c>
      <c r="W26" t="s">
        <v>242</v>
      </c>
      <c r="X26" t="s">
        <v>242</v>
      </c>
      <c r="Z26" s="1">
        <v>76066</v>
      </c>
      <c r="AA26" s="1">
        <v>71111</v>
      </c>
      <c r="AB26" s="1">
        <v>63569</v>
      </c>
      <c r="AD26" s="1">
        <v>17142</v>
      </c>
      <c r="AF26" s="1">
        <v>19549</v>
      </c>
      <c r="AH26" s="1">
        <v>17072</v>
      </c>
      <c r="AJ26">
        <v>238</v>
      </c>
      <c r="AL26" s="2">
        <v>6945.95</v>
      </c>
      <c r="AM26" s="2">
        <v>6945.95</v>
      </c>
      <c r="AN26" s="2">
        <v>4825.3</v>
      </c>
      <c r="AO26" s="2">
        <v>4832.6000000000004</v>
      </c>
      <c r="AP26" s="2">
        <v>4872.75</v>
      </c>
      <c r="AQ26">
        <v>0</v>
      </c>
      <c r="AR26" s="1">
        <v>17901</v>
      </c>
      <c r="AT26" s="1">
        <v>17142</v>
      </c>
      <c r="AV26">
        <v>0</v>
      </c>
      <c r="BK26" s="1">
        <v>55305</v>
      </c>
      <c r="BM26" s="1">
        <v>15164</v>
      </c>
      <c r="BO26" s="1">
        <v>17442</v>
      </c>
      <c r="BQ26">
        <v>261</v>
      </c>
      <c r="BS26" s="2">
        <v>3982.15</v>
      </c>
      <c r="BT26">
        <v>0</v>
      </c>
      <c r="BU26" s="2">
        <v>3982.15</v>
      </c>
      <c r="BV26" s="1">
        <v>15960</v>
      </c>
      <c r="CH26" s="2">
        <v>6298000</v>
      </c>
      <c r="CI26" s="2">
        <v>3643000</v>
      </c>
      <c r="CJ26" s="2">
        <v>2655000</v>
      </c>
      <c r="CK26" s="2">
        <v>669000</v>
      </c>
      <c r="CL26" s="2">
        <v>6967000</v>
      </c>
      <c r="CM26" s="2">
        <v>6967000</v>
      </c>
      <c r="CQ26" s="2">
        <v>1937000</v>
      </c>
      <c r="CR26" s="2">
        <v>236000</v>
      </c>
      <c r="CS26" s="2">
        <v>551000</v>
      </c>
      <c r="CT26" s="2">
        <v>71000</v>
      </c>
      <c r="CU26" s="2">
        <v>3255000</v>
      </c>
      <c r="CV26">
        <v>0</v>
      </c>
      <c r="CW26" s="2">
        <v>3255000</v>
      </c>
      <c r="CZ26">
        <v>0</v>
      </c>
      <c r="DC26" s="2">
        <v>310000</v>
      </c>
      <c r="DD26" s="2">
        <v>248000</v>
      </c>
      <c r="DF26">
        <v>211</v>
      </c>
      <c r="DH26" s="2">
        <v>460000</v>
      </c>
      <c r="DI26">
        <v>0</v>
      </c>
      <c r="FE26">
        <v>1.1399999999999999</v>
      </c>
      <c r="FF26">
        <v>175.31</v>
      </c>
      <c r="FG26">
        <v>0.36</v>
      </c>
      <c r="FH26">
        <v>0.71</v>
      </c>
      <c r="FI26">
        <v>0.74</v>
      </c>
      <c r="FJ26">
        <v>0.66</v>
      </c>
      <c r="FK26">
        <v>61.68</v>
      </c>
      <c r="FL26" s="2">
        <v>9180.09</v>
      </c>
      <c r="FM26">
        <v>99.59</v>
      </c>
      <c r="FN26">
        <v>69.459999999999994</v>
      </c>
      <c r="FO26">
        <v>0</v>
      </c>
      <c r="FP26">
        <v>193.48</v>
      </c>
      <c r="FQ26">
        <v>29.84</v>
      </c>
      <c r="FR26">
        <v>23.5</v>
      </c>
      <c r="FS26">
        <v>82.4</v>
      </c>
      <c r="FT26">
        <v>0</v>
      </c>
      <c r="FU26">
        <v>20.8</v>
      </c>
      <c r="FV26">
        <v>219</v>
      </c>
      <c r="FW26">
        <v>169.11</v>
      </c>
      <c r="FX26">
        <v>13.9</v>
      </c>
      <c r="FY26">
        <v>17.21</v>
      </c>
      <c r="FZ26">
        <v>208.3</v>
      </c>
      <c r="GA26">
        <v>95</v>
      </c>
      <c r="GB26">
        <v>82.64</v>
      </c>
      <c r="GC26">
        <v>29.6</v>
      </c>
      <c r="GD26">
        <v>0.36</v>
      </c>
      <c r="GE26">
        <v>87.99</v>
      </c>
      <c r="GF26">
        <v>70.150000000000006</v>
      </c>
      <c r="GG26">
        <v>0</v>
      </c>
      <c r="GH26">
        <v>51.68</v>
      </c>
      <c r="GI26">
        <v>30.75</v>
      </c>
      <c r="GJ26">
        <v>31.88</v>
      </c>
      <c r="GK26">
        <v>0</v>
      </c>
      <c r="GL26">
        <v>7.3</v>
      </c>
      <c r="GM26">
        <v>59.5</v>
      </c>
      <c r="GN26">
        <v>61.68</v>
      </c>
      <c r="GO26">
        <v>16.920000000000002</v>
      </c>
      <c r="GP26">
        <v>7.25</v>
      </c>
      <c r="GQ26">
        <v>14.13</v>
      </c>
      <c r="GR26">
        <v>52.28</v>
      </c>
      <c r="GS26">
        <v>38.1</v>
      </c>
      <c r="GT26">
        <v>9.6</v>
      </c>
      <c r="GU26">
        <v>91.56</v>
      </c>
      <c r="GV26">
        <v>99.84</v>
      </c>
      <c r="GW26">
        <v>12.3</v>
      </c>
    </row>
    <row r="27" spans="1:235">
      <c r="A27" t="s">
        <v>245</v>
      </c>
      <c r="B27" t="s">
        <v>246</v>
      </c>
      <c r="C27" t="s">
        <v>246</v>
      </c>
      <c r="D27" t="s">
        <v>246</v>
      </c>
      <c r="E27" t="s">
        <v>246</v>
      </c>
      <c r="F27" t="s">
        <v>246</v>
      </c>
      <c r="G27" t="s">
        <v>246</v>
      </c>
      <c r="H27" t="s">
        <v>246</v>
      </c>
      <c r="I27" t="s">
        <v>246</v>
      </c>
      <c r="J27" t="s">
        <v>246</v>
      </c>
      <c r="K27">
        <v>0</v>
      </c>
      <c r="L27">
        <v>0</v>
      </c>
      <c r="M27">
        <v>10</v>
      </c>
      <c r="N27">
        <v>13</v>
      </c>
      <c r="O27">
        <v>13</v>
      </c>
      <c r="P27">
        <v>12</v>
      </c>
      <c r="Q27">
        <v>6</v>
      </c>
      <c r="R27">
        <v>0</v>
      </c>
      <c r="S27">
        <v>0</v>
      </c>
      <c r="T27">
        <v>10</v>
      </c>
      <c r="AB27" s="1">
        <v>2418550</v>
      </c>
      <c r="AC27" s="1">
        <v>2293370</v>
      </c>
      <c r="AD27" s="1">
        <v>707726</v>
      </c>
      <c r="AE27" s="1">
        <v>668262</v>
      </c>
      <c r="AF27" s="1">
        <v>980784</v>
      </c>
      <c r="AG27" s="1">
        <v>922749</v>
      </c>
      <c r="AH27" s="1">
        <v>707415</v>
      </c>
      <c r="AI27" s="1">
        <v>667951</v>
      </c>
      <c r="AJ27" s="2">
        <v>11766.28</v>
      </c>
      <c r="AK27" s="2">
        <v>11052.58</v>
      </c>
      <c r="AL27" s="2">
        <v>242827.88</v>
      </c>
      <c r="AM27" s="2">
        <v>242341.96</v>
      </c>
      <c r="AN27" s="2">
        <v>157265.99</v>
      </c>
      <c r="AO27" s="2">
        <v>159560.68</v>
      </c>
      <c r="AP27" s="2">
        <v>176702.65</v>
      </c>
      <c r="AQ27" s="2">
        <v>224297.45</v>
      </c>
      <c r="AR27" s="1">
        <v>900184</v>
      </c>
      <c r="AS27" s="1">
        <v>846415</v>
      </c>
      <c r="AT27" s="1">
        <v>975137</v>
      </c>
      <c r="AU27" s="1">
        <v>917102</v>
      </c>
      <c r="AV27" s="2">
        <v>8087.93</v>
      </c>
      <c r="AW27">
        <v>0</v>
      </c>
      <c r="AX27">
        <v>48.57</v>
      </c>
      <c r="AY27">
        <v>0</v>
      </c>
      <c r="AZ27" s="2">
        <v>137122.82999999999</v>
      </c>
      <c r="BA27" s="1">
        <v>699634</v>
      </c>
      <c r="BB27" s="1">
        <v>658921</v>
      </c>
      <c r="BC27" s="1">
        <v>882283</v>
      </c>
      <c r="BD27" s="1">
        <v>828514</v>
      </c>
      <c r="BE27" s="2">
        <v>5791.54</v>
      </c>
      <c r="BF27" s="1">
        <v>5167</v>
      </c>
      <c r="BG27" s="1">
        <v>2123828</v>
      </c>
      <c r="BH27" s="1">
        <v>1998648</v>
      </c>
      <c r="BI27" s="2">
        <v>202681.82</v>
      </c>
      <c r="BJ27" s="2">
        <v>121483.28</v>
      </c>
      <c r="BK27" s="1">
        <v>2308619</v>
      </c>
      <c r="BL27" s="1">
        <v>2188736</v>
      </c>
      <c r="BM27" s="1">
        <v>678228</v>
      </c>
      <c r="BN27" s="1">
        <v>640641</v>
      </c>
      <c r="BO27" s="1">
        <v>926534</v>
      </c>
      <c r="BP27" s="1">
        <v>870472</v>
      </c>
      <c r="BQ27" s="2">
        <v>11626.66</v>
      </c>
      <c r="BR27" s="2">
        <v>10999.2</v>
      </c>
      <c r="BS27" s="2">
        <v>144726.18</v>
      </c>
      <c r="BT27" s="2">
        <v>108162.11</v>
      </c>
      <c r="BU27" s="2">
        <v>159491.46</v>
      </c>
      <c r="BV27" s="1">
        <v>855602</v>
      </c>
      <c r="BW27" s="1">
        <v>803828</v>
      </c>
      <c r="BX27" s="1">
        <v>670771</v>
      </c>
      <c r="BY27" s="1">
        <v>632116</v>
      </c>
      <c r="BZ27">
        <v>0</v>
      </c>
      <c r="CA27">
        <v>0</v>
      </c>
      <c r="CB27">
        <v>0</v>
      </c>
      <c r="CC27">
        <v>0</v>
      </c>
      <c r="CD27">
        <v>0</v>
      </c>
      <c r="CE27" s="1">
        <v>2049038</v>
      </c>
      <c r="CF27" s="1">
        <v>1929155</v>
      </c>
      <c r="CG27" s="2">
        <v>20355.87</v>
      </c>
      <c r="CH27" s="2">
        <v>664316787.45000005</v>
      </c>
      <c r="CI27" s="2">
        <v>331124861.44</v>
      </c>
      <c r="CJ27" s="2">
        <v>333191926.00999999</v>
      </c>
      <c r="CK27" s="2">
        <v>59818165.219999999</v>
      </c>
      <c r="CL27" s="2">
        <v>724134953.66999996</v>
      </c>
      <c r="CM27" s="2">
        <v>764930347.76999998</v>
      </c>
      <c r="CN27">
        <v>0</v>
      </c>
      <c r="CO27" s="2">
        <v>100691892.25</v>
      </c>
      <c r="CP27" s="2">
        <v>85504285.939999998</v>
      </c>
      <c r="CQ27" s="2">
        <v>266241145.53999999</v>
      </c>
      <c r="CR27" s="2">
        <v>64807724.969999999</v>
      </c>
      <c r="CS27" s="2">
        <v>79249918.840000004</v>
      </c>
      <c r="CT27" s="2">
        <v>107387756.06999999</v>
      </c>
      <c r="CU27" s="2">
        <v>531289484.54000002</v>
      </c>
      <c r="CV27" s="2">
        <v>18005.98</v>
      </c>
      <c r="CW27" s="2">
        <v>633308683.85000002</v>
      </c>
      <c r="CX27" s="2">
        <v>13407123.189999999</v>
      </c>
      <c r="CY27" s="2">
        <v>2975540.05</v>
      </c>
      <c r="CZ27" s="2">
        <v>1128381.75</v>
      </c>
      <c r="DA27" s="2">
        <v>7820952.0700000003</v>
      </c>
      <c r="DB27" s="1">
        <v>110778</v>
      </c>
      <c r="DC27" s="2">
        <v>45821701.670000002</v>
      </c>
      <c r="DD27" s="2">
        <v>28564099.719999999</v>
      </c>
      <c r="DE27" s="2">
        <v>17737241.66</v>
      </c>
      <c r="DF27" s="1">
        <v>5355</v>
      </c>
      <c r="DG27" s="1">
        <v>5137</v>
      </c>
      <c r="DH27" s="2">
        <v>4653604.32</v>
      </c>
      <c r="DI27" s="2">
        <v>98914875.280000001</v>
      </c>
      <c r="DJ27" s="2">
        <v>91565043.049999997</v>
      </c>
      <c r="DK27">
        <v>0</v>
      </c>
      <c r="DL27" s="2">
        <v>16213626.460000001</v>
      </c>
      <c r="DM27" s="2">
        <v>104972166.23999999</v>
      </c>
      <c r="DN27" s="1">
        <v>19998</v>
      </c>
      <c r="DO27">
        <v>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K27" s="1">
        <v>1053</v>
      </c>
      <c r="EL27" s="1">
        <v>9697</v>
      </c>
      <c r="EM27" s="1">
        <v>125641</v>
      </c>
      <c r="EN27" s="1">
        <v>292551</v>
      </c>
      <c r="EO27" s="1">
        <v>3281</v>
      </c>
      <c r="EP27" s="1">
        <v>228760</v>
      </c>
      <c r="EQ27" s="1">
        <v>2313</v>
      </c>
      <c r="ER27" s="1">
        <v>26232</v>
      </c>
      <c r="ES27" s="2">
        <v>68620.5</v>
      </c>
      <c r="ET27" s="1">
        <v>223726</v>
      </c>
      <c r="EU27" s="1">
        <v>186736</v>
      </c>
      <c r="EV27" s="1">
        <v>193842</v>
      </c>
      <c r="EW27">
        <v>832</v>
      </c>
      <c r="EX27" s="2">
        <v>14611.5</v>
      </c>
      <c r="EY27" s="1">
        <v>191152</v>
      </c>
      <c r="EZ27" s="1">
        <v>184696</v>
      </c>
      <c r="FA27" s="1">
        <v>160918</v>
      </c>
      <c r="FB27" s="1">
        <v>40285</v>
      </c>
      <c r="FC27">
        <v>689</v>
      </c>
      <c r="FD27" s="1">
        <v>39996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Valuation (FCF)</vt:lpstr>
      <vt:lpstr>Planilha1</vt:lpstr>
      <vt:lpstr>SNIS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Tinelli</dc:creator>
  <cp:lastModifiedBy>Maria Gabriela Gadiolli Angeli</cp:lastModifiedBy>
  <dcterms:created xsi:type="dcterms:W3CDTF">2023-04-19T00:51:45Z</dcterms:created>
  <dcterms:modified xsi:type="dcterms:W3CDTF">2023-06-05T12:01:41Z</dcterms:modified>
</cp:coreProperties>
</file>